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yuxu/Dropbox (Princeton)/PJM/Project_GenX_OutputProcessing/data/"/>
    </mc:Choice>
  </mc:AlternateContent>
  <xr:revisionPtr revIDLastSave="0" documentId="13_ncr:1_{91486BEE-A228-F240-95A9-2A261FC244BC}" xr6:coauthVersionLast="45" xr6:coauthVersionMax="45" xr10:uidLastSave="{00000000-0000-0000-0000-000000000000}"/>
  <bookViews>
    <workbookView xWindow="0" yWindow="500" windowWidth="33380" windowHeight="19560" activeTab="7" xr2:uid="{649F0D6B-A6EC-EE41-BA3E-4D3214673210}"/>
  </bookViews>
  <sheets>
    <sheet name="HighDG" sheetId="1" r:id="rId1"/>
    <sheet name="NormalCase" sheetId="3" r:id="rId2"/>
    <sheet name="SAM Assumption" sheetId="2" r:id="rId3"/>
    <sheet name="Installed" sheetId="4" r:id="rId4"/>
    <sheet name="Pipeline" sheetId="5" r:id="rId5"/>
    <sheet name="Installed TI Project Type" sheetId="7" r:id="rId6"/>
    <sheet name="Pipeline TI Project Type" sheetId="6" r:id="rId7"/>
    <sheet name="SREC II" sheetId="8" r:id="rId8"/>
    <sheet name="Sheet5" sheetId="10" r:id="rId9"/>
  </sheets>
  <externalReferences>
    <externalReference r:id="rId10"/>
    <externalReference r:id="rId11"/>
  </externalReferences>
  <definedNames>
    <definedName name="_xlnm._FilterDatabase" localSheetId="7" hidden="1">'SREC II'!$A$1:$T$409</definedName>
    <definedName name="As_of">#REF!</definedName>
    <definedName name="bpuapp_id_lookup">#REF!</definedName>
    <definedName name="County_Lookup">#REF!</definedName>
    <definedName name="Zip_Corre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2" i="8" l="1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279" i="8"/>
  <c r="X280" i="8"/>
  <c r="X281" i="8"/>
  <c r="X282" i="8"/>
  <c r="X283" i="8"/>
  <c r="X284" i="8"/>
  <c r="X285" i="8"/>
  <c r="X286" i="8"/>
  <c r="X287" i="8"/>
  <c r="X288" i="8"/>
  <c r="X289" i="8"/>
  <c r="X290" i="8"/>
  <c r="X291" i="8"/>
  <c r="X292" i="8"/>
  <c r="X293" i="8"/>
  <c r="X294" i="8"/>
  <c r="X295" i="8"/>
  <c r="X296" i="8"/>
  <c r="X297" i="8"/>
  <c r="X298" i="8"/>
  <c r="X299" i="8"/>
  <c r="X300" i="8"/>
  <c r="X301" i="8"/>
  <c r="X302" i="8"/>
  <c r="X303" i="8"/>
  <c r="X304" i="8"/>
  <c r="X305" i="8"/>
  <c r="X306" i="8"/>
  <c r="X307" i="8"/>
  <c r="X308" i="8"/>
  <c r="X309" i="8"/>
  <c r="X310" i="8"/>
  <c r="X311" i="8"/>
  <c r="X312" i="8"/>
  <c r="X313" i="8"/>
  <c r="X314" i="8"/>
  <c r="X315" i="8"/>
  <c r="X316" i="8"/>
  <c r="X317" i="8"/>
  <c r="X318" i="8"/>
  <c r="X319" i="8"/>
  <c r="X320" i="8"/>
  <c r="X321" i="8"/>
  <c r="X322" i="8"/>
  <c r="X323" i="8"/>
  <c r="X324" i="8"/>
  <c r="X325" i="8"/>
  <c r="X326" i="8"/>
  <c r="X327" i="8"/>
  <c r="X328" i="8"/>
  <c r="X329" i="8"/>
  <c r="X330" i="8"/>
  <c r="X331" i="8"/>
  <c r="X332" i="8"/>
  <c r="X333" i="8"/>
  <c r="X334" i="8"/>
  <c r="X335" i="8"/>
  <c r="X336" i="8"/>
  <c r="X337" i="8"/>
  <c r="X338" i="8"/>
  <c r="X339" i="8"/>
  <c r="X340" i="8"/>
  <c r="X341" i="8"/>
  <c r="X342" i="8"/>
  <c r="X343" i="8"/>
  <c r="X344" i="8"/>
  <c r="X345" i="8"/>
  <c r="X346" i="8"/>
  <c r="X347" i="8"/>
  <c r="X348" i="8"/>
  <c r="X349" i="8"/>
  <c r="X350" i="8"/>
  <c r="X351" i="8"/>
  <c r="X352" i="8"/>
  <c r="X353" i="8"/>
  <c r="X354" i="8"/>
  <c r="X355" i="8"/>
  <c r="X356" i="8"/>
  <c r="X357" i="8"/>
  <c r="X358" i="8"/>
  <c r="X359" i="8"/>
  <c r="X360" i="8"/>
  <c r="X361" i="8"/>
  <c r="X362" i="8"/>
  <c r="X363" i="8"/>
  <c r="X364" i="8"/>
  <c r="X365" i="8"/>
  <c r="X366" i="8"/>
  <c r="X367" i="8"/>
  <c r="X368" i="8"/>
  <c r="X369" i="8"/>
  <c r="X370" i="8"/>
  <c r="X371" i="8"/>
  <c r="X372" i="8"/>
  <c r="X373" i="8"/>
  <c r="X374" i="8"/>
  <c r="X375" i="8"/>
  <c r="X376" i="8"/>
  <c r="X377" i="8"/>
  <c r="X378" i="8"/>
  <c r="X379" i="8"/>
  <c r="X380" i="8"/>
  <c r="X381" i="8"/>
  <c r="X382" i="8"/>
  <c r="X383" i="8"/>
  <c r="X384" i="8"/>
  <c r="X385" i="8"/>
  <c r="X386" i="8"/>
  <c r="X387" i="8"/>
  <c r="X388" i="8"/>
  <c r="X389" i="8"/>
  <c r="X390" i="8"/>
  <c r="X391" i="8"/>
  <c r="X392" i="8"/>
  <c r="X393" i="8"/>
  <c r="X394" i="8"/>
  <c r="X395" i="8"/>
  <c r="X396" i="8"/>
  <c r="X397" i="8"/>
  <c r="X398" i="8"/>
  <c r="X399" i="8"/>
  <c r="X400" i="8"/>
  <c r="X401" i="8"/>
  <c r="X402" i="8"/>
  <c r="X403" i="8"/>
  <c r="X404" i="8"/>
  <c r="X405" i="8"/>
  <c r="X406" i="8"/>
  <c r="X407" i="8"/>
  <c r="X408" i="8"/>
  <c r="X409" i="8"/>
  <c r="X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T33" i="8"/>
  <c r="T34" i="8"/>
  <c r="T35" i="8"/>
  <c r="T36" i="8"/>
  <c r="T37" i="8"/>
  <c r="T38" i="8"/>
  <c r="T39" i="8"/>
  <c r="T40" i="8"/>
  <c r="T41" i="8"/>
  <c r="T42" i="8"/>
  <c r="T43" i="8"/>
  <c r="T44" i="8"/>
  <c r="T45" i="8"/>
  <c r="T46" i="8"/>
  <c r="T47" i="8"/>
  <c r="T48" i="8"/>
  <c r="T49" i="8"/>
  <c r="T50" i="8"/>
  <c r="T51" i="8"/>
  <c r="T52" i="8"/>
  <c r="T53" i="8"/>
  <c r="T54" i="8"/>
  <c r="T55" i="8"/>
  <c r="T56" i="8"/>
  <c r="T57" i="8"/>
  <c r="T58" i="8"/>
  <c r="T59" i="8"/>
  <c r="T60" i="8"/>
  <c r="T61" i="8"/>
  <c r="T62" i="8"/>
  <c r="T63" i="8"/>
  <c r="T64" i="8"/>
  <c r="T65" i="8"/>
  <c r="T66" i="8"/>
  <c r="T67" i="8"/>
  <c r="T68" i="8"/>
  <c r="T69" i="8"/>
  <c r="T70" i="8"/>
  <c r="T71" i="8"/>
  <c r="T72" i="8"/>
  <c r="T73" i="8"/>
  <c r="T74" i="8"/>
  <c r="T75" i="8"/>
  <c r="T76" i="8"/>
  <c r="T77" i="8"/>
  <c r="T78" i="8"/>
  <c r="T79" i="8"/>
  <c r="T80" i="8"/>
  <c r="T81" i="8"/>
  <c r="T82" i="8"/>
  <c r="T83" i="8"/>
  <c r="T84" i="8"/>
  <c r="T85" i="8"/>
  <c r="T86" i="8"/>
  <c r="T87" i="8"/>
  <c r="T88" i="8"/>
  <c r="T89" i="8"/>
  <c r="T90" i="8"/>
  <c r="T91" i="8"/>
  <c r="T92" i="8"/>
  <c r="T93" i="8"/>
  <c r="T94" i="8"/>
  <c r="T95" i="8"/>
  <c r="T96" i="8"/>
  <c r="T97" i="8"/>
  <c r="T98" i="8"/>
  <c r="T99" i="8"/>
  <c r="T100" i="8"/>
  <c r="T101" i="8"/>
  <c r="T102" i="8"/>
  <c r="T103" i="8"/>
  <c r="T104" i="8"/>
  <c r="T105" i="8"/>
  <c r="T106" i="8"/>
  <c r="T107" i="8"/>
  <c r="T108" i="8"/>
  <c r="T109" i="8"/>
  <c r="T110" i="8"/>
  <c r="T111" i="8"/>
  <c r="T112" i="8"/>
  <c r="T113" i="8"/>
  <c r="T114" i="8"/>
  <c r="T115" i="8"/>
  <c r="T116" i="8"/>
  <c r="T117" i="8"/>
  <c r="T118" i="8"/>
  <c r="T119" i="8"/>
  <c r="T120" i="8"/>
  <c r="T121" i="8"/>
  <c r="T122" i="8"/>
  <c r="T123" i="8"/>
  <c r="T124" i="8"/>
  <c r="T125" i="8"/>
  <c r="T126" i="8"/>
  <c r="T127" i="8"/>
  <c r="T128" i="8"/>
  <c r="T129" i="8"/>
  <c r="T130" i="8"/>
  <c r="T131" i="8"/>
  <c r="T132" i="8"/>
  <c r="T133" i="8"/>
  <c r="T134" i="8"/>
  <c r="T135" i="8"/>
  <c r="T136" i="8"/>
  <c r="T137" i="8"/>
  <c r="T138" i="8"/>
  <c r="T139" i="8"/>
  <c r="T140" i="8"/>
  <c r="T141" i="8"/>
  <c r="T142" i="8"/>
  <c r="T143" i="8"/>
  <c r="T144" i="8"/>
  <c r="T145" i="8"/>
  <c r="T146" i="8"/>
  <c r="T147" i="8"/>
  <c r="T148" i="8"/>
  <c r="T149" i="8"/>
  <c r="T150" i="8"/>
  <c r="T151" i="8"/>
  <c r="T152" i="8"/>
  <c r="T153" i="8"/>
  <c r="T154" i="8"/>
  <c r="T155" i="8"/>
  <c r="T156" i="8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T187" i="8"/>
  <c r="T188" i="8"/>
  <c r="T189" i="8"/>
  <c r="T190" i="8"/>
  <c r="T191" i="8"/>
  <c r="T192" i="8"/>
  <c r="T193" i="8"/>
  <c r="T194" i="8"/>
  <c r="T195" i="8"/>
  <c r="T196" i="8"/>
  <c r="T197" i="8"/>
  <c r="T198" i="8"/>
  <c r="T199" i="8"/>
  <c r="T200" i="8"/>
  <c r="T201" i="8"/>
  <c r="T202" i="8"/>
  <c r="T203" i="8"/>
  <c r="T204" i="8"/>
  <c r="T205" i="8"/>
  <c r="T206" i="8"/>
  <c r="T207" i="8"/>
  <c r="T208" i="8"/>
  <c r="T209" i="8"/>
  <c r="T210" i="8"/>
  <c r="T211" i="8"/>
  <c r="T212" i="8"/>
  <c r="T213" i="8"/>
  <c r="T214" i="8"/>
  <c r="T215" i="8"/>
  <c r="T216" i="8"/>
  <c r="T217" i="8"/>
  <c r="T218" i="8"/>
  <c r="T219" i="8"/>
  <c r="T220" i="8"/>
  <c r="T221" i="8"/>
  <c r="T222" i="8"/>
  <c r="T223" i="8"/>
  <c r="T224" i="8"/>
  <c r="T225" i="8"/>
  <c r="T226" i="8"/>
  <c r="T227" i="8"/>
  <c r="T228" i="8"/>
  <c r="T229" i="8"/>
  <c r="T230" i="8"/>
  <c r="T231" i="8"/>
  <c r="T232" i="8"/>
  <c r="T233" i="8"/>
  <c r="T234" i="8"/>
  <c r="T235" i="8"/>
  <c r="T236" i="8"/>
  <c r="T237" i="8"/>
  <c r="T238" i="8"/>
  <c r="T239" i="8"/>
  <c r="T240" i="8"/>
  <c r="T241" i="8"/>
  <c r="T242" i="8"/>
  <c r="T243" i="8"/>
  <c r="T244" i="8"/>
  <c r="T245" i="8"/>
  <c r="T246" i="8"/>
  <c r="T247" i="8"/>
  <c r="T248" i="8"/>
  <c r="T249" i="8"/>
  <c r="T250" i="8"/>
  <c r="T251" i="8"/>
  <c r="T252" i="8"/>
  <c r="T253" i="8"/>
  <c r="T254" i="8"/>
  <c r="T255" i="8"/>
  <c r="T256" i="8"/>
  <c r="T257" i="8"/>
  <c r="T258" i="8"/>
  <c r="T259" i="8"/>
  <c r="T260" i="8"/>
  <c r="T261" i="8"/>
  <c r="T262" i="8"/>
  <c r="T263" i="8"/>
  <c r="T264" i="8"/>
  <c r="T265" i="8"/>
  <c r="T266" i="8"/>
  <c r="T267" i="8"/>
  <c r="T268" i="8"/>
  <c r="T269" i="8"/>
  <c r="T270" i="8"/>
  <c r="T271" i="8"/>
  <c r="T272" i="8"/>
  <c r="T273" i="8"/>
  <c r="T274" i="8"/>
  <c r="T275" i="8"/>
  <c r="T276" i="8"/>
  <c r="T277" i="8"/>
  <c r="T278" i="8"/>
  <c r="T279" i="8"/>
  <c r="T280" i="8"/>
  <c r="T281" i="8"/>
  <c r="T282" i="8"/>
  <c r="T283" i="8"/>
  <c r="T284" i="8"/>
  <c r="T285" i="8"/>
  <c r="T286" i="8"/>
  <c r="T287" i="8"/>
  <c r="T288" i="8"/>
  <c r="T289" i="8"/>
  <c r="T290" i="8"/>
  <c r="T291" i="8"/>
  <c r="T292" i="8"/>
  <c r="T293" i="8"/>
  <c r="T294" i="8"/>
  <c r="T295" i="8"/>
  <c r="T296" i="8"/>
  <c r="T297" i="8"/>
  <c r="T298" i="8"/>
  <c r="T299" i="8"/>
  <c r="T300" i="8"/>
  <c r="T301" i="8"/>
  <c r="T302" i="8"/>
  <c r="T303" i="8"/>
  <c r="T304" i="8"/>
  <c r="T305" i="8"/>
  <c r="T306" i="8"/>
  <c r="T307" i="8"/>
  <c r="T308" i="8"/>
  <c r="T309" i="8"/>
  <c r="T310" i="8"/>
  <c r="T311" i="8"/>
  <c r="T312" i="8"/>
  <c r="T313" i="8"/>
  <c r="T314" i="8"/>
  <c r="T315" i="8"/>
  <c r="T316" i="8"/>
  <c r="T317" i="8"/>
  <c r="T318" i="8"/>
  <c r="T319" i="8"/>
  <c r="T320" i="8"/>
  <c r="T321" i="8"/>
  <c r="T322" i="8"/>
  <c r="T323" i="8"/>
  <c r="T324" i="8"/>
  <c r="T325" i="8"/>
  <c r="T326" i="8"/>
  <c r="T327" i="8"/>
  <c r="T328" i="8"/>
  <c r="T329" i="8"/>
  <c r="T330" i="8"/>
  <c r="T331" i="8"/>
  <c r="T332" i="8"/>
  <c r="T333" i="8"/>
  <c r="T334" i="8"/>
  <c r="T335" i="8"/>
  <c r="T336" i="8"/>
  <c r="T337" i="8"/>
  <c r="T338" i="8"/>
  <c r="T339" i="8"/>
  <c r="T340" i="8"/>
  <c r="T341" i="8"/>
  <c r="T342" i="8"/>
  <c r="T343" i="8"/>
  <c r="T344" i="8"/>
  <c r="T345" i="8"/>
  <c r="T346" i="8"/>
  <c r="T347" i="8"/>
  <c r="T348" i="8"/>
  <c r="T349" i="8"/>
  <c r="T350" i="8"/>
  <c r="T351" i="8"/>
  <c r="T352" i="8"/>
  <c r="T353" i="8"/>
  <c r="T354" i="8"/>
  <c r="T355" i="8"/>
  <c r="T356" i="8"/>
  <c r="T357" i="8"/>
  <c r="T358" i="8"/>
  <c r="T359" i="8"/>
  <c r="T360" i="8"/>
  <c r="T361" i="8"/>
  <c r="T362" i="8"/>
  <c r="T363" i="8"/>
  <c r="T364" i="8"/>
  <c r="T365" i="8"/>
  <c r="T366" i="8"/>
  <c r="T367" i="8"/>
  <c r="T368" i="8"/>
  <c r="T369" i="8"/>
  <c r="T370" i="8"/>
  <c r="T371" i="8"/>
  <c r="T372" i="8"/>
  <c r="T373" i="8"/>
  <c r="T374" i="8"/>
  <c r="T375" i="8"/>
  <c r="T376" i="8"/>
  <c r="T377" i="8"/>
  <c r="T378" i="8"/>
  <c r="T379" i="8"/>
  <c r="T380" i="8"/>
  <c r="T381" i="8"/>
  <c r="T382" i="8"/>
  <c r="T383" i="8"/>
  <c r="T384" i="8"/>
  <c r="T385" i="8"/>
  <c r="T386" i="8"/>
  <c r="T387" i="8"/>
  <c r="T388" i="8"/>
  <c r="T389" i="8"/>
  <c r="T390" i="8"/>
  <c r="T391" i="8"/>
  <c r="T392" i="8"/>
  <c r="T393" i="8"/>
  <c r="T394" i="8"/>
  <c r="T395" i="8"/>
  <c r="T396" i="8"/>
  <c r="T397" i="8"/>
  <c r="T398" i="8"/>
  <c r="T399" i="8"/>
  <c r="T400" i="8"/>
  <c r="T401" i="8"/>
  <c r="T402" i="8"/>
  <c r="T403" i="8"/>
  <c r="T404" i="8"/>
  <c r="T405" i="8"/>
  <c r="T406" i="8"/>
  <c r="T407" i="8"/>
  <c r="T408" i="8"/>
  <c r="T409" i="8"/>
  <c r="T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187" i="8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240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56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94" i="8"/>
  <c r="S295" i="8"/>
  <c r="S296" i="8"/>
  <c r="S297" i="8"/>
  <c r="S298" i="8"/>
  <c r="S299" i="8"/>
  <c r="S300" i="8"/>
  <c r="S301" i="8"/>
  <c r="S302" i="8"/>
  <c r="S303" i="8"/>
  <c r="S304" i="8"/>
  <c r="S305" i="8"/>
  <c r="S306" i="8"/>
  <c r="S307" i="8"/>
  <c r="S308" i="8"/>
  <c r="S309" i="8"/>
  <c r="S310" i="8"/>
  <c r="S311" i="8"/>
  <c r="S312" i="8"/>
  <c r="S313" i="8"/>
  <c r="S314" i="8"/>
  <c r="S315" i="8"/>
  <c r="S316" i="8"/>
  <c r="S317" i="8"/>
  <c r="S318" i="8"/>
  <c r="S319" i="8"/>
  <c r="S320" i="8"/>
  <c r="S321" i="8"/>
  <c r="S322" i="8"/>
  <c r="S323" i="8"/>
  <c r="S324" i="8"/>
  <c r="S325" i="8"/>
  <c r="S326" i="8"/>
  <c r="S327" i="8"/>
  <c r="S328" i="8"/>
  <c r="S329" i="8"/>
  <c r="S330" i="8"/>
  <c r="S331" i="8"/>
  <c r="S332" i="8"/>
  <c r="S333" i="8"/>
  <c r="S334" i="8"/>
  <c r="S335" i="8"/>
  <c r="S336" i="8"/>
  <c r="S337" i="8"/>
  <c r="S338" i="8"/>
  <c r="S339" i="8"/>
  <c r="S340" i="8"/>
  <c r="S341" i="8"/>
  <c r="S342" i="8"/>
  <c r="S343" i="8"/>
  <c r="S344" i="8"/>
  <c r="S345" i="8"/>
  <c r="S346" i="8"/>
  <c r="S347" i="8"/>
  <c r="S348" i="8"/>
  <c r="S349" i="8"/>
  <c r="S350" i="8"/>
  <c r="S351" i="8"/>
  <c r="S352" i="8"/>
  <c r="S353" i="8"/>
  <c r="S354" i="8"/>
  <c r="S355" i="8"/>
  <c r="S356" i="8"/>
  <c r="S357" i="8"/>
  <c r="S358" i="8"/>
  <c r="S359" i="8"/>
  <c r="S360" i="8"/>
  <c r="S361" i="8"/>
  <c r="S362" i="8"/>
  <c r="S363" i="8"/>
  <c r="S364" i="8"/>
  <c r="S365" i="8"/>
  <c r="S366" i="8"/>
  <c r="S367" i="8"/>
  <c r="S368" i="8"/>
  <c r="S369" i="8"/>
  <c r="S370" i="8"/>
  <c r="S371" i="8"/>
  <c r="S372" i="8"/>
  <c r="S373" i="8"/>
  <c r="S374" i="8"/>
  <c r="S375" i="8"/>
  <c r="S376" i="8"/>
  <c r="S377" i="8"/>
  <c r="S378" i="8"/>
  <c r="S379" i="8"/>
  <c r="S380" i="8"/>
  <c r="S381" i="8"/>
  <c r="S382" i="8"/>
  <c r="S383" i="8"/>
  <c r="S384" i="8"/>
  <c r="S385" i="8"/>
  <c r="S386" i="8"/>
  <c r="S387" i="8"/>
  <c r="S388" i="8"/>
  <c r="S389" i="8"/>
  <c r="S390" i="8"/>
  <c r="S391" i="8"/>
  <c r="S392" i="8"/>
  <c r="S393" i="8"/>
  <c r="S394" i="8"/>
  <c r="S395" i="8"/>
  <c r="S396" i="8"/>
  <c r="S397" i="8"/>
  <c r="S398" i="8"/>
  <c r="S399" i="8"/>
  <c r="S400" i="8"/>
  <c r="S401" i="8"/>
  <c r="S402" i="8"/>
  <c r="S403" i="8"/>
  <c r="S404" i="8"/>
  <c r="S405" i="8"/>
  <c r="S406" i="8"/>
  <c r="S407" i="8"/>
  <c r="S408" i="8"/>
  <c r="S409" i="8"/>
  <c r="S2" i="8"/>
  <c r="W2" i="8"/>
  <c r="W409" i="8"/>
  <c r="W408" i="8"/>
  <c r="W407" i="8"/>
  <c r="W406" i="8"/>
  <c r="W405" i="8"/>
  <c r="W404" i="8"/>
  <c r="W403" i="8"/>
  <c r="W402" i="8"/>
  <c r="W401" i="8"/>
  <c r="W400" i="8"/>
  <c r="W399" i="8"/>
  <c r="W398" i="8"/>
  <c r="W397" i="8"/>
  <c r="W396" i="8"/>
  <c r="W395" i="8"/>
  <c r="W394" i="8"/>
  <c r="W393" i="8"/>
  <c r="W392" i="8"/>
  <c r="W391" i="8"/>
  <c r="W390" i="8"/>
  <c r="W389" i="8"/>
  <c r="W388" i="8"/>
  <c r="W387" i="8"/>
  <c r="W386" i="8"/>
  <c r="W385" i="8"/>
  <c r="W384" i="8"/>
  <c r="W383" i="8"/>
  <c r="W382" i="8"/>
  <c r="W381" i="8"/>
  <c r="W380" i="8"/>
  <c r="W379" i="8"/>
  <c r="W378" i="8"/>
  <c r="W377" i="8"/>
  <c r="W376" i="8"/>
  <c r="W375" i="8"/>
  <c r="W374" i="8"/>
  <c r="W373" i="8"/>
  <c r="W372" i="8"/>
  <c r="W371" i="8"/>
  <c r="W370" i="8"/>
  <c r="W369" i="8"/>
  <c r="W368" i="8"/>
  <c r="W367" i="8"/>
  <c r="W366" i="8"/>
  <c r="W365" i="8"/>
  <c r="W364" i="8"/>
  <c r="W363" i="8"/>
  <c r="W362" i="8"/>
  <c r="W361" i="8"/>
  <c r="W360" i="8"/>
  <c r="W359" i="8"/>
  <c r="W358" i="8"/>
  <c r="W357" i="8"/>
  <c r="W356" i="8"/>
  <c r="W355" i="8"/>
  <c r="W354" i="8"/>
  <c r="W353" i="8"/>
  <c r="W352" i="8"/>
  <c r="W351" i="8"/>
  <c r="W350" i="8"/>
  <c r="W349" i="8"/>
  <c r="W348" i="8"/>
  <c r="W347" i="8"/>
  <c r="W346" i="8"/>
  <c r="W345" i="8"/>
  <c r="W344" i="8"/>
  <c r="W343" i="8"/>
  <c r="W342" i="8"/>
  <c r="W341" i="8"/>
  <c r="W340" i="8"/>
  <c r="W339" i="8"/>
  <c r="W338" i="8"/>
  <c r="W337" i="8"/>
  <c r="W336" i="8"/>
  <c r="W335" i="8"/>
  <c r="W334" i="8"/>
  <c r="W333" i="8"/>
  <c r="W332" i="8"/>
  <c r="W331" i="8"/>
  <c r="W330" i="8"/>
  <c r="W329" i="8"/>
  <c r="W328" i="8"/>
  <c r="W327" i="8"/>
  <c r="W326" i="8"/>
  <c r="W325" i="8"/>
  <c r="W324" i="8"/>
  <c r="W323" i="8"/>
  <c r="W322" i="8"/>
  <c r="W321" i="8"/>
  <c r="W320" i="8"/>
  <c r="W319" i="8"/>
  <c r="W318" i="8"/>
  <c r="W317" i="8"/>
  <c r="W316" i="8"/>
  <c r="W315" i="8"/>
  <c r="W314" i="8"/>
  <c r="W313" i="8"/>
  <c r="W312" i="8"/>
  <c r="W311" i="8"/>
  <c r="W310" i="8"/>
  <c r="W309" i="8"/>
  <c r="W308" i="8"/>
  <c r="W307" i="8"/>
  <c r="W306" i="8"/>
  <c r="W305" i="8"/>
  <c r="W304" i="8"/>
  <c r="W303" i="8"/>
  <c r="W302" i="8"/>
  <c r="W301" i="8"/>
  <c r="W300" i="8"/>
  <c r="W299" i="8"/>
  <c r="W298" i="8"/>
  <c r="W297" i="8"/>
  <c r="W296" i="8"/>
  <c r="W295" i="8"/>
  <c r="W294" i="8"/>
  <c r="W293" i="8"/>
  <c r="W292" i="8"/>
  <c r="W291" i="8"/>
  <c r="W290" i="8"/>
  <c r="W289" i="8"/>
  <c r="W288" i="8"/>
  <c r="W287" i="8"/>
  <c r="W286" i="8"/>
  <c r="W285" i="8"/>
  <c r="W284" i="8"/>
  <c r="W283" i="8"/>
  <c r="W282" i="8"/>
  <c r="W281" i="8"/>
  <c r="W280" i="8"/>
  <c r="W279" i="8"/>
  <c r="W278" i="8"/>
  <c r="W277" i="8"/>
  <c r="W276" i="8"/>
  <c r="W275" i="8"/>
  <c r="W274" i="8"/>
  <c r="W273" i="8"/>
  <c r="W272" i="8"/>
  <c r="W271" i="8"/>
  <c r="W270" i="8"/>
  <c r="W269" i="8"/>
  <c r="W268" i="8"/>
  <c r="W267" i="8"/>
  <c r="W266" i="8"/>
  <c r="W265" i="8"/>
  <c r="W264" i="8"/>
  <c r="W263" i="8"/>
  <c r="W262" i="8"/>
  <c r="W261" i="8"/>
  <c r="W260" i="8"/>
  <c r="W259" i="8"/>
  <c r="W258" i="8"/>
  <c r="W257" i="8"/>
  <c r="W256" i="8"/>
  <c r="W255" i="8"/>
  <c r="W254" i="8"/>
  <c r="W253" i="8"/>
  <c r="W252" i="8"/>
  <c r="W251" i="8"/>
  <c r="W250" i="8"/>
  <c r="W249" i="8"/>
  <c r="W248" i="8"/>
  <c r="W247" i="8"/>
  <c r="W246" i="8"/>
  <c r="W245" i="8"/>
  <c r="W244" i="8"/>
  <c r="W243" i="8"/>
  <c r="W242" i="8"/>
  <c r="W241" i="8"/>
  <c r="W240" i="8"/>
  <c r="W239" i="8"/>
  <c r="W238" i="8"/>
  <c r="W237" i="8"/>
  <c r="W236" i="8"/>
  <c r="W235" i="8"/>
  <c r="W234" i="8"/>
  <c r="W233" i="8"/>
  <c r="W232" i="8"/>
  <c r="W231" i="8"/>
  <c r="W230" i="8"/>
  <c r="W229" i="8"/>
  <c r="W228" i="8"/>
  <c r="W227" i="8"/>
  <c r="W226" i="8"/>
  <c r="W225" i="8"/>
  <c r="W224" i="8"/>
  <c r="W223" i="8"/>
  <c r="W222" i="8"/>
  <c r="W221" i="8"/>
  <c r="W220" i="8"/>
  <c r="W219" i="8"/>
  <c r="W218" i="8"/>
  <c r="W217" i="8"/>
  <c r="W216" i="8"/>
  <c r="W215" i="8"/>
  <c r="W214" i="8"/>
  <c r="W213" i="8"/>
  <c r="W212" i="8"/>
  <c r="W211" i="8"/>
  <c r="W210" i="8"/>
  <c r="W209" i="8"/>
  <c r="W208" i="8"/>
  <c r="W207" i="8"/>
  <c r="W206" i="8"/>
  <c r="W205" i="8"/>
  <c r="W204" i="8"/>
  <c r="W203" i="8"/>
  <c r="W202" i="8"/>
  <c r="W201" i="8"/>
  <c r="W200" i="8"/>
  <c r="W199" i="8"/>
  <c r="W198" i="8"/>
  <c r="W197" i="8"/>
  <c r="W196" i="8"/>
  <c r="W195" i="8"/>
  <c r="W194" i="8"/>
  <c r="W193" i="8"/>
  <c r="W192" i="8"/>
  <c r="W191" i="8"/>
  <c r="W190" i="8"/>
  <c r="W189" i="8"/>
  <c r="W188" i="8"/>
  <c r="W187" i="8"/>
  <c r="W186" i="8"/>
  <c r="W185" i="8"/>
  <c r="W184" i="8"/>
  <c r="W183" i="8"/>
  <c r="W182" i="8"/>
  <c r="W181" i="8"/>
  <c r="W180" i="8"/>
  <c r="W179" i="8"/>
  <c r="W178" i="8"/>
  <c r="W177" i="8"/>
  <c r="W176" i="8"/>
  <c r="W175" i="8"/>
  <c r="W174" i="8"/>
  <c r="W173" i="8"/>
  <c r="W172" i="8"/>
  <c r="W171" i="8"/>
  <c r="W170" i="8"/>
  <c r="W169" i="8"/>
  <c r="W168" i="8"/>
  <c r="W167" i="8"/>
  <c r="W166" i="8"/>
  <c r="W165" i="8"/>
  <c r="W164" i="8"/>
  <c r="W163" i="8"/>
  <c r="W162" i="8"/>
  <c r="W161" i="8"/>
  <c r="W160" i="8"/>
  <c r="W159" i="8"/>
  <c r="W158" i="8"/>
  <c r="W157" i="8"/>
  <c r="W156" i="8"/>
  <c r="W155" i="8"/>
  <c r="W154" i="8"/>
  <c r="W153" i="8"/>
  <c r="W152" i="8"/>
  <c r="W151" i="8"/>
  <c r="W150" i="8"/>
  <c r="W149" i="8"/>
  <c r="W148" i="8"/>
  <c r="W147" i="8"/>
  <c r="W146" i="8"/>
  <c r="W145" i="8"/>
  <c r="W144" i="8"/>
  <c r="W143" i="8"/>
  <c r="W142" i="8"/>
  <c r="W141" i="8"/>
  <c r="W140" i="8"/>
  <c r="W139" i="8"/>
  <c r="W138" i="8"/>
  <c r="W137" i="8"/>
  <c r="W136" i="8"/>
  <c r="W135" i="8"/>
  <c r="W134" i="8"/>
  <c r="W133" i="8"/>
  <c r="W132" i="8"/>
  <c r="W131" i="8"/>
  <c r="W130" i="8"/>
  <c r="W129" i="8"/>
  <c r="W128" i="8"/>
  <c r="W127" i="8"/>
  <c r="W126" i="8"/>
  <c r="W125" i="8"/>
  <c r="W124" i="8"/>
  <c r="W123" i="8"/>
  <c r="W122" i="8"/>
  <c r="W121" i="8"/>
  <c r="W120" i="8"/>
  <c r="W119" i="8"/>
  <c r="W118" i="8"/>
  <c r="W117" i="8"/>
  <c r="W116" i="8"/>
  <c r="W115" i="8"/>
  <c r="W114" i="8"/>
  <c r="W113" i="8"/>
  <c r="W112" i="8"/>
  <c r="W111" i="8"/>
  <c r="W110" i="8"/>
  <c r="W109" i="8"/>
  <c r="W108" i="8"/>
  <c r="W107" i="8"/>
  <c r="W106" i="8"/>
  <c r="W105" i="8"/>
  <c r="W104" i="8"/>
  <c r="W103" i="8"/>
  <c r="W102" i="8"/>
  <c r="W101" i="8"/>
  <c r="W100" i="8"/>
  <c r="W99" i="8"/>
  <c r="W98" i="8"/>
  <c r="W97" i="8"/>
  <c r="W96" i="8"/>
  <c r="W95" i="8"/>
  <c r="W94" i="8"/>
  <c r="W93" i="8"/>
  <c r="W92" i="8"/>
  <c r="W91" i="8"/>
  <c r="W90" i="8"/>
  <c r="W89" i="8"/>
  <c r="W88" i="8"/>
  <c r="W87" i="8"/>
  <c r="W86" i="8"/>
  <c r="W85" i="8"/>
  <c r="W84" i="8"/>
  <c r="W83" i="8"/>
  <c r="W82" i="8"/>
  <c r="W81" i="8"/>
  <c r="W80" i="8"/>
  <c r="W79" i="8"/>
  <c r="W78" i="8"/>
  <c r="W77" i="8"/>
  <c r="W76" i="8"/>
  <c r="W75" i="8"/>
  <c r="W74" i="8"/>
  <c r="W73" i="8"/>
  <c r="W72" i="8"/>
  <c r="W71" i="8"/>
  <c r="W70" i="8"/>
  <c r="W69" i="8"/>
  <c r="W68" i="8"/>
  <c r="W67" i="8"/>
  <c r="W66" i="8"/>
  <c r="W65" i="8"/>
  <c r="W64" i="8"/>
  <c r="W63" i="8"/>
  <c r="W62" i="8"/>
  <c r="W61" i="8"/>
  <c r="W60" i="8"/>
  <c r="W59" i="8"/>
  <c r="W58" i="8"/>
  <c r="W57" i="8"/>
  <c r="W56" i="8"/>
  <c r="W55" i="8"/>
  <c r="W54" i="8"/>
  <c r="W53" i="8"/>
  <c r="W52" i="8"/>
  <c r="W51" i="8"/>
  <c r="W50" i="8"/>
  <c r="W49" i="8"/>
  <c r="W48" i="8"/>
  <c r="W47" i="8"/>
  <c r="W46" i="8"/>
  <c r="W45" i="8"/>
  <c r="W44" i="8"/>
  <c r="W43" i="8"/>
  <c r="W42" i="8"/>
  <c r="W41" i="8"/>
  <c r="W40" i="8"/>
  <c r="W39" i="8"/>
  <c r="W38" i="8"/>
  <c r="W37" i="8"/>
  <c r="W36" i="8"/>
  <c r="W35" i="8"/>
  <c r="W34" i="8"/>
  <c r="W33" i="8"/>
  <c r="W32" i="8"/>
  <c r="W31" i="8"/>
  <c r="W30" i="8"/>
  <c r="W29" i="8"/>
  <c r="W28" i="8"/>
  <c r="W27" i="8"/>
  <c r="W26" i="8"/>
  <c r="W25" i="8"/>
  <c r="W24" i="8"/>
  <c r="W23" i="8"/>
  <c r="W22" i="8"/>
  <c r="W21" i="8"/>
  <c r="W20" i="8"/>
  <c r="W19" i="8"/>
  <c r="W18" i="8"/>
  <c r="W17" i="8"/>
  <c r="W16" i="8"/>
  <c r="W15" i="8"/>
  <c r="W14" i="8"/>
  <c r="W13" i="8"/>
  <c r="W12" i="8"/>
  <c r="W11" i="8"/>
  <c r="W10" i="8"/>
  <c r="W9" i="8"/>
  <c r="W8" i="8"/>
  <c r="W7" i="8"/>
  <c r="W6" i="8"/>
  <c r="W5" i="8"/>
  <c r="W4" i="8"/>
  <c r="W3" i="8"/>
  <c r="J47" i="1" l="1" a="1"/>
  <c r="J47" i="1" s="1"/>
  <c r="D47" i="1"/>
  <c r="B47" i="1"/>
  <c r="M47" i="1" s="1" a="1"/>
  <c r="M47" i="1" s="1"/>
  <c r="A47" i="1"/>
  <c r="I47" i="1" s="1" a="1"/>
  <c r="I47" i="1" s="1"/>
  <c r="L46" i="1" a="1"/>
  <c r="L46" i="1" s="1"/>
  <c r="H46" i="1" a="1"/>
  <c r="H46" i="1" s="1"/>
  <c r="D46" i="1"/>
  <c r="B46" i="1"/>
  <c r="M46" i="1" s="1" a="1"/>
  <c r="M46" i="1" s="1"/>
  <c r="A46" i="1"/>
  <c r="I46" i="1" s="1" a="1"/>
  <c r="I46" i="1" s="1"/>
  <c r="M45" i="1" a="1"/>
  <c r="M45" i="1" s="1"/>
  <c r="I45" i="1" a="1"/>
  <c r="I45" i="1" s="1"/>
  <c r="D45" i="1"/>
  <c r="B45" i="1"/>
  <c r="L45" i="1" s="1" a="1"/>
  <c r="L45" i="1" s="1"/>
  <c r="A45" i="1"/>
  <c r="H45" i="1" s="1" a="1"/>
  <c r="H45" i="1" s="1"/>
  <c r="J44" i="1" a="1"/>
  <c r="J44" i="1" s="1"/>
  <c r="D44" i="1"/>
  <c r="B44" i="1"/>
  <c r="L44" i="1" s="1" a="1"/>
  <c r="L44" i="1" s="1"/>
  <c r="A44" i="1"/>
  <c r="H44" i="1" s="1" a="1"/>
  <c r="H44" i="1" s="1"/>
  <c r="L43" i="1" a="1"/>
  <c r="L43" i="1" s="1"/>
  <c r="H43" i="1" a="1"/>
  <c r="H43" i="1" s="1"/>
  <c r="D43" i="1"/>
  <c r="M43" i="1" s="1" a="1"/>
  <c r="M43" i="1" s="1"/>
  <c r="B43" i="1"/>
  <c r="K43" i="1" s="1" a="1"/>
  <c r="K43" i="1" s="1"/>
  <c r="A43" i="1"/>
  <c r="J43" i="1" s="1" a="1"/>
  <c r="J43" i="1" s="1"/>
  <c r="D42" i="1"/>
  <c r="J42" i="1" s="1" a="1"/>
  <c r="J42" i="1" s="1"/>
  <c r="B42" i="1"/>
  <c r="K42" i="1" s="1" a="1"/>
  <c r="K42" i="1" s="1"/>
  <c r="A42" i="1"/>
  <c r="H42" i="1" s="1" a="1"/>
  <c r="H42" i="1" s="1"/>
  <c r="K41" i="1" a="1"/>
  <c r="K41" i="1" s="1"/>
  <c r="D41" i="1"/>
  <c r="B41" i="1"/>
  <c r="M41" i="1" s="1" a="1"/>
  <c r="M41" i="1" s="1"/>
  <c r="A41" i="1"/>
  <c r="J41" i="1" s="1" a="1"/>
  <c r="J41" i="1" s="1"/>
  <c r="M40" i="1" a="1"/>
  <c r="M40" i="1" s="1"/>
  <c r="L40" i="1" a="1"/>
  <c r="L40" i="1" s="1"/>
  <c r="J40" i="1" a="1"/>
  <c r="J40" i="1" s="1"/>
  <c r="D40" i="1"/>
  <c r="B40" i="1"/>
  <c r="K40" i="1" s="1" a="1"/>
  <c r="K40" i="1" s="1"/>
  <c r="A40" i="1"/>
  <c r="I40" i="1" s="1" a="1"/>
  <c r="I40" i="1" s="1"/>
  <c r="J39" i="1" a="1"/>
  <c r="J39" i="1" s="1"/>
  <c r="D39" i="1"/>
  <c r="B39" i="1"/>
  <c r="M39" i="1" s="1" a="1"/>
  <c r="M39" i="1" s="1"/>
  <c r="A39" i="1"/>
  <c r="I39" i="1" s="1" a="1"/>
  <c r="I39" i="1" s="1"/>
  <c r="M38" i="1" a="1"/>
  <c r="M38" i="1" s="1"/>
  <c r="L38" i="1" a="1"/>
  <c r="L38" i="1" s="1"/>
  <c r="I38" i="1" a="1"/>
  <c r="I38" i="1" s="1"/>
  <c r="H38" i="1" a="1"/>
  <c r="H38" i="1" s="1"/>
  <c r="D38" i="1"/>
  <c r="B38" i="1"/>
  <c r="K38" i="1" s="1" a="1"/>
  <c r="K38" i="1" s="1"/>
  <c r="A38" i="1"/>
  <c r="J38" i="1" s="1" a="1"/>
  <c r="J38" i="1" s="1"/>
  <c r="M37" i="1" a="1"/>
  <c r="M37" i="1" s="1"/>
  <c r="I37" i="1" a="1"/>
  <c r="I37" i="1" s="1"/>
  <c r="D37" i="1"/>
  <c r="B37" i="1"/>
  <c r="L37" i="1" s="1" a="1"/>
  <c r="L37" i="1" s="1"/>
  <c r="A37" i="1"/>
  <c r="H37" i="1" s="1" a="1"/>
  <c r="H37" i="1" s="1"/>
  <c r="L36" i="1" a="1"/>
  <c r="L36" i="1" s="1"/>
  <c r="J36" i="1" a="1"/>
  <c r="J36" i="1" s="1"/>
  <c r="I36" i="1" a="1"/>
  <c r="I36" i="1" s="1"/>
  <c r="H36" i="1" a="1"/>
  <c r="H36" i="1" s="1"/>
  <c r="D36" i="1"/>
  <c r="B36" i="1"/>
  <c r="K36" i="1" s="1" a="1"/>
  <c r="K36" i="1" s="1"/>
  <c r="A36" i="1"/>
  <c r="D35" i="1"/>
  <c r="M35" i="1" s="1" a="1"/>
  <c r="M35" i="1" s="1"/>
  <c r="B35" i="1"/>
  <c r="K35" i="1" s="1" a="1"/>
  <c r="K35" i="1" s="1"/>
  <c r="A35" i="1"/>
  <c r="J35" i="1" s="1" a="1"/>
  <c r="J35" i="1" s="1"/>
  <c r="J34" i="1" a="1"/>
  <c r="J34" i="1" s="1"/>
  <c r="D34" i="1"/>
  <c r="I34" i="1" s="1" a="1"/>
  <c r="I34" i="1" s="1"/>
  <c r="B34" i="1"/>
  <c r="M34" i="1" s="1" a="1"/>
  <c r="M34" i="1" s="1"/>
  <c r="A34" i="1"/>
  <c r="D33" i="1"/>
  <c r="B33" i="1"/>
  <c r="M33" i="1" s="1" a="1"/>
  <c r="M33" i="1" s="1"/>
  <c r="A33" i="1"/>
  <c r="J33" i="1" s="1" a="1"/>
  <c r="J33" i="1" s="1"/>
  <c r="M32" i="1" a="1"/>
  <c r="M32" i="1" s="1"/>
  <c r="L32" i="1" a="1"/>
  <c r="L32" i="1" s="1"/>
  <c r="J32" i="1" a="1"/>
  <c r="J32" i="1" s="1"/>
  <c r="I32" i="1" a="1"/>
  <c r="I32" i="1" s="1"/>
  <c r="D32" i="1"/>
  <c r="B32" i="1"/>
  <c r="K32" i="1" s="1" a="1"/>
  <c r="K32" i="1" s="1"/>
  <c r="A32" i="1"/>
  <c r="H32" i="1" s="1" a="1"/>
  <c r="H32" i="1" s="1"/>
  <c r="J31" i="1" a="1"/>
  <c r="J31" i="1" s="1"/>
  <c r="D31" i="1"/>
  <c r="B31" i="1"/>
  <c r="M31" i="1" s="1" a="1"/>
  <c r="M31" i="1" s="1"/>
  <c r="A31" i="1"/>
  <c r="I31" i="1" s="1" a="1"/>
  <c r="I31" i="1" s="1"/>
  <c r="M30" i="1" a="1"/>
  <c r="M30" i="1" s="1"/>
  <c r="L30" i="1" a="1"/>
  <c r="L30" i="1" s="1"/>
  <c r="J30" i="1" a="1"/>
  <c r="J30" i="1" s="1"/>
  <c r="I30" i="1" a="1"/>
  <c r="I30" i="1" s="1"/>
  <c r="H30" i="1" a="1"/>
  <c r="H30" i="1" s="1"/>
  <c r="D30" i="1"/>
  <c r="B30" i="1"/>
  <c r="K30" i="1" s="1" a="1"/>
  <c r="K30" i="1" s="1"/>
  <c r="A30" i="1"/>
  <c r="D74" i="1"/>
  <c r="D73" i="1"/>
  <c r="D72" i="1"/>
  <c r="D71" i="1"/>
  <c r="D70" i="1"/>
  <c r="D69" i="1"/>
  <c r="D68" i="1"/>
  <c r="D67" i="1"/>
  <c r="D66" i="1"/>
  <c r="L47" i="3" a="1"/>
  <c r="L47" i="3" s="1"/>
  <c r="M44" i="3" a="1"/>
  <c r="M44" i="3" s="1"/>
  <c r="K42" i="3" a="1"/>
  <c r="K42" i="3" s="1"/>
  <c r="M36" i="3" a="1"/>
  <c r="M36" i="3" s="1"/>
  <c r="H44" i="3" a="1"/>
  <c r="H44" i="3" s="1"/>
  <c r="J38" i="3" a="1"/>
  <c r="J38" i="3" s="1"/>
  <c r="H36" i="3" a="1"/>
  <c r="H36" i="3" s="1"/>
  <c r="I33" i="3" a="1"/>
  <c r="I33" i="3" s="1"/>
  <c r="J30" i="3" a="1"/>
  <c r="J30" i="3" s="1"/>
  <c r="D67" i="3"/>
  <c r="D68" i="3"/>
  <c r="D69" i="3"/>
  <c r="D70" i="3"/>
  <c r="D71" i="3"/>
  <c r="D72" i="3"/>
  <c r="I41" i="3" s="1" a="1"/>
  <c r="I41" i="3" s="1"/>
  <c r="D73" i="3"/>
  <c r="D74" i="3"/>
  <c r="D66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30" i="3"/>
  <c r="AF20" i="2"/>
  <c r="AF19" i="2"/>
  <c r="B31" i="3"/>
  <c r="M31" i="3" s="1" a="1"/>
  <c r="M31" i="3" s="1"/>
  <c r="B32" i="3"/>
  <c r="L32" i="3" s="1" a="1"/>
  <c r="L32" i="3" s="1"/>
  <c r="B33" i="3"/>
  <c r="M33" i="3" s="1" a="1"/>
  <c r="M33" i="3" s="1"/>
  <c r="B34" i="3"/>
  <c r="M34" i="3" s="1" a="1"/>
  <c r="M34" i="3" s="1"/>
  <c r="B35" i="3"/>
  <c r="K35" i="3" s="1" a="1"/>
  <c r="K35" i="3" s="1"/>
  <c r="B36" i="3"/>
  <c r="L36" i="3" s="1" a="1"/>
  <c r="L36" i="3" s="1"/>
  <c r="B37" i="3"/>
  <c r="M37" i="3" s="1" a="1"/>
  <c r="M37" i="3" s="1"/>
  <c r="B38" i="3"/>
  <c r="M38" i="3" s="1" a="1"/>
  <c r="M38" i="3" s="1"/>
  <c r="B39" i="3"/>
  <c r="M39" i="3" s="1" a="1"/>
  <c r="M39" i="3" s="1"/>
  <c r="B40" i="3"/>
  <c r="L40" i="3" s="1" a="1"/>
  <c r="L40" i="3" s="1"/>
  <c r="B41" i="3"/>
  <c r="M41" i="3" s="1" a="1"/>
  <c r="M41" i="3" s="1"/>
  <c r="B42" i="3"/>
  <c r="M42" i="3" s="1" a="1"/>
  <c r="M42" i="3" s="1"/>
  <c r="B43" i="3"/>
  <c r="K43" i="3" s="1" a="1"/>
  <c r="K43" i="3" s="1"/>
  <c r="B44" i="3"/>
  <c r="L44" i="3" s="1" a="1"/>
  <c r="L44" i="3" s="1"/>
  <c r="B45" i="3"/>
  <c r="M45" i="3" s="1" a="1"/>
  <c r="M45" i="3" s="1"/>
  <c r="B46" i="3"/>
  <c r="M46" i="3" s="1" a="1"/>
  <c r="M46" i="3" s="1"/>
  <c r="B47" i="3"/>
  <c r="M47" i="3" s="1" a="1"/>
  <c r="M47" i="3" s="1"/>
  <c r="B30" i="3"/>
  <c r="M30" i="3" s="1" a="1"/>
  <c r="M30" i="3" s="1"/>
  <c r="A31" i="3"/>
  <c r="J31" i="3" s="1" a="1"/>
  <c r="J31" i="3" s="1"/>
  <c r="A32" i="3"/>
  <c r="J32" i="3" s="1" a="1"/>
  <c r="J32" i="3" s="1"/>
  <c r="A33" i="3"/>
  <c r="J33" i="3" s="1" a="1"/>
  <c r="J33" i="3" s="1"/>
  <c r="A34" i="3"/>
  <c r="I34" i="3" s="1" a="1"/>
  <c r="I34" i="3" s="1"/>
  <c r="A35" i="3"/>
  <c r="J35" i="3" s="1" a="1"/>
  <c r="J35" i="3" s="1"/>
  <c r="A36" i="3"/>
  <c r="J36" i="3" s="1" a="1"/>
  <c r="J36" i="3" s="1"/>
  <c r="A37" i="3"/>
  <c r="H37" i="3" s="1" a="1"/>
  <c r="H37" i="3" s="1"/>
  <c r="A38" i="3"/>
  <c r="I38" i="3" s="1" a="1"/>
  <c r="I38" i="3" s="1"/>
  <c r="A39" i="3"/>
  <c r="J39" i="3" s="1" a="1"/>
  <c r="J39" i="3" s="1"/>
  <c r="A40" i="3"/>
  <c r="J40" i="3" s="1" a="1"/>
  <c r="J40" i="3" s="1"/>
  <c r="A41" i="3"/>
  <c r="J41" i="3" s="1" a="1"/>
  <c r="J41" i="3" s="1"/>
  <c r="A42" i="3"/>
  <c r="I42" i="3" s="1" a="1"/>
  <c r="I42" i="3" s="1"/>
  <c r="A43" i="3"/>
  <c r="J43" i="3" s="1" a="1"/>
  <c r="J43" i="3" s="1"/>
  <c r="A44" i="3"/>
  <c r="J44" i="3" s="1" a="1"/>
  <c r="J44" i="3" s="1"/>
  <c r="A45" i="3"/>
  <c r="H45" i="3" s="1" a="1"/>
  <c r="H45" i="3" s="1"/>
  <c r="A46" i="3"/>
  <c r="I46" i="3" s="1" a="1"/>
  <c r="I46" i="3" s="1"/>
  <c r="A47" i="3"/>
  <c r="J47" i="3" s="1" a="1"/>
  <c r="J47" i="3" s="1"/>
  <c r="A30" i="3"/>
  <c r="I30" i="3" s="1" a="1"/>
  <c r="I30" i="3" s="1"/>
  <c r="AF18" i="2"/>
  <c r="AF17" i="2"/>
  <c r="AF16" i="2"/>
  <c r="AF15" i="2"/>
  <c r="AF14" i="2"/>
  <c r="AF13" i="2"/>
  <c r="AF12" i="2"/>
  <c r="AF11" i="2"/>
  <c r="AF10" i="2"/>
  <c r="AF9" i="2"/>
  <c r="AF8" i="2"/>
  <c r="AF7" i="2"/>
  <c r="AF6" i="2"/>
  <c r="AF5" i="2"/>
  <c r="AF4" i="2"/>
  <c r="AF3" i="2"/>
  <c r="AF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3" i="2"/>
  <c r="P2" i="2"/>
  <c r="K33" i="1" l="1" a="1"/>
  <c r="K33" i="1" s="1"/>
  <c r="H35" i="1" a="1"/>
  <c r="H35" i="1" s="1"/>
  <c r="L35" i="1" a="1"/>
  <c r="L35" i="1" s="1"/>
  <c r="H34" i="1" a="1"/>
  <c r="H34" i="1" s="1"/>
  <c r="L34" i="1" a="1"/>
  <c r="L34" i="1" s="1"/>
  <c r="M36" i="1" a="1"/>
  <c r="M36" i="1" s="1"/>
  <c r="L42" i="1" a="1"/>
  <c r="L42" i="1" s="1"/>
  <c r="I44" i="1" a="1"/>
  <c r="I44" i="1" s="1"/>
  <c r="M44" i="1" a="1"/>
  <c r="M44" i="1" s="1"/>
  <c r="J46" i="1" a="1"/>
  <c r="J46" i="1" s="1"/>
  <c r="K34" i="1" a="1"/>
  <c r="K34" i="1" s="1"/>
  <c r="K31" i="1" a="1"/>
  <c r="K31" i="1" s="1"/>
  <c r="H33" i="1" a="1"/>
  <c r="H33" i="1" s="1"/>
  <c r="L33" i="1" a="1"/>
  <c r="L33" i="1" s="1"/>
  <c r="I35" i="1" a="1"/>
  <c r="I35" i="1" s="1"/>
  <c r="J37" i="1" a="1"/>
  <c r="J37" i="1" s="1"/>
  <c r="K39" i="1" a="1"/>
  <c r="K39" i="1" s="1"/>
  <c r="H41" i="1" a="1"/>
  <c r="H41" i="1" s="1"/>
  <c r="L41" i="1" a="1"/>
  <c r="L41" i="1" s="1"/>
  <c r="I43" i="1" a="1"/>
  <c r="I43" i="1" s="1"/>
  <c r="J45" i="1" a="1"/>
  <c r="J45" i="1" s="1"/>
  <c r="K47" i="1" a="1"/>
  <c r="K47" i="1" s="1"/>
  <c r="I42" i="1" a="1"/>
  <c r="I42" i="1" s="1"/>
  <c r="M42" i="1" a="1"/>
  <c r="M42" i="1" s="1"/>
  <c r="K46" i="1" a="1"/>
  <c r="K46" i="1" s="1"/>
  <c r="H40" i="1" a="1"/>
  <c r="H40" i="1" s="1"/>
  <c r="H31" i="1" a="1"/>
  <c r="H31" i="1" s="1"/>
  <c r="L31" i="1" a="1"/>
  <c r="L31" i="1" s="1"/>
  <c r="I33" i="1" a="1"/>
  <c r="I33" i="1" s="1"/>
  <c r="K37" i="1" a="1"/>
  <c r="K37" i="1" s="1"/>
  <c r="H39" i="1" a="1"/>
  <c r="H39" i="1" s="1"/>
  <c r="L39" i="1" a="1"/>
  <c r="L39" i="1" s="1"/>
  <c r="I41" i="1" a="1"/>
  <c r="I41" i="1" s="1"/>
  <c r="K45" i="1" a="1"/>
  <c r="K45" i="1" s="1"/>
  <c r="H47" i="1" a="1"/>
  <c r="H47" i="1" s="1"/>
  <c r="L47" i="1" a="1"/>
  <c r="L47" i="1" s="1"/>
  <c r="K44" i="1" a="1"/>
  <c r="K44" i="1" s="1"/>
  <c r="J46" i="3" a="1"/>
  <c r="J46" i="3" s="1"/>
  <c r="L39" i="3" a="1"/>
  <c r="L39" i="3" s="1"/>
  <c r="H32" i="3" a="1"/>
  <c r="H32" i="3" s="1"/>
  <c r="J34" i="3" a="1"/>
  <c r="J34" i="3" s="1"/>
  <c r="I37" i="3" a="1"/>
  <c r="I37" i="3" s="1"/>
  <c r="H40" i="3" a="1"/>
  <c r="H40" i="3" s="1"/>
  <c r="J42" i="3" a="1"/>
  <c r="J42" i="3" s="1"/>
  <c r="I45" i="3" a="1"/>
  <c r="I45" i="3" s="1"/>
  <c r="K30" i="3" a="1"/>
  <c r="K30" i="3" s="1"/>
  <c r="M32" i="3" a="1"/>
  <c r="M32" i="3" s="1"/>
  <c r="L35" i="3" a="1"/>
  <c r="L35" i="3" s="1"/>
  <c r="K38" i="3" a="1"/>
  <c r="K38" i="3" s="1"/>
  <c r="M40" i="3" a="1"/>
  <c r="M40" i="3" s="1"/>
  <c r="L43" i="3" a="1"/>
  <c r="L43" i="3" s="1"/>
  <c r="K46" i="3" a="1"/>
  <c r="K46" i="3" s="1"/>
  <c r="K34" i="3" a="1"/>
  <c r="K34" i="3" s="1"/>
  <c r="I32" i="3" a="1"/>
  <c r="I32" i="3" s="1"/>
  <c r="H35" i="3" a="1"/>
  <c r="H35" i="3" s="1"/>
  <c r="J37" i="3" a="1"/>
  <c r="J37" i="3" s="1"/>
  <c r="I40" i="3" a="1"/>
  <c r="I40" i="3" s="1"/>
  <c r="H43" i="3" a="1"/>
  <c r="H43" i="3" s="1"/>
  <c r="J45" i="3" a="1"/>
  <c r="J45" i="3" s="1"/>
  <c r="L30" i="3" a="1"/>
  <c r="L30" i="3" s="1"/>
  <c r="K33" i="3" a="1"/>
  <c r="K33" i="3" s="1"/>
  <c r="M35" i="3" a="1"/>
  <c r="M35" i="3" s="1"/>
  <c r="L38" i="3" a="1"/>
  <c r="L38" i="3" s="1"/>
  <c r="K41" i="3" a="1"/>
  <c r="K41" i="3" s="1"/>
  <c r="M43" i="3" a="1"/>
  <c r="M43" i="3" s="1"/>
  <c r="L46" i="3" a="1"/>
  <c r="L46" i="3" s="1"/>
  <c r="L31" i="3" a="1"/>
  <c r="L31" i="3" s="1"/>
  <c r="H30" i="3" a="1"/>
  <c r="H30" i="3" s="1"/>
  <c r="I35" i="3" a="1"/>
  <c r="I35" i="3" s="1"/>
  <c r="H38" i="3" a="1"/>
  <c r="H38" i="3" s="1"/>
  <c r="I43" i="3" a="1"/>
  <c r="I43" i="3" s="1"/>
  <c r="H46" i="3" a="1"/>
  <c r="H46" i="3" s="1"/>
  <c r="L33" i="3" a="1"/>
  <c r="L33" i="3" s="1"/>
  <c r="K36" i="3" a="1"/>
  <c r="K36" i="3" s="1"/>
  <c r="L41" i="3" a="1"/>
  <c r="L41" i="3" s="1"/>
  <c r="K44" i="3" a="1"/>
  <c r="K44" i="3" s="1"/>
  <c r="H33" i="3" a="1"/>
  <c r="H33" i="3" s="1"/>
  <c r="H41" i="3" a="1"/>
  <c r="H41" i="3" s="1"/>
  <c r="K31" i="3" a="1"/>
  <c r="K31" i="3" s="1"/>
  <c r="K39" i="3" a="1"/>
  <c r="K39" i="3" s="1"/>
  <c r="K47" i="3" a="1"/>
  <c r="K47" i="3" s="1"/>
  <c r="H31" i="3" a="1"/>
  <c r="H31" i="3" s="1"/>
  <c r="I36" i="3" a="1"/>
  <c r="I36" i="3" s="1"/>
  <c r="H39" i="3" a="1"/>
  <c r="H39" i="3" s="1"/>
  <c r="I44" i="3" a="1"/>
  <c r="I44" i="3" s="1"/>
  <c r="H47" i="3" a="1"/>
  <c r="H47" i="3" s="1"/>
  <c r="L34" i="3" a="1"/>
  <c r="L34" i="3" s="1"/>
  <c r="K37" i="3" a="1"/>
  <c r="K37" i="3" s="1"/>
  <c r="L42" i="3" a="1"/>
  <c r="L42" i="3" s="1"/>
  <c r="K45" i="3" a="1"/>
  <c r="K45" i="3" s="1"/>
  <c r="I31" i="3" a="1"/>
  <c r="I31" i="3" s="1"/>
  <c r="H34" i="3" a="1"/>
  <c r="H34" i="3" s="1"/>
  <c r="I39" i="3" a="1"/>
  <c r="I39" i="3" s="1"/>
  <c r="H42" i="3" a="1"/>
  <c r="H42" i="3" s="1"/>
  <c r="I47" i="3" a="1"/>
  <c r="I47" i="3" s="1"/>
  <c r="K32" i="3" a="1"/>
  <c r="K32" i="3" s="1"/>
  <c r="L37" i="3" a="1"/>
  <c r="L37" i="3" s="1"/>
  <c r="K40" i="3" a="1"/>
  <c r="K40" i="3" s="1"/>
  <c r="L45" i="3" a="1"/>
  <c r="L45" i="3" s="1"/>
  <c r="H59" i="3" l="1"/>
  <c r="AB20" i="2"/>
  <c r="AB19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2" i="2"/>
  <c r="P31" i="3" l="1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30" i="3"/>
  <c r="N4" i="6" l="1"/>
  <c r="N4" i="7"/>
  <c r="D25" i="7"/>
  <c r="D25" i="6"/>
  <c r="N5" i="6"/>
  <c r="M7" i="6"/>
  <c r="L7" i="6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187" i="8"/>
  <c r="N188" i="8"/>
  <c r="N189" i="8"/>
  <c r="N190" i="8"/>
  <c r="N191" i="8"/>
  <c r="N192" i="8"/>
  <c r="N193" i="8"/>
  <c r="N194" i="8"/>
  <c r="N195" i="8"/>
  <c r="N196" i="8"/>
  <c r="N197" i="8"/>
  <c r="N198" i="8"/>
  <c r="N199" i="8"/>
  <c r="N200" i="8"/>
  <c r="N201" i="8"/>
  <c r="N202" i="8"/>
  <c r="N203" i="8"/>
  <c r="N204" i="8"/>
  <c r="N205" i="8"/>
  <c r="N206" i="8"/>
  <c r="N207" i="8"/>
  <c r="N208" i="8"/>
  <c r="N209" i="8"/>
  <c r="N210" i="8"/>
  <c r="N211" i="8"/>
  <c r="N212" i="8"/>
  <c r="N213" i="8"/>
  <c r="N214" i="8"/>
  <c r="N215" i="8"/>
  <c r="N216" i="8"/>
  <c r="N217" i="8"/>
  <c r="N218" i="8"/>
  <c r="N219" i="8"/>
  <c r="N220" i="8"/>
  <c r="N221" i="8"/>
  <c r="N222" i="8"/>
  <c r="N223" i="8"/>
  <c r="N224" i="8"/>
  <c r="N225" i="8"/>
  <c r="N226" i="8"/>
  <c r="N227" i="8"/>
  <c r="N228" i="8"/>
  <c r="N229" i="8"/>
  <c r="N230" i="8"/>
  <c r="N231" i="8"/>
  <c r="N232" i="8"/>
  <c r="N233" i="8"/>
  <c r="N234" i="8"/>
  <c r="N235" i="8"/>
  <c r="N236" i="8"/>
  <c r="N237" i="8"/>
  <c r="N238" i="8"/>
  <c r="N239" i="8"/>
  <c r="N240" i="8"/>
  <c r="N241" i="8"/>
  <c r="N242" i="8"/>
  <c r="N243" i="8"/>
  <c r="N244" i="8"/>
  <c r="N245" i="8"/>
  <c r="N246" i="8"/>
  <c r="N247" i="8"/>
  <c r="N248" i="8"/>
  <c r="N249" i="8"/>
  <c r="N250" i="8"/>
  <c r="N251" i="8"/>
  <c r="N252" i="8"/>
  <c r="N253" i="8"/>
  <c r="N254" i="8"/>
  <c r="N255" i="8"/>
  <c r="N256" i="8"/>
  <c r="N257" i="8"/>
  <c r="N258" i="8"/>
  <c r="N259" i="8"/>
  <c r="N260" i="8"/>
  <c r="N261" i="8"/>
  <c r="N262" i="8"/>
  <c r="N263" i="8"/>
  <c r="N264" i="8"/>
  <c r="N265" i="8"/>
  <c r="N266" i="8"/>
  <c r="N267" i="8"/>
  <c r="N268" i="8"/>
  <c r="N269" i="8"/>
  <c r="N270" i="8"/>
  <c r="N271" i="8"/>
  <c r="N272" i="8"/>
  <c r="N273" i="8"/>
  <c r="N274" i="8"/>
  <c r="N275" i="8"/>
  <c r="N276" i="8"/>
  <c r="N277" i="8"/>
  <c r="N278" i="8"/>
  <c r="N279" i="8"/>
  <c r="N280" i="8"/>
  <c r="N281" i="8"/>
  <c r="N282" i="8"/>
  <c r="N283" i="8"/>
  <c r="N284" i="8"/>
  <c r="N285" i="8"/>
  <c r="N286" i="8"/>
  <c r="N287" i="8"/>
  <c r="N288" i="8"/>
  <c r="N289" i="8"/>
  <c r="N290" i="8"/>
  <c r="N291" i="8"/>
  <c r="N292" i="8"/>
  <c r="N293" i="8"/>
  <c r="N294" i="8"/>
  <c r="N295" i="8"/>
  <c r="N296" i="8"/>
  <c r="N297" i="8"/>
  <c r="N298" i="8"/>
  <c r="N299" i="8"/>
  <c r="N300" i="8"/>
  <c r="N301" i="8"/>
  <c r="N302" i="8"/>
  <c r="N303" i="8"/>
  <c r="N304" i="8"/>
  <c r="N305" i="8"/>
  <c r="N306" i="8"/>
  <c r="N307" i="8"/>
  <c r="N308" i="8"/>
  <c r="N309" i="8"/>
  <c r="N310" i="8"/>
  <c r="N311" i="8"/>
  <c r="N312" i="8"/>
  <c r="N313" i="8"/>
  <c r="N314" i="8"/>
  <c r="N315" i="8"/>
  <c r="N316" i="8"/>
  <c r="N317" i="8"/>
  <c r="N318" i="8"/>
  <c r="N319" i="8"/>
  <c r="N320" i="8"/>
  <c r="N321" i="8"/>
  <c r="N322" i="8"/>
  <c r="N323" i="8"/>
  <c r="N324" i="8"/>
  <c r="N325" i="8"/>
  <c r="N326" i="8"/>
  <c r="N327" i="8"/>
  <c r="N328" i="8"/>
  <c r="N329" i="8"/>
  <c r="N330" i="8"/>
  <c r="N331" i="8"/>
  <c r="N332" i="8"/>
  <c r="N333" i="8"/>
  <c r="N334" i="8"/>
  <c r="N335" i="8"/>
  <c r="N336" i="8"/>
  <c r="N337" i="8"/>
  <c r="N338" i="8"/>
  <c r="N339" i="8"/>
  <c r="N340" i="8"/>
  <c r="N341" i="8"/>
  <c r="N342" i="8"/>
  <c r="N343" i="8"/>
  <c r="N344" i="8"/>
  <c r="N345" i="8"/>
  <c r="N346" i="8"/>
  <c r="N347" i="8"/>
  <c r="N348" i="8"/>
  <c r="N349" i="8"/>
  <c r="N350" i="8"/>
  <c r="N351" i="8"/>
  <c r="N352" i="8"/>
  <c r="N353" i="8"/>
  <c r="N354" i="8"/>
  <c r="N355" i="8"/>
  <c r="N356" i="8"/>
  <c r="N357" i="8"/>
  <c r="N358" i="8"/>
  <c r="N359" i="8"/>
  <c r="N360" i="8"/>
  <c r="N361" i="8"/>
  <c r="N362" i="8"/>
  <c r="N363" i="8"/>
  <c r="N364" i="8"/>
  <c r="N365" i="8"/>
  <c r="N366" i="8"/>
  <c r="N367" i="8"/>
  <c r="N368" i="8"/>
  <c r="N369" i="8"/>
  <c r="N370" i="8"/>
  <c r="N371" i="8"/>
  <c r="N372" i="8"/>
  <c r="N373" i="8"/>
  <c r="N374" i="8"/>
  <c r="N375" i="8"/>
  <c r="N376" i="8"/>
  <c r="N377" i="8"/>
  <c r="N378" i="8"/>
  <c r="N379" i="8"/>
  <c r="N380" i="8"/>
  <c r="N381" i="8"/>
  <c r="N382" i="8"/>
  <c r="N383" i="8"/>
  <c r="N384" i="8"/>
  <c r="N385" i="8"/>
  <c r="N386" i="8"/>
  <c r="N387" i="8"/>
  <c r="N388" i="8"/>
  <c r="N389" i="8"/>
  <c r="N390" i="8"/>
  <c r="N391" i="8"/>
  <c r="N392" i="8"/>
  <c r="N393" i="8"/>
  <c r="N394" i="8"/>
  <c r="N395" i="8"/>
  <c r="N396" i="8"/>
  <c r="N397" i="8"/>
  <c r="N398" i="8"/>
  <c r="N399" i="8"/>
  <c r="N400" i="8"/>
  <c r="N401" i="8"/>
  <c r="N402" i="8"/>
  <c r="N403" i="8"/>
  <c r="N404" i="8"/>
  <c r="N405" i="8"/>
  <c r="N406" i="8"/>
  <c r="N407" i="8"/>
  <c r="N408" i="8"/>
  <c r="N409" i="8"/>
  <c r="N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M41" i="8"/>
  <c r="M42" i="8"/>
  <c r="M43" i="8"/>
  <c r="M44" i="8"/>
  <c r="M45" i="8"/>
  <c r="M46" i="8"/>
  <c r="M47" i="8"/>
  <c r="M48" i="8"/>
  <c r="M49" i="8"/>
  <c r="M50" i="8"/>
  <c r="M51" i="8"/>
  <c r="M52" i="8"/>
  <c r="M53" i="8"/>
  <c r="M54" i="8"/>
  <c r="M55" i="8"/>
  <c r="M56" i="8"/>
  <c r="M57" i="8"/>
  <c r="M58" i="8"/>
  <c r="M59" i="8"/>
  <c r="M60" i="8"/>
  <c r="M61" i="8"/>
  <c r="M62" i="8"/>
  <c r="M63" i="8"/>
  <c r="M64" i="8"/>
  <c r="M65" i="8"/>
  <c r="M66" i="8"/>
  <c r="M67" i="8"/>
  <c r="M68" i="8"/>
  <c r="M69" i="8"/>
  <c r="M70" i="8"/>
  <c r="M71" i="8"/>
  <c r="M72" i="8"/>
  <c r="M73" i="8"/>
  <c r="M74" i="8"/>
  <c r="M75" i="8"/>
  <c r="M76" i="8"/>
  <c r="M77" i="8"/>
  <c r="M78" i="8"/>
  <c r="M79" i="8"/>
  <c r="M80" i="8"/>
  <c r="M81" i="8"/>
  <c r="M82" i="8"/>
  <c r="M83" i="8"/>
  <c r="M84" i="8"/>
  <c r="M85" i="8"/>
  <c r="M86" i="8"/>
  <c r="M87" i="8"/>
  <c r="M88" i="8"/>
  <c r="M89" i="8"/>
  <c r="M90" i="8"/>
  <c r="M91" i="8"/>
  <c r="M92" i="8"/>
  <c r="M93" i="8"/>
  <c r="M94" i="8"/>
  <c r="M95" i="8"/>
  <c r="M96" i="8"/>
  <c r="M97" i="8"/>
  <c r="M98" i="8"/>
  <c r="M99" i="8"/>
  <c r="M100" i="8"/>
  <c r="M101" i="8"/>
  <c r="M102" i="8"/>
  <c r="M103" i="8"/>
  <c r="M104" i="8"/>
  <c r="M105" i="8"/>
  <c r="M106" i="8"/>
  <c r="M107" i="8"/>
  <c r="M108" i="8"/>
  <c r="M109" i="8"/>
  <c r="M110" i="8"/>
  <c r="M111" i="8"/>
  <c r="M112" i="8"/>
  <c r="M113" i="8"/>
  <c r="M114" i="8"/>
  <c r="M115" i="8"/>
  <c r="M116" i="8"/>
  <c r="M117" i="8"/>
  <c r="M118" i="8"/>
  <c r="M119" i="8"/>
  <c r="M120" i="8"/>
  <c r="M121" i="8"/>
  <c r="M122" i="8"/>
  <c r="M123" i="8"/>
  <c r="M124" i="8"/>
  <c r="M125" i="8"/>
  <c r="M126" i="8"/>
  <c r="M127" i="8"/>
  <c r="M128" i="8"/>
  <c r="M129" i="8"/>
  <c r="M130" i="8"/>
  <c r="M131" i="8"/>
  <c r="M132" i="8"/>
  <c r="M133" i="8"/>
  <c r="M134" i="8"/>
  <c r="M135" i="8"/>
  <c r="M136" i="8"/>
  <c r="M137" i="8"/>
  <c r="M138" i="8"/>
  <c r="M139" i="8"/>
  <c r="M140" i="8"/>
  <c r="M141" i="8"/>
  <c r="M142" i="8"/>
  <c r="M143" i="8"/>
  <c r="M144" i="8"/>
  <c r="M145" i="8"/>
  <c r="M146" i="8"/>
  <c r="M147" i="8"/>
  <c r="M148" i="8"/>
  <c r="M149" i="8"/>
  <c r="M150" i="8"/>
  <c r="M151" i="8"/>
  <c r="M152" i="8"/>
  <c r="M153" i="8"/>
  <c r="M154" i="8"/>
  <c r="M155" i="8"/>
  <c r="M156" i="8"/>
  <c r="M157" i="8"/>
  <c r="M158" i="8"/>
  <c r="M159" i="8"/>
  <c r="M160" i="8"/>
  <c r="M161" i="8"/>
  <c r="M162" i="8"/>
  <c r="M163" i="8"/>
  <c r="M164" i="8"/>
  <c r="M165" i="8"/>
  <c r="M166" i="8"/>
  <c r="M167" i="8"/>
  <c r="M168" i="8"/>
  <c r="M169" i="8"/>
  <c r="M170" i="8"/>
  <c r="M171" i="8"/>
  <c r="M172" i="8"/>
  <c r="M173" i="8"/>
  <c r="M174" i="8"/>
  <c r="M175" i="8"/>
  <c r="M176" i="8"/>
  <c r="M177" i="8"/>
  <c r="M178" i="8"/>
  <c r="M179" i="8"/>
  <c r="M180" i="8"/>
  <c r="M181" i="8"/>
  <c r="M182" i="8"/>
  <c r="M183" i="8"/>
  <c r="M184" i="8"/>
  <c r="M185" i="8"/>
  <c r="M186" i="8"/>
  <c r="M187" i="8"/>
  <c r="M188" i="8"/>
  <c r="M189" i="8"/>
  <c r="M190" i="8"/>
  <c r="M191" i="8"/>
  <c r="M192" i="8"/>
  <c r="M193" i="8"/>
  <c r="M194" i="8"/>
  <c r="M195" i="8"/>
  <c r="M196" i="8"/>
  <c r="M197" i="8"/>
  <c r="M198" i="8"/>
  <c r="M199" i="8"/>
  <c r="M200" i="8"/>
  <c r="M201" i="8"/>
  <c r="M202" i="8"/>
  <c r="M203" i="8"/>
  <c r="M204" i="8"/>
  <c r="M205" i="8"/>
  <c r="M206" i="8"/>
  <c r="M207" i="8"/>
  <c r="M208" i="8"/>
  <c r="M209" i="8"/>
  <c r="M210" i="8"/>
  <c r="M211" i="8"/>
  <c r="M212" i="8"/>
  <c r="M213" i="8"/>
  <c r="M214" i="8"/>
  <c r="M215" i="8"/>
  <c r="M216" i="8"/>
  <c r="M217" i="8"/>
  <c r="M218" i="8"/>
  <c r="M219" i="8"/>
  <c r="M220" i="8"/>
  <c r="M221" i="8"/>
  <c r="M222" i="8"/>
  <c r="M223" i="8"/>
  <c r="M224" i="8"/>
  <c r="M225" i="8"/>
  <c r="M226" i="8"/>
  <c r="M227" i="8"/>
  <c r="M228" i="8"/>
  <c r="M229" i="8"/>
  <c r="M230" i="8"/>
  <c r="M231" i="8"/>
  <c r="M232" i="8"/>
  <c r="M233" i="8"/>
  <c r="M234" i="8"/>
  <c r="M235" i="8"/>
  <c r="M236" i="8"/>
  <c r="M237" i="8"/>
  <c r="M238" i="8"/>
  <c r="M239" i="8"/>
  <c r="M240" i="8"/>
  <c r="M241" i="8"/>
  <c r="M242" i="8"/>
  <c r="M243" i="8"/>
  <c r="M244" i="8"/>
  <c r="M245" i="8"/>
  <c r="M246" i="8"/>
  <c r="M247" i="8"/>
  <c r="M248" i="8"/>
  <c r="M249" i="8"/>
  <c r="M250" i="8"/>
  <c r="M251" i="8"/>
  <c r="M252" i="8"/>
  <c r="M253" i="8"/>
  <c r="M254" i="8"/>
  <c r="M255" i="8"/>
  <c r="M256" i="8"/>
  <c r="M257" i="8"/>
  <c r="M258" i="8"/>
  <c r="M259" i="8"/>
  <c r="M260" i="8"/>
  <c r="M261" i="8"/>
  <c r="M262" i="8"/>
  <c r="M263" i="8"/>
  <c r="M264" i="8"/>
  <c r="M265" i="8"/>
  <c r="M266" i="8"/>
  <c r="M267" i="8"/>
  <c r="M268" i="8"/>
  <c r="M269" i="8"/>
  <c r="M270" i="8"/>
  <c r="M271" i="8"/>
  <c r="M272" i="8"/>
  <c r="M273" i="8"/>
  <c r="M274" i="8"/>
  <c r="M275" i="8"/>
  <c r="M276" i="8"/>
  <c r="M277" i="8"/>
  <c r="M278" i="8"/>
  <c r="M279" i="8"/>
  <c r="M280" i="8"/>
  <c r="M281" i="8"/>
  <c r="M282" i="8"/>
  <c r="M283" i="8"/>
  <c r="M284" i="8"/>
  <c r="M285" i="8"/>
  <c r="M286" i="8"/>
  <c r="M287" i="8"/>
  <c r="M288" i="8"/>
  <c r="M289" i="8"/>
  <c r="M290" i="8"/>
  <c r="M291" i="8"/>
  <c r="M292" i="8"/>
  <c r="M293" i="8"/>
  <c r="M294" i="8"/>
  <c r="M295" i="8"/>
  <c r="M296" i="8"/>
  <c r="M297" i="8"/>
  <c r="M298" i="8"/>
  <c r="M299" i="8"/>
  <c r="M300" i="8"/>
  <c r="M301" i="8"/>
  <c r="M302" i="8"/>
  <c r="M303" i="8"/>
  <c r="M304" i="8"/>
  <c r="M305" i="8"/>
  <c r="M306" i="8"/>
  <c r="M307" i="8"/>
  <c r="M308" i="8"/>
  <c r="M309" i="8"/>
  <c r="M310" i="8"/>
  <c r="M311" i="8"/>
  <c r="M312" i="8"/>
  <c r="M313" i="8"/>
  <c r="M314" i="8"/>
  <c r="M315" i="8"/>
  <c r="M316" i="8"/>
  <c r="M317" i="8"/>
  <c r="M318" i="8"/>
  <c r="M319" i="8"/>
  <c r="M320" i="8"/>
  <c r="M321" i="8"/>
  <c r="M322" i="8"/>
  <c r="M323" i="8"/>
  <c r="M324" i="8"/>
  <c r="M325" i="8"/>
  <c r="M326" i="8"/>
  <c r="M327" i="8"/>
  <c r="M328" i="8"/>
  <c r="M329" i="8"/>
  <c r="M330" i="8"/>
  <c r="M331" i="8"/>
  <c r="M332" i="8"/>
  <c r="M333" i="8"/>
  <c r="M334" i="8"/>
  <c r="M335" i="8"/>
  <c r="M336" i="8"/>
  <c r="M337" i="8"/>
  <c r="M338" i="8"/>
  <c r="M339" i="8"/>
  <c r="M340" i="8"/>
  <c r="M341" i="8"/>
  <c r="M342" i="8"/>
  <c r="M343" i="8"/>
  <c r="M344" i="8"/>
  <c r="M345" i="8"/>
  <c r="M346" i="8"/>
  <c r="M347" i="8"/>
  <c r="M348" i="8"/>
  <c r="M349" i="8"/>
  <c r="M350" i="8"/>
  <c r="M351" i="8"/>
  <c r="M352" i="8"/>
  <c r="M353" i="8"/>
  <c r="M354" i="8"/>
  <c r="M355" i="8"/>
  <c r="M356" i="8"/>
  <c r="M357" i="8"/>
  <c r="M358" i="8"/>
  <c r="M359" i="8"/>
  <c r="M360" i="8"/>
  <c r="M361" i="8"/>
  <c r="M362" i="8"/>
  <c r="M363" i="8"/>
  <c r="M364" i="8"/>
  <c r="M365" i="8"/>
  <c r="M366" i="8"/>
  <c r="M367" i="8"/>
  <c r="M368" i="8"/>
  <c r="M369" i="8"/>
  <c r="M370" i="8"/>
  <c r="M371" i="8"/>
  <c r="M372" i="8"/>
  <c r="M373" i="8"/>
  <c r="M374" i="8"/>
  <c r="M375" i="8"/>
  <c r="M376" i="8"/>
  <c r="M377" i="8"/>
  <c r="M378" i="8"/>
  <c r="M379" i="8"/>
  <c r="M380" i="8"/>
  <c r="M381" i="8"/>
  <c r="M382" i="8"/>
  <c r="M383" i="8"/>
  <c r="M384" i="8"/>
  <c r="M385" i="8"/>
  <c r="M386" i="8"/>
  <c r="M387" i="8"/>
  <c r="M388" i="8"/>
  <c r="M389" i="8"/>
  <c r="M390" i="8"/>
  <c r="M391" i="8"/>
  <c r="M392" i="8"/>
  <c r="M393" i="8"/>
  <c r="M394" i="8"/>
  <c r="M395" i="8"/>
  <c r="M396" i="8"/>
  <c r="M397" i="8"/>
  <c r="M398" i="8"/>
  <c r="M399" i="8"/>
  <c r="M400" i="8"/>
  <c r="M401" i="8"/>
  <c r="M402" i="8"/>
  <c r="M403" i="8"/>
  <c r="M404" i="8"/>
  <c r="M405" i="8"/>
  <c r="M406" i="8"/>
  <c r="M407" i="8"/>
  <c r="M408" i="8"/>
  <c r="M409" i="8"/>
  <c r="M2" i="8"/>
  <c r="U19" i="2"/>
  <c r="U6" i="2"/>
  <c r="U5" i="2"/>
  <c r="U4" i="2"/>
  <c r="U3" i="2"/>
  <c r="U2" i="2"/>
  <c r="T19" i="2"/>
  <c r="T3" i="2"/>
  <c r="T4" i="2"/>
  <c r="T5" i="2"/>
  <c r="T6" i="2"/>
  <c r="T2" i="2"/>
  <c r="S19" i="2"/>
  <c r="S3" i="2"/>
  <c r="S4" i="2"/>
  <c r="S5" i="2"/>
  <c r="S6" i="2"/>
  <c r="S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D10" i="1" l="1"/>
  <c r="D6" i="1"/>
  <c r="D2" i="1"/>
  <c r="D10" i="3"/>
  <c r="D6" i="3"/>
  <c r="D2" i="3"/>
  <c r="AL29" i="4"/>
  <c r="L4" i="7"/>
  <c r="D18" i="3" s="1"/>
  <c r="D18" i="1"/>
  <c r="AK29" i="4"/>
  <c r="M5" i="6"/>
  <c r="L5" i="6"/>
  <c r="J6" i="6"/>
  <c r="J7" i="6"/>
  <c r="J8" i="6"/>
  <c r="J9" i="6"/>
  <c r="J10" i="6"/>
  <c r="J11" i="6"/>
  <c r="J12" i="6"/>
  <c r="J13" i="6"/>
  <c r="J5" i="6"/>
  <c r="I12" i="6"/>
  <c r="I12" i="7"/>
  <c r="I6" i="6"/>
  <c r="I7" i="6"/>
  <c r="I8" i="6"/>
  <c r="I9" i="6"/>
  <c r="I10" i="6"/>
  <c r="I11" i="6"/>
  <c r="I13" i="6"/>
  <c r="I5" i="6"/>
  <c r="I5" i="7"/>
  <c r="I6" i="7"/>
  <c r="I7" i="7"/>
  <c r="I8" i="7"/>
  <c r="I9" i="7"/>
  <c r="I10" i="7"/>
  <c r="I11" i="7"/>
  <c r="I4" i="7"/>
  <c r="H12" i="7"/>
  <c r="H11" i="7"/>
  <c r="H10" i="7"/>
  <c r="H9" i="7"/>
  <c r="H8" i="7"/>
  <c r="H7" i="7"/>
  <c r="H6" i="7"/>
  <c r="H5" i="7"/>
  <c r="H4" i="7"/>
  <c r="D13" i="7"/>
  <c r="E12" i="7" s="1"/>
  <c r="E13" i="7" s="1"/>
  <c r="C13" i="7"/>
  <c r="E11" i="7"/>
  <c r="E10" i="7"/>
  <c r="E9" i="7"/>
  <c r="E8" i="7"/>
  <c r="E7" i="7"/>
  <c r="E6" i="7"/>
  <c r="E5" i="7"/>
  <c r="E4" i="7"/>
  <c r="D1" i="7"/>
  <c r="J22" i="6" l="1"/>
  <c r="I22" i="6"/>
  <c r="D14" i="6"/>
  <c r="C14" i="6"/>
  <c r="F13" i="6"/>
  <c r="F12" i="6"/>
  <c r="F11" i="6"/>
  <c r="F10" i="6"/>
  <c r="F9" i="6"/>
  <c r="F8" i="6"/>
  <c r="F7" i="6"/>
  <c r="F6" i="6"/>
  <c r="F5" i="6"/>
  <c r="F14" i="6" s="1"/>
  <c r="A2" i="6"/>
  <c r="AI25" i="4" l="1"/>
  <c r="AJ29" i="4"/>
  <c r="AG29" i="4" l="1"/>
  <c r="K2" i="2" l="1"/>
  <c r="AJ25" i="4"/>
  <c r="O28" i="5" l="1"/>
  <c r="N28" i="5"/>
  <c r="K28" i="5"/>
  <c r="L24" i="5" s="1"/>
  <c r="J28" i="5"/>
  <c r="C28" i="5"/>
  <c r="D13" i="5" s="1"/>
  <c r="B28" i="5"/>
  <c r="S24" i="5"/>
  <c r="R24" i="5"/>
  <c r="S20" i="5"/>
  <c r="R20" i="5"/>
  <c r="D20" i="5"/>
  <c r="O16" i="5"/>
  <c r="N16" i="5"/>
  <c r="K16" i="5"/>
  <c r="L16" i="5" s="1"/>
  <c r="J16" i="5"/>
  <c r="G16" i="5"/>
  <c r="G28" i="5" s="1"/>
  <c r="F16" i="5"/>
  <c r="F28" i="5" s="1"/>
  <c r="C16" i="5"/>
  <c r="B16" i="5"/>
  <c r="S13" i="5"/>
  <c r="T13" i="5" s="1"/>
  <c r="R13" i="5"/>
  <c r="L13" i="5"/>
  <c r="S10" i="5"/>
  <c r="T10" i="5" s="1"/>
  <c r="R10" i="5"/>
  <c r="D10" i="5"/>
  <c r="S7" i="5"/>
  <c r="T7" i="5" s="1"/>
  <c r="R7" i="5"/>
  <c r="S5" i="5"/>
  <c r="S16" i="5" s="1"/>
  <c r="R5" i="5"/>
  <c r="R16" i="5" s="1"/>
  <c r="R28" i="5" s="1"/>
  <c r="L5" i="5"/>
  <c r="D5" i="5"/>
  <c r="S28" i="5" l="1"/>
  <c r="T20" i="5" s="1"/>
  <c r="L20" i="5"/>
  <c r="L28" i="5" s="1"/>
  <c r="L10" i="5"/>
  <c r="L7" i="5"/>
  <c r="D24" i="5"/>
  <c r="T5" i="5"/>
  <c r="D7" i="5"/>
  <c r="D16" i="5" s="1"/>
  <c r="D28" i="5" s="1"/>
  <c r="T16" i="5" l="1"/>
  <c r="T28" i="5" s="1"/>
  <c r="T24" i="5"/>
  <c r="BE13" i="3" l="1"/>
  <c r="AU13" i="3"/>
  <c r="AK13" i="3"/>
  <c r="AK14" i="3" s="1"/>
  <c r="AK8" i="3"/>
  <c r="M61" i="3"/>
  <c r="L61" i="3"/>
  <c r="K61" i="3"/>
  <c r="J61" i="3"/>
  <c r="I61" i="3"/>
  <c r="H61" i="3"/>
  <c r="M59" i="3"/>
  <c r="L59" i="3"/>
  <c r="K59" i="3"/>
  <c r="J59" i="3"/>
  <c r="I59" i="3"/>
  <c r="P57" i="3"/>
  <c r="O57" i="3"/>
  <c r="P56" i="3"/>
  <c r="O56" i="3"/>
  <c r="P55" i="3"/>
  <c r="O55" i="3"/>
  <c r="P54" i="3"/>
  <c r="O54" i="3"/>
  <c r="P53" i="3"/>
  <c r="O53" i="3"/>
  <c r="P52" i="3"/>
  <c r="O52" i="3"/>
  <c r="AF33" i="3"/>
  <c r="AF32" i="3"/>
  <c r="AF31" i="3"/>
  <c r="AF27" i="3"/>
  <c r="AF26" i="3"/>
  <c r="AF25" i="3"/>
  <c r="AF24" i="3"/>
  <c r="AF20" i="3"/>
  <c r="AF19" i="3"/>
  <c r="AF18" i="3"/>
  <c r="AF17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AI26" i="3" l="1"/>
  <c r="AI27" i="3"/>
  <c r="AI18" i="3"/>
  <c r="AI32" i="3"/>
  <c r="AJ32" i="3"/>
  <c r="AK32" i="3" s="1"/>
  <c r="AI33" i="3"/>
  <c r="AJ33" i="3" s="1"/>
  <c r="AK33" i="3" s="1"/>
  <c r="AF34" i="3"/>
  <c r="AF21" i="3"/>
  <c r="AI17" i="3"/>
  <c r="AF28" i="3"/>
  <c r="AJ18" i="3"/>
  <c r="AK18" i="3" s="1"/>
  <c r="AI25" i="3"/>
  <c r="AJ25" i="3" s="1"/>
  <c r="AK25" i="3" s="1"/>
  <c r="AJ26" i="3"/>
  <c r="AK26" i="3" s="1"/>
  <c r="AI20" i="3"/>
  <c r="AI24" i="3"/>
  <c r="AI34" i="3"/>
  <c r="AI19" i="3"/>
  <c r="AI31" i="3"/>
  <c r="AH34" i="1"/>
  <c r="AG34" i="1"/>
  <c r="AF34" i="1"/>
  <c r="AI34" i="1" s="1"/>
  <c r="AJ34" i="1" s="1"/>
  <c r="AK34" i="1" s="1"/>
  <c r="AH33" i="1"/>
  <c r="AG33" i="1"/>
  <c r="AF33" i="1"/>
  <c r="AI33" i="1" s="1"/>
  <c r="AH32" i="1"/>
  <c r="AG32" i="1"/>
  <c r="AF32" i="1"/>
  <c r="AI32" i="1" s="1"/>
  <c r="AH31" i="1"/>
  <c r="AG31" i="1"/>
  <c r="AF31" i="1"/>
  <c r="AI31" i="1" s="1"/>
  <c r="AH27" i="1"/>
  <c r="AG27" i="1"/>
  <c r="AF27" i="1"/>
  <c r="AI27" i="1" s="1"/>
  <c r="AJ27" i="1" s="1"/>
  <c r="AH26" i="1"/>
  <c r="AG26" i="1"/>
  <c r="AF26" i="1"/>
  <c r="AI26" i="1" s="1"/>
  <c r="AH25" i="1"/>
  <c r="AG25" i="1"/>
  <c r="AF25" i="1"/>
  <c r="AI25" i="1" s="1"/>
  <c r="AH24" i="1"/>
  <c r="AG24" i="1"/>
  <c r="AF24" i="1"/>
  <c r="AI24" i="1" s="1"/>
  <c r="AH20" i="1"/>
  <c r="AH19" i="1"/>
  <c r="AH18" i="1"/>
  <c r="AH17" i="1"/>
  <c r="AG20" i="1"/>
  <c r="AG19" i="1"/>
  <c r="AG18" i="1"/>
  <c r="AG17" i="1"/>
  <c r="AF20" i="1"/>
  <c r="AF19" i="1"/>
  <c r="AF18" i="1"/>
  <c r="AF17" i="1"/>
  <c r="M61" i="1"/>
  <c r="L61" i="1"/>
  <c r="K61" i="1"/>
  <c r="J61" i="1"/>
  <c r="I61" i="1"/>
  <c r="P53" i="1"/>
  <c r="P54" i="1"/>
  <c r="P55" i="1"/>
  <c r="P56" i="1"/>
  <c r="P57" i="1"/>
  <c r="P52" i="1"/>
  <c r="O53" i="1"/>
  <c r="O54" i="1"/>
  <c r="O55" i="1"/>
  <c r="O56" i="1"/>
  <c r="O57" i="1"/>
  <c r="O52" i="1"/>
  <c r="M59" i="1"/>
  <c r="L59" i="1"/>
  <c r="K59" i="1"/>
  <c r="J59" i="1"/>
  <c r="I59" i="1"/>
  <c r="H61" i="1"/>
  <c r="H59" i="1"/>
  <c r="AF35" i="3" l="1"/>
  <c r="AJ26" i="1"/>
  <c r="AK26" i="1" s="1"/>
  <c r="AJ32" i="1"/>
  <c r="AJ27" i="3"/>
  <c r="AK27" i="3" s="1"/>
  <c r="AJ34" i="3"/>
  <c r="AK34" i="3" s="1"/>
  <c r="AJ17" i="3"/>
  <c r="AK17" i="3" s="1"/>
  <c r="AI35" i="3"/>
  <c r="AI28" i="3"/>
  <c r="AJ20" i="3"/>
  <c r="AK20" i="3" s="1"/>
  <c r="AI21" i="3"/>
  <c r="AJ31" i="3"/>
  <c r="AJ24" i="3"/>
  <c r="AJ19" i="3"/>
  <c r="AK19" i="3" s="1"/>
  <c r="AH35" i="1"/>
  <c r="AG35" i="1"/>
  <c r="AK27" i="1"/>
  <c r="AH28" i="1"/>
  <c r="AK32" i="1"/>
  <c r="AJ33" i="1"/>
  <c r="AK33" i="1" s="1"/>
  <c r="AI35" i="1"/>
  <c r="AJ31" i="1"/>
  <c r="AF35" i="1"/>
  <c r="AJ24" i="1"/>
  <c r="AI28" i="1"/>
  <c r="AG28" i="1"/>
  <c r="AJ25" i="1"/>
  <c r="AK25" i="1" s="1"/>
  <c r="AF28" i="1"/>
  <c r="I58" i="2"/>
  <c r="AE20" i="2" s="1"/>
  <c r="I57" i="2"/>
  <c r="AE19" i="2" s="1"/>
  <c r="I56" i="2"/>
  <c r="I55" i="2"/>
  <c r="AE17" i="2" s="1"/>
  <c r="I54" i="2"/>
  <c r="AE16" i="2" s="1"/>
  <c r="I53" i="2"/>
  <c r="AE15" i="2" s="1"/>
  <c r="I52" i="2"/>
  <c r="AE14" i="2" s="1"/>
  <c r="I51" i="2"/>
  <c r="AE13" i="2" s="1"/>
  <c r="I50" i="2"/>
  <c r="AE12" i="2" s="1"/>
  <c r="I49" i="2"/>
  <c r="I48" i="2"/>
  <c r="I47" i="2"/>
  <c r="I46" i="2"/>
  <c r="AE8" i="2" s="1"/>
  <c r="I45" i="2"/>
  <c r="AE7" i="2" s="1"/>
  <c r="I44" i="2"/>
  <c r="AE6" i="2" s="1"/>
  <c r="I43" i="2"/>
  <c r="AE5" i="2" s="1"/>
  <c r="I42" i="2"/>
  <c r="AE4" i="2" s="1"/>
  <c r="I41" i="2"/>
  <c r="AE3" i="2" s="1"/>
  <c r="I40" i="2"/>
  <c r="Z20" i="2"/>
  <c r="N20" i="2"/>
  <c r="M20" i="2"/>
  <c r="K20" i="2"/>
  <c r="J20" i="2"/>
  <c r="Z19" i="2"/>
  <c r="N19" i="2"/>
  <c r="M19" i="2"/>
  <c r="K19" i="2"/>
  <c r="J19" i="2"/>
  <c r="AE18" i="2"/>
  <c r="Z18" i="2"/>
  <c r="N18" i="2"/>
  <c r="M18" i="2"/>
  <c r="K18" i="2"/>
  <c r="J18" i="2"/>
  <c r="Z17" i="2"/>
  <c r="N17" i="2"/>
  <c r="M17" i="2"/>
  <c r="K17" i="2"/>
  <c r="J17" i="2"/>
  <c r="Z16" i="2"/>
  <c r="N16" i="2"/>
  <c r="M16" i="2"/>
  <c r="K16" i="2"/>
  <c r="J16" i="2"/>
  <c r="Z15" i="2"/>
  <c r="N15" i="2"/>
  <c r="M15" i="2"/>
  <c r="K15" i="2"/>
  <c r="J15" i="2"/>
  <c r="Z14" i="2"/>
  <c r="N14" i="2"/>
  <c r="M14" i="2"/>
  <c r="K14" i="2"/>
  <c r="J14" i="2"/>
  <c r="Z13" i="2"/>
  <c r="N13" i="2"/>
  <c r="M13" i="2"/>
  <c r="K13" i="2"/>
  <c r="J13" i="2"/>
  <c r="Z12" i="2"/>
  <c r="N12" i="2"/>
  <c r="M12" i="2"/>
  <c r="K12" i="2"/>
  <c r="J12" i="2"/>
  <c r="AE11" i="2"/>
  <c r="Z11" i="2"/>
  <c r="N11" i="2"/>
  <c r="M11" i="2"/>
  <c r="K11" i="2"/>
  <c r="J11" i="2"/>
  <c r="AE10" i="2"/>
  <c r="Z10" i="2"/>
  <c r="N10" i="2"/>
  <c r="M10" i="2"/>
  <c r="K10" i="2"/>
  <c r="J10" i="2"/>
  <c r="AE9" i="2"/>
  <c r="Z9" i="2"/>
  <c r="N9" i="2"/>
  <c r="M9" i="2"/>
  <c r="K9" i="2"/>
  <c r="J9" i="2"/>
  <c r="Z8" i="2"/>
  <c r="N8" i="2"/>
  <c r="M8" i="2"/>
  <c r="K8" i="2"/>
  <c r="J8" i="2"/>
  <c r="Z7" i="2"/>
  <c r="N7" i="2"/>
  <c r="M7" i="2"/>
  <c r="K7" i="2"/>
  <c r="J7" i="2"/>
  <c r="Z6" i="2"/>
  <c r="N6" i="2"/>
  <c r="M6" i="2"/>
  <c r="K6" i="2"/>
  <c r="J6" i="2"/>
  <c r="Z5" i="2"/>
  <c r="N5" i="2"/>
  <c r="M5" i="2"/>
  <c r="K5" i="2"/>
  <c r="J5" i="2"/>
  <c r="Z4" i="2"/>
  <c r="N4" i="2"/>
  <c r="M4" i="2"/>
  <c r="K4" i="2"/>
  <c r="J4" i="2"/>
  <c r="Z3" i="2"/>
  <c r="N3" i="2"/>
  <c r="M3" i="2"/>
  <c r="K3" i="2"/>
  <c r="J3" i="2"/>
  <c r="AE2" i="2"/>
  <c r="Z2" i="2"/>
  <c r="N2" i="2"/>
  <c r="M2" i="2"/>
  <c r="J2" i="2"/>
  <c r="AD9" i="2" l="1"/>
  <c r="AD8" i="2"/>
  <c r="AC11" i="2"/>
  <c r="AA12" i="2"/>
  <c r="AD12" i="2"/>
  <c r="AA15" i="2"/>
  <c r="AC20" i="2"/>
  <c r="Q31" i="3"/>
  <c r="AA20" i="2"/>
  <c r="AD20" i="2"/>
  <c r="AS19" i="1"/>
  <c r="AA18" i="2"/>
  <c r="Q30" i="3"/>
  <c r="AC19" i="2"/>
  <c r="AA19" i="2"/>
  <c r="AD19" i="2"/>
  <c r="AA8" i="2"/>
  <c r="Q33" i="3"/>
  <c r="AA11" i="2"/>
  <c r="AD11" i="2"/>
  <c r="AD7" i="2"/>
  <c r="AA7" i="2"/>
  <c r="AD14" i="2"/>
  <c r="AA14" i="2"/>
  <c r="AD3" i="2"/>
  <c r="AA3" i="2"/>
  <c r="AA9" i="2"/>
  <c r="AS27" i="3"/>
  <c r="BB27" i="3" s="1"/>
  <c r="AS20" i="3"/>
  <c r="BB20" i="3" s="1"/>
  <c r="AS34" i="3"/>
  <c r="BB34" i="3" s="1"/>
  <c r="AA2" i="2"/>
  <c r="AD2" i="2"/>
  <c r="AD4" i="2"/>
  <c r="AA4" i="2"/>
  <c r="AA5" i="2"/>
  <c r="Q32" i="3"/>
  <c r="AC6" i="2"/>
  <c r="AA6" i="2"/>
  <c r="AC8" i="2"/>
  <c r="AD13" i="2"/>
  <c r="AC13" i="2"/>
  <c r="Q35" i="3"/>
  <c r="U33" i="3" s="1"/>
  <c r="AA13" i="2"/>
  <c r="AC17" i="2"/>
  <c r="AD18" i="2"/>
  <c r="AS27" i="1"/>
  <c r="BB27" i="1" s="1"/>
  <c r="AA10" i="2"/>
  <c r="AC10" i="2"/>
  <c r="AA17" i="2"/>
  <c r="AD17" i="2"/>
  <c r="AP19" i="1"/>
  <c r="AC16" i="2"/>
  <c r="Q34" i="3"/>
  <c r="U32" i="3" s="1"/>
  <c r="AA16" i="2"/>
  <c r="AC2" i="2"/>
  <c r="AC3" i="2"/>
  <c r="AC4" i="2"/>
  <c r="AC7" i="2"/>
  <c r="AD15" i="2"/>
  <c r="AJ35" i="3"/>
  <c r="AK31" i="3"/>
  <c r="AK35" i="3" s="1"/>
  <c r="AK21" i="3"/>
  <c r="AJ21" i="3"/>
  <c r="AK24" i="3"/>
  <c r="AK28" i="3" s="1"/>
  <c r="AJ28" i="3"/>
  <c r="AJ35" i="1"/>
  <c r="AK31" i="1"/>
  <c r="AK35" i="1" s="1"/>
  <c r="AK24" i="1"/>
  <c r="AK28" i="1" s="1"/>
  <c r="AJ28" i="1"/>
  <c r="AC12" i="2"/>
  <c r="AC18" i="2"/>
  <c r="AC14" i="2"/>
  <c r="AC5" i="2"/>
  <c r="AD6" i="2"/>
  <c r="AC9" i="2"/>
  <c r="AD10" i="2"/>
  <c r="AC15" i="2"/>
  <c r="AD16" i="2"/>
  <c r="U31" i="3" l="1"/>
  <c r="AS33" i="1"/>
  <c r="BB33" i="1" s="1"/>
  <c r="AU17" i="1"/>
  <c r="AU27" i="3"/>
  <c r="BD27" i="3" s="1"/>
  <c r="AS31" i="1"/>
  <c r="BB31" i="1" s="1"/>
  <c r="S43" i="3"/>
  <c r="S37" i="3"/>
  <c r="S31" i="3"/>
  <c r="S36" i="3"/>
  <c r="W36" i="3" s="1"/>
  <c r="S42" i="3"/>
  <c r="S30" i="3"/>
  <c r="S40" i="3"/>
  <c r="W38" i="3" s="1"/>
  <c r="S46" i="3"/>
  <c r="W44" i="3" s="1"/>
  <c r="S34" i="3"/>
  <c r="W32" i="3" s="1"/>
  <c r="S41" i="3"/>
  <c r="W39" i="3" s="1"/>
  <c r="S47" i="3"/>
  <c r="W45" i="3" s="1"/>
  <c r="S35" i="3"/>
  <c r="W33" i="3" s="1"/>
  <c r="S39" i="3"/>
  <c r="S45" i="3"/>
  <c r="S33" i="3"/>
  <c r="R46" i="3"/>
  <c r="V44" i="3" s="1"/>
  <c r="R40" i="3"/>
  <c r="V38" i="3" s="1"/>
  <c r="R34" i="3"/>
  <c r="V32" i="3" s="1"/>
  <c r="R47" i="3"/>
  <c r="V45" i="3" s="1"/>
  <c r="R41" i="3"/>
  <c r="V39" i="3" s="1"/>
  <c r="R35" i="3"/>
  <c r="V33" i="3" s="1"/>
  <c r="R37" i="3"/>
  <c r="R43" i="3"/>
  <c r="R31" i="3"/>
  <c r="R44" i="3"/>
  <c r="R38" i="3"/>
  <c r="R32" i="3"/>
  <c r="R42" i="3"/>
  <c r="R36" i="3"/>
  <c r="R30" i="3"/>
  <c r="U30" i="3"/>
  <c r="AP27" i="1"/>
  <c r="AV27" i="1" s="1"/>
  <c r="AS32" i="1"/>
  <c r="BB32" i="1" s="1"/>
  <c r="AS26" i="1"/>
  <c r="BB26" i="1" s="1"/>
  <c r="AT31" i="1"/>
  <c r="BC31" i="1" s="1"/>
  <c r="AT19" i="1"/>
  <c r="AS24" i="1"/>
  <c r="BB24" i="1" s="1"/>
  <c r="AQ26" i="1"/>
  <c r="AW26" i="1" s="1"/>
  <c r="AS17" i="1"/>
  <c r="AS25" i="1"/>
  <c r="BB25" i="1" s="1"/>
  <c r="AQ20" i="1"/>
  <c r="AS18" i="1"/>
  <c r="AT20" i="1"/>
  <c r="AU33" i="1"/>
  <c r="BD33" i="1" s="1"/>
  <c r="AR19" i="3"/>
  <c r="AX19" i="3" s="1"/>
  <c r="AP17" i="3"/>
  <c r="Q36" i="3"/>
  <c r="Q42" i="3"/>
  <c r="Q43" i="3"/>
  <c r="Q37" i="3"/>
  <c r="AP33" i="1"/>
  <c r="AV33" i="1" s="1"/>
  <c r="AZ33" i="1" s="1"/>
  <c r="AT34" i="3"/>
  <c r="BC34" i="3" s="1"/>
  <c r="AT20" i="3"/>
  <c r="BC20" i="3" s="1"/>
  <c r="AT27" i="3"/>
  <c r="BC27" i="3" s="1"/>
  <c r="AP26" i="1"/>
  <c r="AV26" i="1" s="1"/>
  <c r="AZ26" i="1" s="1"/>
  <c r="AR26" i="1"/>
  <c r="AX26" i="1" s="1"/>
  <c r="AP20" i="3"/>
  <c r="AV20" i="3" s="1"/>
  <c r="Q38" i="3"/>
  <c r="AP18" i="3"/>
  <c r="AV18" i="3" s="1"/>
  <c r="Q44" i="3"/>
  <c r="AS34" i="1"/>
  <c r="BB34" i="1" s="1"/>
  <c r="AP19" i="3"/>
  <c r="AV19" i="3" s="1"/>
  <c r="AZ19" i="3" s="1"/>
  <c r="AQ34" i="3"/>
  <c r="AW34" i="3" s="1"/>
  <c r="AQ20" i="3"/>
  <c r="AW20" i="3" s="1"/>
  <c r="AU34" i="3"/>
  <c r="BD34" i="3" s="1"/>
  <c r="AU20" i="3"/>
  <c r="BD20" i="3" s="1"/>
  <c r="AR17" i="3"/>
  <c r="AS33" i="3"/>
  <c r="BB33" i="3" s="1"/>
  <c r="AS26" i="3"/>
  <c r="BB26" i="3" s="1"/>
  <c r="AS19" i="3"/>
  <c r="BB19" i="3" s="1"/>
  <c r="AS17" i="3"/>
  <c r="BB17" i="3" s="1"/>
  <c r="AU27" i="1"/>
  <c r="BD27" i="1" s="1"/>
  <c r="AS20" i="1"/>
  <c r="AQ19" i="3"/>
  <c r="AW19" i="3" s="1"/>
  <c r="AQ26" i="3"/>
  <c r="AW26" i="3" s="1"/>
  <c r="AR20" i="3"/>
  <c r="AX20" i="3" s="1"/>
  <c r="AR27" i="3"/>
  <c r="AX27" i="3" s="1"/>
  <c r="AS18" i="3"/>
  <c r="BB18" i="3" s="1"/>
  <c r="Q39" i="3"/>
  <c r="Q45" i="3"/>
  <c r="AD5" i="2"/>
  <c r="AQ17" i="3"/>
  <c r="AU24" i="1"/>
  <c r="BD24" i="1" s="1"/>
  <c r="AR27" i="1"/>
  <c r="AX27" i="1" s="1"/>
  <c r="AR20" i="1"/>
  <c r="AX20" i="1" s="1"/>
  <c r="AR34" i="1"/>
  <c r="AX34" i="1" s="1"/>
  <c r="AP17" i="1"/>
  <c r="AI17" i="1"/>
  <c r="BB17" i="1" l="1"/>
  <c r="W42" i="3"/>
  <c r="AU18" i="1"/>
  <c r="AT17" i="1"/>
  <c r="AU32" i="1"/>
  <c r="BD32" i="1" s="1"/>
  <c r="AU25" i="1"/>
  <c r="BD25" i="1" s="1"/>
  <c r="AT25" i="1"/>
  <c r="BC25" i="1" s="1"/>
  <c r="AQ33" i="3"/>
  <c r="AW33" i="3" s="1"/>
  <c r="AS32" i="3"/>
  <c r="BB32" i="3" s="1"/>
  <c r="AU33" i="3"/>
  <c r="BD33" i="3" s="1"/>
  <c r="AT33" i="3"/>
  <c r="BC33" i="3" s="1"/>
  <c r="AT26" i="3"/>
  <c r="BC26" i="3" s="1"/>
  <c r="AT27" i="1"/>
  <c r="BC27" i="1" s="1"/>
  <c r="AU19" i="1"/>
  <c r="AT24" i="3"/>
  <c r="BC24" i="3" s="1"/>
  <c r="AT31" i="3"/>
  <c r="BC31" i="3" s="1"/>
  <c r="W30" i="3"/>
  <c r="AR34" i="3"/>
  <c r="AX34" i="3" s="1"/>
  <c r="AR26" i="3"/>
  <c r="AX26" i="3" s="1"/>
  <c r="AX17" i="3"/>
  <c r="AR33" i="3"/>
  <c r="AX33" i="3" s="1"/>
  <c r="S44" i="3"/>
  <c r="W43" i="3" s="1"/>
  <c r="S38" i="3"/>
  <c r="W37" i="3" s="1"/>
  <c r="S32" i="3"/>
  <c r="W31" i="3" s="1"/>
  <c r="V42" i="3"/>
  <c r="V30" i="3"/>
  <c r="AQ27" i="3"/>
  <c r="AW27" i="3" s="1"/>
  <c r="V36" i="3"/>
  <c r="AQ18" i="3"/>
  <c r="AW18" i="3" s="1"/>
  <c r="R39" i="3"/>
  <c r="V37" i="3" s="1"/>
  <c r="R45" i="3"/>
  <c r="V43" i="3" s="1"/>
  <c r="R33" i="3"/>
  <c r="V31" i="3" s="1"/>
  <c r="AW17" i="3"/>
  <c r="AQ31" i="1"/>
  <c r="AQ17" i="1"/>
  <c r="U36" i="3"/>
  <c r="U42" i="3"/>
  <c r="AP34" i="1"/>
  <c r="AV34" i="1" s="1"/>
  <c r="AZ34" i="1" s="1"/>
  <c r="BA34" i="1" s="1"/>
  <c r="U43" i="3"/>
  <c r="AP27" i="3"/>
  <c r="AV27" i="3" s="1"/>
  <c r="BF27" i="3" s="1"/>
  <c r="Q41" i="3"/>
  <c r="U39" i="3" s="1"/>
  <c r="AV17" i="3"/>
  <c r="AZ17" i="3" s="1"/>
  <c r="BJ21" i="3"/>
  <c r="AI11" i="8" s="1"/>
  <c r="AJ11" i="8" s="1"/>
  <c r="AP33" i="3"/>
  <c r="AV33" i="3" s="1"/>
  <c r="AZ33" i="3" s="1"/>
  <c r="Q46" i="3"/>
  <c r="U44" i="3" s="1"/>
  <c r="AP34" i="3"/>
  <c r="AV34" i="3" s="1"/>
  <c r="AZ34" i="3" s="1"/>
  <c r="Q47" i="3"/>
  <c r="U45" i="3" s="1"/>
  <c r="AP26" i="3"/>
  <c r="AV26" i="3" s="1"/>
  <c r="BF26" i="3" s="1"/>
  <c r="Q40" i="3"/>
  <c r="U38" i="3" s="1"/>
  <c r="U37" i="3"/>
  <c r="AP20" i="1"/>
  <c r="AP25" i="1"/>
  <c r="AV25" i="1" s="1"/>
  <c r="AZ25" i="1" s="1"/>
  <c r="BF19" i="3"/>
  <c r="BA19" i="3"/>
  <c r="AQ18" i="1"/>
  <c r="AW18" i="1" s="1"/>
  <c r="AQ33" i="1"/>
  <c r="AW33" i="1" s="1"/>
  <c r="BF26" i="1"/>
  <c r="AQ24" i="3"/>
  <c r="AP24" i="3"/>
  <c r="AQ19" i="1"/>
  <c r="AW19" i="1" s="1"/>
  <c r="AU26" i="1"/>
  <c r="BD26" i="1" s="1"/>
  <c r="AP32" i="3"/>
  <c r="AV32" i="3" s="1"/>
  <c r="BF32" i="3" s="1"/>
  <c r="AT33" i="1"/>
  <c r="BC33" i="1" s="1"/>
  <c r="AU31" i="1"/>
  <c r="BD31" i="1" s="1"/>
  <c r="AT32" i="1"/>
  <c r="BC32" i="1" s="1"/>
  <c r="AQ27" i="1"/>
  <c r="AW27" i="1" s="1"/>
  <c r="AT18" i="1"/>
  <c r="BF33" i="1"/>
  <c r="AQ34" i="1"/>
  <c r="AW34" i="1" s="1"/>
  <c r="AR19" i="1"/>
  <c r="AX19" i="1" s="1"/>
  <c r="AP32" i="1"/>
  <c r="AV32" i="1" s="1"/>
  <c r="AT34" i="1"/>
  <c r="BC34" i="1" s="1"/>
  <c r="AP18" i="1"/>
  <c r="AV18" i="1" s="1"/>
  <c r="AR33" i="1"/>
  <c r="AX33" i="1" s="1"/>
  <c r="BA33" i="1" s="1"/>
  <c r="BH33" i="1" s="1"/>
  <c r="AT26" i="1"/>
  <c r="BC26" i="1" s="1"/>
  <c r="BG26" i="1" s="1"/>
  <c r="AS25" i="3"/>
  <c r="BB25" i="3" s="1"/>
  <c r="AU18" i="3"/>
  <c r="BD18" i="3" s="1"/>
  <c r="AU26" i="3"/>
  <c r="BD26" i="3" s="1"/>
  <c r="AU19" i="3"/>
  <c r="BD19" i="3" s="1"/>
  <c r="AP25" i="3"/>
  <c r="AV25" i="3" s="1"/>
  <c r="AR31" i="1"/>
  <c r="AR24" i="1"/>
  <c r="AT18" i="3"/>
  <c r="BC18" i="3" s="1"/>
  <c r="AU20" i="1"/>
  <c r="AT17" i="3"/>
  <c r="BC17" i="3" s="1"/>
  <c r="AZ20" i="3"/>
  <c r="BA20" i="3" s="1"/>
  <c r="BH20" i="3" s="1"/>
  <c r="BF20" i="3"/>
  <c r="AU34" i="1"/>
  <c r="BD34" i="1" s="1"/>
  <c r="AQ31" i="3"/>
  <c r="AR24" i="3"/>
  <c r="AT24" i="1"/>
  <c r="BC24" i="1" s="1"/>
  <c r="AS24" i="3"/>
  <c r="BB24" i="3" s="1"/>
  <c r="AR18" i="3"/>
  <c r="AX18" i="3" s="1"/>
  <c r="AS31" i="3"/>
  <c r="BB31" i="3" s="1"/>
  <c r="BF18" i="3"/>
  <c r="AZ18" i="3"/>
  <c r="AR17" i="1"/>
  <c r="AT19" i="3"/>
  <c r="BC19" i="3" s="1"/>
  <c r="BG19" i="3" s="1"/>
  <c r="AU17" i="3"/>
  <c r="BD17" i="3" s="1"/>
  <c r="AR31" i="3"/>
  <c r="AP31" i="3"/>
  <c r="BA26" i="1"/>
  <c r="AZ27" i="1"/>
  <c r="BA27" i="1" s="1"/>
  <c r="BH27" i="1" s="1"/>
  <c r="BF27" i="1"/>
  <c r="AJ17" i="1"/>
  <c r="AK17" i="1" s="1"/>
  <c r="AQ25" i="1"/>
  <c r="AW25" i="1" s="1"/>
  <c r="AI20" i="1"/>
  <c r="BB20" i="1" s="1"/>
  <c r="AI18" i="1"/>
  <c r="BB18" i="1" s="1"/>
  <c r="AP31" i="1"/>
  <c r="AW20" i="1"/>
  <c r="AV19" i="1"/>
  <c r="AI19" i="1"/>
  <c r="BB19" i="1" s="1"/>
  <c r="AP24" i="1"/>
  <c r="AQ24" i="1"/>
  <c r="AG21" i="1"/>
  <c r="AV17" i="1"/>
  <c r="AF21" i="1"/>
  <c r="AH21" i="1"/>
  <c r="BA34" i="3" l="1"/>
  <c r="BH34" i="3" s="1"/>
  <c r="BH26" i="1"/>
  <c r="BF34" i="1"/>
  <c r="BG33" i="1"/>
  <c r="AZ26" i="3"/>
  <c r="BA26" i="3" s="1"/>
  <c r="BH26" i="3" s="1"/>
  <c r="BH34" i="1"/>
  <c r="AR32" i="3"/>
  <c r="AX32" i="3" s="1"/>
  <c r="BA17" i="3"/>
  <c r="AR25" i="3"/>
  <c r="AX25" i="3" s="1"/>
  <c r="BA33" i="3"/>
  <c r="BH33" i="3" s="1"/>
  <c r="AQ25" i="3"/>
  <c r="AW25" i="3" s="1"/>
  <c r="BJ21" i="1"/>
  <c r="AI2" i="8" s="1"/>
  <c r="AX24" i="1"/>
  <c r="AX17" i="1"/>
  <c r="AX31" i="1"/>
  <c r="BL21" i="3"/>
  <c r="AI13" i="8" s="1"/>
  <c r="AJ13" i="8" s="1"/>
  <c r="AW24" i="1"/>
  <c r="BK28" i="1"/>
  <c r="AI6" i="8" s="1"/>
  <c r="AJ6" i="8" s="1"/>
  <c r="AW31" i="1"/>
  <c r="BK21" i="1"/>
  <c r="AI3" i="8" s="1"/>
  <c r="AJ3" i="8" s="1"/>
  <c r="AW17" i="1"/>
  <c r="AQ32" i="3"/>
  <c r="AW32" i="3" s="1"/>
  <c r="BK21" i="3"/>
  <c r="AI12" i="8" s="1"/>
  <c r="AJ12" i="8" s="1"/>
  <c r="AX31" i="3"/>
  <c r="AX24" i="3"/>
  <c r="AW31" i="3"/>
  <c r="AW24" i="3"/>
  <c r="AZ27" i="3"/>
  <c r="BA27" i="3" s="1"/>
  <c r="BH27" i="3" s="1"/>
  <c r="BF17" i="3"/>
  <c r="BF21" i="3" s="1"/>
  <c r="AV20" i="1"/>
  <c r="AZ20" i="1" s="1"/>
  <c r="BA20" i="1" s="1"/>
  <c r="BF33" i="3"/>
  <c r="AV24" i="1"/>
  <c r="AZ24" i="1" s="1"/>
  <c r="BA24" i="1" s="1"/>
  <c r="BH24" i="1" s="1"/>
  <c r="BJ28" i="1"/>
  <c r="AI5" i="8" s="1"/>
  <c r="AJ5" i="8" s="1"/>
  <c r="AV31" i="3"/>
  <c r="BF31" i="3" s="1"/>
  <c r="BJ35" i="3"/>
  <c r="AI17" i="8" s="1"/>
  <c r="AJ17" i="8" s="1"/>
  <c r="BF34" i="3"/>
  <c r="AV24" i="3"/>
  <c r="AZ24" i="3" s="1"/>
  <c r="BJ28" i="3"/>
  <c r="AI14" i="8" s="1"/>
  <c r="AJ14" i="8" s="1"/>
  <c r="AV31" i="1"/>
  <c r="BF31" i="1" s="1"/>
  <c r="BJ35" i="1"/>
  <c r="AI8" i="8" s="1"/>
  <c r="AJ8" i="8" s="1"/>
  <c r="BH19" i="3"/>
  <c r="BG34" i="3"/>
  <c r="AZ32" i="3"/>
  <c r="BA32" i="3" s="1"/>
  <c r="AQ32" i="1"/>
  <c r="AW32" i="1" s="1"/>
  <c r="BF25" i="1"/>
  <c r="BA18" i="3"/>
  <c r="BH18" i="3" s="1"/>
  <c r="BF32" i="1"/>
  <c r="AZ32" i="1"/>
  <c r="BG33" i="3"/>
  <c r="AU32" i="3"/>
  <c r="BD32" i="3" s="1"/>
  <c r="BG17" i="3"/>
  <c r="BG26" i="3"/>
  <c r="AU25" i="3"/>
  <c r="BD25" i="3" s="1"/>
  <c r="AU24" i="3"/>
  <c r="BD24" i="3" s="1"/>
  <c r="BH17" i="3"/>
  <c r="BG18" i="3"/>
  <c r="AT32" i="3"/>
  <c r="BC32" i="3" s="1"/>
  <c r="BG20" i="3"/>
  <c r="AU31" i="3"/>
  <c r="BD31" i="3" s="1"/>
  <c r="AR18" i="1"/>
  <c r="AX18" i="1" s="1"/>
  <c r="AR25" i="1"/>
  <c r="AX25" i="1" s="1"/>
  <c r="BA25" i="1" s="1"/>
  <c r="BH25" i="1" s="1"/>
  <c r="AR32" i="1"/>
  <c r="AX32" i="1" s="1"/>
  <c r="AT25" i="3"/>
  <c r="BC25" i="3" s="1"/>
  <c r="AZ25" i="3"/>
  <c r="BF25" i="3"/>
  <c r="BC17" i="1"/>
  <c r="BF20" i="1"/>
  <c r="BF18" i="1"/>
  <c r="BG34" i="1"/>
  <c r="AZ19" i="1"/>
  <c r="BF19" i="1"/>
  <c r="BG25" i="1"/>
  <c r="AZ17" i="1"/>
  <c r="BF17" i="1"/>
  <c r="BG27" i="1"/>
  <c r="AZ18" i="1"/>
  <c r="AI21" i="1"/>
  <c r="BD17" i="1"/>
  <c r="AJ19" i="1"/>
  <c r="AJ20" i="1"/>
  <c r="AJ18" i="1"/>
  <c r="BG17" i="1" l="1"/>
  <c r="BA25" i="3"/>
  <c r="BA24" i="3"/>
  <c r="AZ31" i="3"/>
  <c r="BA31" i="3" s="1"/>
  <c r="BL35" i="1"/>
  <c r="AI10" i="8" s="1"/>
  <c r="AJ10" i="8" s="1"/>
  <c r="BL21" i="1"/>
  <c r="AI4" i="8" s="1"/>
  <c r="AJ4" i="8" s="1"/>
  <c r="BL28" i="1"/>
  <c r="AI7" i="8" s="1"/>
  <c r="AJ7" i="8" s="1"/>
  <c r="BK35" i="1"/>
  <c r="AI9" i="8" s="1"/>
  <c r="AJ9" i="8" s="1"/>
  <c r="BG27" i="3"/>
  <c r="BL35" i="3"/>
  <c r="AI19" i="8" s="1"/>
  <c r="AJ19" i="8" s="1"/>
  <c r="BL28" i="3"/>
  <c r="AI16" i="8" s="1"/>
  <c r="AJ16" i="8" s="1"/>
  <c r="BK35" i="3"/>
  <c r="AI18" i="8" s="1"/>
  <c r="AJ18" i="8" s="1"/>
  <c r="BK28" i="3"/>
  <c r="AI15" i="8" s="1"/>
  <c r="AJ15" i="8" s="1"/>
  <c r="BF35" i="3"/>
  <c r="AH17" i="8" s="1"/>
  <c r="BG24" i="3"/>
  <c r="BF24" i="3"/>
  <c r="BF28" i="3" s="1"/>
  <c r="AZ31" i="1"/>
  <c r="BA31" i="1" s="1"/>
  <c r="BH31" i="1" s="1"/>
  <c r="BF24" i="1"/>
  <c r="BF28" i="1" s="1"/>
  <c r="D3" i="3"/>
  <c r="AH11" i="8"/>
  <c r="BG32" i="3"/>
  <c r="D11" i="3"/>
  <c r="BG32" i="1"/>
  <c r="BA32" i="1"/>
  <c r="BH32" i="1" s="1"/>
  <c r="BH21" i="3"/>
  <c r="BH32" i="3"/>
  <c r="BH31" i="3"/>
  <c r="BF35" i="1"/>
  <c r="BH24" i="3"/>
  <c r="BA18" i="1"/>
  <c r="BH25" i="3"/>
  <c r="BG21" i="3"/>
  <c r="BG25" i="3"/>
  <c r="BG31" i="3"/>
  <c r="BA17" i="1"/>
  <c r="BH17" i="1" s="1"/>
  <c r="BH28" i="1"/>
  <c r="BG24" i="1"/>
  <c r="BG28" i="1" s="1"/>
  <c r="BA19" i="1"/>
  <c r="AK18" i="1"/>
  <c r="AJ21" i="1"/>
  <c r="BC18" i="1"/>
  <c r="BG18" i="1" s="1"/>
  <c r="AK20" i="1"/>
  <c r="BD20" i="1" s="1"/>
  <c r="BH20" i="1" s="1"/>
  <c r="BC20" i="1"/>
  <c r="BG20" i="1" s="1"/>
  <c r="AK19" i="1"/>
  <c r="BD19" i="1" s="1"/>
  <c r="BC19" i="1"/>
  <c r="BG19" i="1" s="1"/>
  <c r="BF21" i="1"/>
  <c r="BG35" i="3" l="1"/>
  <c r="D12" i="3" s="1"/>
  <c r="BG28" i="3"/>
  <c r="D8" i="3" s="1"/>
  <c r="BH35" i="1"/>
  <c r="D13" i="1" s="1"/>
  <c r="BG31" i="1"/>
  <c r="BG35" i="1" s="1"/>
  <c r="D12" i="1" s="1"/>
  <c r="D7" i="3"/>
  <c r="AH14" i="8"/>
  <c r="O143" i="8" s="1"/>
  <c r="Q143" i="8" s="1"/>
  <c r="BH35" i="3"/>
  <c r="D13" i="3" s="1"/>
  <c r="O332" i="8"/>
  <c r="Q332" i="8" s="1"/>
  <c r="O131" i="8"/>
  <c r="Q131" i="8" s="1"/>
  <c r="O170" i="8"/>
  <c r="Q170" i="8" s="1"/>
  <c r="O314" i="8"/>
  <c r="Q314" i="8" s="1"/>
  <c r="O338" i="8"/>
  <c r="Q338" i="8" s="1"/>
  <c r="O215" i="8"/>
  <c r="Q215" i="8" s="1"/>
  <c r="O362" i="8"/>
  <c r="Q362" i="8" s="1"/>
  <c r="O182" i="8"/>
  <c r="Q182" i="8" s="1"/>
  <c r="O173" i="8"/>
  <c r="Q173" i="8" s="1"/>
  <c r="O356" i="8"/>
  <c r="Q356" i="8" s="1"/>
  <c r="O347" i="8"/>
  <c r="Q347" i="8" s="1"/>
  <c r="O401" i="8"/>
  <c r="Q401" i="8" s="1"/>
  <c r="O200" i="8"/>
  <c r="Q200" i="8" s="1"/>
  <c r="O395" i="8"/>
  <c r="Q395" i="8" s="1"/>
  <c r="O146" i="8"/>
  <c r="Q146" i="8" s="1"/>
  <c r="O359" i="8"/>
  <c r="Q359" i="8" s="1"/>
  <c r="O149" i="8"/>
  <c r="Q149" i="8" s="1"/>
  <c r="O17" i="8"/>
  <c r="Q17" i="8" s="1"/>
  <c r="O392" i="8"/>
  <c r="Q392" i="8" s="1"/>
  <c r="O341" i="8"/>
  <c r="Q341" i="8" s="1"/>
  <c r="O371" i="8"/>
  <c r="Q371" i="8" s="1"/>
  <c r="O122" i="8"/>
  <c r="Q122" i="8" s="1"/>
  <c r="O194" i="8"/>
  <c r="Q194" i="8" s="1"/>
  <c r="O167" i="8"/>
  <c r="Q167" i="8" s="1"/>
  <c r="O134" i="8"/>
  <c r="Q134" i="8" s="1"/>
  <c r="O125" i="8"/>
  <c r="Q125" i="8" s="1"/>
  <c r="O212" i="8"/>
  <c r="Q212" i="8" s="1"/>
  <c r="O188" i="8"/>
  <c r="Q188" i="8" s="1"/>
  <c r="O209" i="8"/>
  <c r="Q209" i="8" s="1"/>
  <c r="O374" i="8"/>
  <c r="Q374" i="8" s="1"/>
  <c r="O389" i="8"/>
  <c r="Q389" i="8" s="1"/>
  <c r="O164" i="8"/>
  <c r="Q164" i="8" s="1"/>
  <c r="O140" i="8"/>
  <c r="Q140" i="8" s="1"/>
  <c r="O323" i="8"/>
  <c r="Q323" i="8" s="1"/>
  <c r="O11" i="8"/>
  <c r="Q11" i="8" s="1"/>
  <c r="O344" i="8"/>
  <c r="Q344" i="8" s="1"/>
  <c r="O155" i="8"/>
  <c r="Q155" i="8" s="1"/>
  <c r="O203" i="8"/>
  <c r="Q203" i="8" s="1"/>
  <c r="O161" i="8"/>
  <c r="Q161" i="8" s="1"/>
  <c r="O326" i="8"/>
  <c r="Q326" i="8" s="1"/>
  <c r="O179" i="8"/>
  <c r="Q179" i="8" s="1"/>
  <c r="O317" i="8"/>
  <c r="Q317" i="8" s="1"/>
  <c r="O407" i="8"/>
  <c r="Q407" i="8" s="1"/>
  <c r="O386" i="8"/>
  <c r="Q386" i="8" s="1"/>
  <c r="O365" i="8"/>
  <c r="Q365" i="8" s="1"/>
  <c r="O404" i="8"/>
  <c r="Q404" i="8" s="1"/>
  <c r="O197" i="8"/>
  <c r="Q197" i="8" s="1"/>
  <c r="O5" i="8"/>
  <c r="Q5" i="8" s="1"/>
  <c r="O2" i="8"/>
  <c r="Q2" i="8" s="1"/>
  <c r="O152" i="8"/>
  <c r="Q152" i="8" s="1"/>
  <c r="O20" i="8"/>
  <c r="Q20" i="8" s="1"/>
  <c r="O353" i="8"/>
  <c r="Q353" i="8" s="1"/>
  <c r="O23" i="8"/>
  <c r="Q23" i="8" s="1"/>
  <c r="O380" i="8"/>
  <c r="Q380" i="8" s="1"/>
  <c r="D11" i="1"/>
  <c r="AH8" i="8"/>
  <c r="O368" i="8"/>
  <c r="Q368" i="8" s="1"/>
  <c r="O8" i="8"/>
  <c r="Q8" i="8" s="1"/>
  <c r="O377" i="8"/>
  <c r="Q377" i="8" s="1"/>
  <c r="O185" i="8"/>
  <c r="Q185" i="8" s="1"/>
  <c r="O176" i="8"/>
  <c r="Q176" i="8" s="1"/>
  <c r="O128" i="8"/>
  <c r="Q128" i="8" s="1"/>
  <c r="O137" i="8"/>
  <c r="Q137" i="8" s="1"/>
  <c r="O320" i="8"/>
  <c r="Q320" i="8" s="1"/>
  <c r="O329" i="8"/>
  <c r="Q329" i="8" s="1"/>
  <c r="D3" i="1"/>
  <c r="AH2" i="8"/>
  <c r="D8" i="1"/>
  <c r="AH6" i="8"/>
  <c r="D7" i="1"/>
  <c r="AH5" i="8"/>
  <c r="D9" i="1"/>
  <c r="AH7" i="8"/>
  <c r="D5" i="3"/>
  <c r="AH13" i="8"/>
  <c r="D4" i="3"/>
  <c r="AH12" i="8"/>
  <c r="BH28" i="3"/>
  <c r="BH19" i="1"/>
  <c r="BD18" i="1"/>
  <c r="BH18" i="1" s="1"/>
  <c r="AK21" i="1"/>
  <c r="BG21" i="1"/>
  <c r="R2" i="8" l="1"/>
  <c r="V2" i="8"/>
  <c r="AH19" i="8"/>
  <c r="O130" i="8" s="1"/>
  <c r="Q130" i="8" s="1"/>
  <c r="AH15" i="8"/>
  <c r="AH10" i="8"/>
  <c r="AH18" i="8"/>
  <c r="O129" i="8" s="1"/>
  <c r="Q129" i="8" s="1"/>
  <c r="O398" i="8"/>
  <c r="Q398" i="8" s="1"/>
  <c r="O158" i="8"/>
  <c r="Q158" i="8" s="1"/>
  <c r="O191" i="8"/>
  <c r="Q191" i="8" s="1"/>
  <c r="O335" i="8"/>
  <c r="Q335" i="8" s="1"/>
  <c r="O14" i="8"/>
  <c r="Q14" i="8" s="1"/>
  <c r="O383" i="8"/>
  <c r="Q383" i="8" s="1"/>
  <c r="O206" i="8"/>
  <c r="Q206" i="8" s="1"/>
  <c r="O350" i="8"/>
  <c r="AH9" i="8"/>
  <c r="O282" i="8" s="1"/>
  <c r="Q282" i="8" s="1"/>
  <c r="P374" i="8"/>
  <c r="P185" i="8"/>
  <c r="P344" i="8"/>
  <c r="P188" i="8"/>
  <c r="P341" i="8"/>
  <c r="P401" i="8"/>
  <c r="P314" i="8"/>
  <c r="P128" i="8"/>
  <c r="P122" i="8"/>
  <c r="P23" i="8"/>
  <c r="P209" i="8"/>
  <c r="P200" i="8"/>
  <c r="P353" i="8"/>
  <c r="D4" i="1"/>
  <c r="AH3" i="8"/>
  <c r="O293" i="8"/>
  <c r="Q293" i="8" s="1"/>
  <c r="O44" i="8"/>
  <c r="Q44" i="8" s="1"/>
  <c r="O83" i="8"/>
  <c r="Q83" i="8" s="1"/>
  <c r="O74" i="8"/>
  <c r="Q74" i="8" s="1"/>
  <c r="O305" i="8"/>
  <c r="Q305" i="8" s="1"/>
  <c r="O113" i="8"/>
  <c r="Q113" i="8" s="1"/>
  <c r="O248" i="8"/>
  <c r="Q248" i="8" s="1"/>
  <c r="O269" i="8"/>
  <c r="Q269" i="8" s="1"/>
  <c r="O77" i="8"/>
  <c r="Q77" i="8" s="1"/>
  <c r="O104" i="8"/>
  <c r="Q104" i="8" s="1"/>
  <c r="O290" i="8"/>
  <c r="Q290" i="8" s="1"/>
  <c r="O50" i="8"/>
  <c r="Q50" i="8" s="1"/>
  <c r="O284" i="8"/>
  <c r="Q284" i="8" s="1"/>
  <c r="O35" i="8"/>
  <c r="Q35" i="8" s="1"/>
  <c r="O59" i="8"/>
  <c r="Q59" i="8" s="1"/>
  <c r="O266" i="8"/>
  <c r="Q266" i="8" s="1"/>
  <c r="O263" i="8"/>
  <c r="Q263" i="8" s="1"/>
  <c r="O71" i="8"/>
  <c r="Q71" i="8" s="1"/>
  <c r="O278" i="8"/>
  <c r="Q278" i="8" s="1"/>
  <c r="O260" i="8"/>
  <c r="Q260" i="8" s="1"/>
  <c r="O116" i="8"/>
  <c r="Q116" i="8" s="1"/>
  <c r="O275" i="8"/>
  <c r="Q275" i="8" s="1"/>
  <c r="O299" i="8"/>
  <c r="Q299" i="8" s="1"/>
  <c r="O311" i="8"/>
  <c r="Q311" i="8" s="1"/>
  <c r="O119" i="8"/>
  <c r="Q119" i="8" s="1"/>
  <c r="O236" i="8"/>
  <c r="Q236" i="8" s="1"/>
  <c r="O221" i="8"/>
  <c r="Q221" i="8" s="1"/>
  <c r="O38" i="8"/>
  <c r="Q38" i="8" s="1"/>
  <c r="O308" i="8"/>
  <c r="Q308" i="8" s="1"/>
  <c r="O257" i="8"/>
  <c r="Q257" i="8" s="1"/>
  <c r="O227" i="8"/>
  <c r="Q227" i="8" s="1"/>
  <c r="O245" i="8"/>
  <c r="Q245" i="8" s="1"/>
  <c r="O53" i="8"/>
  <c r="Q53" i="8" s="1"/>
  <c r="O92" i="8"/>
  <c r="Q92" i="8" s="1"/>
  <c r="O26" i="8"/>
  <c r="Q26" i="8" s="1"/>
  <c r="O65" i="8"/>
  <c r="Q65" i="8" s="1"/>
  <c r="O107" i="8"/>
  <c r="Q107" i="8" s="1"/>
  <c r="O29" i="8"/>
  <c r="Q29" i="8" s="1"/>
  <c r="O68" i="8"/>
  <c r="Q68" i="8" s="1"/>
  <c r="O242" i="8"/>
  <c r="Q242" i="8" s="1"/>
  <c r="O56" i="8"/>
  <c r="Q56" i="8" s="1"/>
  <c r="O86" i="8"/>
  <c r="Q86" i="8" s="1"/>
  <c r="O230" i="8"/>
  <c r="Q230" i="8" s="1"/>
  <c r="O251" i="8"/>
  <c r="Q251" i="8" s="1"/>
  <c r="O296" i="8"/>
  <c r="Q296" i="8" s="1"/>
  <c r="O218" i="8"/>
  <c r="Q218" i="8" s="1"/>
  <c r="O101" i="8"/>
  <c r="Q101" i="8" s="1"/>
  <c r="O98" i="8"/>
  <c r="Q98" i="8" s="1"/>
  <c r="P377" i="8"/>
  <c r="P20" i="8"/>
  <c r="P407" i="8"/>
  <c r="P11" i="8"/>
  <c r="P212" i="8"/>
  <c r="P392" i="8"/>
  <c r="P347" i="8"/>
  <c r="P170" i="8"/>
  <c r="P404" i="8"/>
  <c r="P395" i="8"/>
  <c r="P176" i="8"/>
  <c r="P155" i="8"/>
  <c r="P338" i="8"/>
  <c r="O241" i="8"/>
  <c r="Q241" i="8" s="1"/>
  <c r="O49" i="8"/>
  <c r="Q49" i="8" s="1"/>
  <c r="O112" i="8"/>
  <c r="Q112" i="8" s="1"/>
  <c r="O289" i="8"/>
  <c r="Q289" i="8" s="1"/>
  <c r="O97" i="8"/>
  <c r="Q97" i="8" s="1"/>
  <c r="O304" i="8"/>
  <c r="Q304" i="8" s="1"/>
  <c r="O64" i="8"/>
  <c r="Q64" i="8" s="1"/>
  <c r="O256" i="8"/>
  <c r="Q256" i="8" s="1"/>
  <c r="P386" i="8"/>
  <c r="P8" i="8"/>
  <c r="P152" i="8"/>
  <c r="P317" i="8"/>
  <c r="P323" i="8"/>
  <c r="P125" i="8"/>
  <c r="P17" i="8"/>
  <c r="P356" i="8"/>
  <c r="P131" i="8"/>
  <c r="P203" i="8"/>
  <c r="P365" i="8"/>
  <c r="P371" i="8"/>
  <c r="P383" i="8"/>
  <c r="O47" i="8"/>
  <c r="Q47" i="8" s="1"/>
  <c r="O62" i="8"/>
  <c r="Q62" i="8" s="1"/>
  <c r="O110" i="8"/>
  <c r="Q110" i="8" s="1"/>
  <c r="O95" i="8"/>
  <c r="Q95" i="8" s="1"/>
  <c r="O302" i="8"/>
  <c r="Q302" i="8" s="1"/>
  <c r="O287" i="8"/>
  <c r="Q287" i="8" s="1"/>
  <c r="O254" i="8"/>
  <c r="Q254" i="8" s="1"/>
  <c r="O239" i="8"/>
  <c r="Q239" i="8" s="1"/>
  <c r="P329" i="8"/>
  <c r="P368" i="8"/>
  <c r="P2" i="8"/>
  <c r="P179" i="8"/>
  <c r="P140" i="8"/>
  <c r="P134" i="8"/>
  <c r="P149" i="8"/>
  <c r="P173" i="8"/>
  <c r="P332" i="8"/>
  <c r="P167" i="8"/>
  <c r="P359" i="8"/>
  <c r="P182" i="8"/>
  <c r="P380" i="8"/>
  <c r="P215" i="8"/>
  <c r="O226" i="8"/>
  <c r="Q226" i="8" s="1"/>
  <c r="O274" i="8"/>
  <c r="Q274" i="8" s="1"/>
  <c r="O43" i="8"/>
  <c r="Q43" i="8" s="1"/>
  <c r="O82" i="8"/>
  <c r="Q82" i="8" s="1"/>
  <c r="O235" i="8"/>
  <c r="Q235" i="8" s="1"/>
  <c r="O34" i="8"/>
  <c r="Q34" i="8" s="1"/>
  <c r="O91" i="8"/>
  <c r="Q91" i="8" s="1"/>
  <c r="O283" i="8"/>
  <c r="Q283" i="8" s="1"/>
  <c r="P320" i="8"/>
  <c r="O272" i="8"/>
  <c r="Q272" i="8" s="1"/>
  <c r="O89" i="8"/>
  <c r="Q89" i="8" s="1"/>
  <c r="O224" i="8"/>
  <c r="Q224" i="8" s="1"/>
  <c r="O233" i="8"/>
  <c r="Q233" i="8" s="1"/>
  <c r="O41" i="8"/>
  <c r="Q41" i="8" s="1"/>
  <c r="O281" i="8"/>
  <c r="Q281" i="8" s="1"/>
  <c r="O32" i="8"/>
  <c r="Q32" i="8" s="1"/>
  <c r="O80" i="8"/>
  <c r="Q80" i="8" s="1"/>
  <c r="P5" i="8"/>
  <c r="P326" i="8"/>
  <c r="P164" i="8"/>
  <c r="P143" i="8"/>
  <c r="O48" i="8"/>
  <c r="Q48" i="8" s="1"/>
  <c r="O63" i="8"/>
  <c r="Q63" i="8" s="1"/>
  <c r="O240" i="8"/>
  <c r="Q240" i="8" s="1"/>
  <c r="O255" i="8"/>
  <c r="Q255" i="8" s="1"/>
  <c r="O96" i="8"/>
  <c r="Q96" i="8" s="1"/>
  <c r="O288" i="8"/>
  <c r="Q288" i="8" s="1"/>
  <c r="O303" i="8"/>
  <c r="Q303" i="8" s="1"/>
  <c r="O111" i="8"/>
  <c r="Q111" i="8" s="1"/>
  <c r="P137" i="8"/>
  <c r="P197" i="8"/>
  <c r="P161" i="8"/>
  <c r="P389" i="8"/>
  <c r="P194" i="8"/>
  <c r="P146" i="8"/>
  <c r="P362" i="8"/>
  <c r="O331" i="8"/>
  <c r="Q331" i="8" s="1"/>
  <c r="O10" i="8"/>
  <c r="Q10" i="8" s="1"/>
  <c r="O370" i="8"/>
  <c r="Q370" i="8" s="1"/>
  <c r="O139" i="8"/>
  <c r="Q139" i="8" s="1"/>
  <c r="O322" i="8"/>
  <c r="Q322" i="8" s="1"/>
  <c r="O178" i="8"/>
  <c r="Q178" i="8" s="1"/>
  <c r="O379" i="8"/>
  <c r="Q379" i="8" s="1"/>
  <c r="O378" i="8"/>
  <c r="Q378" i="8" s="1"/>
  <c r="O369" i="8"/>
  <c r="Q369" i="8" s="1"/>
  <c r="O138" i="8"/>
  <c r="Q138" i="8" s="1"/>
  <c r="O177" i="8"/>
  <c r="Q177" i="8" s="1"/>
  <c r="O330" i="8"/>
  <c r="Q330" i="8" s="1"/>
  <c r="O9" i="8"/>
  <c r="Q9" i="8" s="1"/>
  <c r="O186" i="8"/>
  <c r="Q186" i="8" s="1"/>
  <c r="O192" i="8"/>
  <c r="Q192" i="8" s="1"/>
  <c r="O351" i="8"/>
  <c r="Q351" i="8" s="1"/>
  <c r="O336" i="8"/>
  <c r="Q336" i="8" s="1"/>
  <c r="O207" i="8"/>
  <c r="Q207" i="8" s="1"/>
  <c r="O15" i="8"/>
  <c r="Q15" i="8" s="1"/>
  <c r="O144" i="8"/>
  <c r="Q144" i="8" s="1"/>
  <c r="O384" i="8"/>
  <c r="Q384" i="8" s="1"/>
  <c r="O159" i="8"/>
  <c r="Q159" i="8" s="1"/>
  <c r="O399" i="8"/>
  <c r="Q399" i="8" s="1"/>
  <c r="D9" i="3"/>
  <c r="AH16" i="8"/>
  <c r="O388" i="8"/>
  <c r="Q388" i="8" s="1"/>
  <c r="O172" i="8"/>
  <c r="Q172" i="8" s="1"/>
  <c r="O196" i="8"/>
  <c r="Q196" i="8" s="1"/>
  <c r="O394" i="8"/>
  <c r="Q394" i="8" s="1"/>
  <c r="O406" i="8"/>
  <c r="Q406" i="8" s="1"/>
  <c r="O142" i="8"/>
  <c r="Q142" i="8" s="1"/>
  <c r="O157" i="8"/>
  <c r="Q157" i="8" s="1"/>
  <c r="O202" i="8"/>
  <c r="Q202" i="8" s="1"/>
  <c r="O349" i="8"/>
  <c r="Q349" i="8" s="1"/>
  <c r="O346" i="8"/>
  <c r="Q346" i="8" s="1"/>
  <c r="O199" i="8"/>
  <c r="Q199" i="8" s="1"/>
  <c r="O334" i="8"/>
  <c r="Q334" i="8" s="1"/>
  <c r="O148" i="8"/>
  <c r="Q148" i="8" s="1"/>
  <c r="O376" i="8"/>
  <c r="Q376" i="8" s="1"/>
  <c r="O169" i="8"/>
  <c r="Q169" i="8" s="1"/>
  <c r="O328" i="8"/>
  <c r="Q328" i="8" s="1"/>
  <c r="O319" i="8"/>
  <c r="Q319" i="8" s="1"/>
  <c r="O127" i="8"/>
  <c r="Q127" i="8" s="1"/>
  <c r="O190" i="8"/>
  <c r="Q190" i="8" s="1"/>
  <c r="O205" i="8"/>
  <c r="Q205" i="8" s="1"/>
  <c r="O13" i="8"/>
  <c r="Q13" i="8" s="1"/>
  <c r="O325" i="8"/>
  <c r="Q325" i="8" s="1"/>
  <c r="O163" i="8"/>
  <c r="Q163" i="8" s="1"/>
  <c r="O361" i="8"/>
  <c r="Q361" i="8" s="1"/>
  <c r="O391" i="8"/>
  <c r="Q391" i="8" s="1"/>
  <c r="O382" i="8"/>
  <c r="Q382" i="8" s="1"/>
  <c r="O7" i="8"/>
  <c r="Q7" i="8" s="1"/>
  <c r="O133" i="8"/>
  <c r="Q133" i="8" s="1"/>
  <c r="O403" i="8"/>
  <c r="Q403" i="8" s="1"/>
  <c r="O211" i="8"/>
  <c r="Q211" i="8" s="1"/>
  <c r="O217" i="8"/>
  <c r="Q217" i="8" s="1"/>
  <c r="O25" i="8"/>
  <c r="Q25" i="8" s="1"/>
  <c r="O175" i="8"/>
  <c r="Q175" i="8" s="1"/>
  <c r="O397" i="8"/>
  <c r="Q397" i="8" s="1"/>
  <c r="O124" i="8"/>
  <c r="Q124" i="8" s="1"/>
  <c r="O136" i="8"/>
  <c r="Q136" i="8" s="1"/>
  <c r="O166" i="8"/>
  <c r="Q166" i="8" s="1"/>
  <c r="O181" i="8"/>
  <c r="Q181" i="8" s="1"/>
  <c r="O4" i="8"/>
  <c r="Q4" i="8" s="1"/>
  <c r="O19" i="8"/>
  <c r="Q19" i="8" s="1"/>
  <c r="O355" i="8"/>
  <c r="Q355" i="8" s="1"/>
  <c r="O409" i="8"/>
  <c r="Q409" i="8" s="1"/>
  <c r="O367" i="8"/>
  <c r="Q367" i="8" s="1"/>
  <c r="O358" i="8"/>
  <c r="Q358" i="8" s="1"/>
  <c r="O373" i="8"/>
  <c r="Q373" i="8" s="1"/>
  <c r="O364" i="8"/>
  <c r="Q364" i="8" s="1"/>
  <c r="O340" i="8"/>
  <c r="Q340" i="8" s="1"/>
  <c r="O316" i="8"/>
  <c r="Q316" i="8" s="1"/>
  <c r="O154" i="8"/>
  <c r="Q154" i="8" s="1"/>
  <c r="O184" i="8"/>
  <c r="Q184" i="8" s="1"/>
  <c r="O343" i="8"/>
  <c r="Q343" i="8" s="1"/>
  <c r="O151" i="8"/>
  <c r="Q151" i="8" s="1"/>
  <c r="O214" i="8"/>
  <c r="Q214" i="8" s="1"/>
  <c r="O22" i="8"/>
  <c r="Q22" i="8" s="1"/>
  <c r="O357" i="8"/>
  <c r="Q357" i="8" s="1"/>
  <c r="O324" i="8"/>
  <c r="Q324" i="8" s="1"/>
  <c r="O18" i="8"/>
  <c r="Q18" i="8" s="1"/>
  <c r="O393" i="8"/>
  <c r="Q393" i="8" s="1"/>
  <c r="O408" i="8"/>
  <c r="Q408" i="8" s="1"/>
  <c r="O342" i="8"/>
  <c r="Q342" i="8" s="1"/>
  <c r="O348" i="8"/>
  <c r="Q348" i="8" s="1"/>
  <c r="O204" i="8"/>
  <c r="Q204" i="8" s="1"/>
  <c r="O387" i="8"/>
  <c r="Q387" i="8" s="1"/>
  <c r="O156" i="8"/>
  <c r="Q156" i="8" s="1"/>
  <c r="O168" i="8"/>
  <c r="Q168" i="8" s="1"/>
  <c r="O327" i="8"/>
  <c r="Q327" i="8" s="1"/>
  <c r="O135" i="8"/>
  <c r="Q135" i="8" s="1"/>
  <c r="O198" i="8"/>
  <c r="Q198" i="8" s="1"/>
  <c r="O6" i="8"/>
  <c r="Q6" i="8" s="1"/>
  <c r="O213" i="8"/>
  <c r="Q213" i="8" s="1"/>
  <c r="O21" i="8"/>
  <c r="Q21" i="8" s="1"/>
  <c r="O180" i="8"/>
  <c r="Q180" i="8" s="1"/>
  <c r="O333" i="8"/>
  <c r="Q333" i="8" s="1"/>
  <c r="O195" i="8"/>
  <c r="Q195" i="8" s="1"/>
  <c r="O363" i="8"/>
  <c r="Q363" i="8" s="1"/>
  <c r="O210" i="8"/>
  <c r="Q210" i="8" s="1"/>
  <c r="O354" i="8"/>
  <c r="Q354" i="8" s="1"/>
  <c r="O390" i="8"/>
  <c r="Q390" i="8" s="1"/>
  <c r="O126" i="8"/>
  <c r="Q126" i="8" s="1"/>
  <c r="O141" i="8"/>
  <c r="Q141" i="8" s="1"/>
  <c r="O132" i="8"/>
  <c r="Q132" i="8" s="1"/>
  <c r="O339" i="8"/>
  <c r="Q339" i="8" s="1"/>
  <c r="O315" i="8"/>
  <c r="Q315" i="8" s="1"/>
  <c r="O216" i="8"/>
  <c r="Q216" i="8" s="1"/>
  <c r="O24" i="8"/>
  <c r="Q24" i="8" s="1"/>
  <c r="O183" i="8"/>
  <c r="Q183" i="8" s="1"/>
  <c r="O318" i="8"/>
  <c r="Q318" i="8" s="1"/>
  <c r="O396" i="8"/>
  <c r="Q396" i="8" s="1"/>
  <c r="O171" i="8"/>
  <c r="Q171" i="8" s="1"/>
  <c r="O123" i="8"/>
  <c r="Q123" i="8" s="1"/>
  <c r="O153" i="8"/>
  <c r="Q153" i="8" s="1"/>
  <c r="O174" i="8"/>
  <c r="Q174" i="8" s="1"/>
  <c r="O189" i="8"/>
  <c r="Q189" i="8" s="1"/>
  <c r="O12" i="8"/>
  <c r="Q12" i="8" s="1"/>
  <c r="O147" i="8"/>
  <c r="Q147" i="8" s="1"/>
  <c r="O405" i="8"/>
  <c r="Q405" i="8" s="1"/>
  <c r="O3" i="8"/>
  <c r="Q3" i="8" s="1"/>
  <c r="O345" i="8"/>
  <c r="Q345" i="8" s="1"/>
  <c r="O360" i="8"/>
  <c r="Q360" i="8" s="1"/>
  <c r="O375" i="8"/>
  <c r="Q375" i="8" s="1"/>
  <c r="O366" i="8"/>
  <c r="Q366" i="8" s="1"/>
  <c r="O381" i="8"/>
  <c r="Q381" i="8" s="1"/>
  <c r="O372" i="8"/>
  <c r="Q372" i="8" s="1"/>
  <c r="O162" i="8"/>
  <c r="Q162" i="8" s="1"/>
  <c r="O201" i="8"/>
  <c r="Q201" i="8" s="1"/>
  <c r="O402" i="8"/>
  <c r="Q402" i="8" s="1"/>
  <c r="O150" i="8"/>
  <c r="Q150" i="8" s="1"/>
  <c r="O165" i="8"/>
  <c r="Q165" i="8" s="1"/>
  <c r="BH21" i="1"/>
  <c r="O321" i="8" l="1"/>
  <c r="Q321" i="8" s="1"/>
  <c r="O187" i="8"/>
  <c r="Q187" i="8" s="1"/>
  <c r="P158" i="8"/>
  <c r="P350" i="8"/>
  <c r="Q350" i="8"/>
  <c r="O225" i="8"/>
  <c r="Q225" i="8" s="1"/>
  <c r="P335" i="8"/>
  <c r="P398" i="8"/>
  <c r="O234" i="8"/>
  <c r="O90" i="8"/>
  <c r="P14" i="8"/>
  <c r="P191" i="8"/>
  <c r="P206" i="8"/>
  <c r="V350" i="8"/>
  <c r="O81" i="8"/>
  <c r="Q81" i="8" s="1"/>
  <c r="O273" i="8"/>
  <c r="O42" i="8"/>
  <c r="O33" i="8"/>
  <c r="Q33" i="8" s="1"/>
  <c r="P283" i="8"/>
  <c r="P278" i="8"/>
  <c r="V128" i="8"/>
  <c r="R128" i="8"/>
  <c r="P95" i="8"/>
  <c r="P104" i="8"/>
  <c r="P44" i="8"/>
  <c r="V209" i="8"/>
  <c r="R209" i="8"/>
  <c r="V344" i="8"/>
  <c r="R344" i="8"/>
  <c r="P255" i="8"/>
  <c r="P287" i="8"/>
  <c r="V317" i="8"/>
  <c r="R317" i="8"/>
  <c r="P251" i="8"/>
  <c r="P260" i="8"/>
  <c r="P240" i="8"/>
  <c r="V359" i="8"/>
  <c r="R359" i="8"/>
  <c r="V149" i="8"/>
  <c r="R149" i="8"/>
  <c r="V356" i="8"/>
  <c r="R356" i="8"/>
  <c r="P230" i="8"/>
  <c r="P83" i="8"/>
  <c r="P89" i="8"/>
  <c r="P256" i="8"/>
  <c r="V212" i="8"/>
  <c r="R212" i="8"/>
  <c r="P92" i="8"/>
  <c r="P236" i="8"/>
  <c r="P71" i="8"/>
  <c r="V194" i="8"/>
  <c r="R194" i="8"/>
  <c r="V137" i="8"/>
  <c r="R137" i="8"/>
  <c r="P48" i="8"/>
  <c r="V5" i="8"/>
  <c r="R5" i="8"/>
  <c r="P272" i="8"/>
  <c r="P235" i="8"/>
  <c r="V380" i="8"/>
  <c r="R380" i="8"/>
  <c r="V368" i="8"/>
  <c r="R368" i="8"/>
  <c r="P110" i="8"/>
  <c r="V17" i="8"/>
  <c r="R17" i="8"/>
  <c r="P64" i="8"/>
  <c r="V404" i="8"/>
  <c r="R404" i="8"/>
  <c r="P56" i="8"/>
  <c r="P53" i="8"/>
  <c r="P119" i="8"/>
  <c r="P263" i="8"/>
  <c r="P77" i="8"/>
  <c r="P293" i="8"/>
  <c r="V314" i="8"/>
  <c r="R314" i="8"/>
  <c r="P233" i="8"/>
  <c r="P49" i="8"/>
  <c r="V392" i="8"/>
  <c r="R392" i="8"/>
  <c r="P38" i="8"/>
  <c r="P50" i="8"/>
  <c r="V200" i="8"/>
  <c r="R200" i="8"/>
  <c r="V197" i="8"/>
  <c r="R197" i="8"/>
  <c r="P91" i="8"/>
  <c r="P302" i="8"/>
  <c r="V365" i="8"/>
  <c r="R365" i="8"/>
  <c r="R386" i="8"/>
  <c r="V386" i="8"/>
  <c r="V395" i="8"/>
  <c r="R395" i="8"/>
  <c r="V20" i="8"/>
  <c r="R20" i="8"/>
  <c r="P221" i="8"/>
  <c r="P34" i="8"/>
  <c r="V134" i="8"/>
  <c r="R134" i="8"/>
  <c r="P86" i="8"/>
  <c r="D5" i="1"/>
  <c r="AH4" i="8"/>
  <c r="V389" i="8"/>
  <c r="R389" i="8"/>
  <c r="P111" i="8"/>
  <c r="V143" i="8"/>
  <c r="R143" i="8"/>
  <c r="P80" i="8"/>
  <c r="P82" i="8"/>
  <c r="R398" i="8"/>
  <c r="V398" i="8"/>
  <c r="V329" i="8"/>
  <c r="R329" i="8"/>
  <c r="P62" i="8"/>
  <c r="P304" i="8"/>
  <c r="R170" i="8"/>
  <c r="V170" i="8"/>
  <c r="P98" i="8"/>
  <c r="P242" i="8"/>
  <c r="P245" i="8"/>
  <c r="P311" i="8"/>
  <c r="P266" i="8"/>
  <c r="P269" i="8"/>
  <c r="O36" i="8"/>
  <c r="Q36" i="8" s="1"/>
  <c r="O279" i="8"/>
  <c r="Q279" i="8" s="1"/>
  <c r="O87" i="8"/>
  <c r="Q87" i="8" s="1"/>
  <c r="O294" i="8"/>
  <c r="Q294" i="8" s="1"/>
  <c r="O78" i="8"/>
  <c r="Q78" i="8" s="1"/>
  <c r="O270" i="8"/>
  <c r="Q270" i="8" s="1"/>
  <c r="O276" i="8"/>
  <c r="Q276" i="8" s="1"/>
  <c r="O285" i="8"/>
  <c r="Q285" i="8" s="1"/>
  <c r="O51" i="8"/>
  <c r="Q51" i="8" s="1"/>
  <c r="O99" i="8"/>
  <c r="Q99" i="8" s="1"/>
  <c r="O66" i="8"/>
  <c r="Q66" i="8" s="1"/>
  <c r="O297" i="8"/>
  <c r="Q297" i="8" s="1"/>
  <c r="O105" i="8"/>
  <c r="Q105" i="8" s="1"/>
  <c r="O258" i="8"/>
  <c r="Q258" i="8" s="1"/>
  <c r="O39" i="8"/>
  <c r="Q39" i="8" s="1"/>
  <c r="O261" i="8"/>
  <c r="Q261" i="8" s="1"/>
  <c r="O69" i="8"/>
  <c r="Q69" i="8" s="1"/>
  <c r="O27" i="8"/>
  <c r="Q27" i="8" s="1"/>
  <c r="O252" i="8"/>
  <c r="Q252" i="8" s="1"/>
  <c r="O228" i="8"/>
  <c r="Q228" i="8" s="1"/>
  <c r="O114" i="8"/>
  <c r="Q114" i="8" s="1"/>
  <c r="O312" i="8"/>
  <c r="Q312" i="8" s="1"/>
  <c r="O306" i="8"/>
  <c r="Q306" i="8" s="1"/>
  <c r="O300" i="8"/>
  <c r="Q300" i="8" s="1"/>
  <c r="O219" i="8"/>
  <c r="Q219" i="8" s="1"/>
  <c r="O237" i="8"/>
  <c r="Q237" i="8" s="1"/>
  <c r="O45" i="8"/>
  <c r="Q45" i="8" s="1"/>
  <c r="O57" i="8"/>
  <c r="Q57" i="8" s="1"/>
  <c r="O243" i="8"/>
  <c r="Q243" i="8" s="1"/>
  <c r="O291" i="8"/>
  <c r="Q291" i="8" s="1"/>
  <c r="O120" i="8"/>
  <c r="Q120" i="8" s="1"/>
  <c r="O309" i="8"/>
  <c r="Q309" i="8" s="1"/>
  <c r="O249" i="8"/>
  <c r="Q249" i="8" s="1"/>
  <c r="O72" i="8"/>
  <c r="Q72" i="8" s="1"/>
  <c r="O75" i="8"/>
  <c r="Q75" i="8" s="1"/>
  <c r="O246" i="8"/>
  <c r="Q246" i="8" s="1"/>
  <c r="O108" i="8"/>
  <c r="Q108" i="8" s="1"/>
  <c r="O102" i="8"/>
  <c r="Q102" i="8" s="1"/>
  <c r="O222" i="8"/>
  <c r="Q222" i="8" s="1"/>
  <c r="O267" i="8"/>
  <c r="Q267" i="8" s="1"/>
  <c r="O231" i="8"/>
  <c r="Q231" i="8" s="1"/>
  <c r="O30" i="8"/>
  <c r="Q30" i="8" s="1"/>
  <c r="O264" i="8"/>
  <c r="Q264" i="8" s="1"/>
  <c r="O54" i="8"/>
  <c r="Q54" i="8" s="1"/>
  <c r="O117" i="8"/>
  <c r="Q117" i="8" s="1"/>
  <c r="O84" i="8"/>
  <c r="Q84" i="8" s="1"/>
  <c r="O60" i="8"/>
  <c r="Q60" i="8" s="1"/>
  <c r="O93" i="8"/>
  <c r="Q93" i="8" s="1"/>
  <c r="P81" i="8"/>
  <c r="V383" i="8"/>
  <c r="R383" i="8"/>
  <c r="P65" i="8"/>
  <c r="P74" i="8"/>
  <c r="P224" i="8"/>
  <c r="V215" i="8"/>
  <c r="R215" i="8"/>
  <c r="P241" i="8"/>
  <c r="P26" i="8"/>
  <c r="P290" i="8"/>
  <c r="V188" i="8"/>
  <c r="R188" i="8"/>
  <c r="P63" i="8"/>
  <c r="V167" i="8"/>
  <c r="R167" i="8"/>
  <c r="V335" i="8"/>
  <c r="R335" i="8"/>
  <c r="V158" i="8"/>
  <c r="R158" i="8"/>
  <c r="V152" i="8"/>
  <c r="R152" i="8"/>
  <c r="V338" i="8"/>
  <c r="R338" i="8"/>
  <c r="V377" i="8"/>
  <c r="R377" i="8"/>
  <c r="P303" i="8"/>
  <c r="P32" i="8"/>
  <c r="V320" i="8"/>
  <c r="R320" i="8"/>
  <c r="P43" i="8"/>
  <c r="P282" i="8"/>
  <c r="V332" i="8"/>
  <c r="R332" i="8"/>
  <c r="V140" i="8"/>
  <c r="R140" i="8"/>
  <c r="P47" i="8"/>
  <c r="V191" i="8"/>
  <c r="R191" i="8"/>
  <c r="V203" i="8"/>
  <c r="R203" i="8"/>
  <c r="V125" i="8"/>
  <c r="R125" i="8"/>
  <c r="V8" i="8"/>
  <c r="R8" i="8"/>
  <c r="P97" i="8"/>
  <c r="R155" i="8"/>
  <c r="V155" i="8"/>
  <c r="V11" i="8"/>
  <c r="R11" i="8"/>
  <c r="P101" i="8"/>
  <c r="P68" i="8"/>
  <c r="P227" i="8"/>
  <c r="P299" i="8"/>
  <c r="P59" i="8"/>
  <c r="P248" i="8"/>
  <c r="V23" i="8"/>
  <c r="R23" i="8"/>
  <c r="V401" i="8"/>
  <c r="R401" i="8"/>
  <c r="V185" i="8"/>
  <c r="R185" i="8"/>
  <c r="V146" i="8"/>
  <c r="R146" i="8"/>
  <c r="R326" i="8"/>
  <c r="V326" i="8"/>
  <c r="R362" i="8"/>
  <c r="V362" i="8"/>
  <c r="V161" i="8"/>
  <c r="R161" i="8"/>
  <c r="P288" i="8"/>
  <c r="P281" i="8"/>
  <c r="P274" i="8"/>
  <c r="P239" i="8"/>
  <c r="V206" i="8"/>
  <c r="R206" i="8"/>
  <c r="R131" i="8"/>
  <c r="V131" i="8"/>
  <c r="V323" i="8"/>
  <c r="R323" i="8"/>
  <c r="P289" i="8"/>
  <c r="P218" i="8"/>
  <c r="P29" i="8"/>
  <c r="P257" i="8"/>
  <c r="P275" i="8"/>
  <c r="P35" i="8"/>
  <c r="P113" i="8"/>
  <c r="R122" i="8"/>
  <c r="V122" i="8"/>
  <c r="V341" i="8"/>
  <c r="R341" i="8"/>
  <c r="R374" i="8"/>
  <c r="V374" i="8"/>
  <c r="P96" i="8"/>
  <c r="V164" i="8"/>
  <c r="R164" i="8"/>
  <c r="P41" i="8"/>
  <c r="P226" i="8"/>
  <c r="V182" i="8"/>
  <c r="R182" i="8"/>
  <c r="V173" i="8"/>
  <c r="R173" i="8"/>
  <c r="V179" i="8"/>
  <c r="R179" i="8"/>
  <c r="P254" i="8"/>
  <c r="V371" i="8"/>
  <c r="R371" i="8"/>
  <c r="V14" i="8"/>
  <c r="R14" i="8"/>
  <c r="P112" i="8"/>
  <c r="V176" i="8"/>
  <c r="R176" i="8"/>
  <c r="V347" i="8"/>
  <c r="R347" i="8"/>
  <c r="V407" i="8"/>
  <c r="R407" i="8"/>
  <c r="P296" i="8"/>
  <c r="P107" i="8"/>
  <c r="P308" i="8"/>
  <c r="P116" i="8"/>
  <c r="P284" i="8"/>
  <c r="P305" i="8"/>
  <c r="V353" i="8"/>
  <c r="R353" i="8"/>
  <c r="P183" i="8"/>
  <c r="P360" i="8"/>
  <c r="P135" i="8"/>
  <c r="P124" i="8"/>
  <c r="P144" i="8"/>
  <c r="P345" i="8"/>
  <c r="P393" i="8"/>
  <c r="P397" i="8"/>
  <c r="P127" i="8"/>
  <c r="P346" i="8"/>
  <c r="P172" i="8"/>
  <c r="P15" i="8"/>
  <c r="P129" i="8"/>
  <c r="P130" i="8"/>
  <c r="P165" i="8"/>
  <c r="P153" i="8"/>
  <c r="P408" i="8"/>
  <c r="P7" i="8"/>
  <c r="P196" i="8"/>
  <c r="P402" i="8"/>
  <c r="P195" i="8"/>
  <c r="P409" i="8"/>
  <c r="P3" i="8"/>
  <c r="P171" i="8"/>
  <c r="P132" i="8"/>
  <c r="P333" i="8"/>
  <c r="P168" i="8"/>
  <c r="P18" i="8"/>
  <c r="P154" i="8"/>
  <c r="P355" i="8"/>
  <c r="P175" i="8"/>
  <c r="P391" i="8"/>
  <c r="P319" i="8"/>
  <c r="P349" i="8"/>
  <c r="P388" i="8"/>
  <c r="P207" i="8"/>
  <c r="P330" i="8"/>
  <c r="P178" i="8"/>
  <c r="P381" i="8"/>
  <c r="P150" i="8"/>
  <c r="P363" i="8"/>
  <c r="P367" i="8"/>
  <c r="P199" i="8"/>
  <c r="P321" i="8"/>
  <c r="P123" i="8"/>
  <c r="P327" i="8"/>
  <c r="P382" i="8"/>
  <c r="P162" i="8"/>
  <c r="P405" i="8"/>
  <c r="P396" i="8"/>
  <c r="P141" i="8"/>
  <c r="P180" i="8"/>
  <c r="P156" i="8"/>
  <c r="P324" i="8"/>
  <c r="P316" i="8"/>
  <c r="P19" i="8"/>
  <c r="P25" i="8"/>
  <c r="P361" i="8"/>
  <c r="P328" i="8"/>
  <c r="P202" i="8"/>
  <c r="P336" i="8"/>
  <c r="P177" i="8"/>
  <c r="P322" i="8"/>
  <c r="P375" i="8"/>
  <c r="P315" i="8"/>
  <c r="P343" i="8"/>
  <c r="P190" i="8"/>
  <c r="P187" i="8"/>
  <c r="P339" i="8"/>
  <c r="P184" i="8"/>
  <c r="P201" i="8"/>
  <c r="P372" i="8"/>
  <c r="P147" i="8"/>
  <c r="P318" i="8"/>
  <c r="P126" i="8"/>
  <c r="P21" i="8"/>
  <c r="P387" i="8"/>
  <c r="P357" i="8"/>
  <c r="P340" i="8"/>
  <c r="P4" i="8"/>
  <c r="P217" i="8"/>
  <c r="P163" i="8"/>
  <c r="P169" i="8"/>
  <c r="P157" i="8"/>
  <c r="P351" i="8"/>
  <c r="P138" i="8"/>
  <c r="P139" i="8"/>
  <c r="P181" i="8"/>
  <c r="P376" i="8"/>
  <c r="P142" i="8"/>
  <c r="P399" i="8"/>
  <c r="P192" i="8"/>
  <c r="P369" i="8"/>
  <c r="P370" i="8"/>
  <c r="P12" i="8"/>
  <c r="P390" i="8"/>
  <c r="P213" i="8"/>
  <c r="P204" i="8"/>
  <c r="P22" i="8"/>
  <c r="P364" i="8"/>
  <c r="P211" i="8"/>
  <c r="P325" i="8"/>
  <c r="P366" i="8"/>
  <c r="P189" i="8"/>
  <c r="P24" i="8"/>
  <c r="P354" i="8"/>
  <c r="P6" i="8"/>
  <c r="P348" i="8"/>
  <c r="P214" i="8"/>
  <c r="P373" i="8"/>
  <c r="P166" i="8"/>
  <c r="P403" i="8"/>
  <c r="P13" i="8"/>
  <c r="P148" i="8"/>
  <c r="P406" i="8"/>
  <c r="P159" i="8"/>
  <c r="P186" i="8"/>
  <c r="P378" i="8"/>
  <c r="P10" i="8"/>
  <c r="P174" i="8"/>
  <c r="P216" i="8"/>
  <c r="P210" i="8"/>
  <c r="P198" i="8"/>
  <c r="P342" i="8"/>
  <c r="P151" i="8"/>
  <c r="P358" i="8"/>
  <c r="P136" i="8"/>
  <c r="P133" i="8"/>
  <c r="P205" i="8"/>
  <c r="P334" i="8"/>
  <c r="P394" i="8"/>
  <c r="P384" i="8"/>
  <c r="P9" i="8"/>
  <c r="P379" i="8"/>
  <c r="P331" i="8"/>
  <c r="O400" i="8"/>
  <c r="Q400" i="8" s="1"/>
  <c r="O352" i="8"/>
  <c r="Q352" i="8" s="1"/>
  <c r="O160" i="8"/>
  <c r="Q160" i="8" s="1"/>
  <c r="O16" i="8"/>
  <c r="Q16" i="8" s="1"/>
  <c r="O145" i="8"/>
  <c r="Q145" i="8" s="1"/>
  <c r="O385" i="8"/>
  <c r="Q385" i="8" s="1"/>
  <c r="O337" i="8"/>
  <c r="Q337" i="8" s="1"/>
  <c r="O193" i="8"/>
  <c r="Q193" i="8" s="1"/>
  <c r="O208" i="8"/>
  <c r="Q208" i="8" s="1"/>
  <c r="P225" i="8" l="1"/>
  <c r="P90" i="8"/>
  <c r="Q90" i="8"/>
  <c r="R90" i="8" s="1"/>
  <c r="P42" i="8"/>
  <c r="Q42" i="8"/>
  <c r="P234" i="8"/>
  <c r="Q234" i="8"/>
  <c r="R234" i="8" s="1"/>
  <c r="P273" i="8"/>
  <c r="Q273" i="8"/>
  <c r="R273" i="8" s="1"/>
  <c r="R350" i="8"/>
  <c r="P33" i="8"/>
  <c r="V403" i="8"/>
  <c r="R403" i="8"/>
  <c r="V157" i="8"/>
  <c r="R157" i="8"/>
  <c r="P246" i="8"/>
  <c r="P297" i="8"/>
  <c r="P294" i="8"/>
  <c r="V311" i="8"/>
  <c r="R311" i="8"/>
  <c r="V225" i="8"/>
  <c r="R225" i="8"/>
  <c r="R302" i="8"/>
  <c r="V302" i="8"/>
  <c r="V233" i="8"/>
  <c r="R233" i="8"/>
  <c r="V263" i="8"/>
  <c r="R263" i="8"/>
  <c r="R384" i="8"/>
  <c r="V384" i="8"/>
  <c r="V159" i="8"/>
  <c r="R159" i="8"/>
  <c r="V364" i="8"/>
  <c r="R364" i="8"/>
  <c r="V4" i="8"/>
  <c r="R4" i="8"/>
  <c r="V375" i="8"/>
  <c r="R375" i="8"/>
  <c r="V162" i="8"/>
  <c r="R162" i="8"/>
  <c r="V207" i="8"/>
  <c r="R207" i="8"/>
  <c r="V171" i="8"/>
  <c r="R171" i="8"/>
  <c r="V397" i="8"/>
  <c r="R397" i="8"/>
  <c r="V68" i="8"/>
  <c r="R68" i="8"/>
  <c r="V303" i="8"/>
  <c r="R303" i="8"/>
  <c r="V65" i="8"/>
  <c r="R65" i="8"/>
  <c r="V305" i="8"/>
  <c r="R305" i="8"/>
  <c r="V254" i="8"/>
  <c r="R254" i="8"/>
  <c r="P291" i="8"/>
  <c r="V235" i="8"/>
  <c r="R235" i="8"/>
  <c r="V198" i="8"/>
  <c r="R198" i="8"/>
  <c r="V6" i="8"/>
  <c r="R6" i="8"/>
  <c r="V399" i="8"/>
  <c r="R399" i="8"/>
  <c r="V340" i="8"/>
  <c r="R340" i="8"/>
  <c r="V190" i="8"/>
  <c r="R190" i="8"/>
  <c r="V141" i="8"/>
  <c r="R141" i="8"/>
  <c r="R388" i="8"/>
  <c r="V388" i="8"/>
  <c r="V196" i="8"/>
  <c r="R196" i="8"/>
  <c r="V393" i="8"/>
  <c r="R393" i="8"/>
  <c r="V101" i="8"/>
  <c r="R101" i="8"/>
  <c r="V47" i="8"/>
  <c r="R47" i="8"/>
  <c r="P114" i="8"/>
  <c r="V56" i="8"/>
  <c r="R56" i="8"/>
  <c r="V296" i="8"/>
  <c r="R296" i="8"/>
  <c r="P57" i="8"/>
  <c r="V379" i="8"/>
  <c r="R379" i="8"/>
  <c r="V148" i="8"/>
  <c r="R148" i="8"/>
  <c r="V325" i="8"/>
  <c r="R325" i="8"/>
  <c r="V142" i="8"/>
  <c r="R142" i="8"/>
  <c r="V357" i="8"/>
  <c r="R357" i="8"/>
  <c r="R318" i="8"/>
  <c r="V318" i="8"/>
  <c r="V184" i="8"/>
  <c r="R184" i="8"/>
  <c r="V177" i="8"/>
  <c r="R177" i="8"/>
  <c r="V361" i="8"/>
  <c r="R361" i="8"/>
  <c r="V324" i="8"/>
  <c r="R324" i="8"/>
  <c r="V396" i="8"/>
  <c r="R396" i="8"/>
  <c r="V327" i="8"/>
  <c r="R327" i="8"/>
  <c r="V367" i="8"/>
  <c r="R367" i="8"/>
  <c r="V178" i="8"/>
  <c r="R178" i="8"/>
  <c r="V349" i="8"/>
  <c r="R349" i="8"/>
  <c r="V355" i="8"/>
  <c r="R355" i="8"/>
  <c r="V333" i="8"/>
  <c r="R333" i="8"/>
  <c r="R409" i="8"/>
  <c r="V409" i="8"/>
  <c r="V7" i="8"/>
  <c r="R7" i="8"/>
  <c r="V130" i="8"/>
  <c r="R130" i="8"/>
  <c r="V346" i="8"/>
  <c r="R346" i="8"/>
  <c r="V345" i="8"/>
  <c r="R345" i="8"/>
  <c r="R360" i="8"/>
  <c r="V360" i="8"/>
  <c r="V113" i="8"/>
  <c r="R113" i="8"/>
  <c r="V274" i="8"/>
  <c r="R274" i="8"/>
  <c r="V299" i="8"/>
  <c r="R299" i="8"/>
  <c r="V224" i="8"/>
  <c r="R224" i="8"/>
  <c r="P264" i="8"/>
  <c r="P75" i="8"/>
  <c r="P45" i="8"/>
  <c r="P252" i="8"/>
  <c r="P66" i="8"/>
  <c r="P87" i="8"/>
  <c r="V86" i="8"/>
  <c r="R86" i="8"/>
  <c r="V50" i="8"/>
  <c r="R50" i="8"/>
  <c r="V272" i="8"/>
  <c r="R272" i="8"/>
  <c r="V230" i="8"/>
  <c r="R230" i="8"/>
  <c r="V174" i="8"/>
  <c r="R174" i="8"/>
  <c r="V390" i="8"/>
  <c r="R390" i="8"/>
  <c r="V21" i="8"/>
  <c r="R21" i="8"/>
  <c r="R202" i="8"/>
  <c r="V202" i="8"/>
  <c r="V321" i="8"/>
  <c r="R321" i="8"/>
  <c r="V18" i="8"/>
  <c r="R18" i="8"/>
  <c r="V15" i="8"/>
  <c r="R15" i="8"/>
  <c r="V308" i="8"/>
  <c r="R308" i="8"/>
  <c r="V288" i="8"/>
  <c r="R288" i="8"/>
  <c r="V248" i="8"/>
  <c r="R248" i="8"/>
  <c r="V241" i="8"/>
  <c r="R241" i="8"/>
  <c r="P84" i="8"/>
  <c r="P312" i="8"/>
  <c r="R266" i="8"/>
  <c r="V266" i="8"/>
  <c r="V394" i="8"/>
  <c r="R394" i="8"/>
  <c r="R406" i="8"/>
  <c r="V406" i="8"/>
  <c r="V22" i="8"/>
  <c r="R22" i="8"/>
  <c r="V169" i="8"/>
  <c r="R169" i="8"/>
  <c r="V322" i="8"/>
  <c r="R322" i="8"/>
  <c r="V199" i="8"/>
  <c r="R199" i="8"/>
  <c r="R3" i="8"/>
  <c r="V3" i="8"/>
  <c r="V135" i="8"/>
  <c r="R135" i="8"/>
  <c r="V257" i="8"/>
  <c r="R257" i="8"/>
  <c r="P117" i="8"/>
  <c r="P105" i="8"/>
  <c r="V221" i="8"/>
  <c r="R221" i="8"/>
  <c r="V49" i="8"/>
  <c r="R49" i="8"/>
  <c r="V110" i="8"/>
  <c r="R110" i="8"/>
  <c r="V83" i="8"/>
  <c r="R83" i="8"/>
  <c r="V284" i="8"/>
  <c r="R284" i="8"/>
  <c r="V96" i="8"/>
  <c r="R96" i="8"/>
  <c r="P228" i="8"/>
  <c r="R358" i="8"/>
  <c r="V358" i="8"/>
  <c r="V378" i="8"/>
  <c r="R378" i="8"/>
  <c r="V354" i="8"/>
  <c r="R354" i="8"/>
  <c r="V370" i="8"/>
  <c r="R370" i="8"/>
  <c r="R163" i="8"/>
  <c r="V163" i="8"/>
  <c r="V343" i="8"/>
  <c r="R343" i="8"/>
  <c r="V116" i="8"/>
  <c r="R116" i="8"/>
  <c r="R218" i="8"/>
  <c r="V218" i="8"/>
  <c r="V281" i="8"/>
  <c r="R281" i="8"/>
  <c r="V81" i="8"/>
  <c r="R81" i="8"/>
  <c r="P30" i="8"/>
  <c r="P72" i="8"/>
  <c r="P237" i="8"/>
  <c r="P27" i="8"/>
  <c r="P99" i="8"/>
  <c r="P279" i="8"/>
  <c r="V304" i="8"/>
  <c r="R304" i="8"/>
  <c r="R91" i="8"/>
  <c r="V91" i="8"/>
  <c r="V38" i="8"/>
  <c r="R38" i="8"/>
  <c r="V240" i="8"/>
  <c r="R240" i="8"/>
  <c r="V287" i="8"/>
  <c r="R287" i="8"/>
  <c r="R278" i="8"/>
  <c r="V278" i="8"/>
  <c r="R342" i="8"/>
  <c r="V342" i="8"/>
  <c r="V189" i="8"/>
  <c r="R189" i="8"/>
  <c r="V181" i="8"/>
  <c r="R181" i="8"/>
  <c r="R187" i="8"/>
  <c r="V187" i="8"/>
  <c r="V180" i="8"/>
  <c r="R180" i="8"/>
  <c r="V391" i="8"/>
  <c r="R391" i="8"/>
  <c r="V402" i="8"/>
  <c r="R402" i="8"/>
  <c r="V124" i="8"/>
  <c r="R124" i="8"/>
  <c r="V41" i="8"/>
  <c r="R41" i="8"/>
  <c r="V63" i="8"/>
  <c r="R63" i="8"/>
  <c r="P102" i="8"/>
  <c r="P270" i="8"/>
  <c r="O292" i="8"/>
  <c r="Q292" i="8" s="1"/>
  <c r="O28" i="8"/>
  <c r="Q28" i="8" s="1"/>
  <c r="O115" i="8"/>
  <c r="Q115" i="8" s="1"/>
  <c r="O307" i="8"/>
  <c r="Q307" i="8" s="1"/>
  <c r="O268" i="8"/>
  <c r="Q268" i="8" s="1"/>
  <c r="O40" i="8"/>
  <c r="Q40" i="8" s="1"/>
  <c r="O298" i="8"/>
  <c r="Q298" i="8" s="1"/>
  <c r="O271" i="8"/>
  <c r="Q271" i="8" s="1"/>
  <c r="O79" i="8"/>
  <c r="Q79" i="8" s="1"/>
  <c r="O286" i="8"/>
  <c r="Q286" i="8" s="1"/>
  <c r="O70" i="8"/>
  <c r="Q70" i="8" s="1"/>
  <c r="O88" i="8"/>
  <c r="Q88" i="8" s="1"/>
  <c r="O259" i="8"/>
  <c r="Q259" i="8" s="1"/>
  <c r="O58" i="8"/>
  <c r="Q58" i="8" s="1"/>
  <c r="O232" i="8"/>
  <c r="Q232" i="8" s="1"/>
  <c r="O250" i="8"/>
  <c r="Q250" i="8" s="1"/>
  <c r="O31" i="8"/>
  <c r="Q31" i="8" s="1"/>
  <c r="O253" i="8"/>
  <c r="Q253" i="8" s="1"/>
  <c r="O61" i="8"/>
  <c r="Q61" i="8" s="1"/>
  <c r="O301" i="8"/>
  <c r="Q301" i="8" s="1"/>
  <c r="O67" i="8"/>
  <c r="Q67" i="8" s="1"/>
  <c r="O106" i="8"/>
  <c r="Q106" i="8" s="1"/>
  <c r="O247" i="8"/>
  <c r="Q247" i="8" s="1"/>
  <c r="O262" i="8"/>
  <c r="Q262" i="8" s="1"/>
  <c r="O238" i="8"/>
  <c r="Q238" i="8" s="1"/>
  <c r="O46" i="8"/>
  <c r="Q46" i="8" s="1"/>
  <c r="O109" i="8"/>
  <c r="Q109" i="8" s="1"/>
  <c r="O76" i="8"/>
  <c r="Q76" i="8" s="1"/>
  <c r="O265" i="8"/>
  <c r="Q265" i="8" s="1"/>
  <c r="O310" i="8"/>
  <c r="Q310" i="8" s="1"/>
  <c r="O85" i="8"/>
  <c r="Q85" i="8" s="1"/>
  <c r="O52" i="8"/>
  <c r="Q52" i="8" s="1"/>
  <c r="O244" i="8"/>
  <c r="Q244" i="8" s="1"/>
  <c r="O295" i="8"/>
  <c r="Q295" i="8" s="1"/>
  <c r="O118" i="8"/>
  <c r="Q118" i="8" s="1"/>
  <c r="O229" i="8"/>
  <c r="Q229" i="8" s="1"/>
  <c r="O103" i="8"/>
  <c r="Q103" i="8" s="1"/>
  <c r="O220" i="8"/>
  <c r="Q220" i="8" s="1"/>
  <c r="O37" i="8"/>
  <c r="Q37" i="8" s="1"/>
  <c r="O94" i="8"/>
  <c r="Q94" i="8" s="1"/>
  <c r="O313" i="8"/>
  <c r="Q313" i="8" s="1"/>
  <c r="O280" i="8"/>
  <c r="Q280" i="8" s="1"/>
  <c r="O55" i="8"/>
  <c r="Q55" i="8" s="1"/>
  <c r="O73" i="8"/>
  <c r="Q73" i="8" s="1"/>
  <c r="O277" i="8"/>
  <c r="Q277" i="8" s="1"/>
  <c r="O100" i="8"/>
  <c r="Q100" i="8" s="1"/>
  <c r="O121" i="8"/>
  <c r="Q121" i="8" s="1"/>
  <c r="O223" i="8"/>
  <c r="Q223" i="8" s="1"/>
  <c r="V92" i="8"/>
  <c r="R92" i="8"/>
  <c r="V95" i="8"/>
  <c r="R95" i="8"/>
  <c r="V136" i="8"/>
  <c r="R136" i="8"/>
  <c r="V166" i="8"/>
  <c r="R166" i="8"/>
  <c r="V12" i="8"/>
  <c r="R12" i="8"/>
  <c r="V126" i="8"/>
  <c r="R126" i="8"/>
  <c r="V328" i="8"/>
  <c r="R328" i="8"/>
  <c r="R382" i="8"/>
  <c r="V382" i="8"/>
  <c r="V175" i="8"/>
  <c r="R175" i="8"/>
  <c r="V172" i="8"/>
  <c r="R172" i="8"/>
  <c r="V90" i="8"/>
  <c r="P108" i="8"/>
  <c r="P78" i="8"/>
  <c r="V80" i="8"/>
  <c r="R80" i="8"/>
  <c r="V77" i="8"/>
  <c r="R77" i="8"/>
  <c r="R251" i="8"/>
  <c r="V251" i="8"/>
  <c r="V112" i="8"/>
  <c r="R112" i="8"/>
  <c r="V29" i="8"/>
  <c r="R29" i="8"/>
  <c r="P54" i="8"/>
  <c r="V205" i="8"/>
  <c r="R205" i="8"/>
  <c r="V216" i="8"/>
  <c r="R216" i="8"/>
  <c r="V13" i="8"/>
  <c r="R13" i="8"/>
  <c r="V24" i="8"/>
  <c r="R24" i="8"/>
  <c r="V369" i="8"/>
  <c r="R369" i="8"/>
  <c r="V351" i="8"/>
  <c r="R351" i="8"/>
  <c r="R387" i="8"/>
  <c r="V387" i="8"/>
  <c r="V339" i="8"/>
  <c r="R339" i="8"/>
  <c r="V315" i="8"/>
  <c r="R315" i="8"/>
  <c r="V336" i="8"/>
  <c r="R336" i="8"/>
  <c r="V25" i="8"/>
  <c r="R25" i="8"/>
  <c r="V156" i="8"/>
  <c r="R156" i="8"/>
  <c r="R123" i="8"/>
  <c r="V123" i="8"/>
  <c r="R363" i="8"/>
  <c r="V363" i="8"/>
  <c r="R330" i="8"/>
  <c r="V330" i="8"/>
  <c r="V319" i="8"/>
  <c r="R319" i="8"/>
  <c r="R154" i="8"/>
  <c r="V154" i="8"/>
  <c r="V132" i="8"/>
  <c r="R132" i="8"/>
  <c r="R195" i="8"/>
  <c r="V195" i="8"/>
  <c r="R408" i="8"/>
  <c r="V408" i="8"/>
  <c r="V129" i="8"/>
  <c r="R129" i="8"/>
  <c r="V127" i="8"/>
  <c r="R127" i="8"/>
  <c r="V144" i="8"/>
  <c r="R144" i="8"/>
  <c r="V183" i="8"/>
  <c r="R183" i="8"/>
  <c r="R35" i="8"/>
  <c r="V35" i="8"/>
  <c r="R227" i="8"/>
  <c r="V227" i="8"/>
  <c r="V32" i="8"/>
  <c r="R32" i="8"/>
  <c r="R42" i="8"/>
  <c r="V42" i="8"/>
  <c r="R26" i="8"/>
  <c r="V26" i="8"/>
  <c r="R74" i="8"/>
  <c r="V74" i="8"/>
  <c r="P231" i="8"/>
  <c r="P249" i="8"/>
  <c r="P219" i="8"/>
  <c r="P69" i="8"/>
  <c r="P51" i="8"/>
  <c r="P36" i="8"/>
  <c r="V245" i="8"/>
  <c r="R245" i="8"/>
  <c r="V111" i="8"/>
  <c r="R111" i="8"/>
  <c r="V119" i="8"/>
  <c r="R119" i="8"/>
  <c r="V64" i="8"/>
  <c r="R64" i="8"/>
  <c r="V33" i="8"/>
  <c r="R33" i="8"/>
  <c r="V71" i="8"/>
  <c r="R71" i="8"/>
  <c r="V256" i="8"/>
  <c r="R256" i="8"/>
  <c r="V44" i="8"/>
  <c r="R44" i="8"/>
  <c r="V133" i="8"/>
  <c r="R133" i="8"/>
  <c r="V348" i="8"/>
  <c r="R348" i="8"/>
  <c r="V192" i="8"/>
  <c r="R192" i="8"/>
  <c r="V372" i="8"/>
  <c r="R372" i="8"/>
  <c r="V19" i="8"/>
  <c r="R19" i="8"/>
  <c r="V150" i="8"/>
  <c r="R150" i="8"/>
  <c r="V153" i="8"/>
  <c r="R153" i="8"/>
  <c r="V289" i="8"/>
  <c r="R289" i="8"/>
  <c r="V107" i="8"/>
  <c r="R107" i="8"/>
  <c r="P258" i="8"/>
  <c r="V98" i="8"/>
  <c r="R98" i="8"/>
  <c r="R331" i="8"/>
  <c r="V331" i="8"/>
  <c r="R10" i="8"/>
  <c r="V10" i="8"/>
  <c r="R366" i="8"/>
  <c r="V366" i="8"/>
  <c r="V139" i="8"/>
  <c r="R139" i="8"/>
  <c r="V201" i="8"/>
  <c r="R201" i="8"/>
  <c r="V316" i="8"/>
  <c r="R316" i="8"/>
  <c r="V381" i="8"/>
  <c r="R381" i="8"/>
  <c r="V168" i="8"/>
  <c r="R168" i="8"/>
  <c r="V165" i="8"/>
  <c r="R165" i="8"/>
  <c r="R59" i="8"/>
  <c r="V59" i="8"/>
  <c r="V43" i="8"/>
  <c r="R43" i="8"/>
  <c r="P243" i="8"/>
  <c r="V226" i="8"/>
  <c r="R226" i="8"/>
  <c r="R290" i="8"/>
  <c r="V290" i="8"/>
  <c r="V334" i="8"/>
  <c r="R334" i="8"/>
  <c r="V210" i="8"/>
  <c r="R210" i="8"/>
  <c r="V373" i="8"/>
  <c r="R373" i="8"/>
  <c r="V204" i="8"/>
  <c r="R204" i="8"/>
  <c r="R138" i="8"/>
  <c r="V138" i="8"/>
  <c r="V9" i="8"/>
  <c r="R9" i="8"/>
  <c r="V151" i="8"/>
  <c r="R151" i="8"/>
  <c r="R186" i="8"/>
  <c r="V186" i="8"/>
  <c r="V214" i="8"/>
  <c r="R214" i="8"/>
  <c r="V211" i="8"/>
  <c r="R211" i="8"/>
  <c r="V213" i="8"/>
  <c r="R213" i="8"/>
  <c r="R376" i="8"/>
  <c r="V376" i="8"/>
  <c r="V217" i="8"/>
  <c r="R217" i="8"/>
  <c r="V147" i="8"/>
  <c r="R147" i="8"/>
  <c r="V405" i="8"/>
  <c r="R405" i="8"/>
  <c r="V275" i="8"/>
  <c r="R275" i="8"/>
  <c r="V239" i="8"/>
  <c r="R239" i="8"/>
  <c r="V97" i="8"/>
  <c r="R97" i="8"/>
  <c r="V282" i="8"/>
  <c r="R282" i="8"/>
  <c r="P93" i="8"/>
  <c r="P267" i="8"/>
  <c r="P309" i="8"/>
  <c r="P300" i="8"/>
  <c r="P261" i="8"/>
  <c r="P285" i="8"/>
  <c r="V62" i="8"/>
  <c r="R62" i="8"/>
  <c r="V293" i="8"/>
  <c r="R293" i="8"/>
  <c r="V53" i="8"/>
  <c r="R53" i="8"/>
  <c r="V48" i="8"/>
  <c r="R48" i="8"/>
  <c r="V260" i="8"/>
  <c r="R260" i="8"/>
  <c r="V283" i="8"/>
  <c r="R283" i="8"/>
  <c r="P60" i="8"/>
  <c r="P222" i="8"/>
  <c r="P120" i="8"/>
  <c r="P306" i="8"/>
  <c r="P39" i="8"/>
  <c r="P276" i="8"/>
  <c r="V269" i="8"/>
  <c r="R269" i="8"/>
  <c r="V242" i="8"/>
  <c r="R242" i="8"/>
  <c r="V82" i="8"/>
  <c r="R82" i="8"/>
  <c r="V34" i="8"/>
  <c r="R34" i="8"/>
  <c r="V236" i="8"/>
  <c r="R236" i="8"/>
  <c r="V89" i="8"/>
  <c r="R89" i="8"/>
  <c r="V255" i="8"/>
  <c r="R255" i="8"/>
  <c r="V104" i="8"/>
  <c r="R104" i="8"/>
  <c r="P160" i="8"/>
  <c r="P352" i="8"/>
  <c r="P208" i="8"/>
  <c r="P400" i="8"/>
  <c r="P193" i="8"/>
  <c r="P385" i="8"/>
  <c r="P337" i="8"/>
  <c r="P145" i="8"/>
  <c r="P16" i="8"/>
  <c r="V234" i="8" l="1"/>
  <c r="V273" i="8"/>
  <c r="P121" i="8"/>
  <c r="V120" i="8"/>
  <c r="R120" i="8"/>
  <c r="V249" i="8"/>
  <c r="R249" i="8"/>
  <c r="P58" i="8"/>
  <c r="V285" i="8"/>
  <c r="R285" i="8"/>
  <c r="V385" i="8"/>
  <c r="R385" i="8"/>
  <c r="P40" i="8"/>
  <c r="V243" i="8"/>
  <c r="R243" i="8"/>
  <c r="P67" i="8"/>
  <c r="V237" i="8"/>
  <c r="R237" i="8"/>
  <c r="P73" i="8"/>
  <c r="P88" i="8"/>
  <c r="V51" i="8"/>
  <c r="R51" i="8"/>
  <c r="V231" i="8"/>
  <c r="R231" i="8"/>
  <c r="P55" i="8"/>
  <c r="P118" i="8"/>
  <c r="P109" i="8"/>
  <c r="P61" i="8"/>
  <c r="P70" i="8"/>
  <c r="P115" i="8"/>
  <c r="V228" i="8"/>
  <c r="R228" i="8"/>
  <c r="V117" i="8"/>
  <c r="R117" i="8"/>
  <c r="V84" i="8"/>
  <c r="R84" i="8"/>
  <c r="V87" i="8"/>
  <c r="R87" i="8"/>
  <c r="V75" i="8"/>
  <c r="R75" i="8"/>
  <c r="V114" i="8"/>
  <c r="R114" i="8"/>
  <c r="V246" i="8"/>
  <c r="R246" i="8"/>
  <c r="V108" i="8"/>
  <c r="R108" i="8"/>
  <c r="P220" i="8"/>
  <c r="V312" i="8"/>
  <c r="R312" i="8"/>
  <c r="V193" i="8"/>
  <c r="R193" i="8"/>
  <c r="P103" i="8"/>
  <c r="P268" i="8"/>
  <c r="V258" i="8"/>
  <c r="R258" i="8"/>
  <c r="P76" i="8"/>
  <c r="V279" i="8"/>
  <c r="R279" i="8"/>
  <c r="R400" i="8"/>
  <c r="V400" i="8"/>
  <c r="V39" i="8"/>
  <c r="R39" i="8"/>
  <c r="V69" i="8"/>
  <c r="R69" i="8"/>
  <c r="V78" i="8"/>
  <c r="R78" i="8"/>
  <c r="P280" i="8"/>
  <c r="P295" i="8"/>
  <c r="P46" i="8"/>
  <c r="P253" i="8"/>
  <c r="P286" i="8"/>
  <c r="P28" i="8"/>
  <c r="R99" i="8"/>
  <c r="V99" i="8"/>
  <c r="V264" i="8"/>
  <c r="R264" i="8"/>
  <c r="V57" i="8"/>
  <c r="R57" i="8"/>
  <c r="V352" i="8"/>
  <c r="R352" i="8"/>
  <c r="P100" i="8"/>
  <c r="P106" i="8"/>
  <c r="V45" i="8"/>
  <c r="R45" i="8"/>
  <c r="V297" i="8"/>
  <c r="R297" i="8"/>
  <c r="V160" i="8"/>
  <c r="R160" i="8"/>
  <c r="P259" i="8"/>
  <c r="P229" i="8"/>
  <c r="P307" i="8"/>
  <c r="V145" i="8"/>
  <c r="R145" i="8"/>
  <c r="V276" i="8"/>
  <c r="R276" i="8"/>
  <c r="P313" i="8"/>
  <c r="P244" i="8"/>
  <c r="P238" i="8"/>
  <c r="P31" i="8"/>
  <c r="P79" i="8"/>
  <c r="P292" i="8"/>
  <c r="V30" i="8"/>
  <c r="R30" i="8"/>
  <c r="V66" i="8"/>
  <c r="R66" i="8"/>
  <c r="V291" i="8"/>
  <c r="R291" i="8"/>
  <c r="V309" i="8"/>
  <c r="R309" i="8"/>
  <c r="V36" i="8"/>
  <c r="R36" i="8"/>
  <c r="V54" i="8"/>
  <c r="R54" i="8"/>
  <c r="P310" i="8"/>
  <c r="V16" i="8"/>
  <c r="R16" i="8"/>
  <c r="P277" i="8"/>
  <c r="P265" i="8"/>
  <c r="V102" i="8"/>
  <c r="R102" i="8"/>
  <c r="V105" i="8"/>
  <c r="R105" i="8"/>
  <c r="V222" i="8"/>
  <c r="R222" i="8"/>
  <c r="V267" i="8"/>
  <c r="R267" i="8"/>
  <c r="P301" i="8"/>
  <c r="V72" i="8"/>
  <c r="R72" i="8"/>
  <c r="V93" i="8"/>
  <c r="R93" i="8"/>
  <c r="V337" i="8"/>
  <c r="R337" i="8"/>
  <c r="V208" i="8"/>
  <c r="R208" i="8"/>
  <c r="V60" i="8"/>
  <c r="R60" i="8"/>
  <c r="V261" i="8"/>
  <c r="R261" i="8"/>
  <c r="R306" i="8"/>
  <c r="V306" i="8"/>
  <c r="V300" i="8"/>
  <c r="R300" i="8"/>
  <c r="R219" i="8"/>
  <c r="V219" i="8"/>
  <c r="P223" i="8"/>
  <c r="P94" i="8"/>
  <c r="P52" i="8"/>
  <c r="P262" i="8"/>
  <c r="P250" i="8"/>
  <c r="P271" i="8"/>
  <c r="P37" i="8"/>
  <c r="P85" i="8"/>
  <c r="P247" i="8"/>
  <c r="P232" i="8"/>
  <c r="P298" i="8"/>
  <c r="V270" i="8"/>
  <c r="R270" i="8"/>
  <c r="R27" i="8"/>
  <c r="V27" i="8"/>
  <c r="V252" i="8"/>
  <c r="R252" i="8"/>
  <c r="R294" i="8"/>
  <c r="V294" i="8"/>
  <c r="R259" i="8" l="1"/>
  <c r="V259" i="8"/>
  <c r="V88" i="8"/>
  <c r="R88" i="8"/>
  <c r="V223" i="8"/>
  <c r="R223" i="8"/>
  <c r="V277" i="8"/>
  <c r="R277" i="8"/>
  <c r="V46" i="8"/>
  <c r="R46" i="8"/>
  <c r="V40" i="8"/>
  <c r="R40" i="8"/>
  <c r="V247" i="8"/>
  <c r="R247" i="8"/>
  <c r="V238" i="8"/>
  <c r="R238" i="8"/>
  <c r="V76" i="8"/>
  <c r="R76" i="8"/>
  <c r="V55" i="8"/>
  <c r="R55" i="8"/>
  <c r="V271" i="8"/>
  <c r="R271" i="8"/>
  <c r="R106" i="8"/>
  <c r="V106" i="8"/>
  <c r="V265" i="8"/>
  <c r="R265" i="8"/>
  <c r="V253" i="8"/>
  <c r="R253" i="8"/>
  <c r="V70" i="8"/>
  <c r="R70" i="8"/>
  <c r="V73" i="8"/>
  <c r="R73" i="8"/>
  <c r="R250" i="8"/>
  <c r="V250" i="8"/>
  <c r="V292" i="8"/>
  <c r="R292" i="8"/>
  <c r="V244" i="8"/>
  <c r="R244" i="8"/>
  <c r="R307" i="8"/>
  <c r="V307" i="8"/>
  <c r="V232" i="8"/>
  <c r="R232" i="8"/>
  <c r="V61" i="8"/>
  <c r="R61" i="8"/>
  <c r="V94" i="8"/>
  <c r="R94" i="8"/>
  <c r="V31" i="8"/>
  <c r="R31" i="8"/>
  <c r="V115" i="8"/>
  <c r="R115" i="8"/>
  <c r="V100" i="8"/>
  <c r="R100" i="8"/>
  <c r="V85" i="8"/>
  <c r="R85" i="8"/>
  <c r="V295" i="8"/>
  <c r="R295" i="8"/>
  <c r="V298" i="8"/>
  <c r="R298" i="8"/>
  <c r="V52" i="8"/>
  <c r="R52" i="8"/>
  <c r="V229" i="8"/>
  <c r="R229" i="8"/>
  <c r="V268" i="8"/>
  <c r="R268" i="8"/>
  <c r="V109" i="8"/>
  <c r="R109" i="8"/>
  <c r="R67" i="8"/>
  <c r="V67" i="8"/>
  <c r="R58" i="8"/>
  <c r="V58" i="8"/>
  <c r="V103" i="8"/>
  <c r="R103" i="8"/>
  <c r="V118" i="8"/>
  <c r="R118" i="8"/>
  <c r="V262" i="8"/>
  <c r="R262" i="8"/>
  <c r="V28" i="8"/>
  <c r="R28" i="8"/>
  <c r="V37" i="8"/>
  <c r="R37" i="8"/>
  <c r="V301" i="8"/>
  <c r="R301" i="8"/>
  <c r="R310" i="8"/>
  <c r="V310" i="8"/>
  <c r="V79" i="8"/>
  <c r="R79" i="8"/>
  <c r="V313" i="8"/>
  <c r="R313" i="8"/>
  <c r="R286" i="8"/>
  <c r="V286" i="8"/>
  <c r="V280" i="8"/>
  <c r="R280" i="8"/>
  <c r="V220" i="8"/>
  <c r="R220" i="8"/>
  <c r="V121" i="8"/>
  <c r="R12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Qingyu Xu</author>
  </authors>
  <commentList>
    <comment ref="AI22" authorId="0" shapeId="0" xr:uid="{1E9AD47F-4493-5E4F-B965-1A72F4BB94BD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installed capacity by 2026, base case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Qingyu Xu</author>
  </authors>
  <commentList>
    <comment ref="AA1" authorId="0" shapeId="0" xr:uid="{C6248C51-0D6A-594D-817C-377E329CC2B6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26% tax credit</t>
        </r>
      </text>
    </comment>
    <comment ref="AB1" authorId="0" shapeId="0" xr:uid="{0C7BD0FC-0D2C-3641-A6AE-9338B63419C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22% tax credit</t>
        </r>
      </text>
    </comment>
    <comment ref="AC1" authorId="0" shapeId="0" xr:uid="{016A05D3-02C6-1641-907E-3044B29D3E5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Use 10% tax credit</t>
        </r>
      </text>
    </comment>
    <comment ref="P2" authorId="0" shapeId="0" xr:uid="{5D78785E-AA47-4F41-A43A-87162119847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Sum of geometric series; constant learning ratio</t>
        </r>
      </text>
    </comment>
    <comment ref="S2" authorId="0" shapeId="0" xr:uid="{612E7440-6C88-9542-9878-AC1D850835B4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Sum of geometric series; constant learning ratio</t>
        </r>
      </text>
    </comment>
    <comment ref="S7" authorId="0" shapeId="0" xr:uid="{546EEDEB-111F-8847-9177-49BBBB13037A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7" authorId="0" shapeId="0" xr:uid="{8967F555-B900-284F-9B62-247FB4CDA1E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7" authorId="0" shapeId="0" xr:uid="{F6D6FC2D-B9AF-7043-B01B-1726AB41B02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7" authorId="0" shapeId="0" xr:uid="{7B9E4466-F0FC-6843-B413-F419095B10F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8" authorId="0" shapeId="0" xr:uid="{0F3B9C5E-AE08-AC4D-B2AD-0CB9C700B96E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8" authorId="0" shapeId="0" xr:uid="{6C78C68E-C9D4-3248-B0B8-051C1F2F33DA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8" authorId="0" shapeId="0" xr:uid="{3BBB3684-3771-094E-8DC4-DD1592C44887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8" authorId="0" shapeId="0" xr:uid="{F1F2959E-6C15-C04F-835A-E6A428D1F70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9" authorId="0" shapeId="0" xr:uid="{285C7399-71CC-2E4F-B91F-3930D7B795D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9" authorId="0" shapeId="0" xr:uid="{ED1000F4-F208-2844-A4F8-BC5E4E16F72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9" authorId="0" shapeId="0" xr:uid="{2A32091C-CD37-F54D-8647-A9086819A4B9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9" authorId="0" shapeId="0" xr:uid="{431EA92D-762C-E446-8C41-B815BFC4BC8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0" authorId="0" shapeId="0" xr:uid="{629BF3C8-8CC7-BF41-A54F-1D84B7FDE43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0" authorId="0" shapeId="0" xr:uid="{CD09B52B-CDF2-4146-AF8A-6D574FE3770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0" authorId="0" shapeId="0" xr:uid="{0BAA9F06-2A8B-7544-91BE-B990B967D5E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0" authorId="0" shapeId="0" xr:uid="{62C0A499-24BC-D144-88F7-081C115C864E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1" authorId="0" shapeId="0" xr:uid="{2F25609D-E4F8-224F-95B9-1D588300F46E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1" authorId="0" shapeId="0" xr:uid="{E1C434B0-FA78-0B4E-A007-A5CBF0615E4D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1" authorId="0" shapeId="0" xr:uid="{86D5B135-BB4D-9840-BD53-4980C66EC74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1" authorId="0" shapeId="0" xr:uid="{4A51FB34-145F-FC48-8E4B-5438720B8A0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2" authorId="0" shapeId="0" xr:uid="{9B3991CE-1823-7544-8100-367EAC62FDD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2" authorId="0" shapeId="0" xr:uid="{84C741E2-9510-E048-9BBF-5C015C118166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2" authorId="0" shapeId="0" xr:uid="{562DBA33-8E51-FC45-BD0A-C2D3043E7DD7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2" authorId="0" shapeId="0" xr:uid="{45016B2C-1DBD-714B-B544-1ECF9266940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3" authorId="0" shapeId="0" xr:uid="{7CBC4028-20BD-7749-984E-C91F4305E43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3" authorId="0" shapeId="0" xr:uid="{A0A57C13-74CF-0E4F-866A-5B0E3D4431F9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3" authorId="0" shapeId="0" xr:uid="{44558A88-B622-DC4E-AADA-DC06B24F373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3" authorId="0" shapeId="0" xr:uid="{EE630B36-CAA4-3A43-80D2-F7E8A15A779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4" authorId="0" shapeId="0" xr:uid="{1AA6F0C6-E12B-784D-82E2-BA35A77DB2D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4" authorId="0" shapeId="0" xr:uid="{481A9625-2EDC-B94D-BB52-E42D2293397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4" authorId="0" shapeId="0" xr:uid="{817A7153-EADB-574C-8F50-BF393921142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4" authorId="0" shapeId="0" xr:uid="{9AD594D4-D11C-4245-A9C3-BACDC556DE2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5" authorId="0" shapeId="0" xr:uid="{07D7B180-50DC-B844-AEC4-AA745EBBB48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5" authorId="0" shapeId="0" xr:uid="{1F311BB4-E624-3A45-99ED-E3B5A673BF34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5" authorId="0" shapeId="0" xr:uid="{24C6D778-8431-3042-9312-EC1E99BF3E7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5" authorId="0" shapeId="0" xr:uid="{B3684BDC-C94D-F34D-A09B-5B8B8C9D48D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6" authorId="0" shapeId="0" xr:uid="{11937D38-D68D-5A48-94CC-498378E840B4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6" authorId="0" shapeId="0" xr:uid="{3B9D4093-1ECB-DB4F-8668-259CF88785F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6" authorId="0" shapeId="0" xr:uid="{07895006-FDF4-7A4D-8F5C-0AC06414E24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6" authorId="0" shapeId="0" xr:uid="{547DA7E2-220F-2E4E-9AA4-6CAED05FFBF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7" authorId="0" shapeId="0" xr:uid="{8491C885-9D13-F74F-9288-267CC7AC68E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7" authorId="0" shapeId="0" xr:uid="{3784C655-3E21-294B-9C90-BD27D0D5B52C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7" authorId="0" shapeId="0" xr:uid="{2F3B7F2F-A29C-7445-A128-47991FB7309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7" authorId="0" shapeId="0" xr:uid="{4FF5C8D3-2CA1-C642-928A-CA08E25150A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S18" authorId="0" shapeId="0" xr:uid="{87FB3C5D-A910-8C4D-A6E9-AA35089186CF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18" authorId="0" shapeId="0" xr:uid="{4887D46F-3753-9A4B-A47A-F55F4768D88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18" authorId="0" shapeId="0" xr:uid="{4C502FB6-F5D4-2C48-9AB9-569CDAB4E97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18" authorId="0" shapeId="0" xr:uid="{C27E977F-06CF-A343-B1B4-4E93DBC4E612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AC19" authorId="0" shapeId="0" xr:uid="{B418B2DB-CAE7-8B47-BB95-20FFFD9EA671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  <comment ref="AD19" authorId="0" shapeId="0" xr:uid="{7F281A99-FA1D-A14F-8881-2E52EB208CA5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  <comment ref="S20" authorId="0" shapeId="0" xr:uid="{F0EC6E2E-D7C8-0546-96D8-FC099BBCFDD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T20" authorId="0" shapeId="0" xr:uid="{525881C7-32B6-EC4A-BB9D-3151F23D4D3D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U20" authorId="0" shapeId="0" xr:uid="{61485BF9-8B1F-FF46-8ECB-8A379155F818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V20" authorId="0" shapeId="0" xr:uid="{7ACCF079-3105-3349-B40F-036729544190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 assumption:
</t>
        </r>
        <r>
          <rPr>
            <sz val="10"/>
            <color rgb="FF000000"/>
            <rFont val="Tahoma"/>
            <family val="2"/>
          </rPr>
          <t>n/a - PPA</t>
        </r>
      </text>
    </comment>
    <comment ref="AC20" authorId="0" shapeId="0" xr:uid="{628E0A6C-90AD-664B-A41F-7299683739FB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  <comment ref="AD20" authorId="0" shapeId="0" xr:uid="{F83E9C26-22CB-404F-BC7A-1D4E4C4254A3}">
      <text>
        <r>
          <rPr>
            <b/>
            <sz val="10"/>
            <color rgb="FF000000"/>
            <rFont val="Tahoma"/>
            <family val="2"/>
          </rPr>
          <t>Qingyu Xu: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Residential does not receive the 10% credit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<sst xmlns="http://schemas.openxmlformats.org/spreadsheetml/2006/main" count="2086" uniqueCount="403">
  <si>
    <t>year</t>
  </si>
  <si>
    <t>Cost Type</t>
  </si>
  <si>
    <t>value</t>
  </si>
  <si>
    <t>Residential</t>
  </si>
  <si>
    <t>Commercial</t>
  </si>
  <si>
    <t>Grid</t>
  </si>
  <si>
    <t>Community</t>
  </si>
  <si>
    <t>Total</t>
  </si>
  <si>
    <t>Incremental Capacity</t>
  </si>
  <si>
    <t>From SAM</t>
  </si>
  <si>
    <t xml:space="preserve">Modeled Installed Cost </t>
  </si>
  <si>
    <t>Modeled Capacity (kW)</t>
  </si>
  <si>
    <t>Size Class</t>
  </si>
  <si>
    <t>Size Class Index</t>
  </si>
  <si>
    <t>Decommission Cost ($/W)</t>
  </si>
  <si>
    <t>DebtShare (use SAM Market, row 195 in original spreadsheet, year 2020)</t>
  </si>
  <si>
    <t>Interest Rate - Nominal (use SAM Market case, year 2020)</t>
  </si>
  <si>
    <t>Rate of Return of Equity Nominal (use Market, use TPO's value for DO)</t>
  </si>
  <si>
    <t>Weighted Average Cost of Capital (real)</t>
  </si>
  <si>
    <t>Annualized Capex (2020 $/MW-year), tech year 2031</t>
  </si>
  <si>
    <t>Annualized Capex (2020 $/MW-year), tech year 2041</t>
  </si>
  <si>
    <t>Comm_DO_Ground_lg</t>
  </si>
  <si>
    <t>$/W</t>
  </si>
  <si>
    <t>Very large</t>
  </si>
  <si>
    <t>Comm_DO_Ground_med</t>
  </si>
  <si>
    <t>Comm_DO_Roof_lg</t>
  </si>
  <si>
    <t>Comm_DO_Roof_med</t>
  </si>
  <si>
    <t>Comm_DO_Roof_sm</t>
  </si>
  <si>
    <t>Comm_TPO_Carport</t>
  </si>
  <si>
    <t>Comm_TPO_Ground_lg</t>
  </si>
  <si>
    <t>Comm_TPO_Ground_med</t>
  </si>
  <si>
    <t>Comm_TPO_Roof_lg</t>
  </si>
  <si>
    <t>Comm_TPO_Roof_med</t>
  </si>
  <si>
    <t>Comm_TPO_Roof_sm</t>
  </si>
  <si>
    <t>CS_Ground</t>
  </si>
  <si>
    <t>CS_Roof_lg</t>
  </si>
  <si>
    <t>CS_Roof_med</t>
  </si>
  <si>
    <t>Grid_Ground</t>
  </si>
  <si>
    <t>Grid_Ground_OOS</t>
  </si>
  <si>
    <t>Grid_Roof</t>
  </si>
  <si>
    <t>Resi_DO_Roof</t>
  </si>
  <si>
    <t>Resi_TPO_Roof</t>
  </si>
  <si>
    <t>Capex Growth Rates</t>
  </si>
  <si>
    <t>Module cost change</t>
  </si>
  <si>
    <t>%/year</t>
  </si>
  <si>
    <t>per_module</t>
  </si>
  <si>
    <t>Inverter cost change</t>
  </si>
  <si>
    <t>per_inverter</t>
  </si>
  <si>
    <t>Balance of system cost change</t>
  </si>
  <si>
    <t>bos_equip_perwatt</t>
  </si>
  <si>
    <t>Federal Tax</t>
  </si>
  <si>
    <t>%</t>
  </si>
  <si>
    <t>NJ State Tax</t>
  </si>
  <si>
    <t>Inflation</t>
  </si>
  <si>
    <t>2020 to 2017 $</t>
  </si>
  <si>
    <t>Lifetime</t>
  </si>
  <si>
    <t>years</t>
  </si>
  <si>
    <t>Operating Expenditures ($/Year)</t>
  </si>
  <si>
    <t>Project Mgt. Costs</t>
  </si>
  <si>
    <t>Property Tax/PILOT</t>
  </si>
  <si>
    <t>Site Lease</t>
  </si>
  <si>
    <t>O&amp;M Fee
($/kW-year)</t>
  </si>
  <si>
    <t>Insurance (%)</t>
  </si>
  <si>
    <t>$/kW-year</t>
  </si>
  <si>
    <t>exempt</t>
  </si>
  <si>
    <t>n/a</t>
  </si>
  <si>
    <t>FOM</t>
  </si>
  <si>
    <t>Accumulated cost</t>
  </si>
  <si>
    <t>Low RE</t>
  </si>
  <si>
    <t>High RE</t>
  </si>
  <si>
    <t>Mid RE</t>
  </si>
  <si>
    <t>Inv_cost_per_MWyr</t>
  </si>
  <si>
    <t>Fixed_OM_cost_per_MWyr</t>
  </si>
  <si>
    <t>TechSensitivity</t>
  </si>
  <si>
    <t>Medium RE Cost</t>
  </si>
  <si>
    <t>Low RE Cost</t>
  </si>
  <si>
    <t>High RE Cost</t>
  </si>
  <si>
    <t>Ratio</t>
  </si>
  <si>
    <t>PJM_NJCoast</t>
  </si>
  <si>
    <t>PJM_NJLand</t>
  </si>
  <si>
    <t>Annualized CAPEX online 2041 (2020 USD/MW-year)</t>
  </si>
  <si>
    <t>Annualized CAPEX online 2031 (2020 USD/MW-year)</t>
  </si>
  <si>
    <t>Annualized CAPEX 2022 (2020 USD/MW-year)</t>
  </si>
  <si>
    <t>FOM 2022 (2020 USD/MW-year)</t>
  </si>
  <si>
    <t>FOM online 2031 (2020 USD/MW-year)</t>
  </si>
  <si>
    <t>FOM online 2041 (2020 USD/MW-year)</t>
  </si>
  <si>
    <t>FOM Ratio online 2031 vs FOM Ratio online 2022</t>
  </si>
  <si>
    <t>FOM Ratio online 2041 vs FOM Ratio online 2031</t>
  </si>
  <si>
    <t>Incremental Installation cost</t>
  </si>
  <si>
    <t>Weighted Annualized CAPEX Cost</t>
  </si>
  <si>
    <t>Sunk cost</t>
  </si>
  <si>
    <t>Accumulative Capacity</t>
  </si>
  <si>
    <t>NJ DG Cost</t>
  </si>
  <si>
    <t>Successor Cumulative Operating DC Capacity - Includes Panel/System Degradation</t>
  </si>
  <si>
    <t>2019 Cost (Approxed by SREC)</t>
  </si>
  <si>
    <r>
      <t xml:space="preserve">New Jersey Solar Installations </t>
    </r>
    <r>
      <rPr>
        <b/>
        <i/>
        <sz val="15.5"/>
        <rFont val="Arial"/>
        <family val="2"/>
      </rPr>
      <t xml:space="preserve">SREC Registration Program (SRP) &amp; Transition Incentive Program (TI) </t>
    </r>
    <r>
      <rPr>
        <b/>
        <sz val="15.5"/>
        <rFont val="Arial"/>
        <family val="2"/>
      </rPr>
      <t>as of</t>
    </r>
  </si>
  <si>
    <t>(Annual Capacity)</t>
  </si>
  <si>
    <t>Previously Reported through 05/31/2021</t>
  </si>
  <si>
    <t>Difference between 05/31/2021 and 06/30/2021</t>
  </si>
  <si>
    <t>Residential (kW)</t>
  </si>
  <si>
    <t>Non-Residential</t>
  </si>
  <si>
    <t>Grid Supply (kW)</t>
  </si>
  <si>
    <t>Community Solar (kW)</t>
  </si>
  <si>
    <t>Total of All Projects               as of 06/30/2021 (kW)</t>
  </si>
  <si>
    <t>&lt; = 100 (kW)</t>
  </si>
  <si>
    <t>&gt; 100  to &lt; 1000 (kW)</t>
  </si>
  <si>
    <t>&gt; = 1000 (kW)</t>
  </si>
  <si>
    <t>Total (kW)</t>
  </si>
  <si>
    <t>Total Qty</t>
  </si>
  <si>
    <t xml:space="preserve">Total Capacity (kW) </t>
  </si>
  <si>
    <t>Qty</t>
  </si>
  <si>
    <t>Capacity</t>
  </si>
  <si>
    <t>Total Capacity</t>
  </si>
  <si>
    <r>
      <t xml:space="preserve">SRP </t>
    </r>
    <r>
      <rPr>
        <b/>
        <sz val="11"/>
        <rFont val="Arial"/>
        <family val="2"/>
      </rPr>
      <t>Program</t>
    </r>
  </si>
  <si>
    <r>
      <t>SRP</t>
    </r>
    <r>
      <rPr>
        <b/>
        <sz val="11"/>
        <rFont val="Arial"/>
        <family val="2"/>
      </rPr>
      <t xml:space="preserve"> Total</t>
    </r>
  </si>
  <si>
    <r>
      <t xml:space="preserve">TI </t>
    </r>
    <r>
      <rPr>
        <b/>
        <sz val="11"/>
        <rFont val="Arial"/>
        <family val="2"/>
      </rPr>
      <t>Program</t>
    </r>
  </si>
  <si>
    <t xml:space="preserve">                  -  </t>
  </si>
  <si>
    <t xml:space="preserve">                    -  </t>
  </si>
  <si>
    <r>
      <t>TI</t>
    </r>
    <r>
      <rPr>
        <b/>
        <sz val="11"/>
        <rFont val="Arial"/>
        <family val="2"/>
      </rPr>
      <t xml:space="preserve"> Total</t>
    </r>
  </si>
  <si>
    <t>SRP &amp; TI Programs</t>
  </si>
  <si>
    <t>2000-2014</t>
  </si>
  <si>
    <t>SRP &amp; TI Program Totals</t>
  </si>
  <si>
    <t xml:space="preserve">SRP Solar Project Pipeline by Interconnection Type </t>
  </si>
  <si>
    <t xml:space="preserve">Previously Reported in SRP through 05/31/2021                                    </t>
  </si>
  <si>
    <t xml:space="preserve">TI Solar Project Pipeline by Interconnection Type </t>
  </si>
  <si>
    <t xml:space="preserve">Previously Reported in TI through 05/31/21                                    </t>
  </si>
  <si>
    <t xml:space="preserve">SRP &amp; TI Solar Project Pipeline by Interconnection Type </t>
  </si>
  <si>
    <t>as of 06/30/2021</t>
  </si>
  <si>
    <t>Interconnection Type</t>
  </si>
  <si>
    <t>Project Pipeline Qty</t>
  </si>
  <si>
    <t>Total Pipeline                       Capacity (kW)</t>
  </si>
  <si>
    <t>% of</t>
  </si>
  <si>
    <t>Project</t>
  </si>
  <si>
    <t>Total Pipeline</t>
  </si>
  <si>
    <t>Total Pipeline Capacity (kW)</t>
  </si>
  <si>
    <t>Total Pipeline             Capacity (kW)</t>
  </si>
  <si>
    <t>Pipeline Capacity</t>
  </si>
  <si>
    <t>Pipeline Qty</t>
  </si>
  <si>
    <t>Capacity (kW)</t>
  </si>
  <si>
    <t xml:space="preserve">Behind the Meter </t>
  </si>
  <si>
    <t>(Residential)</t>
  </si>
  <si>
    <t>Behind the Meter</t>
  </si>
  <si>
    <t>(Non-Residential)</t>
  </si>
  <si>
    <t>&lt; = 100 kW</t>
  </si>
  <si>
    <t>&gt; 100 kW to &lt; 1000 kW</t>
  </si>
  <si>
    <t>&gt; = 1000 kW</t>
  </si>
  <si>
    <t xml:space="preserve">Total BTM </t>
  </si>
  <si>
    <t>Total BTM</t>
  </si>
  <si>
    <t>Grid Supply</t>
  </si>
  <si>
    <t>Community Solar</t>
  </si>
  <si>
    <t>Total BTM &amp; Grid (SRP)</t>
  </si>
  <si>
    <t>Total BTM, Grid &amp;                     Community Solar (TI)</t>
  </si>
  <si>
    <t>Total BTM, Grid &amp;                     Community Solar                (SRP &amp; TI)</t>
  </si>
  <si>
    <t>Total MWh Credit</t>
  </si>
  <si>
    <t>in 2020 number if CPI is 2.5</t>
  </si>
  <si>
    <t>DG Capacity factor AC</t>
  </si>
  <si>
    <t xml:space="preserve">Legacy &amp; TICost Modifier </t>
  </si>
  <si>
    <t>Installed Legacy DG built after 2016-2019</t>
  </si>
  <si>
    <t>TI Solar Pipeline by Project Type</t>
  </si>
  <si>
    <t>Project Type</t>
  </si>
  <si>
    <t>Factor</t>
  </si>
  <si>
    <t># Projects</t>
  </si>
  <si>
    <t>Pipeline Capacity (kW)</t>
  </si>
  <si>
    <t>% of Pipeline Capacity</t>
  </si>
  <si>
    <t>Subsection (t): landfill, brownfield, areas of      historic fill</t>
  </si>
  <si>
    <t>Grid supply (subsection (r)) rooftop</t>
  </si>
  <si>
    <t>Net-metered non-residential rooftop and canopy</t>
  </si>
  <si>
    <t>Floating Solar</t>
  </si>
  <si>
    <t>Grid supply (subsection (r)) ground mount</t>
  </si>
  <si>
    <t>Net-metered residential ground mount</t>
  </si>
  <si>
    <t>Net-metered residential rooftop and canopy</t>
  </si>
  <si>
    <t>Net-metered non-residential ground mount</t>
  </si>
  <si>
    <t xml:space="preserve">Note: Applications with a status of Eligible for TI are not included in the above table. These applications have not yet selected the project type to complete the transfer to the TI program.                  </t>
  </si>
  <si>
    <t>Previous Reported in TI through 04/30/2021</t>
  </si>
  <si>
    <t>Difference between last month and this month</t>
  </si>
  <si>
    <t>Eligible for TI</t>
  </si>
  <si>
    <t xml:space="preserve">TI Solar Installations by Project Type as of </t>
  </si>
  <si>
    <t>Installed Capacity (kW)</t>
  </si>
  <si>
    <t>% of Installed Capacity</t>
  </si>
  <si>
    <t>Subsection (t): landfill, brownfield, areas of historic fill</t>
  </si>
  <si>
    <t>Grid supply (subsection (r )) rooftop</t>
  </si>
  <si>
    <t>Grid supply (subsection (r )) ground mount</t>
  </si>
  <si>
    <t>Note: Applications with a status of Eligible for TI are not included in the above table. These applications have not yet selected the project type to complete the transfer to the TI program:</t>
  </si>
  <si>
    <t xml:space="preserve">    Eligible for TI Status</t>
  </si>
  <si>
    <t>Capacity Factor</t>
  </si>
  <si>
    <t>TREC Payment in 2020 Dollar</t>
  </si>
  <si>
    <t>TREC Supply (MWh)</t>
  </si>
  <si>
    <t>Total Installed Payment</t>
  </si>
  <si>
    <t>Total SREC Payment appears in 2030 (in 2020 USD)</t>
  </si>
  <si>
    <t>2030 SREC price (80% of the ACP = 158)</t>
  </si>
  <si>
    <t>FOM 2020$/MW-year</t>
  </si>
  <si>
    <t>Module Cost ($/W) Tech Year 2030</t>
  </si>
  <si>
    <t>Module Cost ($/W) Tech Year 2040</t>
  </si>
  <si>
    <t>Module Cost ($/W) Tech Year 2050</t>
  </si>
  <si>
    <t>Inverter Cost ($/W) Tech Year 2030</t>
  </si>
  <si>
    <t>Inverter Cost ($/W) Tech Year 2040</t>
  </si>
  <si>
    <t>Inverter Cost ($/W) Tech Year 2050</t>
  </si>
  <si>
    <t>2022-2030 Modeled Cost (average, 2020 real)</t>
  </si>
  <si>
    <t>Module Cost ($/W) Tech Year 2020</t>
  </si>
  <si>
    <t>Inverter Cost ($/W) Tech Year 2020</t>
  </si>
  <si>
    <t>2031-2040 Modeled Cost (average, 2020 real)</t>
  </si>
  <si>
    <t>2041-2050 Modeled Cost (average, 2020 real)</t>
  </si>
  <si>
    <t>Inverter Change in year 13 ($/W) Tech year 2022-2030</t>
  </si>
  <si>
    <t>Inverter Change in year 13 ($/W) Tech year 2031-2040</t>
  </si>
  <si>
    <t>Inverter Change in year 13 ($/W) Tech year 2041-2050</t>
  </si>
  <si>
    <t>Annualized Capex (2020 $/MW-year), tech year 2020-2021</t>
  </si>
  <si>
    <t>Annualized Capex (2020 $/MW-year), tech year 2022-2030</t>
  </si>
  <si>
    <t>case</t>
  </si>
  <si>
    <t>Scenario</t>
  </si>
  <si>
    <t>nonsrec_capacity_revenue</t>
  </si>
  <si>
    <t>currentpolicy_doublezcfcost</t>
  </si>
  <si>
    <t>Current Policy (CP)</t>
  </si>
  <si>
    <t>Doubled ZCF Fuel Price</t>
  </si>
  <si>
    <t>currentpolicy_highngcost</t>
  </si>
  <si>
    <t>High NatGas Price</t>
  </si>
  <si>
    <t>currentpolicy_highrecost</t>
  </si>
  <si>
    <t>High RE/BESS Cost</t>
  </si>
  <si>
    <t>currentpolicy_lowngcost</t>
  </si>
  <si>
    <t>Low NatGas Price</t>
  </si>
  <si>
    <t>currentpolicy_lowrecost</t>
  </si>
  <si>
    <t>Low RE/BESS Cost</t>
  </si>
  <si>
    <t>currentpolicy_mid</t>
  </si>
  <si>
    <t>Mid</t>
  </si>
  <si>
    <t>currentpolicy_noflexibleload</t>
  </si>
  <si>
    <t>No Flexible Load</t>
  </si>
  <si>
    <t>currentpolicy_nointertrans</t>
  </si>
  <si>
    <t>No Interregional Transmission Upgrade</t>
  </si>
  <si>
    <t>deepdecarbonization_dgsolar_doublezcfcost</t>
  </si>
  <si>
    <t>DD + High Solar</t>
  </si>
  <si>
    <t>deepdecarbonization_dgsolar_highngcost</t>
  </si>
  <si>
    <t>deepdecarbonization_dgsolar_highrecost</t>
  </si>
  <si>
    <t>deepdecarbonization_dgsolar_instaterps_doublezcfcost</t>
  </si>
  <si>
    <t>DD + High Solar + 80% Instate</t>
  </si>
  <si>
    <t>deepdecarbonization_dgsolar_instaterps_highngcost</t>
  </si>
  <si>
    <t>deepdecarbonization_dgsolar_instaterps_highrecost</t>
  </si>
  <si>
    <t>deepdecarbonization_dgsolar_instaterps_lowngcost</t>
  </si>
  <si>
    <t>deepdecarbonization_dgsolar_instaterps_lowrecost</t>
  </si>
  <si>
    <t>deepdecarbonization_dgsolar_instaterps_mid</t>
  </si>
  <si>
    <t>deepdecarbonization_dgsolar_instaterps_noflexibleload</t>
  </si>
  <si>
    <t>deepdecarbonization_dgsolar_instaterps_nointertrans</t>
  </si>
  <si>
    <t>deepdecarbonization_dgsolar_lowngcost</t>
  </si>
  <si>
    <t>deepdecarbonization_dgsolar_lowrecost</t>
  </si>
  <si>
    <t>deepdecarbonization_dgsolar_mid</t>
  </si>
  <si>
    <t>deepdecarbonization_dgsolar_noflexibleload</t>
  </si>
  <si>
    <t>deepdecarbonization_dgsolar_nointertrans</t>
  </si>
  <si>
    <t>deepdecarbonization_dgsolar_nuclear_doublezcfcost</t>
  </si>
  <si>
    <t>DD + High Solar + Nuclear</t>
  </si>
  <si>
    <t>deepdecarbonization_dgsolar_nuclear_highngcost</t>
  </si>
  <si>
    <t>deepdecarbonization_dgsolar_nuclear_highrecost</t>
  </si>
  <si>
    <t>deepdecarbonization_dgsolar_nuclear_instaterps_doublezcfcost</t>
  </si>
  <si>
    <t>DD + High Solar + Nuclear + 80% Instate</t>
  </si>
  <si>
    <t>deepdecarbonization_dgsolar_nuclear_instaterps_highngcost</t>
  </si>
  <si>
    <t>deepdecarbonization_dgsolar_nuclear_instaterps_highrecost</t>
  </si>
  <si>
    <t>deepdecarbonization_dgsolar_nuclear_instaterps_lowngcost</t>
  </si>
  <si>
    <t>deepdecarbonization_dgsolar_nuclear_instaterps_lowrecost</t>
  </si>
  <si>
    <t>deepdecarbonization_dgsolar_nuclear_instaterps_mid</t>
  </si>
  <si>
    <t>deepdecarbonization_dgsolar_nuclear_instaterps_noflexibleload</t>
  </si>
  <si>
    <t>deepdecarbonization_dgsolar_nuclear_instaterps_nointertrans</t>
  </si>
  <si>
    <t>deepdecarbonization_dgsolar_nuclear_lowngcost</t>
  </si>
  <si>
    <t>deepdecarbonization_dgsolar_nuclear_lowrecost</t>
  </si>
  <si>
    <t>deepdecarbonization_dgsolar_nuclear_mid</t>
  </si>
  <si>
    <t>deepdecarbonization_dgsolar_nuclear_noflexibleload</t>
  </si>
  <si>
    <t>deepdecarbonization_dgsolar_nuclear_nointertrans</t>
  </si>
  <si>
    <t>deepdecarbonization_doublezcfcost</t>
  </si>
  <si>
    <t>Deep Decarbonization (DD)</t>
  </si>
  <si>
    <t>deepdecarbonization_highngcost</t>
  </si>
  <si>
    <t>deepdecarbonization_highrecost</t>
  </si>
  <si>
    <t>deepdecarbonization_instaterps_doublezcfcost</t>
  </si>
  <si>
    <t>DD + 80% Instate</t>
  </si>
  <si>
    <t>deepdecarbonization_instaterps_highngcost</t>
  </si>
  <si>
    <t>deepdecarbonization_instaterps_highrecost</t>
  </si>
  <si>
    <t>deepdecarbonization_instaterps_lowngcost</t>
  </si>
  <si>
    <t>deepdecarbonization_instaterps_lowrecost</t>
  </si>
  <si>
    <t>deepdecarbonization_instaterps_mid</t>
  </si>
  <si>
    <t>deepdecarbonization_instaterps_noflexibleload</t>
  </si>
  <si>
    <t>deepdecarbonization_instaterps_nointertrans</t>
  </si>
  <si>
    <t>deepdecarbonization_lowngcost</t>
  </si>
  <si>
    <t>deepdecarbonization_lowrecost</t>
  </si>
  <si>
    <t>deepdecarbonization_mid</t>
  </si>
  <si>
    <t>deepdecarbonization_noflexibleload</t>
  </si>
  <si>
    <t>deepdecarbonization_nointertrans</t>
  </si>
  <si>
    <t>deepdecarbonization_nuclear_doublezcfcost</t>
  </si>
  <si>
    <t>DD + Nuclear</t>
  </si>
  <si>
    <t>deepdecarbonization_nuclear_highngcost</t>
  </si>
  <si>
    <t>deepdecarbonization_nuclear_highrecost</t>
  </si>
  <si>
    <t>deepdecarbonization_nuclear_instaterps_doublezcfcost</t>
  </si>
  <si>
    <t>DD + Nuclear + 80% Instate</t>
  </si>
  <si>
    <t>deepdecarbonization_nuclear_instaterps_highngcost</t>
  </si>
  <si>
    <t>deepdecarbonization_nuclear_instaterps_highrecost</t>
  </si>
  <si>
    <t>deepdecarbonization_nuclear_instaterps_lowngcost</t>
  </si>
  <si>
    <t>deepdecarbonization_nuclear_instaterps_lowrecost</t>
  </si>
  <si>
    <t>deepdecarbonization_nuclear_instaterps_mid</t>
  </si>
  <si>
    <t>deepdecarbonization_nuclear_instaterps_noflexibleload</t>
  </si>
  <si>
    <t>deepdecarbonization_nuclear_instaterps_nointertrans</t>
  </si>
  <si>
    <t>deepdecarbonization_nuclear_lowngcost</t>
  </si>
  <si>
    <t>deepdecarbonization_nuclear_lowrecost</t>
  </si>
  <si>
    <t>deepdecarbonization_nuclear_mid</t>
  </si>
  <si>
    <t>deepdecarbonization_nuclear_noflexibleload</t>
  </si>
  <si>
    <t>deepdecarbonization_nuclear_nointertrans</t>
  </si>
  <si>
    <t>statedpolicy_dgsolar_doublezcfcost</t>
  </si>
  <si>
    <t>SP + High Solar</t>
  </si>
  <si>
    <t>statedpolicy_dgsolar_highngcost</t>
  </si>
  <si>
    <t>statedpolicy_dgsolar_highrecost</t>
  </si>
  <si>
    <t>statedpolicy_dgsolar_instaterps_doublezcfcost</t>
  </si>
  <si>
    <t>SP + High Solar + 80% Instate</t>
  </si>
  <si>
    <t>statedpolicy_dgsolar_instaterps_highngcost</t>
  </si>
  <si>
    <t>statedpolicy_dgsolar_instaterps_highrecost</t>
  </si>
  <si>
    <t>statedpolicy_dgsolar_instaterps_lowngcost</t>
  </si>
  <si>
    <t>statedpolicy_dgsolar_instaterps_lowrecost</t>
  </si>
  <si>
    <t>statedpolicy_dgsolar_instaterps_mid</t>
  </si>
  <si>
    <t>statedpolicy_dgsolar_instaterps_noflexibleload</t>
  </si>
  <si>
    <t>statedpolicy_dgsolar_instaterps_nointertrans</t>
  </si>
  <si>
    <t>statedpolicy_dgsolar_lowngcost</t>
  </si>
  <si>
    <t>statedpolicy_dgsolar_lowrecost</t>
  </si>
  <si>
    <t>statedpolicy_dgsolar_mid</t>
  </si>
  <si>
    <t>statedpolicy_dgsolar_noflexibleload</t>
  </si>
  <si>
    <t>statedpolicy_dgsolar_nointertrans</t>
  </si>
  <si>
    <t>statedpolicy_dgsolar_nuclear_doublezcfcost</t>
  </si>
  <si>
    <t>SP + High Solar + Nuclear</t>
  </si>
  <si>
    <t>statedpolicy_dgsolar_nuclear_highngcost</t>
  </si>
  <si>
    <t>statedpolicy_dgsolar_nuclear_highrecost</t>
  </si>
  <si>
    <t>statedpolicy_dgsolar_nuclear_instaterps_doublezcfcost</t>
  </si>
  <si>
    <t>SP + High Solar + Nuclear + 80% Instate</t>
  </si>
  <si>
    <t>statedpolicy_dgsolar_nuclear_instaterps_highngcost</t>
  </si>
  <si>
    <t>statedpolicy_dgsolar_nuclear_instaterps_highrecost</t>
  </si>
  <si>
    <t>statedpolicy_dgsolar_nuclear_instaterps_lowngcost</t>
  </si>
  <si>
    <t>statedpolicy_dgsolar_nuclear_instaterps_lowrecost</t>
  </si>
  <si>
    <t>statedpolicy_dgsolar_nuclear_instaterps_mid</t>
  </si>
  <si>
    <t>statedpolicy_dgsolar_nuclear_instaterps_noflexibleload</t>
  </si>
  <si>
    <t>statedpolicy_dgsolar_nuclear_instaterps_nointertrans</t>
  </si>
  <si>
    <t>statedpolicy_dgsolar_nuclear_lowngcost</t>
  </si>
  <si>
    <t>statedpolicy_dgsolar_nuclear_lowrecost</t>
  </si>
  <si>
    <t>statedpolicy_dgsolar_nuclear_mid</t>
  </si>
  <si>
    <t>statedpolicy_dgsolar_nuclear_noflexibleload</t>
  </si>
  <si>
    <t>statedpolicy_dgsolar_nuclear_nointertrans</t>
  </si>
  <si>
    <t>statedpolicy_doublezcfcost</t>
  </si>
  <si>
    <t>Stated Policy (SP)</t>
  </si>
  <si>
    <t>statedpolicy_highngcost</t>
  </si>
  <si>
    <t>statedpolicy_highrecost</t>
  </si>
  <si>
    <t>statedpolicy_instaterps_doublezcfcost</t>
  </si>
  <si>
    <t>SP + 80% Instate</t>
  </si>
  <si>
    <t>statedpolicy_instaterps_highngcost</t>
  </si>
  <si>
    <t>statedpolicy_instaterps_highrecost</t>
  </si>
  <si>
    <t>statedpolicy_instaterps_lowngcost</t>
  </si>
  <si>
    <t>statedpolicy_instaterps_lowrecost</t>
  </si>
  <si>
    <t>statedpolicy_instaterps_mid</t>
  </si>
  <si>
    <t>statedpolicy_instaterps_noflexibleload</t>
  </si>
  <si>
    <t>statedpolicy_instaterps_nointertrans</t>
  </si>
  <si>
    <t>statedpolicy_lowngcost</t>
  </si>
  <si>
    <t>statedpolicy_lowrecost</t>
  </si>
  <si>
    <t>statedpolicy_mid</t>
  </si>
  <si>
    <t>statedpolicy_noflexibleload</t>
  </si>
  <si>
    <t>statedpolicy_nointertrans</t>
  </si>
  <si>
    <t>statedpolicy_nuclear_doublezcfcost</t>
  </si>
  <si>
    <t>SP + Nuclear</t>
  </si>
  <si>
    <t>statedpolicy_nuclear_highngcost</t>
  </si>
  <si>
    <t>statedpolicy_nuclear_highrecost</t>
  </si>
  <si>
    <t>statedpolicy_nuclear_instaterps_doublezcfcost</t>
  </si>
  <si>
    <t>SP + Nuclear + 80% Instate</t>
  </si>
  <si>
    <t>statedpolicy_nuclear_instaterps_highngcost</t>
  </si>
  <si>
    <t>statedpolicy_nuclear_instaterps_highrecost</t>
  </si>
  <si>
    <t>statedpolicy_nuclear_instaterps_lowngcost</t>
  </si>
  <si>
    <t>statedpolicy_nuclear_instaterps_lowrecost</t>
  </si>
  <si>
    <t>statedpolicy_nuclear_instaterps_mid</t>
  </si>
  <si>
    <t>statedpolicy_nuclear_instaterps_noflexibleload</t>
  </si>
  <si>
    <t>statedpolicy_nuclear_instaterps_nointertrans</t>
  </si>
  <si>
    <t>statedpolicy_nuclear_lowngcost</t>
  </si>
  <si>
    <t>statedpolicy_nuclear_lowrecost</t>
  </si>
  <si>
    <t>statedpolicy_nuclear_mid</t>
  </si>
  <si>
    <t>statedpolicy_nuclear_noflexibleload</t>
  </si>
  <si>
    <t>statedpolicy_nuclear_nointertrans</t>
  </si>
  <si>
    <t>nonsrec_energy_revenue</t>
  </si>
  <si>
    <t>nonsrec_rps_revenue</t>
  </si>
  <si>
    <t>nonsrec_revenue</t>
  </si>
  <si>
    <t>capacity</t>
  </si>
  <si>
    <t>output</t>
  </si>
  <si>
    <t>capacityfactor</t>
  </si>
  <si>
    <t>nonsrec_revenue_permwh</t>
  </si>
  <si>
    <t>SCENARIO</t>
  </si>
  <si>
    <t>High Solar</t>
  </si>
  <si>
    <t>Normal</t>
  </si>
  <si>
    <t>DG Scenario</t>
  </si>
  <si>
    <t>DG TechSensitivity</t>
  </si>
  <si>
    <t>Ongoing_Cost</t>
  </si>
  <si>
    <t>Average Fixed Cost (Annualized CAPEX + FOM)</t>
  </si>
  <si>
    <t>ongoing cost</t>
  </si>
  <si>
    <t>lcoe ($/MWh)</t>
  </si>
  <si>
    <t>SREC II (Method 2, marginal cost of building, $/MWh)</t>
  </si>
  <si>
    <t>SREC II (Method 1, average ongoing cost, $/MWh)</t>
  </si>
  <si>
    <t>Ongoing_Cost_perMWh</t>
  </si>
  <si>
    <t>Total NJ Cost</t>
  </si>
  <si>
    <t>remainnig community solar</t>
  </si>
  <si>
    <t>Bos Cost ($/W) Tech Year 2020</t>
  </si>
  <si>
    <t>Grid and Community</t>
  </si>
  <si>
    <t>Solar - PV Dist. Res</t>
  </si>
  <si>
    <t>Solar - PV Dist. Comm</t>
  </si>
  <si>
    <t>Solar - Utility PV</t>
  </si>
  <si>
    <t>ATB 2020 Learning Curve (use 2020 as base)</t>
  </si>
  <si>
    <t>Annualized Capex (Tech Year 2020, with 10% ITC, ignoring inverter change)</t>
  </si>
  <si>
    <t>Annualized Capex (Tech Year 2020, with 10% ITC for non-Res, ignoring inverter change)</t>
  </si>
  <si>
    <t>RPS Price</t>
  </si>
  <si>
    <t>averagefixedcost_permwac</t>
  </si>
  <si>
    <t>averagefixedcost_permwdc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</si>
</sst>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[$$-409]* #,##0_);_([$$-409]* \(#,##0\);_([$$-409]* &quot;-&quot;??_);_(@_)"/>
    <numFmt numFmtId="167" formatCode="&quot;$&quot;#,##0"/>
    <numFmt numFmtId="168" formatCode="_(&quot;$&quot;* #,##0_);_(&quot;$&quot;* \(#,##0\);_(&quot;$&quot;* &quot;-&quot;??_);_(@_)"/>
    <numFmt numFmtId="169" formatCode="mm/dd/yy;@"/>
    <numFmt numFmtId="170" formatCode="[$-409]mmm\-yy;@"/>
    <numFmt numFmtId="171" formatCode="0.0"/>
  </numFmts>
  <fonts count="6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6100"/>
      <name val="Calibri"/>
      <family val="2"/>
    </font>
    <font>
      <sz val="10"/>
      <color rgb="FFFFFFFF"/>
      <name val="Calibri"/>
      <family val="2"/>
    </font>
    <font>
      <b/>
      <sz val="10"/>
      <color rgb="FFFA7D00"/>
      <name val="Calibri"/>
      <family val="2"/>
    </font>
    <font>
      <b/>
      <sz val="10"/>
      <color theme="1"/>
      <name val="Calibri"/>
      <family val="2"/>
      <scheme val="minor"/>
    </font>
    <font>
      <i/>
      <sz val="10"/>
      <color theme="0" tint="-0.34998626667073579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0"/>
      <color rgb="FF0070C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Arial"/>
      <family val="2"/>
    </font>
    <font>
      <b/>
      <sz val="15.5"/>
      <name val="Arial"/>
      <family val="2"/>
    </font>
    <font>
      <b/>
      <i/>
      <sz val="15.5"/>
      <name val="Arial"/>
      <family val="2"/>
    </font>
    <font>
      <b/>
      <sz val="14"/>
      <name val="Arial"/>
      <family val="2"/>
    </font>
    <font>
      <b/>
      <sz val="14"/>
      <color rgb="FF262626"/>
      <name val="Arial"/>
      <family val="2"/>
    </font>
    <font>
      <sz val="11"/>
      <color rgb="FFFFFF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i/>
      <sz val="11"/>
      <color rgb="FF262626"/>
      <name val="Arial"/>
      <family val="2"/>
    </font>
    <font>
      <b/>
      <sz val="11"/>
      <name val="Arial"/>
      <family val="2"/>
    </font>
    <font>
      <i/>
      <sz val="11"/>
      <color rgb="FF404040"/>
      <name val="Arial"/>
      <family val="2"/>
    </font>
    <font>
      <sz val="11"/>
      <color rgb="FF404040"/>
      <name val="Arial"/>
      <family val="2"/>
    </font>
    <font>
      <b/>
      <i/>
      <sz val="11"/>
      <name val="Arial"/>
      <family val="2"/>
    </font>
    <font>
      <i/>
      <sz val="11"/>
      <color rgb="FF262626"/>
      <name val="Arial"/>
      <family val="2"/>
    </font>
    <font>
      <i/>
      <sz val="11"/>
      <color rgb="FFFFFFFF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262626"/>
      <name val="Arial"/>
      <family val="2"/>
    </font>
    <font>
      <sz val="11"/>
      <color rgb="FF262626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12"/>
      <color theme="2" tint="-0.499984740745262"/>
      <name val="Calibri"/>
      <family val="2"/>
      <scheme val="minor"/>
    </font>
    <font>
      <i/>
      <sz val="12"/>
      <color theme="1" tint="0.34998626667073579"/>
      <name val="Calibri"/>
      <family val="2"/>
      <scheme val="minor"/>
    </font>
    <font>
      <b/>
      <i/>
      <sz val="12"/>
      <color theme="1" tint="0.34998626667073579"/>
      <name val="Calibri"/>
      <family val="2"/>
      <scheme val="minor"/>
    </font>
    <font>
      <b/>
      <i/>
      <sz val="12"/>
      <color theme="1" tint="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i/>
      <sz val="11"/>
      <color theme="1" tint="0.499984740745262"/>
      <name val="Arial"/>
      <family val="2"/>
    </font>
    <font>
      <b/>
      <i/>
      <sz val="11"/>
      <color theme="1" tint="0.499984740745262"/>
      <name val="Arial"/>
      <family val="2"/>
    </font>
    <font>
      <b/>
      <sz val="11"/>
      <color theme="1"/>
      <name val="Arial"/>
      <family val="2"/>
    </font>
    <font>
      <b/>
      <sz val="11"/>
      <color theme="1" tint="0.499984740745262"/>
      <name val="Arial"/>
      <family val="2"/>
    </font>
    <font>
      <sz val="11"/>
      <color theme="1" tint="0.499984740745262"/>
      <name val="Arial"/>
      <family val="2"/>
    </font>
    <font>
      <b/>
      <sz val="10"/>
      <color rgb="FFFF0000"/>
      <name val="Arial"/>
      <family val="2"/>
    </font>
    <font>
      <i/>
      <sz val="11"/>
      <color indexed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BFBFBF"/>
        <bgColor rgb="FF000000"/>
      </patternFill>
    </fill>
    <fill>
      <patternFill patternType="solid">
        <fgColor rgb="FFC6EFCE"/>
        <bgColor rgb="FFFFFFFF"/>
      </patternFill>
    </fill>
    <fill>
      <patternFill patternType="solid">
        <fgColor rgb="FF595959"/>
        <bgColor rgb="FF000000"/>
      </patternFill>
    </fill>
    <fill>
      <patternFill patternType="solid">
        <fgColor rgb="FFF2F2F2"/>
        <bgColor rgb="FFFFFFFF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DF2C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darkGrid">
        <fgColor rgb="FF595959"/>
      </patternFill>
    </fill>
    <fill>
      <patternFill patternType="darkGrid">
        <fgColor rgb="FF000000"/>
      </patternFill>
    </fill>
    <fill>
      <patternFill patternType="solid">
        <fgColor rgb="FF95B3D7"/>
        <bgColor rgb="FF000000"/>
      </patternFill>
    </fill>
    <fill>
      <patternFill patternType="solid">
        <fgColor rgb="FFB8CCE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gray0625"/>
    </fill>
    <fill>
      <patternFill patternType="solid">
        <fgColor theme="7" tint="0.59999389629810485"/>
        <bgColor indexed="64"/>
      </patternFill>
    </fill>
    <fill>
      <patternFill patternType="solid">
        <fgColor rgb="FFFDF2CF"/>
        <bgColor indexed="64"/>
      </patternFill>
    </fill>
    <fill>
      <patternFill patternType="solid">
        <fgColor rgb="FFF5E59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5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2" applyNumberFormat="0" applyAlignment="0" applyProtection="0"/>
    <xf numFmtId="0" fontId="11" fillId="8" borderId="3" applyNumberFormat="0" applyProtection="0">
      <alignment horizontal="centerContinuous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11" borderId="3" applyNumberFormat="0" applyAlignment="0" applyProtection="0">
      <alignment vertical="top"/>
    </xf>
    <xf numFmtId="43" fontId="1" fillId="0" borderId="0" applyFont="0" applyFill="0" applyBorder="0" applyAlignment="0" applyProtection="0"/>
    <xf numFmtId="0" fontId="19" fillId="14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40" fillId="0" borderId="0"/>
    <xf numFmtId="0" fontId="49" fillId="0" borderId="0"/>
    <xf numFmtId="0" fontId="27" fillId="0" borderId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40" fillId="0" borderId="0"/>
    <xf numFmtId="43" fontId="40" fillId="0" borderId="0" applyFont="0" applyFill="0" applyBorder="0" applyAlignment="0" applyProtection="0"/>
    <xf numFmtId="0" fontId="49" fillId="0" borderId="0"/>
    <xf numFmtId="0" fontId="49" fillId="0" borderId="0"/>
  </cellStyleXfs>
  <cellXfs count="427">
    <xf numFmtId="0" fontId="0" fillId="0" borderId="0" xfId="0"/>
    <xf numFmtId="0" fontId="6" fillId="0" borderId="0" xfId="0" applyFont="1"/>
    <xf numFmtId="0" fontId="7" fillId="0" borderId="0" xfId="0" applyFont="1"/>
    <xf numFmtId="164" fontId="8" fillId="5" borderId="0" xfId="5" applyNumberFormat="1" applyFont="1" applyFill="1" applyBorder="1"/>
    <xf numFmtId="0" fontId="6" fillId="4" borderId="0" xfId="0" applyFont="1" applyFill="1"/>
    <xf numFmtId="0" fontId="9" fillId="6" borderId="0" xfId="0" applyFont="1" applyFill="1"/>
    <xf numFmtId="0" fontId="6" fillId="0" borderId="0" xfId="0" applyFont="1" applyAlignment="1">
      <alignment horizontal="right"/>
    </xf>
    <xf numFmtId="164" fontId="6" fillId="0" borderId="0" xfId="0" applyNumberFormat="1" applyFont="1"/>
    <xf numFmtId="164" fontId="10" fillId="7" borderId="2" xfId="6" applyNumberFormat="1" applyFont="1" applyFill="1"/>
    <xf numFmtId="0" fontId="8" fillId="5" borderId="0" xfId="5" applyFont="1" applyFill="1" applyBorder="1"/>
    <xf numFmtId="164" fontId="0" fillId="0" borderId="0" xfId="0" applyNumberFormat="1"/>
    <xf numFmtId="0" fontId="7" fillId="9" borderId="3" xfId="7" applyFont="1" applyFill="1" applyAlignment="1">
      <alignment horizontal="centerContinuous" wrapText="1"/>
    </xf>
    <xf numFmtId="0" fontId="7" fillId="9" borderId="3" xfId="7" applyFont="1" applyFill="1">
      <alignment horizontal="centerContinuous"/>
    </xf>
    <xf numFmtId="0" fontId="7" fillId="9" borderId="4" xfId="7" applyFont="1" applyFill="1" applyBorder="1" applyAlignment="1">
      <alignment horizontal="centerContinuous" wrapText="1"/>
    </xf>
    <xf numFmtId="0" fontId="11" fillId="8" borderId="4" xfId="7" applyBorder="1" applyAlignment="1">
      <alignment horizontal="centerContinuous" wrapText="1"/>
    </xf>
    <xf numFmtId="0" fontId="0" fillId="10" borderId="5" xfId="0" applyFill="1" applyBorder="1"/>
    <xf numFmtId="0" fontId="12" fillId="0" borderId="0" xfId="8"/>
    <xf numFmtId="44" fontId="14" fillId="0" borderId="0" xfId="9" applyNumberFormat="1" applyFont="1" applyFill="1" applyBorder="1"/>
    <xf numFmtId="41" fontId="14" fillId="0" borderId="0" xfId="1" applyFont="1" applyFill="1" applyBorder="1"/>
    <xf numFmtId="0" fontId="14" fillId="12" borderId="3" xfId="10" applyFont="1" applyFill="1" applyAlignment="1"/>
    <xf numFmtId="0" fontId="15" fillId="0" borderId="0" xfId="2" applyNumberFormat="1" applyFont="1" applyFill="1" applyBorder="1" applyAlignment="1">
      <alignment horizontal="center"/>
    </xf>
    <xf numFmtId="44" fontId="15" fillId="0" borderId="0" xfId="2" applyFont="1" applyFill="1" applyBorder="1"/>
    <xf numFmtId="44" fontId="15" fillId="0" borderId="0" xfId="0" applyNumberFormat="1" applyFont="1"/>
    <xf numFmtId="165" fontId="13" fillId="0" borderId="0" xfId="9" applyNumberFormat="1" applyFill="1" applyBorder="1"/>
    <xf numFmtId="165" fontId="15" fillId="0" borderId="0" xfId="3" applyNumberFormat="1" applyFont="1" applyFill="1" applyBorder="1"/>
    <xf numFmtId="9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  <xf numFmtId="44" fontId="0" fillId="0" borderId="0" xfId="0" applyNumberFormat="1"/>
    <xf numFmtId="0" fontId="2" fillId="0" borderId="1" xfId="4"/>
    <xf numFmtId="165" fontId="13" fillId="11" borderId="3" xfId="10" applyNumberFormat="1" applyAlignment="1"/>
    <xf numFmtId="8" fontId="0" fillId="0" borderId="0" xfId="0" applyNumberFormat="1"/>
    <xf numFmtId="0" fontId="12" fillId="0" borderId="0" xfId="8" applyFill="1" applyBorder="1"/>
    <xf numFmtId="0" fontId="13" fillId="11" borderId="3" xfId="10" applyNumberFormat="1" applyAlignment="1"/>
    <xf numFmtId="0" fontId="11" fillId="8" borderId="3" xfId="7" applyAlignment="1">
      <alignment horizontal="centerContinuous" wrapText="1"/>
    </xf>
    <xf numFmtId="168" fontId="0" fillId="0" borderId="0" xfId="0" applyNumberFormat="1"/>
    <xf numFmtId="168" fontId="13" fillId="0" borderId="0" xfId="9" applyNumberFormat="1" applyFill="1"/>
    <xf numFmtId="10" fontId="13" fillId="0" borderId="0" xfId="9" applyNumberFormat="1" applyFill="1"/>
    <xf numFmtId="168" fontId="13" fillId="0" borderId="0" xfId="9" applyNumberFormat="1"/>
    <xf numFmtId="10" fontId="13" fillId="0" borderId="0" xfId="9" applyNumberFormat="1"/>
    <xf numFmtId="168" fontId="0" fillId="0" borderId="0" xfId="2" applyNumberFormat="1" applyFont="1"/>
    <xf numFmtId="0" fontId="18" fillId="0" borderId="0" xfId="0" applyFont="1"/>
    <xf numFmtId="43" fontId="0" fillId="0" borderId="0" xfId="11" applyFont="1"/>
    <xf numFmtId="9" fontId="0" fillId="0" borderId="0" xfId="3" applyFont="1"/>
    <xf numFmtId="0" fontId="19" fillId="14" borderId="0" xfId="12"/>
    <xf numFmtId="43" fontId="3" fillId="2" borderId="0" xfId="5" applyNumberFormat="1"/>
    <xf numFmtId="164" fontId="1" fillId="15" borderId="0" xfId="11" applyNumberFormat="1" applyFont="1" applyFill="1"/>
    <xf numFmtId="164" fontId="18" fillId="15" borderId="0" xfId="11" applyNumberFormat="1" applyFont="1" applyFill="1"/>
    <xf numFmtId="3" fontId="0" fillId="0" borderId="0" xfId="0" applyNumberFormat="1"/>
    <xf numFmtId="0" fontId="21" fillId="0" borderId="0" xfId="0" applyFont="1" applyAlignment="1">
      <alignment vertical="center"/>
    </xf>
    <xf numFmtId="169" fontId="21" fillId="16" borderId="0" xfId="0" applyNumberFormat="1" applyFont="1" applyFill="1" applyAlignment="1">
      <alignment horizontal="center" vertical="center"/>
    </xf>
    <xf numFmtId="0" fontId="21" fillId="16" borderId="0" xfId="0" applyFont="1" applyFill="1" applyAlignment="1">
      <alignment vertical="center"/>
    </xf>
    <xf numFmtId="0" fontId="24" fillId="0" borderId="0" xfId="0" applyFont="1"/>
    <xf numFmtId="0" fontId="24" fillId="16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25" fillId="17" borderId="0" xfId="0" applyFont="1" applyFill="1" applyAlignment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30" fillId="0" borderId="0" xfId="0" applyFont="1"/>
    <xf numFmtId="0" fontId="30" fillId="17" borderId="0" xfId="0" applyFont="1" applyFill="1"/>
    <xf numFmtId="0" fontId="30" fillId="0" borderId="0" xfId="0" applyFont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170" fontId="27" fillId="17" borderId="0" xfId="0" applyNumberFormat="1" applyFont="1" applyFill="1"/>
    <xf numFmtId="0" fontId="31" fillId="17" borderId="0" xfId="0" applyFont="1" applyFill="1" applyAlignment="1">
      <alignment horizontal="center" vertical="center"/>
    </xf>
    <xf numFmtId="0" fontId="32" fillId="17" borderId="0" xfId="0" applyFont="1" applyFill="1" applyAlignment="1">
      <alignment horizontal="center" vertical="center"/>
    </xf>
    <xf numFmtId="14" fontId="26" fillId="17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0" xfId="0" applyFont="1" applyAlignment="1">
      <alignment horizontal="center" vertical="center" wrapText="1"/>
    </xf>
    <xf numFmtId="0" fontId="30" fillId="18" borderId="16" xfId="0" applyFont="1" applyFill="1" applyBorder="1" applyAlignment="1">
      <alignment horizontal="center" vertical="center" wrapText="1"/>
    </xf>
    <xf numFmtId="0" fontId="30" fillId="18" borderId="10" xfId="0" applyFont="1" applyFill="1" applyBorder="1" applyAlignment="1">
      <alignment horizontal="center" vertical="center" wrapText="1"/>
    </xf>
    <xf numFmtId="0" fontId="30" fillId="17" borderId="16" xfId="0" applyFont="1" applyFill="1" applyBorder="1" applyAlignment="1">
      <alignment horizontal="center" vertical="center" wrapText="1"/>
    </xf>
    <xf numFmtId="0" fontId="30" fillId="17" borderId="10" xfId="0" applyFont="1" applyFill="1" applyBorder="1" applyAlignment="1">
      <alignment horizontal="center" vertical="center" wrapText="1"/>
    </xf>
    <xf numFmtId="0" fontId="30" fillId="4" borderId="16" xfId="0" applyFont="1" applyFill="1" applyBorder="1" applyAlignment="1">
      <alignment horizontal="center" vertical="center" wrapText="1"/>
    </xf>
    <xf numFmtId="0" fontId="30" fillId="4" borderId="10" xfId="0" applyFont="1" applyFill="1" applyBorder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27" fillId="17" borderId="0" xfId="0" applyFont="1" applyFill="1" applyAlignment="1">
      <alignment horizontal="center" vertical="center"/>
    </xf>
    <xf numFmtId="14" fontId="26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33" fillId="9" borderId="3" xfId="0" applyFont="1" applyFill="1" applyBorder="1" applyAlignment="1">
      <alignment horizontal="center"/>
    </xf>
    <xf numFmtId="0" fontId="30" fillId="17" borderId="16" xfId="0" applyFont="1" applyFill="1" applyBorder="1" applyAlignment="1">
      <alignment horizontal="center"/>
    </xf>
    <xf numFmtId="3" fontId="27" fillId="17" borderId="0" xfId="0" applyNumberFormat="1" applyFont="1" applyFill="1" applyAlignment="1">
      <alignment horizontal="center" wrapText="1"/>
    </xf>
    <xf numFmtId="3" fontId="27" fillId="17" borderId="3" xfId="0" applyNumberFormat="1" applyFont="1" applyFill="1" applyBorder="1" applyAlignment="1">
      <alignment horizontal="right" wrapText="1"/>
    </xf>
    <xf numFmtId="3" fontId="27" fillId="17" borderId="17" xfId="0" applyNumberFormat="1" applyFont="1" applyFill="1" applyBorder="1" applyAlignment="1">
      <alignment horizontal="right" wrapText="1"/>
    </xf>
    <xf numFmtId="3" fontId="27" fillId="0" borderId="3" xfId="0" applyNumberFormat="1" applyFont="1" applyBorder="1" applyAlignment="1">
      <alignment horizontal="right" wrapText="1"/>
    </xf>
    <xf numFmtId="3" fontId="27" fillId="0" borderId="17" xfId="0" applyNumberFormat="1" applyFont="1" applyBorder="1" applyAlignment="1">
      <alignment horizontal="right" wrapText="1"/>
    </xf>
    <xf numFmtId="164" fontId="34" fillId="19" borderId="3" xfId="0" applyNumberFormat="1" applyFont="1" applyFill="1" applyBorder="1" applyAlignment="1">
      <alignment horizontal="center" vertical="center" wrapText="1"/>
    </xf>
    <xf numFmtId="164" fontId="34" fillId="19" borderId="17" xfId="0" applyNumberFormat="1" applyFont="1" applyFill="1" applyBorder="1" applyAlignment="1">
      <alignment horizontal="center" vertical="center" wrapText="1"/>
    </xf>
    <xf numFmtId="3" fontId="30" fillId="9" borderId="3" xfId="0" applyNumberFormat="1" applyFont="1" applyFill="1" applyBorder="1" applyAlignment="1">
      <alignment horizontal="right" wrapText="1"/>
    </xf>
    <xf numFmtId="3" fontId="30" fillId="9" borderId="17" xfId="0" applyNumberFormat="1" applyFont="1" applyFill="1" applyBorder="1" applyAlignment="1">
      <alignment horizontal="right" wrapText="1"/>
    </xf>
    <xf numFmtId="0" fontId="28" fillId="17" borderId="0" xfId="0" applyFont="1" applyFill="1" applyAlignment="1">
      <alignment horizontal="center"/>
    </xf>
    <xf numFmtId="3" fontId="34" fillId="9" borderId="3" xfId="0" applyNumberFormat="1" applyFont="1" applyFill="1" applyBorder="1" applyAlignment="1">
      <alignment horizontal="right" wrapText="1"/>
    </xf>
    <xf numFmtId="3" fontId="34" fillId="9" borderId="17" xfId="0" applyNumberFormat="1" applyFont="1" applyFill="1" applyBorder="1" applyAlignment="1">
      <alignment horizontal="right" wrapText="1"/>
    </xf>
    <xf numFmtId="0" fontId="27" fillId="17" borderId="0" xfId="0" applyFont="1" applyFill="1" applyAlignment="1">
      <alignment horizontal="center"/>
    </xf>
    <xf numFmtId="3" fontId="30" fillId="17" borderId="3" xfId="0" applyNumberFormat="1" applyFont="1" applyFill="1" applyBorder="1" applyAlignment="1">
      <alignment horizontal="right" wrapText="1"/>
    </xf>
    <xf numFmtId="3" fontId="30" fillId="17" borderId="17" xfId="0" applyNumberFormat="1" applyFont="1" applyFill="1" applyBorder="1" applyAlignment="1">
      <alignment horizontal="right"/>
    </xf>
    <xf numFmtId="3" fontId="27" fillId="17" borderId="16" xfId="0" applyNumberFormat="1" applyFont="1" applyFill="1" applyBorder="1" applyAlignment="1">
      <alignment horizontal="right" wrapText="1"/>
    </xf>
    <xf numFmtId="3" fontId="27" fillId="17" borderId="10" xfId="0" applyNumberFormat="1" applyFont="1" applyFill="1" applyBorder="1" applyAlignment="1">
      <alignment horizontal="right" wrapText="1"/>
    </xf>
    <xf numFmtId="3" fontId="27" fillId="0" borderId="16" xfId="0" applyNumberFormat="1" applyFont="1" applyBorder="1" applyAlignment="1">
      <alignment horizontal="right" wrapText="1"/>
    </xf>
    <xf numFmtId="3" fontId="27" fillId="0" borderId="10" xfId="0" applyNumberFormat="1" applyFont="1" applyBorder="1" applyAlignment="1">
      <alignment horizontal="right" wrapText="1"/>
    </xf>
    <xf numFmtId="164" fontId="34" fillId="19" borderId="16" xfId="0" applyNumberFormat="1" applyFont="1" applyFill="1" applyBorder="1" applyAlignment="1">
      <alignment horizontal="center" vertical="center" wrapText="1"/>
    </xf>
    <xf numFmtId="164" fontId="34" fillId="19" borderId="10" xfId="0" applyNumberFormat="1" applyFont="1" applyFill="1" applyBorder="1" applyAlignment="1">
      <alignment horizontal="center" vertical="center" wrapText="1"/>
    </xf>
    <xf numFmtId="3" fontId="30" fillId="9" borderId="16" xfId="0" applyNumberFormat="1" applyFont="1" applyFill="1" applyBorder="1" applyAlignment="1">
      <alignment horizontal="right" wrapText="1"/>
    </xf>
    <xf numFmtId="3" fontId="30" fillId="9" borderId="10" xfId="0" applyNumberFormat="1" applyFont="1" applyFill="1" applyBorder="1" applyAlignment="1">
      <alignment horizontal="right" wrapText="1"/>
    </xf>
    <xf numFmtId="3" fontId="34" fillId="9" borderId="16" xfId="0" applyNumberFormat="1" applyFont="1" applyFill="1" applyBorder="1" applyAlignment="1">
      <alignment horizontal="right" wrapText="1"/>
    </xf>
    <xf numFmtId="3" fontId="34" fillId="9" borderId="10" xfId="0" applyNumberFormat="1" applyFont="1" applyFill="1" applyBorder="1" applyAlignment="1">
      <alignment horizontal="right" wrapText="1"/>
    </xf>
    <xf numFmtId="3" fontId="30" fillId="17" borderId="16" xfId="0" applyNumberFormat="1" applyFont="1" applyFill="1" applyBorder="1" applyAlignment="1">
      <alignment horizontal="right" wrapText="1"/>
    </xf>
    <xf numFmtId="3" fontId="30" fillId="17" borderId="10" xfId="0" applyNumberFormat="1" applyFont="1" applyFill="1" applyBorder="1" applyAlignment="1">
      <alignment horizontal="right"/>
    </xf>
    <xf numFmtId="0" fontId="30" fillId="0" borderId="16" xfId="0" applyFont="1" applyBorder="1" applyAlignment="1">
      <alignment horizontal="center"/>
    </xf>
    <xf numFmtId="3" fontId="27" fillId="0" borderId="0" xfId="0" applyNumberFormat="1" applyFont="1" applyAlignment="1">
      <alignment horizontal="center" wrapText="1"/>
    </xf>
    <xf numFmtId="0" fontId="28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3" fontId="30" fillId="0" borderId="16" xfId="0" applyNumberFormat="1" applyFont="1" applyBorder="1" applyAlignment="1">
      <alignment horizontal="right" wrapText="1"/>
    </xf>
    <xf numFmtId="3" fontId="30" fillId="0" borderId="10" xfId="0" applyNumberFormat="1" applyFont="1" applyBorder="1" applyAlignment="1">
      <alignment horizontal="right"/>
    </xf>
    <xf numFmtId="0" fontId="35" fillId="17" borderId="0" xfId="0" applyFont="1" applyFill="1" applyAlignment="1">
      <alignment horizontal="center" vertical="center"/>
    </xf>
    <xf numFmtId="3" fontId="27" fillId="0" borderId="0" xfId="0" applyNumberFormat="1" applyFont="1" applyAlignment="1">
      <alignment horizontal="center"/>
    </xf>
    <xf numFmtId="3" fontId="36" fillId="0" borderId="16" xfId="0" applyNumberFormat="1" applyFont="1" applyBorder="1" applyAlignment="1">
      <alignment horizontal="right" wrapText="1"/>
    </xf>
    <xf numFmtId="3" fontId="27" fillId="0" borderId="10" xfId="0" applyNumberFormat="1" applyFont="1" applyBorder="1" applyAlignment="1">
      <alignment horizontal="right"/>
    </xf>
    <xf numFmtId="0" fontId="36" fillId="0" borderId="16" xfId="0" applyFont="1" applyBorder="1" applyAlignment="1">
      <alignment horizontal="right" wrapText="1"/>
    </xf>
    <xf numFmtId="0" fontId="36" fillId="0" borderId="10" xfId="0" applyFont="1" applyBorder="1" applyAlignment="1">
      <alignment horizontal="right" wrapText="1"/>
    </xf>
    <xf numFmtId="164" fontId="27" fillId="17" borderId="0" xfId="0" applyNumberFormat="1" applyFont="1" applyFill="1" applyAlignment="1">
      <alignment horizontal="center" vertical="center"/>
    </xf>
    <xf numFmtId="164" fontId="34" fillId="9" borderId="16" xfId="0" applyNumberFormat="1" applyFont="1" applyFill="1" applyBorder="1" applyAlignment="1">
      <alignment horizontal="center" vertical="center" wrapText="1"/>
    </xf>
    <xf numFmtId="164" fontId="34" fillId="9" borderId="10" xfId="0" applyNumberFormat="1" applyFont="1" applyFill="1" applyBorder="1" applyAlignment="1">
      <alignment horizontal="center" vertical="center" wrapText="1"/>
    </xf>
    <xf numFmtId="0" fontId="26" fillId="17" borderId="0" xfId="0" applyFont="1" applyFill="1"/>
    <xf numFmtId="0" fontId="33" fillId="9" borderId="3" xfId="0" applyFont="1" applyFill="1" applyBorder="1" applyAlignment="1">
      <alignment horizontal="center" wrapText="1"/>
    </xf>
    <xf numFmtId="3" fontId="30" fillId="0" borderId="0" xfId="0" applyNumberFormat="1" applyFont="1" applyAlignment="1">
      <alignment horizontal="right"/>
    </xf>
    <xf numFmtId="3" fontId="37" fillId="9" borderId="3" xfId="0" applyNumberFormat="1" applyFont="1" applyFill="1" applyBorder="1" applyAlignment="1">
      <alignment horizontal="right" wrapText="1"/>
    </xf>
    <xf numFmtId="3" fontId="37" fillId="9" borderId="17" xfId="0" applyNumberFormat="1" applyFont="1" applyFill="1" applyBorder="1" applyAlignment="1">
      <alignment horizontal="right" wrapText="1"/>
    </xf>
    <xf numFmtId="3" fontId="37" fillId="18" borderId="3" xfId="0" applyNumberFormat="1" applyFont="1" applyFill="1" applyBorder="1" applyAlignment="1">
      <alignment horizontal="right" wrapText="1"/>
    </xf>
    <xf numFmtId="3" fontId="37" fillId="18" borderId="17" xfId="0" applyNumberFormat="1" applyFont="1" applyFill="1" applyBorder="1" applyAlignment="1">
      <alignment horizontal="right" wrapText="1"/>
    </xf>
    <xf numFmtId="3" fontId="37" fillId="20" borderId="3" xfId="0" applyNumberFormat="1" applyFont="1" applyFill="1" applyBorder="1" applyAlignment="1">
      <alignment horizontal="right" wrapText="1"/>
    </xf>
    <xf numFmtId="3" fontId="37" fillId="20" borderId="17" xfId="0" applyNumberFormat="1" applyFont="1" applyFill="1" applyBorder="1" applyAlignment="1">
      <alignment horizontal="right" wrapText="1"/>
    </xf>
    <xf numFmtId="0" fontId="28" fillId="17" borderId="0" xfId="0" applyFont="1" applyFill="1"/>
    <xf numFmtId="0" fontId="27" fillId="17" borderId="0" xfId="0" applyFont="1" applyFill="1"/>
    <xf numFmtId="4" fontId="30" fillId="0" borderId="0" xfId="0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164" fontId="30" fillId="0" borderId="0" xfId="0" applyNumberFormat="1" applyFont="1" applyAlignment="1">
      <alignment horizontal="center" vertical="center" wrapText="1"/>
    </xf>
    <xf numFmtId="0" fontId="30" fillId="17" borderId="16" xfId="0" applyFont="1" applyFill="1" applyBorder="1" applyAlignment="1">
      <alignment horizontal="center" vertical="center"/>
    </xf>
    <xf numFmtId="37" fontId="30" fillId="9" borderId="3" xfId="0" applyNumberFormat="1" applyFont="1" applyFill="1" applyBorder="1" applyAlignment="1">
      <alignment horizontal="right" vertical="center" wrapText="1"/>
    </xf>
    <xf numFmtId="37" fontId="30" fillId="9" borderId="17" xfId="0" applyNumberFormat="1" applyFont="1" applyFill="1" applyBorder="1" applyAlignment="1">
      <alignment horizontal="right" vertical="center" wrapText="1"/>
    </xf>
    <xf numFmtId="164" fontId="34" fillId="18" borderId="3" xfId="0" applyNumberFormat="1" applyFont="1" applyFill="1" applyBorder="1" applyAlignment="1">
      <alignment horizontal="center" vertical="center" wrapText="1"/>
    </xf>
    <xf numFmtId="164" fontId="34" fillId="18" borderId="17" xfId="0" applyNumberFormat="1" applyFont="1" applyFill="1" applyBorder="1" applyAlignment="1">
      <alignment horizontal="center" vertical="center" wrapText="1"/>
    </xf>
    <xf numFmtId="37" fontId="30" fillId="9" borderId="16" xfId="0" applyNumberFormat="1" applyFont="1" applyFill="1" applyBorder="1" applyAlignment="1">
      <alignment horizontal="right" vertical="center" wrapText="1"/>
    </xf>
    <xf numFmtId="37" fontId="30" fillId="9" borderId="10" xfId="0" applyNumberFormat="1" applyFont="1" applyFill="1" applyBorder="1" applyAlignment="1">
      <alignment horizontal="right" vertical="center" wrapText="1"/>
    </xf>
    <xf numFmtId="164" fontId="34" fillId="18" borderId="16" xfId="0" applyNumberFormat="1" applyFont="1" applyFill="1" applyBorder="1" applyAlignment="1">
      <alignment horizontal="center" vertical="center" wrapText="1"/>
    </xf>
    <xf numFmtId="164" fontId="34" fillId="18" borderId="10" xfId="0" applyNumberFormat="1" applyFont="1" applyFill="1" applyBorder="1" applyAlignment="1">
      <alignment horizontal="center" vertical="center" wrapText="1"/>
    </xf>
    <xf numFmtId="164" fontId="39" fillId="18" borderId="16" xfId="0" applyNumberFormat="1" applyFont="1" applyFill="1" applyBorder="1" applyAlignment="1">
      <alignment horizontal="right" vertical="center" wrapText="1"/>
    </xf>
    <xf numFmtId="164" fontId="39" fillId="18" borderId="10" xfId="0" applyNumberFormat="1" applyFont="1" applyFill="1" applyBorder="1" applyAlignment="1">
      <alignment horizontal="center" vertical="center" wrapText="1"/>
    </xf>
    <xf numFmtId="14" fontId="26" fillId="17" borderId="0" xfId="0" applyNumberFormat="1" applyFont="1" applyFill="1" applyAlignment="1">
      <alignment horizontal="center"/>
    </xf>
    <xf numFmtId="164" fontId="34" fillId="18" borderId="16" xfId="0" applyNumberFormat="1" applyFont="1" applyFill="1" applyBorder="1" applyAlignment="1">
      <alignment horizontal="center" wrapText="1"/>
    </xf>
    <xf numFmtId="164" fontId="34" fillId="18" borderId="10" xfId="0" applyNumberFormat="1" applyFont="1" applyFill="1" applyBorder="1" applyAlignment="1">
      <alignment horizontal="center" wrapText="1"/>
    </xf>
    <xf numFmtId="0" fontId="40" fillId="0" borderId="0" xfId="0" applyFont="1"/>
    <xf numFmtId="3" fontId="30" fillId="0" borderId="0" xfId="0" applyNumberFormat="1" applyFont="1" applyAlignment="1">
      <alignment horizontal="center" vertical="center" wrapText="1"/>
    </xf>
    <xf numFmtId="0" fontId="30" fillId="21" borderId="3" xfId="0" applyFont="1" applyFill="1" applyBorder="1" applyAlignment="1">
      <alignment horizontal="center" wrapText="1"/>
    </xf>
    <xf numFmtId="3" fontId="37" fillId="0" borderId="0" xfId="0" applyNumberFormat="1" applyFont="1" applyAlignment="1">
      <alignment horizontal="right" wrapText="1"/>
    </xf>
    <xf numFmtId="3" fontId="38" fillId="0" borderId="0" xfId="0" applyNumberFormat="1" applyFont="1" applyAlignment="1">
      <alignment horizontal="right"/>
    </xf>
    <xf numFmtId="0" fontId="30" fillId="0" borderId="16" xfId="0" applyFont="1" applyBorder="1" applyAlignment="1">
      <alignment horizontal="center" wrapText="1"/>
    </xf>
    <xf numFmtId="3" fontId="36" fillId="22" borderId="3" xfId="0" applyNumberFormat="1" applyFont="1" applyFill="1" applyBorder="1" applyAlignment="1">
      <alignment horizontal="right" wrapText="1"/>
    </xf>
    <xf numFmtId="3" fontId="36" fillId="22" borderId="17" xfId="0" applyNumberFormat="1" applyFont="1" applyFill="1" applyBorder="1" applyAlignment="1">
      <alignment horizontal="right" wrapText="1"/>
    </xf>
    <xf numFmtId="3" fontId="27" fillId="17" borderId="0" xfId="0" applyNumberFormat="1" applyFont="1" applyFill="1" applyAlignment="1">
      <alignment horizontal="right"/>
    </xf>
    <xf numFmtId="3" fontId="36" fillId="23" borderId="3" xfId="0" applyNumberFormat="1" applyFont="1" applyFill="1" applyBorder="1" applyAlignment="1">
      <alignment horizontal="right" wrapText="1"/>
    </xf>
    <xf numFmtId="3" fontId="36" fillId="23" borderId="17" xfId="0" applyNumberFormat="1" applyFont="1" applyFill="1" applyBorder="1" applyAlignment="1">
      <alignment horizontal="right" wrapText="1"/>
    </xf>
    <xf numFmtId="3" fontId="27" fillId="0" borderId="0" xfId="0" applyNumberFormat="1" applyFont="1" applyAlignment="1">
      <alignment horizontal="right"/>
    </xf>
    <xf numFmtId="3" fontId="30" fillId="22" borderId="3" xfId="0" applyNumberFormat="1" applyFont="1" applyFill="1" applyBorder="1" applyAlignment="1">
      <alignment horizontal="right" wrapText="1"/>
    </xf>
    <xf numFmtId="3" fontId="30" fillId="22" borderId="17" xfId="0" applyNumberFormat="1" applyFont="1" applyFill="1" applyBorder="1" applyAlignment="1">
      <alignment horizontal="right" wrapText="1"/>
    </xf>
    <xf numFmtId="0" fontId="33" fillId="17" borderId="0" xfId="0" applyFont="1" applyFill="1"/>
    <xf numFmtId="3" fontId="34" fillId="18" borderId="3" xfId="0" applyNumberFormat="1" applyFont="1" applyFill="1" applyBorder="1" applyAlignment="1">
      <alignment horizontal="right" wrapText="1"/>
    </xf>
    <xf numFmtId="3" fontId="34" fillId="18" borderId="17" xfId="0" applyNumberFormat="1" applyFont="1" applyFill="1" applyBorder="1" applyAlignment="1">
      <alignment horizontal="right" wrapText="1"/>
    </xf>
    <xf numFmtId="3" fontId="30" fillId="0" borderId="3" xfId="0" applyNumberFormat="1" applyFont="1" applyBorder="1" applyAlignment="1">
      <alignment horizontal="right" wrapText="1"/>
    </xf>
    <xf numFmtId="3" fontId="30" fillId="0" borderId="17" xfId="0" applyNumberFormat="1" applyFont="1" applyBorder="1" applyAlignment="1">
      <alignment horizontal="right" wrapText="1"/>
    </xf>
    <xf numFmtId="3" fontId="36" fillId="22" borderId="16" xfId="0" applyNumberFormat="1" applyFont="1" applyFill="1" applyBorder="1" applyAlignment="1">
      <alignment horizontal="right" wrapText="1"/>
    </xf>
    <xf numFmtId="3" fontId="36" fillId="22" borderId="10" xfId="0" applyNumberFormat="1" applyFont="1" applyFill="1" applyBorder="1" applyAlignment="1">
      <alignment horizontal="right" wrapText="1"/>
    </xf>
    <xf numFmtId="3" fontId="36" fillId="23" borderId="16" xfId="0" applyNumberFormat="1" applyFont="1" applyFill="1" applyBorder="1" applyAlignment="1">
      <alignment horizontal="right" wrapText="1"/>
    </xf>
    <xf numFmtId="3" fontId="36" fillId="23" borderId="10" xfId="0" applyNumberFormat="1" applyFont="1" applyFill="1" applyBorder="1" applyAlignment="1">
      <alignment horizontal="right" wrapText="1"/>
    </xf>
    <xf numFmtId="3" fontId="37" fillId="22" borderId="16" xfId="0" applyNumberFormat="1" applyFont="1" applyFill="1" applyBorder="1" applyAlignment="1">
      <alignment horizontal="right" wrapText="1"/>
    </xf>
    <xf numFmtId="3" fontId="37" fillId="22" borderId="10" xfId="0" applyNumberFormat="1" applyFont="1" applyFill="1" applyBorder="1" applyAlignment="1">
      <alignment horizontal="right" wrapText="1"/>
    </xf>
    <xf numFmtId="3" fontId="34" fillId="18" borderId="16" xfId="0" applyNumberFormat="1" applyFont="1" applyFill="1" applyBorder="1" applyAlignment="1">
      <alignment horizontal="right" wrapText="1"/>
    </xf>
    <xf numFmtId="3" fontId="34" fillId="18" borderId="10" xfId="0" applyNumberFormat="1" applyFont="1" applyFill="1" applyBorder="1" applyAlignment="1">
      <alignment horizontal="right" wrapText="1"/>
    </xf>
    <xf numFmtId="3" fontId="30" fillId="0" borderId="10" xfId="0" applyNumberFormat="1" applyFont="1" applyBorder="1" applyAlignment="1">
      <alignment horizontal="right" wrapText="1"/>
    </xf>
    <xf numFmtId="0" fontId="26" fillId="17" borderId="0" xfId="0" applyFont="1" applyFill="1" applyAlignment="1">
      <alignment horizontal="right"/>
    </xf>
    <xf numFmtId="0" fontId="33" fillId="17" borderId="0" xfId="0" applyFont="1" applyFill="1" applyAlignment="1">
      <alignment horizontal="right"/>
    </xf>
    <xf numFmtId="0" fontId="30" fillId="17" borderId="0" xfId="0" applyFont="1" applyFill="1" applyAlignment="1">
      <alignment horizontal="right"/>
    </xf>
    <xf numFmtId="0" fontId="27" fillId="17" borderId="0" xfId="0" applyFont="1" applyFill="1" applyAlignment="1">
      <alignment horizontal="right"/>
    </xf>
    <xf numFmtId="0" fontId="30" fillId="0" borderId="18" xfId="0" applyFont="1" applyBorder="1" applyAlignment="1">
      <alignment horizontal="center"/>
    </xf>
    <xf numFmtId="0" fontId="30" fillId="0" borderId="18" xfId="0" applyFont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0" fillId="22" borderId="19" xfId="0" applyFont="1" applyFill="1" applyBorder="1" applyAlignment="1">
      <alignment horizontal="center" vertical="center" wrapText="1"/>
    </xf>
    <xf numFmtId="0" fontId="28" fillId="17" borderId="0" xfId="0" applyFont="1" applyFill="1" applyAlignment="1">
      <alignment horizontal="left" vertical="center" wrapText="1"/>
    </xf>
    <xf numFmtId="3" fontId="37" fillId="22" borderId="19" xfId="0" applyNumberFormat="1" applyFont="1" applyFill="1" applyBorder="1" applyAlignment="1">
      <alignment horizontal="right" vertical="center" wrapText="1"/>
    </xf>
    <xf numFmtId="3" fontId="37" fillId="22" borderId="20" xfId="0" applyNumberFormat="1" applyFont="1" applyFill="1" applyBorder="1" applyAlignment="1">
      <alignment horizontal="right" vertical="center" wrapText="1"/>
    </xf>
    <xf numFmtId="3" fontId="30" fillId="0" borderId="0" xfId="0" applyNumberFormat="1" applyFont="1" applyAlignment="1">
      <alignment horizontal="right" vertical="center"/>
    </xf>
    <xf numFmtId="3" fontId="37" fillId="23" borderId="19" xfId="0" applyNumberFormat="1" applyFont="1" applyFill="1" applyBorder="1" applyAlignment="1">
      <alignment horizontal="right" vertical="center" wrapText="1"/>
    </xf>
    <xf numFmtId="3" fontId="37" fillId="23" borderId="20" xfId="0" applyNumberFormat="1" applyFont="1" applyFill="1" applyBorder="1" applyAlignment="1">
      <alignment horizontal="right" vertical="center" wrapText="1"/>
    </xf>
    <xf numFmtId="0" fontId="28" fillId="17" borderId="0" xfId="0" applyFont="1" applyFill="1" applyAlignment="1">
      <alignment vertical="center"/>
    </xf>
    <xf numFmtId="3" fontId="29" fillId="9" borderId="19" xfId="0" applyNumberFormat="1" applyFont="1" applyFill="1" applyBorder="1" applyAlignment="1">
      <alignment horizontal="right" vertical="center" wrapText="1"/>
    </xf>
    <xf numFmtId="3" fontId="29" fillId="9" borderId="20" xfId="0" applyNumberFormat="1" applyFont="1" applyFill="1" applyBorder="1" applyAlignment="1">
      <alignment horizontal="right" vertical="center" wrapText="1"/>
    </xf>
    <xf numFmtId="0" fontId="27" fillId="17" borderId="0" xfId="0" applyFont="1" applyFill="1" applyAlignment="1">
      <alignment vertical="center"/>
    </xf>
    <xf numFmtId="3" fontId="30" fillId="9" borderId="19" xfId="0" applyNumberFormat="1" applyFont="1" applyFill="1" applyBorder="1" applyAlignment="1">
      <alignment horizontal="right" vertical="center" wrapText="1"/>
    </xf>
    <xf numFmtId="3" fontId="30" fillId="9" borderId="20" xfId="0" applyNumberFormat="1" applyFont="1" applyFill="1" applyBorder="1" applyAlignment="1">
      <alignment horizontal="right" vertical="center" wrapText="1"/>
    </xf>
    <xf numFmtId="3" fontId="27" fillId="0" borderId="0" xfId="0" applyNumberFormat="1" applyFont="1"/>
    <xf numFmtId="0" fontId="39" fillId="0" borderId="0" xfId="0" applyFont="1"/>
    <xf numFmtId="0" fontId="27" fillId="0" borderId="0" xfId="0" applyFont="1" applyAlignment="1">
      <alignment vertical="top" wrapText="1"/>
    </xf>
    <xf numFmtId="3" fontId="27" fillId="0" borderId="0" xfId="0" applyNumberFormat="1" applyFont="1" applyAlignment="1">
      <alignment vertical="top" wrapText="1"/>
    </xf>
    <xf numFmtId="0" fontId="20" fillId="25" borderId="24" xfId="0" applyFont="1" applyFill="1" applyBorder="1" applyAlignment="1">
      <alignment horizontal="center"/>
    </xf>
    <xf numFmtId="0" fontId="1" fillId="0" borderId="0" xfId="0" applyFont="1"/>
    <xf numFmtId="0" fontId="43" fillId="26" borderId="7" xfId="0" applyFont="1" applyFill="1" applyBorder="1" applyAlignment="1">
      <alignment horizontal="center" wrapText="1"/>
    </xf>
    <xf numFmtId="0" fontId="43" fillId="26" borderId="24" xfId="0" applyFont="1" applyFill="1" applyBorder="1" applyAlignment="1">
      <alignment horizontal="center" wrapText="1"/>
    </xf>
    <xf numFmtId="0" fontId="20" fillId="27" borderId="24" xfId="0" applyFont="1" applyFill="1" applyBorder="1" applyAlignment="1">
      <alignment horizontal="center"/>
    </xf>
    <xf numFmtId="0" fontId="20" fillId="25" borderId="16" xfId="0" applyFont="1" applyFill="1" applyBorder="1" applyAlignment="1">
      <alignment horizontal="center" vertical="top"/>
    </xf>
    <xf numFmtId="0" fontId="43" fillId="26" borderId="9" xfId="0" applyFont="1" applyFill="1" applyBorder="1" applyAlignment="1">
      <alignment horizontal="center" vertical="top" wrapText="1"/>
    </xf>
    <xf numFmtId="0" fontId="43" fillId="26" borderId="16" xfId="0" applyFont="1" applyFill="1" applyBorder="1" applyAlignment="1">
      <alignment horizontal="center" vertical="top" wrapText="1"/>
    </xf>
    <xf numFmtId="0" fontId="20" fillId="27" borderId="16" xfId="0" applyFont="1" applyFill="1" applyBorder="1" applyAlignment="1">
      <alignment horizontal="center" vertical="top"/>
    </xf>
    <xf numFmtId="0" fontId="1" fillId="0" borderId="2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2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horizontal="right" vertical="center" wrapText="1"/>
    </xf>
    <xf numFmtId="3" fontId="20" fillId="0" borderId="0" xfId="0" applyNumberFormat="1" applyFont="1" applyAlignment="1">
      <alignment horizontal="center" vertical="center"/>
    </xf>
    <xf numFmtId="10" fontId="1" fillId="0" borderId="0" xfId="0" applyNumberFormat="1" applyFont="1"/>
    <xf numFmtId="3" fontId="45" fillId="0" borderId="0" xfId="0" applyNumberFormat="1" applyFont="1" applyAlignment="1">
      <alignment horizontal="center" vertical="center"/>
    </xf>
    <xf numFmtId="9" fontId="1" fillId="0" borderId="0" xfId="0" applyNumberFormat="1" applyFont="1"/>
    <xf numFmtId="3" fontId="46" fillId="0" borderId="0" xfId="0" applyNumberFormat="1" applyFont="1" applyAlignment="1">
      <alignment horizontal="center" vertical="center"/>
    </xf>
    <xf numFmtId="0" fontId="47" fillId="0" borderId="0" xfId="0" applyFont="1"/>
    <xf numFmtId="0" fontId="0" fillId="10" borderId="0" xfId="0" applyFill="1"/>
    <xf numFmtId="0" fontId="48" fillId="0" borderId="0" xfId="0" applyFont="1"/>
    <xf numFmtId="164" fontId="0" fillId="0" borderId="0" xfId="11" applyNumberFormat="1" applyFont="1"/>
    <xf numFmtId="37" fontId="0" fillId="0" borderId="0" xfId="0" applyNumberFormat="1"/>
    <xf numFmtId="43" fontId="0" fillId="0" borderId="0" xfId="0" applyNumberFormat="1"/>
    <xf numFmtId="0" fontId="24" fillId="24" borderId="0" xfId="16" applyFont="1" applyFill="1" applyAlignment="1">
      <alignment horizontal="left" vertical="center"/>
    </xf>
    <xf numFmtId="0" fontId="24" fillId="0" borderId="0" xfId="16" applyFont="1" applyAlignment="1">
      <alignment vertical="center"/>
    </xf>
    <xf numFmtId="0" fontId="49" fillId="0" borderId="0" xfId="17"/>
    <xf numFmtId="0" fontId="41" fillId="0" borderId="0" xfId="17" applyFont="1"/>
    <xf numFmtId="0" fontId="50" fillId="28" borderId="3" xfId="17" applyFont="1" applyFill="1" applyBorder="1" applyAlignment="1">
      <alignment horizontal="center" vertical="center"/>
    </xf>
    <xf numFmtId="0" fontId="51" fillId="25" borderId="3" xfId="17" applyFont="1" applyFill="1" applyBorder="1" applyAlignment="1">
      <alignment horizontal="center" vertical="center"/>
    </xf>
    <xf numFmtId="0" fontId="30" fillId="10" borderId="3" xfId="18" quotePrefix="1" applyFont="1" applyFill="1" applyBorder="1" applyAlignment="1">
      <alignment horizontal="center" vertical="center" wrapText="1"/>
    </xf>
    <xf numFmtId="43" fontId="30" fillId="10" borderId="3" xfId="18" applyNumberFormat="1" applyFont="1" applyFill="1" applyBorder="1" applyAlignment="1">
      <alignment horizontal="center" vertical="center" wrapText="1"/>
    </xf>
    <xf numFmtId="43" fontId="50" fillId="10" borderId="3" xfId="18" applyNumberFormat="1" applyFont="1" applyFill="1" applyBorder="1" applyAlignment="1">
      <alignment horizontal="center" vertical="center" wrapText="1"/>
    </xf>
    <xf numFmtId="0" fontId="50" fillId="0" borderId="3" xfId="17" applyFont="1" applyBorder="1" applyAlignment="1">
      <alignment vertical="center" wrapText="1"/>
    </xf>
    <xf numFmtId="37" fontId="52" fillId="0" borderId="3" xfId="19" quotePrefix="1" applyNumberFormat="1" applyFont="1" applyFill="1" applyBorder="1" applyAlignment="1">
      <alignment horizontal="center" vertical="center" wrapText="1"/>
    </xf>
    <xf numFmtId="165" fontId="27" fillId="10" borderId="3" xfId="20" applyNumberFormat="1" applyFont="1" applyFill="1" applyBorder="1" applyAlignment="1">
      <alignment horizontal="center" vertical="center"/>
    </xf>
    <xf numFmtId="37" fontId="52" fillId="33" borderId="3" xfId="19" applyNumberFormat="1" applyFont="1" applyFill="1" applyBorder="1" applyAlignment="1">
      <alignment horizontal="center" vertical="center" wrapText="1"/>
    </xf>
    <xf numFmtId="37" fontId="27" fillId="33" borderId="3" xfId="19" applyNumberFormat="1" applyFont="1" applyFill="1" applyBorder="1" applyAlignment="1">
      <alignment horizontal="center" vertical="center"/>
    </xf>
    <xf numFmtId="0" fontId="49" fillId="10" borderId="0" xfId="17" applyFill="1"/>
    <xf numFmtId="37" fontId="52" fillId="0" borderId="3" xfId="19" applyNumberFormat="1" applyFont="1" applyFill="1" applyBorder="1" applyAlignment="1">
      <alignment horizontal="center" vertical="center" wrapText="1"/>
    </xf>
    <xf numFmtId="37" fontId="27" fillId="0" borderId="3" xfId="19" applyNumberFormat="1" applyFont="1" applyFill="1" applyBorder="1" applyAlignment="1">
      <alignment horizontal="center" vertical="center"/>
    </xf>
    <xf numFmtId="37" fontId="49" fillId="0" borderId="0" xfId="17" applyNumberFormat="1"/>
    <xf numFmtId="0" fontId="40" fillId="0" borderId="0" xfId="17" applyFont="1" applyAlignment="1">
      <alignment horizontal="center"/>
    </xf>
    <xf numFmtId="0" fontId="49" fillId="0" borderId="0" xfId="17" applyAlignment="1">
      <alignment vertical="center"/>
    </xf>
    <xf numFmtId="37" fontId="53" fillId="25" borderId="3" xfId="19" applyNumberFormat="1" applyFont="1" applyFill="1" applyBorder="1" applyAlignment="1">
      <alignment horizontal="center" vertical="center" wrapText="1"/>
    </xf>
    <xf numFmtId="37" fontId="30" fillId="25" borderId="3" xfId="19" applyNumberFormat="1" applyFont="1" applyFill="1" applyBorder="1" applyAlignment="1">
      <alignment horizontal="center" vertical="center"/>
    </xf>
    <xf numFmtId="165" fontId="30" fillId="25" borderId="3" xfId="20" applyNumberFormat="1" applyFont="1" applyFill="1" applyBorder="1" applyAlignment="1">
      <alignment horizontal="center" vertical="center"/>
    </xf>
    <xf numFmtId="0" fontId="50" fillId="0" borderId="0" xfId="17" applyFont="1" applyAlignment="1">
      <alignment horizontal="left" vertical="center" wrapText="1"/>
    </xf>
    <xf numFmtId="0" fontId="54" fillId="0" borderId="0" xfId="17" applyFont="1" applyAlignment="1">
      <alignment horizontal="center" wrapText="1"/>
    </xf>
    <xf numFmtId="0" fontId="56" fillId="0" borderId="3" xfId="17" applyFont="1" applyBorder="1" applyAlignment="1">
      <alignment horizontal="center"/>
    </xf>
    <xf numFmtId="0" fontId="56" fillId="0" borderId="3" xfId="17" applyFont="1" applyBorder="1" applyAlignment="1">
      <alignment horizontal="center" wrapText="1"/>
    </xf>
    <xf numFmtId="0" fontId="57" fillId="0" borderId="0" xfId="17" applyFont="1" applyAlignment="1">
      <alignment horizontal="center" wrapText="1"/>
    </xf>
    <xf numFmtId="0" fontId="57" fillId="0" borderId="3" xfId="17" applyFont="1" applyBorder="1" applyAlignment="1">
      <alignment horizontal="center"/>
    </xf>
    <xf numFmtId="0" fontId="57" fillId="0" borderId="3" xfId="17" applyFont="1" applyBorder="1" applyAlignment="1">
      <alignment horizontal="center" wrapText="1"/>
    </xf>
    <xf numFmtId="37" fontId="52" fillId="24" borderId="3" xfId="19" applyNumberFormat="1" applyFont="1" applyFill="1" applyBorder="1" applyAlignment="1">
      <alignment horizontal="center" vertical="center" wrapText="1"/>
    </xf>
    <xf numFmtId="37" fontId="27" fillId="24" borderId="3" xfId="19" applyNumberFormat="1" applyFont="1" applyFill="1" applyBorder="1" applyAlignment="1">
      <alignment horizontal="center" vertical="center"/>
    </xf>
    <xf numFmtId="3" fontId="58" fillId="0" borderId="0" xfId="17" applyNumberFormat="1" applyFont="1" applyAlignment="1">
      <alignment horizontal="center" vertical="center"/>
    </xf>
    <xf numFmtId="3" fontId="58" fillId="0" borderId="3" xfId="20" applyNumberFormat="1" applyFont="1" applyFill="1" applyBorder="1" applyAlignment="1">
      <alignment horizontal="center" vertical="center"/>
    </xf>
    <xf numFmtId="3" fontId="58" fillId="0" borderId="3" xfId="17" applyNumberFormat="1" applyFont="1" applyBorder="1" applyAlignment="1">
      <alignment horizontal="center" vertical="center"/>
    </xf>
    <xf numFmtId="3" fontId="57" fillId="0" borderId="3" xfId="20" applyNumberFormat="1" applyFont="1" applyFill="1" applyBorder="1" applyAlignment="1">
      <alignment horizontal="center" vertical="center"/>
    </xf>
    <xf numFmtId="3" fontId="57" fillId="0" borderId="3" xfId="17" applyNumberFormat="1" applyFont="1" applyBorder="1" applyAlignment="1">
      <alignment horizontal="center" vertical="center"/>
    </xf>
    <xf numFmtId="37" fontId="47" fillId="0" borderId="0" xfId="17" applyNumberFormat="1" applyFont="1"/>
    <xf numFmtId="169" fontId="21" fillId="35" borderId="0" xfId="16" applyNumberFormat="1" applyFont="1" applyFill="1" applyAlignment="1">
      <alignment horizontal="left" vertical="center"/>
    </xf>
    <xf numFmtId="0" fontId="40" fillId="0" borderId="0" xfId="16"/>
    <xf numFmtId="0" fontId="50" fillId="28" borderId="3" xfId="16" applyFont="1" applyFill="1" applyBorder="1" applyAlignment="1">
      <alignment horizontal="center" vertical="center"/>
    </xf>
    <xf numFmtId="0" fontId="51" fillId="25" borderId="3" xfId="16" applyFont="1" applyFill="1" applyBorder="1" applyAlignment="1">
      <alignment horizontal="center" vertical="center"/>
    </xf>
    <xf numFmtId="0" fontId="50" fillId="0" borderId="3" xfId="16" applyFont="1" applyBorder="1" applyAlignment="1">
      <alignment vertical="center" wrapText="1"/>
    </xf>
    <xf numFmtId="37" fontId="52" fillId="0" borderId="3" xfId="22" applyNumberFormat="1" applyFont="1" applyFill="1" applyBorder="1" applyAlignment="1">
      <alignment horizontal="center" vertical="center" wrapText="1"/>
    </xf>
    <xf numFmtId="37" fontId="27" fillId="0" borderId="3" xfId="22" applyNumberFormat="1" applyFont="1" applyFill="1" applyBorder="1" applyAlignment="1">
      <alignment horizontal="center" vertical="center"/>
    </xf>
    <xf numFmtId="37" fontId="52" fillId="10" borderId="3" xfId="19" applyNumberFormat="1" applyFont="1" applyFill="1" applyBorder="1" applyAlignment="1">
      <alignment horizontal="center" vertical="center" wrapText="1"/>
    </xf>
    <xf numFmtId="37" fontId="27" fillId="10" borderId="3" xfId="19" applyNumberFormat="1" applyFont="1" applyFill="1" applyBorder="1" applyAlignment="1">
      <alignment horizontal="center" vertical="center"/>
    </xf>
    <xf numFmtId="37" fontId="52" fillId="33" borderId="3" xfId="22" applyNumberFormat="1" applyFont="1" applyFill="1" applyBorder="1" applyAlignment="1">
      <alignment horizontal="center" vertical="center" wrapText="1"/>
    </xf>
    <xf numFmtId="37" fontId="27" fillId="33" borderId="3" xfId="22" applyNumberFormat="1" applyFont="1" applyFill="1" applyBorder="1" applyAlignment="1">
      <alignment horizontal="center" vertical="center"/>
    </xf>
    <xf numFmtId="37" fontId="40" fillId="0" borderId="0" xfId="16" applyNumberFormat="1"/>
    <xf numFmtId="0" fontId="40" fillId="0" borderId="0" xfId="16" applyAlignment="1">
      <alignment vertical="center"/>
    </xf>
    <xf numFmtId="0" fontId="40" fillId="0" borderId="0" xfId="16" applyAlignment="1">
      <alignment horizontal="center"/>
    </xf>
    <xf numFmtId="0" fontId="50" fillId="0" borderId="0" xfId="23" applyFont="1" applyAlignment="1">
      <alignment horizontal="left" vertical="center" wrapText="1"/>
    </xf>
    <xf numFmtId="37" fontId="60" fillId="35" borderId="3" xfId="22" applyNumberFormat="1" applyFont="1" applyFill="1" applyBorder="1" applyAlignment="1">
      <alignment horizontal="center" vertical="center" wrapText="1"/>
    </xf>
    <xf numFmtId="37" fontId="28" fillId="35" borderId="3" xfId="22" applyNumberFormat="1" applyFont="1" applyFill="1" applyBorder="1" applyAlignment="1">
      <alignment horizontal="center" vertical="center"/>
    </xf>
    <xf numFmtId="164" fontId="40" fillId="0" borderId="0" xfId="11" applyNumberFormat="1" applyFont="1"/>
    <xf numFmtId="164" fontId="40" fillId="0" borderId="0" xfId="16" applyNumberFormat="1"/>
    <xf numFmtId="164" fontId="49" fillId="0" borderId="0" xfId="11" applyNumberFormat="1" applyFont="1"/>
    <xf numFmtId="164" fontId="49" fillId="0" borderId="0" xfId="17" applyNumberFormat="1"/>
    <xf numFmtId="0" fontId="1" fillId="30" borderId="4" xfId="13" applyBorder="1" applyAlignment="1">
      <alignment horizontal="centerContinuous" wrapText="1"/>
    </xf>
    <xf numFmtId="0" fontId="1" fillId="31" borderId="3" xfId="14" applyBorder="1" applyAlignment="1">
      <alignment horizontal="centerContinuous" wrapText="1"/>
    </xf>
    <xf numFmtId="0" fontId="4" fillId="3" borderId="2" xfId="6" applyAlignment="1">
      <alignment horizontal="right"/>
    </xf>
    <xf numFmtId="168" fontId="4" fillId="3" borderId="2" xfId="6" applyNumberFormat="1"/>
    <xf numFmtId="44" fontId="0" fillId="0" borderId="0" xfId="2" applyFont="1"/>
    <xf numFmtId="2" fontId="0" fillId="0" borderId="0" xfId="0" applyNumberFormat="1"/>
    <xf numFmtId="171" fontId="0" fillId="0" borderId="0" xfId="0" applyNumberFormat="1"/>
    <xf numFmtId="0" fontId="9" fillId="6" borderId="25" xfId="0" applyFont="1" applyFill="1" applyBorder="1"/>
    <xf numFmtId="0" fontId="9" fillId="6" borderId="0" xfId="0" applyFont="1" applyFill="1" applyBorder="1"/>
    <xf numFmtId="168" fontId="0" fillId="0" borderId="25" xfId="2" applyNumberFormat="1" applyFont="1" applyBorder="1"/>
    <xf numFmtId="168" fontId="0" fillId="0" borderId="0" xfId="2" applyNumberFormat="1" applyFont="1" applyBorder="1"/>
    <xf numFmtId="0" fontId="0" fillId="0" borderId="25" xfId="0" applyBorder="1"/>
    <xf numFmtId="0" fontId="0" fillId="0" borderId="0" xfId="0" applyBorder="1"/>
    <xf numFmtId="0" fontId="9" fillId="6" borderId="26" xfId="0" applyFont="1" applyFill="1" applyBorder="1"/>
    <xf numFmtId="168" fontId="0" fillId="0" borderId="26" xfId="2" applyNumberFormat="1" applyFont="1" applyBorder="1"/>
    <xf numFmtId="0" fontId="0" fillId="0" borderId="26" xfId="0" applyBorder="1"/>
    <xf numFmtId="43" fontId="49" fillId="0" borderId="0" xfId="17" applyNumberFormat="1"/>
    <xf numFmtId="0" fontId="1" fillId="32" borderId="3" xfId="15" applyBorder="1" applyAlignment="1">
      <alignment horizontal="centerContinuous" wrapText="1"/>
    </xf>
    <xf numFmtId="2" fontId="15" fillId="0" borderId="0" xfId="0" applyNumberFormat="1" applyFont="1"/>
    <xf numFmtId="10" fontId="0" fillId="0" borderId="0" xfId="3" applyNumberFormat="1" applyFont="1"/>
    <xf numFmtId="44" fontId="0" fillId="0" borderId="0" xfId="2" applyNumberFormat="1" applyFont="1"/>
    <xf numFmtId="164" fontId="0" fillId="0" borderId="25" xfId="11" applyNumberFormat="1" applyFont="1" applyBorder="1"/>
    <xf numFmtId="164" fontId="0" fillId="0" borderId="0" xfId="11" applyNumberFormat="1" applyFont="1" applyBorder="1"/>
    <xf numFmtId="164" fontId="0" fillId="0" borderId="26" xfId="11" applyNumberFormat="1" applyFont="1" applyBorder="1"/>
    <xf numFmtId="0" fontId="5" fillId="13" borderId="0" xfId="0" applyFont="1" applyFill="1" applyAlignment="1">
      <alignment horizontal="center"/>
    </xf>
    <xf numFmtId="0" fontId="5" fillId="13" borderId="25" xfId="0" applyFont="1" applyFill="1" applyBorder="1" applyAlignment="1">
      <alignment horizontal="center"/>
    </xf>
    <xf numFmtId="0" fontId="5" fillId="13" borderId="0" xfId="0" applyFont="1" applyFill="1" applyBorder="1" applyAlignment="1">
      <alignment horizontal="center"/>
    </xf>
    <xf numFmtId="0" fontId="5" fillId="13" borderId="26" xfId="0" applyFont="1" applyFill="1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30" fillId="4" borderId="7" xfId="0" applyFont="1" applyFill="1" applyBorder="1" applyAlignment="1">
      <alignment horizontal="center" vertical="center" wrapText="1"/>
    </xf>
    <xf numFmtId="0" fontId="30" fillId="4" borderId="11" xfId="0" applyFont="1" applyFill="1" applyBorder="1" applyAlignment="1">
      <alignment horizontal="center" vertical="center" wrapText="1"/>
    </xf>
    <xf numFmtId="0" fontId="30" fillId="4" borderId="12" xfId="0" applyFont="1" applyFill="1" applyBorder="1" applyAlignment="1">
      <alignment horizontal="center" vertical="center" wrapText="1"/>
    </xf>
    <xf numFmtId="0" fontId="30" fillId="4" borderId="13" xfId="0" applyFont="1" applyFill="1" applyBorder="1" applyAlignment="1">
      <alignment horizontal="center" vertical="center" wrapText="1"/>
    </xf>
    <xf numFmtId="170" fontId="27" fillId="17" borderId="9" xfId="0" applyNumberFormat="1" applyFont="1" applyFill="1" applyBorder="1" applyAlignment="1">
      <alignment horizontal="center"/>
    </xf>
    <xf numFmtId="170" fontId="27" fillId="17" borderId="10" xfId="0" applyNumberFormat="1" applyFont="1" applyFill="1" applyBorder="1" applyAlignment="1">
      <alignment horizontal="center"/>
    </xf>
    <xf numFmtId="0" fontId="27" fillId="17" borderId="9" xfId="0" applyFont="1" applyFill="1" applyBorder="1" applyAlignment="1">
      <alignment horizontal="center" wrapText="1"/>
    </xf>
    <xf numFmtId="0" fontId="27" fillId="17" borderId="15" xfId="0" applyFont="1" applyFill="1" applyBorder="1" applyAlignment="1">
      <alignment horizontal="center" wrapText="1"/>
    </xf>
    <xf numFmtId="0" fontId="27" fillId="17" borderId="22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/>
    </xf>
    <xf numFmtId="0" fontId="30" fillId="18" borderId="15" xfId="0" applyFont="1" applyFill="1" applyBorder="1" applyAlignment="1">
      <alignment horizontal="center"/>
    </xf>
    <xf numFmtId="0" fontId="22" fillId="16" borderId="0" xfId="0" applyFont="1" applyFill="1" applyAlignment="1">
      <alignment horizontal="right" vertical="center"/>
    </xf>
    <xf numFmtId="0" fontId="29" fillId="0" borderId="0" xfId="0" applyFont="1" applyAlignment="1">
      <alignment horizontal="center" wrapText="1"/>
    </xf>
    <xf numFmtId="0" fontId="29" fillId="0" borderId="6" xfId="0" applyFont="1" applyBorder="1" applyAlignment="1">
      <alignment horizontal="center" wrapText="1"/>
    </xf>
    <xf numFmtId="0" fontId="30" fillId="0" borderId="0" xfId="0" applyFont="1" applyAlignment="1">
      <alignment horizontal="center" wrapText="1"/>
    </xf>
    <xf numFmtId="0" fontId="30" fillId="0" borderId="6" xfId="0" applyFont="1" applyBorder="1" applyAlignment="1">
      <alignment horizontal="center" wrapText="1"/>
    </xf>
    <xf numFmtId="0" fontId="30" fillId="18" borderId="7" xfId="0" applyFont="1" applyFill="1" applyBorder="1" applyAlignment="1">
      <alignment horizontal="center" vertical="center"/>
    </xf>
    <xf numFmtId="0" fontId="30" fillId="18" borderId="8" xfId="0" applyFont="1" applyFill="1" applyBorder="1" applyAlignment="1">
      <alignment horizontal="center" vertical="center"/>
    </xf>
    <xf numFmtId="0" fontId="30" fillId="18" borderId="9" xfId="0" applyFont="1" applyFill="1" applyBorder="1" applyAlignment="1">
      <alignment horizontal="center" vertical="center"/>
    </xf>
    <xf numFmtId="0" fontId="30" fillId="18" borderId="10" xfId="0" applyFont="1" applyFill="1" applyBorder="1" applyAlignment="1">
      <alignment horizontal="center" vertical="center"/>
    </xf>
    <xf numFmtId="0" fontId="30" fillId="17" borderId="7" xfId="0" applyFont="1" applyFill="1" applyBorder="1" applyAlignment="1">
      <alignment horizontal="center"/>
    </xf>
    <xf numFmtId="0" fontId="30" fillId="17" borderId="8" xfId="0" applyFont="1" applyFill="1" applyBorder="1" applyAlignment="1">
      <alignment horizontal="center"/>
    </xf>
    <xf numFmtId="0" fontId="30" fillId="17" borderId="7" xfId="0" applyFont="1" applyFill="1" applyBorder="1" applyAlignment="1">
      <alignment horizontal="center" wrapText="1"/>
    </xf>
    <xf numFmtId="0" fontId="30" fillId="17" borderId="11" xfId="0" applyFont="1" applyFill="1" applyBorder="1" applyAlignment="1">
      <alignment horizontal="center" wrapText="1"/>
    </xf>
    <xf numFmtId="0" fontId="30" fillId="17" borderId="21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/>
    </xf>
    <xf numFmtId="0" fontId="30" fillId="18" borderId="11" xfId="0" applyFont="1" applyFill="1" applyBorder="1" applyAlignment="1">
      <alignment horizontal="center"/>
    </xf>
    <xf numFmtId="0" fontId="29" fillId="18" borderId="23" xfId="0" applyFont="1" applyFill="1" applyBorder="1" applyAlignment="1">
      <alignment horizontal="center" vertical="center" wrapText="1"/>
    </xf>
    <xf numFmtId="0" fontId="29" fillId="18" borderId="16" xfId="0" applyFont="1" applyFill="1" applyBorder="1" applyAlignment="1">
      <alignment horizontal="center" vertical="center" wrapText="1"/>
    </xf>
    <xf numFmtId="0" fontId="30" fillId="18" borderId="23" xfId="0" applyFont="1" applyFill="1" applyBorder="1" applyAlignment="1">
      <alignment horizontal="center" vertical="center" wrapText="1"/>
    </xf>
    <xf numFmtId="0" fontId="30" fillId="18" borderId="16" xfId="0" applyFont="1" applyFill="1" applyBorder="1" applyAlignment="1">
      <alignment horizontal="center" vertical="center" wrapText="1"/>
    </xf>
    <xf numFmtId="9" fontId="1" fillId="29" borderId="24" xfId="0" applyNumberFormat="1" applyFont="1" applyFill="1" applyBorder="1" applyAlignment="1">
      <alignment horizontal="center" vertical="center"/>
    </xf>
    <xf numFmtId="9" fontId="1" fillId="29" borderId="4" xfId="0" applyNumberFormat="1" applyFont="1" applyFill="1" applyBorder="1" applyAlignment="1">
      <alignment horizontal="center" vertical="center"/>
    </xf>
    <xf numFmtId="9" fontId="1" fillId="29" borderId="16" xfId="0" applyNumberFormat="1" applyFont="1" applyFill="1" applyBorder="1" applyAlignment="1">
      <alignment horizontal="center" vertical="center"/>
    </xf>
    <xf numFmtId="9" fontId="1" fillId="28" borderId="24" xfId="0" applyNumberFormat="1" applyFont="1" applyFill="1" applyBorder="1" applyAlignment="1">
      <alignment horizontal="center" vertical="center"/>
    </xf>
    <xf numFmtId="9" fontId="1" fillId="28" borderId="4" xfId="0" applyNumberFormat="1" applyFont="1" applyFill="1" applyBorder="1" applyAlignment="1">
      <alignment horizontal="center" vertical="center"/>
    </xf>
    <xf numFmtId="9" fontId="1" fillId="28" borderId="16" xfId="0" applyNumberFormat="1" applyFont="1" applyFill="1" applyBorder="1" applyAlignment="1">
      <alignment horizontal="center" vertical="center"/>
    </xf>
    <xf numFmtId="3" fontId="45" fillId="25" borderId="3" xfId="0" applyNumberFormat="1" applyFont="1" applyFill="1" applyBorder="1" applyAlignment="1">
      <alignment horizontal="center" vertical="center"/>
    </xf>
    <xf numFmtId="0" fontId="20" fillId="29" borderId="3" xfId="0" applyFont="1" applyFill="1" applyBorder="1" applyAlignment="1">
      <alignment horizontal="center" vertical="center" wrapText="1"/>
    </xf>
    <xf numFmtId="3" fontId="20" fillId="29" borderId="24" xfId="0" applyNumberFormat="1" applyFont="1" applyFill="1" applyBorder="1" applyAlignment="1">
      <alignment horizontal="center" vertical="center"/>
    </xf>
    <xf numFmtId="3" fontId="20" fillId="29" borderId="4" xfId="0" applyNumberFormat="1" applyFont="1" applyFill="1" applyBorder="1" applyAlignment="1">
      <alignment horizontal="center" vertical="center"/>
    </xf>
    <xf numFmtId="3" fontId="20" fillId="29" borderId="16" xfId="0" applyNumberFormat="1" applyFont="1" applyFill="1" applyBorder="1" applyAlignment="1">
      <alignment horizontal="center" vertical="center"/>
    </xf>
    <xf numFmtId="9" fontId="1" fillId="27" borderId="3" xfId="0" applyNumberFormat="1" applyFont="1" applyFill="1" applyBorder="1" applyAlignment="1">
      <alignment horizontal="center" vertical="center"/>
    </xf>
    <xf numFmtId="0" fontId="20" fillId="28" borderId="3" xfId="0" applyFont="1" applyFill="1" applyBorder="1" applyAlignment="1">
      <alignment horizontal="center" vertical="center" wrapText="1"/>
    </xf>
    <xf numFmtId="3" fontId="20" fillId="28" borderId="3" xfId="0" applyNumberFormat="1" applyFont="1" applyFill="1" applyBorder="1" applyAlignment="1">
      <alignment horizontal="center" vertical="center"/>
    </xf>
    <xf numFmtId="3" fontId="20" fillId="28" borderId="24" xfId="0" applyNumberFormat="1" applyFont="1" applyFill="1" applyBorder="1" applyAlignment="1">
      <alignment horizontal="center" vertical="center"/>
    </xf>
    <xf numFmtId="3" fontId="20" fillId="28" borderId="4" xfId="0" applyNumberFormat="1" applyFont="1" applyFill="1" applyBorder="1" applyAlignment="1">
      <alignment horizontal="center" vertical="center"/>
    </xf>
    <xf numFmtId="3" fontId="20" fillId="28" borderId="16" xfId="0" applyNumberFormat="1" applyFont="1" applyFill="1" applyBorder="1" applyAlignment="1">
      <alignment horizontal="center" vertical="center"/>
    </xf>
    <xf numFmtId="9" fontId="1" fillId="26" borderId="3" xfId="0" applyNumberFormat="1" applyFont="1" applyFill="1" applyBorder="1" applyAlignment="1">
      <alignment horizontal="center" vertical="center"/>
    </xf>
    <xf numFmtId="3" fontId="45" fillId="26" borderId="3" xfId="0" applyNumberFormat="1" applyFont="1" applyFill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3" fontId="20" fillId="27" borderId="24" xfId="0" applyNumberFormat="1" applyFont="1" applyFill="1" applyBorder="1" applyAlignment="1">
      <alignment horizontal="center" vertical="center"/>
    </xf>
    <xf numFmtId="3" fontId="20" fillId="27" borderId="4" xfId="0" applyNumberFormat="1" applyFont="1" applyFill="1" applyBorder="1" applyAlignment="1">
      <alignment horizontal="center" vertical="center"/>
    </xf>
    <xf numFmtId="3" fontId="20" fillId="27" borderId="16" xfId="0" applyNumberFormat="1" applyFont="1" applyFill="1" applyBorder="1" applyAlignment="1">
      <alignment horizontal="center" vertical="center"/>
    </xf>
    <xf numFmtId="3" fontId="20" fillId="26" borderId="3" xfId="0" applyNumberFormat="1" applyFont="1" applyFill="1" applyBorder="1" applyAlignment="1">
      <alignment horizontal="center" vertical="center"/>
    </xf>
    <xf numFmtId="10" fontId="1" fillId="26" borderId="3" xfId="0" applyNumberFormat="1" applyFont="1" applyFill="1" applyBorder="1" applyAlignment="1">
      <alignment horizontal="center" vertical="center"/>
    </xf>
    <xf numFmtId="3" fontId="20" fillId="26" borderId="24" xfId="0" applyNumberFormat="1" applyFont="1" applyFill="1" applyBorder="1" applyAlignment="1">
      <alignment horizontal="center" vertical="center"/>
    </xf>
    <xf numFmtId="3" fontId="20" fillId="26" borderId="4" xfId="0" applyNumberFormat="1" applyFont="1" applyFill="1" applyBorder="1" applyAlignment="1">
      <alignment horizontal="center" vertical="center"/>
    </xf>
    <xf numFmtId="3" fontId="20" fillId="26" borderId="16" xfId="0" applyNumberFormat="1" applyFont="1" applyFill="1" applyBorder="1" applyAlignment="1">
      <alignment horizontal="center" vertical="center"/>
    </xf>
    <xf numFmtId="3" fontId="45" fillId="26" borderId="24" xfId="0" applyNumberFormat="1" applyFont="1" applyFill="1" applyBorder="1" applyAlignment="1">
      <alignment horizontal="center" vertical="center"/>
    </xf>
    <xf numFmtId="3" fontId="45" fillId="26" borderId="4" xfId="0" applyNumberFormat="1" applyFont="1" applyFill="1" applyBorder="1" applyAlignment="1">
      <alignment horizontal="center" vertical="center"/>
    </xf>
    <xf numFmtId="3" fontId="45" fillId="26" borderId="16" xfId="0" applyNumberFormat="1" applyFont="1" applyFill="1" applyBorder="1" applyAlignment="1">
      <alignment horizontal="center" vertical="center"/>
    </xf>
    <xf numFmtId="3" fontId="44" fillId="0" borderId="24" xfId="0" applyNumberFormat="1" applyFont="1" applyBorder="1" applyAlignment="1">
      <alignment horizontal="center" vertical="center"/>
    </xf>
    <xf numFmtId="3" fontId="44" fillId="0" borderId="4" xfId="0" applyNumberFormat="1" applyFont="1" applyBorder="1" applyAlignment="1">
      <alignment horizontal="center" vertical="center"/>
    </xf>
    <xf numFmtId="3" fontId="44" fillId="0" borderId="16" xfId="0" applyNumberFormat="1" applyFont="1" applyBorder="1" applyAlignment="1">
      <alignment horizontal="center" vertical="center"/>
    </xf>
    <xf numFmtId="3" fontId="1" fillId="0" borderId="24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3" fontId="43" fillId="0" borderId="24" xfId="0" applyNumberFormat="1" applyFont="1" applyBorder="1" applyAlignment="1">
      <alignment horizontal="center" vertical="center"/>
    </xf>
    <xf numFmtId="3" fontId="43" fillId="0" borderId="4" xfId="0" applyNumberFormat="1" applyFont="1" applyBorder="1" applyAlignment="1">
      <alignment horizontal="center" vertical="center"/>
    </xf>
    <xf numFmtId="3" fontId="43" fillId="0" borderId="16" xfId="0" applyNumberFormat="1" applyFont="1" applyBorder="1" applyAlignment="1">
      <alignment horizontal="center" vertical="center"/>
    </xf>
    <xf numFmtId="9" fontId="1" fillId="0" borderId="24" xfId="0" applyNumberFormat="1" applyFont="1" applyBorder="1" applyAlignment="1">
      <alignment horizontal="center" vertical="center"/>
    </xf>
    <xf numFmtId="9" fontId="1" fillId="0" borderId="4" xfId="0" applyNumberFormat="1" applyFont="1" applyBorder="1" applyAlignment="1">
      <alignment horizontal="center" vertical="center"/>
    </xf>
    <xf numFmtId="9" fontId="1" fillId="0" borderId="16" xfId="0" applyNumberFormat="1" applyFont="1" applyBorder="1" applyAlignment="1">
      <alignment horizontal="center" vertical="center"/>
    </xf>
    <xf numFmtId="10" fontId="1" fillId="0" borderId="24" xfId="0" applyNumberFormat="1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10" fontId="1" fillId="0" borderId="16" xfId="0" applyNumberFormat="1" applyFont="1" applyBorder="1" applyAlignment="1">
      <alignment horizontal="center" vertical="center"/>
    </xf>
    <xf numFmtId="0" fontId="20" fillId="27" borderId="24" xfId="0" applyFont="1" applyFill="1" applyBorder="1" applyAlignment="1">
      <alignment horizontal="center" vertical="center"/>
    </xf>
    <xf numFmtId="0" fontId="20" fillId="27" borderId="4" xfId="0" applyFont="1" applyFill="1" applyBorder="1" applyAlignment="1">
      <alignment horizontal="center" vertical="center"/>
    </xf>
    <xf numFmtId="0" fontId="20" fillId="27" borderId="7" xfId="0" applyFont="1" applyFill="1" applyBorder="1" applyAlignment="1">
      <alignment horizontal="center" vertical="center" wrapText="1"/>
    </xf>
    <xf numFmtId="0" fontId="20" fillId="27" borderId="25" xfId="0" applyFont="1" applyFill="1" applyBorder="1" applyAlignment="1">
      <alignment horizontal="center" vertical="center" wrapText="1"/>
    </xf>
    <xf numFmtId="0" fontId="20" fillId="27" borderId="24" xfId="0" applyFont="1" applyFill="1" applyBorder="1" applyAlignment="1">
      <alignment horizontal="center" vertical="center" wrapText="1"/>
    </xf>
    <xf numFmtId="0" fontId="20" fillId="27" borderId="16" xfId="0" applyFont="1" applyFill="1" applyBorder="1" applyAlignment="1">
      <alignment horizontal="center" vertical="center" wrapText="1"/>
    </xf>
    <xf numFmtId="0" fontId="41" fillId="24" borderId="0" xfId="0" applyFont="1" applyFill="1" applyAlignment="1">
      <alignment horizontal="left" vertical="center"/>
    </xf>
    <xf numFmtId="0" fontId="42" fillId="0" borderId="0" xfId="0" applyFont="1" applyAlignment="1">
      <alignment horizontal="center" wrapText="1"/>
    </xf>
    <xf numFmtId="0" fontId="42" fillId="0" borderId="14" xfId="0" applyFont="1" applyBorder="1" applyAlignment="1">
      <alignment horizontal="center" wrapText="1"/>
    </xf>
    <xf numFmtId="0" fontId="41" fillId="24" borderId="0" xfId="0" applyFont="1" applyFill="1" applyAlignment="1">
      <alignment horizontal="center" vertical="center"/>
    </xf>
    <xf numFmtId="0" fontId="41" fillId="24" borderId="14" xfId="0" applyFont="1" applyFill="1" applyBorder="1" applyAlignment="1">
      <alignment horizontal="center" vertical="center"/>
    </xf>
    <xf numFmtId="0" fontId="41" fillId="0" borderId="14" xfId="0" applyFont="1" applyBorder="1" applyAlignment="1">
      <alignment horizontal="left" vertical="center"/>
    </xf>
    <xf numFmtId="0" fontId="20" fillId="25" borderId="24" xfId="0" applyFont="1" applyFill="1" applyBorder="1" applyAlignment="1">
      <alignment horizontal="center" vertical="center"/>
    </xf>
    <xf numFmtId="0" fontId="20" fillId="25" borderId="4" xfId="0" applyFont="1" applyFill="1" applyBorder="1" applyAlignment="1">
      <alignment horizontal="center" vertical="center"/>
    </xf>
    <xf numFmtId="0" fontId="20" fillId="25" borderId="7" xfId="0" applyFont="1" applyFill="1" applyBorder="1" applyAlignment="1">
      <alignment horizontal="center" vertical="center" wrapText="1"/>
    </xf>
    <xf numFmtId="0" fontId="20" fillId="25" borderId="25" xfId="0" applyFont="1" applyFill="1" applyBorder="1" applyAlignment="1">
      <alignment horizontal="center" vertical="center" wrapText="1"/>
    </xf>
    <xf numFmtId="0" fontId="20" fillId="25" borderId="24" xfId="0" applyFont="1" applyFill="1" applyBorder="1" applyAlignment="1">
      <alignment horizontal="center" vertical="center" wrapText="1"/>
    </xf>
    <xf numFmtId="0" fontId="20" fillId="25" borderId="16" xfId="0" applyFont="1" applyFill="1" applyBorder="1" applyAlignment="1">
      <alignment horizontal="center" vertical="center" wrapText="1"/>
    </xf>
    <xf numFmtId="0" fontId="21" fillId="35" borderId="0" xfId="21" applyFont="1" applyFill="1" applyAlignment="1">
      <alignment horizontal="right" vertical="center"/>
    </xf>
    <xf numFmtId="0" fontId="50" fillId="36" borderId="0" xfId="23" applyFont="1" applyFill="1" applyAlignment="1">
      <alignment horizontal="left" vertical="center" wrapText="1"/>
    </xf>
    <xf numFmtId="0" fontId="51" fillId="0" borderId="0" xfId="24" applyFont="1" applyAlignment="1">
      <alignment horizontal="right" vertical="center" wrapText="1"/>
    </xf>
    <xf numFmtId="0" fontId="59" fillId="0" borderId="0" xfId="17" applyFont="1" applyAlignment="1">
      <alignment horizontal="left" vertical="top" wrapText="1"/>
    </xf>
    <xf numFmtId="0" fontId="50" fillId="0" borderId="0" xfId="17" applyFont="1" applyAlignment="1">
      <alignment horizontal="left" vertical="top" wrapText="1"/>
    </xf>
    <xf numFmtId="0" fontId="50" fillId="34" borderId="0" xfId="17" applyFont="1" applyFill="1" applyAlignment="1">
      <alignment horizontal="left" vertical="center" wrapText="1"/>
    </xf>
    <xf numFmtId="0" fontId="54" fillId="0" borderId="0" xfId="17" applyFont="1" applyAlignment="1">
      <alignment horizontal="center" wrapText="1"/>
    </xf>
    <xf numFmtId="0" fontId="54" fillId="0" borderId="14" xfId="17" applyFont="1" applyBorder="1" applyAlignment="1">
      <alignment horizontal="center" wrapText="1"/>
    </xf>
    <xf numFmtId="0" fontId="55" fillId="0" borderId="0" xfId="17" applyFont="1" applyAlignment="1">
      <alignment horizontal="center" wrapText="1"/>
    </xf>
    <xf numFmtId="0" fontId="55" fillId="0" borderId="14" xfId="17" applyFont="1" applyBorder="1" applyAlignment="1">
      <alignment horizontal="center" wrapText="1"/>
    </xf>
    <xf numFmtId="0" fontId="56" fillId="34" borderId="3" xfId="17" applyFont="1" applyFill="1" applyBorder="1" applyAlignment="1">
      <alignment horizontal="center"/>
    </xf>
    <xf numFmtId="0" fontId="51" fillId="0" borderId="0" xfId="17" applyFont="1" applyAlignment="1">
      <alignment horizontal="right" vertical="top" wrapText="1"/>
    </xf>
  </cellXfs>
  <cellStyles count="25">
    <cellStyle name="20% - Accent1" xfId="13" builtinId="30"/>
    <cellStyle name="20% - Accent2" xfId="14" builtinId="34"/>
    <cellStyle name="20% - Accent6" xfId="15" builtinId="50"/>
    <cellStyle name="Calculation" xfId="6" builtinId="22"/>
    <cellStyle name="ColumnHeaderSpan" xfId="7" xr:uid="{148C5CB5-EB6C-704B-9C0E-48E33CBCD945}"/>
    <cellStyle name="Comma" xfId="11" builtinId="3"/>
    <cellStyle name="Comma [0]" xfId="1" builtinId="6"/>
    <cellStyle name="Comma 10" xfId="19" xr:uid="{C66CFBDE-FC8A-6F42-827D-A2D1957823BB}"/>
    <cellStyle name="Comma 10 2" xfId="22" xr:uid="{C70137FE-39B0-F44D-9398-50B2953DB096}"/>
    <cellStyle name="Currency" xfId="2" builtinId="4"/>
    <cellStyle name="Good" xfId="5" builtinId="26"/>
    <cellStyle name="HardCode" xfId="9" xr:uid="{90941145-4BAB-C240-B70B-BBAD3F99A9C0}"/>
    <cellStyle name="Heading 3" xfId="4" builtinId="18"/>
    <cellStyle name="InputCell" xfId="10" xr:uid="{39165A48-E9E4-2241-A9FE-486205CE0B05}"/>
    <cellStyle name="Neutral" xfId="12" builtinId="28"/>
    <cellStyle name="Normal" xfId="0" builtinId="0"/>
    <cellStyle name="Normal 14" xfId="23" xr:uid="{64CAF755-B589-184F-BF9E-2E24A1D13173}"/>
    <cellStyle name="Normal 15" xfId="24" xr:uid="{A57E4A91-75C6-0E49-88AC-41AC45BAC934}"/>
    <cellStyle name="Normal 2" xfId="16" xr:uid="{C85A91E3-3F57-704B-86B4-25FEAC34CE6F}"/>
    <cellStyle name="Normal 2 2" xfId="21" xr:uid="{23184F93-34AC-1044-BA6D-68906BF62F6A}"/>
    <cellStyle name="Normal 3" xfId="17" xr:uid="{81CCA3A5-54F2-1340-B37C-7BDDC34BB6F0}"/>
    <cellStyle name="Normal_Solar Installed RE Project Detail as of 3-31-09 by Year" xfId="18" xr:uid="{F52F56DF-F652-3B4F-AE26-1BE51A8B22FD}"/>
    <cellStyle name="Percent" xfId="3" builtinId="5"/>
    <cellStyle name="Percent 2" xfId="20" xr:uid="{7DDBB2AF-04C5-3F41-8BD8-FAEE776EE0A7}"/>
    <cellStyle name="Units" xfId="8" xr:uid="{57E4D5B5-6948-6643-BD78-94356E2E75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'SREC II'!$T$1</c:f>
              <c:strCache>
                <c:ptCount val="1"/>
                <c:pt idx="0">
                  <c:v>SREC II (Method 2, marginal cost of building, $/MWh)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'SREC II'!$Q$2:$Q$409</c:f>
              <c:numCache>
                <c:formatCode>General</c:formatCode>
                <c:ptCount val="408"/>
                <c:pt idx="0">
                  <c:v>70.89</c:v>
                </c:pt>
                <c:pt idx="1">
                  <c:v>70.98</c:v>
                </c:pt>
                <c:pt idx="2">
                  <c:v>69.94</c:v>
                </c:pt>
                <c:pt idx="3">
                  <c:v>69.489999999999995</c:v>
                </c:pt>
                <c:pt idx="4">
                  <c:v>68.88</c:v>
                </c:pt>
                <c:pt idx="5">
                  <c:v>67.319999999999993</c:v>
                </c:pt>
                <c:pt idx="6">
                  <c:v>95.7</c:v>
                </c:pt>
                <c:pt idx="7">
                  <c:v>94.91</c:v>
                </c:pt>
                <c:pt idx="8">
                  <c:v>92.73</c:v>
                </c:pt>
                <c:pt idx="9">
                  <c:v>71.67</c:v>
                </c:pt>
                <c:pt idx="10">
                  <c:v>71.599999999999994</c:v>
                </c:pt>
                <c:pt idx="11">
                  <c:v>70.569999999999993</c:v>
                </c:pt>
                <c:pt idx="12">
                  <c:v>63.37</c:v>
                </c:pt>
                <c:pt idx="13">
                  <c:v>63.03</c:v>
                </c:pt>
                <c:pt idx="14">
                  <c:v>62.04</c:v>
                </c:pt>
                <c:pt idx="15">
                  <c:v>70.89</c:v>
                </c:pt>
                <c:pt idx="16">
                  <c:v>70.97</c:v>
                </c:pt>
                <c:pt idx="17">
                  <c:v>70.08</c:v>
                </c:pt>
                <c:pt idx="18">
                  <c:v>70.7</c:v>
                </c:pt>
                <c:pt idx="19">
                  <c:v>71.12</c:v>
                </c:pt>
                <c:pt idx="20">
                  <c:v>70.400000000000006</c:v>
                </c:pt>
                <c:pt idx="21">
                  <c:v>71.12</c:v>
                </c:pt>
                <c:pt idx="22">
                  <c:v>69.69</c:v>
                </c:pt>
                <c:pt idx="23">
                  <c:v>66.97</c:v>
                </c:pt>
                <c:pt idx="24">
                  <c:v>74.27</c:v>
                </c:pt>
                <c:pt idx="25">
                  <c:v>56.48</c:v>
                </c:pt>
                <c:pt idx="26">
                  <c:v>45.51</c:v>
                </c:pt>
                <c:pt idx="27">
                  <c:v>74.010000000000005</c:v>
                </c:pt>
                <c:pt idx="28">
                  <c:v>56.21</c:v>
                </c:pt>
                <c:pt idx="29">
                  <c:v>44.44</c:v>
                </c:pt>
                <c:pt idx="30">
                  <c:v>101.15</c:v>
                </c:pt>
                <c:pt idx="31">
                  <c:v>85.46</c:v>
                </c:pt>
                <c:pt idx="32">
                  <c:v>65.27</c:v>
                </c:pt>
                <c:pt idx="33">
                  <c:v>74.27</c:v>
                </c:pt>
                <c:pt idx="34">
                  <c:v>56.48</c:v>
                </c:pt>
                <c:pt idx="35">
                  <c:v>45.51</c:v>
                </c:pt>
                <c:pt idx="36">
                  <c:v>74.010000000000005</c:v>
                </c:pt>
                <c:pt idx="37">
                  <c:v>56.21</c:v>
                </c:pt>
                <c:pt idx="38">
                  <c:v>44.28</c:v>
                </c:pt>
                <c:pt idx="39">
                  <c:v>101.15</c:v>
                </c:pt>
                <c:pt idx="40">
                  <c:v>85.46</c:v>
                </c:pt>
                <c:pt idx="41">
                  <c:v>61.26</c:v>
                </c:pt>
                <c:pt idx="42">
                  <c:v>73.959999999999994</c:v>
                </c:pt>
                <c:pt idx="43">
                  <c:v>56.33</c:v>
                </c:pt>
                <c:pt idx="44">
                  <c:v>45.09</c:v>
                </c:pt>
                <c:pt idx="45">
                  <c:v>67.09</c:v>
                </c:pt>
                <c:pt idx="46">
                  <c:v>46.07</c:v>
                </c:pt>
                <c:pt idx="47">
                  <c:v>33.340000000000003</c:v>
                </c:pt>
                <c:pt idx="48">
                  <c:v>74.27</c:v>
                </c:pt>
                <c:pt idx="49">
                  <c:v>56.33</c:v>
                </c:pt>
                <c:pt idx="50">
                  <c:v>44.21</c:v>
                </c:pt>
                <c:pt idx="51">
                  <c:v>74.55</c:v>
                </c:pt>
                <c:pt idx="52">
                  <c:v>54.7</c:v>
                </c:pt>
                <c:pt idx="53">
                  <c:v>42.11</c:v>
                </c:pt>
                <c:pt idx="54">
                  <c:v>74.180000000000007</c:v>
                </c:pt>
                <c:pt idx="55">
                  <c:v>56.25</c:v>
                </c:pt>
                <c:pt idx="56">
                  <c:v>44.58</c:v>
                </c:pt>
                <c:pt idx="57">
                  <c:v>73.959999999999994</c:v>
                </c:pt>
                <c:pt idx="58">
                  <c:v>56.33</c:v>
                </c:pt>
                <c:pt idx="59">
                  <c:v>45.21</c:v>
                </c:pt>
                <c:pt idx="60">
                  <c:v>67.09</c:v>
                </c:pt>
                <c:pt idx="61">
                  <c:v>46.07</c:v>
                </c:pt>
                <c:pt idx="62">
                  <c:v>33.340000000000003</c:v>
                </c:pt>
                <c:pt idx="63">
                  <c:v>74.27</c:v>
                </c:pt>
                <c:pt idx="64">
                  <c:v>56.33</c:v>
                </c:pt>
                <c:pt idx="65">
                  <c:v>44.21</c:v>
                </c:pt>
                <c:pt idx="66">
                  <c:v>74.55</c:v>
                </c:pt>
                <c:pt idx="67">
                  <c:v>54.7</c:v>
                </c:pt>
                <c:pt idx="68">
                  <c:v>42.11</c:v>
                </c:pt>
                <c:pt idx="69">
                  <c:v>74.180000000000007</c:v>
                </c:pt>
                <c:pt idx="70">
                  <c:v>56.25</c:v>
                </c:pt>
                <c:pt idx="71">
                  <c:v>44.58</c:v>
                </c:pt>
                <c:pt idx="72">
                  <c:v>74.27</c:v>
                </c:pt>
                <c:pt idx="73">
                  <c:v>56.48</c:v>
                </c:pt>
                <c:pt idx="74">
                  <c:v>45.51</c:v>
                </c:pt>
                <c:pt idx="75">
                  <c:v>74.010000000000005</c:v>
                </c:pt>
                <c:pt idx="76">
                  <c:v>56.21</c:v>
                </c:pt>
                <c:pt idx="77">
                  <c:v>44.44</c:v>
                </c:pt>
                <c:pt idx="78">
                  <c:v>101.15</c:v>
                </c:pt>
                <c:pt idx="79">
                  <c:v>85.46</c:v>
                </c:pt>
                <c:pt idx="80">
                  <c:v>65.27</c:v>
                </c:pt>
                <c:pt idx="81">
                  <c:v>74.27</c:v>
                </c:pt>
                <c:pt idx="82">
                  <c:v>56.48</c:v>
                </c:pt>
                <c:pt idx="83">
                  <c:v>45.51</c:v>
                </c:pt>
                <c:pt idx="84">
                  <c:v>74.010000000000005</c:v>
                </c:pt>
                <c:pt idx="85">
                  <c:v>56.21</c:v>
                </c:pt>
                <c:pt idx="86">
                  <c:v>44.28</c:v>
                </c:pt>
                <c:pt idx="87">
                  <c:v>101.15</c:v>
                </c:pt>
                <c:pt idx="88">
                  <c:v>85.46</c:v>
                </c:pt>
                <c:pt idx="89">
                  <c:v>61.26</c:v>
                </c:pt>
                <c:pt idx="90">
                  <c:v>73.959999999999994</c:v>
                </c:pt>
                <c:pt idx="91">
                  <c:v>56.33</c:v>
                </c:pt>
                <c:pt idx="92">
                  <c:v>45.09</c:v>
                </c:pt>
                <c:pt idx="93">
                  <c:v>67.09</c:v>
                </c:pt>
                <c:pt idx="94">
                  <c:v>46.07</c:v>
                </c:pt>
                <c:pt idx="95">
                  <c:v>33.340000000000003</c:v>
                </c:pt>
                <c:pt idx="96">
                  <c:v>74.27</c:v>
                </c:pt>
                <c:pt idx="97">
                  <c:v>56.33</c:v>
                </c:pt>
                <c:pt idx="98">
                  <c:v>44.21</c:v>
                </c:pt>
                <c:pt idx="99">
                  <c:v>74.55</c:v>
                </c:pt>
                <c:pt idx="100">
                  <c:v>54.7</c:v>
                </c:pt>
                <c:pt idx="101">
                  <c:v>42.11</c:v>
                </c:pt>
                <c:pt idx="102">
                  <c:v>74.180000000000007</c:v>
                </c:pt>
                <c:pt idx="103">
                  <c:v>56.25</c:v>
                </c:pt>
                <c:pt idx="104">
                  <c:v>44.58</c:v>
                </c:pt>
                <c:pt idx="105">
                  <c:v>73.959999999999994</c:v>
                </c:pt>
                <c:pt idx="106">
                  <c:v>56.33</c:v>
                </c:pt>
                <c:pt idx="107">
                  <c:v>45.21</c:v>
                </c:pt>
                <c:pt idx="108">
                  <c:v>67.09</c:v>
                </c:pt>
                <c:pt idx="109">
                  <c:v>46.07</c:v>
                </c:pt>
                <c:pt idx="110">
                  <c:v>33.340000000000003</c:v>
                </c:pt>
                <c:pt idx="111">
                  <c:v>74.27</c:v>
                </c:pt>
                <c:pt idx="112">
                  <c:v>56.33</c:v>
                </c:pt>
                <c:pt idx="113">
                  <c:v>44.21</c:v>
                </c:pt>
                <c:pt idx="114">
                  <c:v>74.55</c:v>
                </c:pt>
                <c:pt idx="115">
                  <c:v>54.7</c:v>
                </c:pt>
                <c:pt idx="116">
                  <c:v>42.11</c:v>
                </c:pt>
                <c:pt idx="117">
                  <c:v>74.180000000000007</c:v>
                </c:pt>
                <c:pt idx="118">
                  <c:v>56.25</c:v>
                </c:pt>
                <c:pt idx="119">
                  <c:v>44.58</c:v>
                </c:pt>
                <c:pt idx="120">
                  <c:v>68.63</c:v>
                </c:pt>
                <c:pt idx="121">
                  <c:v>66.400000000000006</c:v>
                </c:pt>
                <c:pt idx="122">
                  <c:v>66.06</c:v>
                </c:pt>
                <c:pt idx="123">
                  <c:v>67.900000000000006</c:v>
                </c:pt>
                <c:pt idx="124">
                  <c:v>66.47</c:v>
                </c:pt>
                <c:pt idx="125">
                  <c:v>65.66</c:v>
                </c:pt>
                <c:pt idx="126">
                  <c:v>92.89</c:v>
                </c:pt>
                <c:pt idx="127">
                  <c:v>88.05</c:v>
                </c:pt>
                <c:pt idx="128">
                  <c:v>88.81</c:v>
                </c:pt>
                <c:pt idx="129">
                  <c:v>68.63</c:v>
                </c:pt>
                <c:pt idx="130">
                  <c:v>65.459999999999994</c:v>
                </c:pt>
                <c:pt idx="131">
                  <c:v>65.239999999999995</c:v>
                </c:pt>
                <c:pt idx="132">
                  <c:v>67.900000000000006</c:v>
                </c:pt>
                <c:pt idx="133">
                  <c:v>65.61</c:v>
                </c:pt>
                <c:pt idx="134">
                  <c:v>63.69</c:v>
                </c:pt>
                <c:pt idx="135">
                  <c:v>92.89</c:v>
                </c:pt>
                <c:pt idx="136">
                  <c:v>85.72</c:v>
                </c:pt>
                <c:pt idx="137">
                  <c:v>59.03</c:v>
                </c:pt>
                <c:pt idx="138">
                  <c:v>68.37</c:v>
                </c:pt>
                <c:pt idx="139">
                  <c:v>65.27</c:v>
                </c:pt>
                <c:pt idx="140">
                  <c:v>61.29</c:v>
                </c:pt>
                <c:pt idx="141">
                  <c:v>62.07</c:v>
                </c:pt>
                <c:pt idx="142">
                  <c:v>58.76</c:v>
                </c:pt>
                <c:pt idx="143">
                  <c:v>57.13</c:v>
                </c:pt>
                <c:pt idx="144">
                  <c:v>68.63</c:v>
                </c:pt>
                <c:pt idx="145">
                  <c:v>65.39</c:v>
                </c:pt>
                <c:pt idx="146">
                  <c:v>61.77</c:v>
                </c:pt>
                <c:pt idx="147">
                  <c:v>68.819999999999993</c:v>
                </c:pt>
                <c:pt idx="148">
                  <c:v>64.62</c:v>
                </c:pt>
                <c:pt idx="149">
                  <c:v>58.89</c:v>
                </c:pt>
                <c:pt idx="150">
                  <c:v>68.349999999999994</c:v>
                </c:pt>
                <c:pt idx="151">
                  <c:v>65.69</c:v>
                </c:pt>
                <c:pt idx="152">
                  <c:v>61.21</c:v>
                </c:pt>
                <c:pt idx="153">
                  <c:v>68.37</c:v>
                </c:pt>
                <c:pt idx="154">
                  <c:v>66.180000000000007</c:v>
                </c:pt>
                <c:pt idx="155">
                  <c:v>66.42</c:v>
                </c:pt>
                <c:pt idx="156">
                  <c:v>62.07</c:v>
                </c:pt>
                <c:pt idx="157">
                  <c:v>59.2</c:v>
                </c:pt>
                <c:pt idx="158">
                  <c:v>57.12</c:v>
                </c:pt>
                <c:pt idx="159">
                  <c:v>68.63</c:v>
                </c:pt>
                <c:pt idx="160">
                  <c:v>66.3</c:v>
                </c:pt>
                <c:pt idx="161">
                  <c:v>65.55</c:v>
                </c:pt>
                <c:pt idx="162">
                  <c:v>68.819999999999993</c:v>
                </c:pt>
                <c:pt idx="163">
                  <c:v>65.040000000000006</c:v>
                </c:pt>
                <c:pt idx="164">
                  <c:v>63.21</c:v>
                </c:pt>
                <c:pt idx="165">
                  <c:v>68.349999999999994</c:v>
                </c:pt>
                <c:pt idx="166">
                  <c:v>66.11</c:v>
                </c:pt>
                <c:pt idx="167">
                  <c:v>65.650000000000006</c:v>
                </c:pt>
                <c:pt idx="168">
                  <c:v>68.63</c:v>
                </c:pt>
                <c:pt idx="169">
                  <c:v>66.400000000000006</c:v>
                </c:pt>
                <c:pt idx="170">
                  <c:v>66.06</c:v>
                </c:pt>
                <c:pt idx="171">
                  <c:v>67.900000000000006</c:v>
                </c:pt>
                <c:pt idx="172">
                  <c:v>66.47</c:v>
                </c:pt>
                <c:pt idx="173">
                  <c:v>65.66</c:v>
                </c:pt>
                <c:pt idx="174">
                  <c:v>92.89</c:v>
                </c:pt>
                <c:pt idx="175">
                  <c:v>88.05</c:v>
                </c:pt>
                <c:pt idx="176">
                  <c:v>88.81</c:v>
                </c:pt>
                <c:pt idx="177">
                  <c:v>68.63</c:v>
                </c:pt>
                <c:pt idx="178">
                  <c:v>65.459999999999994</c:v>
                </c:pt>
                <c:pt idx="179">
                  <c:v>65.239999999999995</c:v>
                </c:pt>
                <c:pt idx="180">
                  <c:v>67.900000000000006</c:v>
                </c:pt>
                <c:pt idx="181">
                  <c:v>65.61</c:v>
                </c:pt>
                <c:pt idx="182">
                  <c:v>63.69</c:v>
                </c:pt>
                <c:pt idx="183">
                  <c:v>92.89</c:v>
                </c:pt>
                <c:pt idx="184">
                  <c:v>85.72</c:v>
                </c:pt>
                <c:pt idx="185">
                  <c:v>59.03</c:v>
                </c:pt>
                <c:pt idx="186">
                  <c:v>68.37</c:v>
                </c:pt>
                <c:pt idx="187">
                  <c:v>65.27</c:v>
                </c:pt>
                <c:pt idx="188">
                  <c:v>61.29</c:v>
                </c:pt>
                <c:pt idx="189">
                  <c:v>62.07</c:v>
                </c:pt>
                <c:pt idx="190">
                  <c:v>58.76</c:v>
                </c:pt>
                <c:pt idx="191">
                  <c:v>57.13</c:v>
                </c:pt>
                <c:pt idx="192">
                  <c:v>68.63</c:v>
                </c:pt>
                <c:pt idx="193">
                  <c:v>65.39</c:v>
                </c:pt>
                <c:pt idx="194">
                  <c:v>61.77</c:v>
                </c:pt>
                <c:pt idx="195">
                  <c:v>68.819999999999993</c:v>
                </c:pt>
                <c:pt idx="196">
                  <c:v>64.62</c:v>
                </c:pt>
                <c:pt idx="197">
                  <c:v>58.89</c:v>
                </c:pt>
                <c:pt idx="198">
                  <c:v>68.349999999999994</c:v>
                </c:pt>
                <c:pt idx="199">
                  <c:v>65.69</c:v>
                </c:pt>
                <c:pt idx="200">
                  <c:v>61.21</c:v>
                </c:pt>
                <c:pt idx="201">
                  <c:v>68.37</c:v>
                </c:pt>
                <c:pt idx="202">
                  <c:v>66.180000000000007</c:v>
                </c:pt>
                <c:pt idx="203">
                  <c:v>66.42</c:v>
                </c:pt>
                <c:pt idx="204">
                  <c:v>62.07</c:v>
                </c:pt>
                <c:pt idx="205">
                  <c:v>59.2</c:v>
                </c:pt>
                <c:pt idx="206">
                  <c:v>57.12</c:v>
                </c:pt>
                <c:pt idx="207">
                  <c:v>68.63</c:v>
                </c:pt>
                <c:pt idx="208">
                  <c:v>66.3</c:v>
                </c:pt>
                <c:pt idx="209">
                  <c:v>65.55</c:v>
                </c:pt>
                <c:pt idx="210">
                  <c:v>68.819999999999993</c:v>
                </c:pt>
                <c:pt idx="211">
                  <c:v>65.040000000000006</c:v>
                </c:pt>
                <c:pt idx="212">
                  <c:v>63.21</c:v>
                </c:pt>
                <c:pt idx="213">
                  <c:v>68.349999999999994</c:v>
                </c:pt>
                <c:pt idx="214">
                  <c:v>66.11</c:v>
                </c:pt>
                <c:pt idx="215">
                  <c:v>65.650000000000006</c:v>
                </c:pt>
                <c:pt idx="216">
                  <c:v>76.44</c:v>
                </c:pt>
                <c:pt idx="217">
                  <c:v>58.62</c:v>
                </c:pt>
                <c:pt idx="218">
                  <c:v>46.27</c:v>
                </c:pt>
                <c:pt idx="219">
                  <c:v>75.89</c:v>
                </c:pt>
                <c:pt idx="220">
                  <c:v>59.09</c:v>
                </c:pt>
                <c:pt idx="221">
                  <c:v>47.76</c:v>
                </c:pt>
                <c:pt idx="222">
                  <c:v>104.39</c:v>
                </c:pt>
                <c:pt idx="223">
                  <c:v>88.59</c:v>
                </c:pt>
                <c:pt idx="224">
                  <c:v>65.56</c:v>
                </c:pt>
                <c:pt idx="225">
                  <c:v>76.44</c:v>
                </c:pt>
                <c:pt idx="226">
                  <c:v>53.2</c:v>
                </c:pt>
                <c:pt idx="227">
                  <c:v>30.14</c:v>
                </c:pt>
                <c:pt idx="228">
                  <c:v>75.89</c:v>
                </c:pt>
                <c:pt idx="229">
                  <c:v>58.84</c:v>
                </c:pt>
                <c:pt idx="230">
                  <c:v>29.92</c:v>
                </c:pt>
                <c:pt idx="231">
                  <c:v>104.39</c:v>
                </c:pt>
                <c:pt idx="232">
                  <c:v>83.48</c:v>
                </c:pt>
                <c:pt idx="233">
                  <c:v>46.12</c:v>
                </c:pt>
                <c:pt idx="234">
                  <c:v>78.19</c:v>
                </c:pt>
                <c:pt idx="235">
                  <c:v>50.55</c:v>
                </c:pt>
                <c:pt idx="236">
                  <c:v>22.99</c:v>
                </c:pt>
                <c:pt idx="237">
                  <c:v>68.290000000000006</c:v>
                </c:pt>
                <c:pt idx="238">
                  <c:v>42.45</c:v>
                </c:pt>
                <c:pt idx="239">
                  <c:v>13.2</c:v>
                </c:pt>
                <c:pt idx="240">
                  <c:v>76.44</c:v>
                </c:pt>
                <c:pt idx="241">
                  <c:v>53.37</c:v>
                </c:pt>
                <c:pt idx="242">
                  <c:v>25.51</c:v>
                </c:pt>
                <c:pt idx="243">
                  <c:v>76.489999999999995</c:v>
                </c:pt>
                <c:pt idx="244">
                  <c:v>53.57</c:v>
                </c:pt>
                <c:pt idx="245">
                  <c:v>23.2</c:v>
                </c:pt>
                <c:pt idx="246">
                  <c:v>76.81</c:v>
                </c:pt>
                <c:pt idx="247">
                  <c:v>52.08</c:v>
                </c:pt>
                <c:pt idx="248">
                  <c:v>22.88</c:v>
                </c:pt>
                <c:pt idx="249">
                  <c:v>78.19</c:v>
                </c:pt>
                <c:pt idx="250">
                  <c:v>59.9</c:v>
                </c:pt>
                <c:pt idx="251">
                  <c:v>48.26</c:v>
                </c:pt>
                <c:pt idx="252">
                  <c:v>68.290000000000006</c:v>
                </c:pt>
                <c:pt idx="253">
                  <c:v>49.06</c:v>
                </c:pt>
                <c:pt idx="254">
                  <c:v>37.51</c:v>
                </c:pt>
                <c:pt idx="255">
                  <c:v>76.44</c:v>
                </c:pt>
                <c:pt idx="256">
                  <c:v>58.75</c:v>
                </c:pt>
                <c:pt idx="257">
                  <c:v>47.66</c:v>
                </c:pt>
                <c:pt idx="258">
                  <c:v>76.489999999999995</c:v>
                </c:pt>
                <c:pt idx="259">
                  <c:v>59.47</c:v>
                </c:pt>
                <c:pt idx="260">
                  <c:v>47.31</c:v>
                </c:pt>
                <c:pt idx="261">
                  <c:v>76.81</c:v>
                </c:pt>
                <c:pt idx="262">
                  <c:v>58.35</c:v>
                </c:pt>
                <c:pt idx="263">
                  <c:v>46.76</c:v>
                </c:pt>
                <c:pt idx="264">
                  <c:v>76.44</c:v>
                </c:pt>
                <c:pt idx="265">
                  <c:v>60.01</c:v>
                </c:pt>
                <c:pt idx="266">
                  <c:v>47.66</c:v>
                </c:pt>
                <c:pt idx="267">
                  <c:v>75.89</c:v>
                </c:pt>
                <c:pt idx="268">
                  <c:v>60.15</c:v>
                </c:pt>
                <c:pt idx="269">
                  <c:v>49.14</c:v>
                </c:pt>
                <c:pt idx="270">
                  <c:v>104.39</c:v>
                </c:pt>
                <c:pt idx="271">
                  <c:v>90.14</c:v>
                </c:pt>
                <c:pt idx="272">
                  <c:v>66.819999999999993</c:v>
                </c:pt>
                <c:pt idx="273">
                  <c:v>76.44</c:v>
                </c:pt>
                <c:pt idx="274">
                  <c:v>60.01</c:v>
                </c:pt>
                <c:pt idx="275">
                  <c:v>43.98</c:v>
                </c:pt>
                <c:pt idx="276">
                  <c:v>75.89</c:v>
                </c:pt>
                <c:pt idx="277">
                  <c:v>60.14</c:v>
                </c:pt>
                <c:pt idx="278">
                  <c:v>43.31</c:v>
                </c:pt>
                <c:pt idx="279">
                  <c:v>104.39</c:v>
                </c:pt>
                <c:pt idx="280">
                  <c:v>90.14</c:v>
                </c:pt>
                <c:pt idx="281">
                  <c:v>59.31</c:v>
                </c:pt>
                <c:pt idx="282">
                  <c:v>78.19</c:v>
                </c:pt>
                <c:pt idx="283">
                  <c:v>61.43</c:v>
                </c:pt>
                <c:pt idx="284">
                  <c:v>43.33</c:v>
                </c:pt>
                <c:pt idx="285">
                  <c:v>68.290000000000006</c:v>
                </c:pt>
                <c:pt idx="286">
                  <c:v>49.91</c:v>
                </c:pt>
                <c:pt idx="287">
                  <c:v>35.229999999999997</c:v>
                </c:pt>
                <c:pt idx="288">
                  <c:v>76.44</c:v>
                </c:pt>
                <c:pt idx="289">
                  <c:v>60.25</c:v>
                </c:pt>
                <c:pt idx="290">
                  <c:v>43.42</c:v>
                </c:pt>
                <c:pt idx="291">
                  <c:v>76.489999999999995</c:v>
                </c:pt>
                <c:pt idx="292">
                  <c:v>60.63</c:v>
                </c:pt>
                <c:pt idx="293">
                  <c:v>43.29</c:v>
                </c:pt>
                <c:pt idx="294">
                  <c:v>76.81</c:v>
                </c:pt>
                <c:pt idx="295">
                  <c:v>59.17</c:v>
                </c:pt>
                <c:pt idx="296">
                  <c:v>42.91</c:v>
                </c:pt>
                <c:pt idx="297">
                  <c:v>78.19</c:v>
                </c:pt>
                <c:pt idx="298">
                  <c:v>61.43</c:v>
                </c:pt>
                <c:pt idx="299">
                  <c:v>49.19</c:v>
                </c:pt>
                <c:pt idx="300">
                  <c:v>68.290000000000006</c:v>
                </c:pt>
                <c:pt idx="301">
                  <c:v>49.91</c:v>
                </c:pt>
                <c:pt idx="302">
                  <c:v>37.979999999999997</c:v>
                </c:pt>
                <c:pt idx="303">
                  <c:v>76.44</c:v>
                </c:pt>
                <c:pt idx="304">
                  <c:v>60.25</c:v>
                </c:pt>
                <c:pt idx="305">
                  <c:v>48.83</c:v>
                </c:pt>
                <c:pt idx="306">
                  <c:v>76.489999999999995</c:v>
                </c:pt>
                <c:pt idx="307">
                  <c:v>60.63</c:v>
                </c:pt>
                <c:pt idx="308">
                  <c:v>48.42</c:v>
                </c:pt>
                <c:pt idx="309">
                  <c:v>76.81</c:v>
                </c:pt>
                <c:pt idx="310">
                  <c:v>59.17</c:v>
                </c:pt>
                <c:pt idx="311">
                  <c:v>47.25</c:v>
                </c:pt>
                <c:pt idx="312">
                  <c:v>70.459999999999994</c:v>
                </c:pt>
                <c:pt idx="313">
                  <c:v>67.62</c:v>
                </c:pt>
                <c:pt idx="314">
                  <c:v>65.61</c:v>
                </c:pt>
                <c:pt idx="315">
                  <c:v>69.599999999999994</c:v>
                </c:pt>
                <c:pt idx="316">
                  <c:v>68.06</c:v>
                </c:pt>
                <c:pt idx="317">
                  <c:v>67.2</c:v>
                </c:pt>
                <c:pt idx="318">
                  <c:v>95.94</c:v>
                </c:pt>
                <c:pt idx="319">
                  <c:v>91.7</c:v>
                </c:pt>
                <c:pt idx="320">
                  <c:v>88.29</c:v>
                </c:pt>
                <c:pt idx="321">
                  <c:v>70.459999999999994</c:v>
                </c:pt>
                <c:pt idx="322">
                  <c:v>63.15</c:v>
                </c:pt>
                <c:pt idx="323">
                  <c:v>37.79</c:v>
                </c:pt>
                <c:pt idx="324">
                  <c:v>69.599999999999994</c:v>
                </c:pt>
                <c:pt idx="325">
                  <c:v>63.94</c:v>
                </c:pt>
                <c:pt idx="326">
                  <c:v>43.2</c:v>
                </c:pt>
                <c:pt idx="327">
                  <c:v>95.94</c:v>
                </c:pt>
                <c:pt idx="328">
                  <c:v>83.25</c:v>
                </c:pt>
                <c:pt idx="329">
                  <c:v>32.07</c:v>
                </c:pt>
                <c:pt idx="330">
                  <c:v>72.45</c:v>
                </c:pt>
                <c:pt idx="331">
                  <c:v>61.93</c:v>
                </c:pt>
                <c:pt idx="332">
                  <c:v>36.49</c:v>
                </c:pt>
                <c:pt idx="333">
                  <c:v>62.92</c:v>
                </c:pt>
                <c:pt idx="334">
                  <c:v>56.58</c:v>
                </c:pt>
                <c:pt idx="335">
                  <c:v>34.1</c:v>
                </c:pt>
                <c:pt idx="336">
                  <c:v>70.459999999999994</c:v>
                </c:pt>
                <c:pt idx="337">
                  <c:v>62.95</c:v>
                </c:pt>
                <c:pt idx="338">
                  <c:v>37.03</c:v>
                </c:pt>
                <c:pt idx="339">
                  <c:v>70.52</c:v>
                </c:pt>
                <c:pt idx="340">
                  <c:v>62.98</c:v>
                </c:pt>
                <c:pt idx="341">
                  <c:v>39.51</c:v>
                </c:pt>
                <c:pt idx="342">
                  <c:v>70.930000000000007</c:v>
                </c:pt>
                <c:pt idx="343">
                  <c:v>62.82</c:v>
                </c:pt>
                <c:pt idx="344">
                  <c:v>35.75</c:v>
                </c:pt>
                <c:pt idx="345">
                  <c:v>72.45</c:v>
                </c:pt>
                <c:pt idx="346">
                  <c:v>68.73</c:v>
                </c:pt>
                <c:pt idx="347">
                  <c:v>66.599999999999994</c:v>
                </c:pt>
                <c:pt idx="348">
                  <c:v>62.92</c:v>
                </c:pt>
                <c:pt idx="349">
                  <c:v>61.26</c:v>
                </c:pt>
                <c:pt idx="350">
                  <c:v>60.14</c:v>
                </c:pt>
                <c:pt idx="351">
                  <c:v>70.459999999999994</c:v>
                </c:pt>
                <c:pt idx="352">
                  <c:v>67.760000000000005</c:v>
                </c:pt>
                <c:pt idx="353">
                  <c:v>66.819999999999993</c:v>
                </c:pt>
                <c:pt idx="354">
                  <c:v>70.52</c:v>
                </c:pt>
                <c:pt idx="355">
                  <c:v>68.05</c:v>
                </c:pt>
                <c:pt idx="356">
                  <c:v>66.19</c:v>
                </c:pt>
                <c:pt idx="357">
                  <c:v>70.930000000000007</c:v>
                </c:pt>
                <c:pt idx="358">
                  <c:v>66.81</c:v>
                </c:pt>
                <c:pt idx="359">
                  <c:v>66.239999999999995</c:v>
                </c:pt>
                <c:pt idx="360">
                  <c:v>70.459999999999994</c:v>
                </c:pt>
                <c:pt idx="361">
                  <c:v>68.569999999999993</c:v>
                </c:pt>
                <c:pt idx="362">
                  <c:v>66.209999999999994</c:v>
                </c:pt>
                <c:pt idx="363">
                  <c:v>69.599999999999994</c:v>
                </c:pt>
                <c:pt idx="364">
                  <c:v>68.790000000000006</c:v>
                </c:pt>
                <c:pt idx="365">
                  <c:v>67.28</c:v>
                </c:pt>
                <c:pt idx="366">
                  <c:v>95.94</c:v>
                </c:pt>
                <c:pt idx="367">
                  <c:v>92.53</c:v>
                </c:pt>
                <c:pt idx="368">
                  <c:v>88.64</c:v>
                </c:pt>
                <c:pt idx="369">
                  <c:v>70.459999999999994</c:v>
                </c:pt>
                <c:pt idx="370">
                  <c:v>63.06</c:v>
                </c:pt>
                <c:pt idx="371">
                  <c:v>39.93</c:v>
                </c:pt>
                <c:pt idx="372">
                  <c:v>69.599999999999994</c:v>
                </c:pt>
                <c:pt idx="373">
                  <c:v>63.99</c:v>
                </c:pt>
                <c:pt idx="374">
                  <c:v>43.65</c:v>
                </c:pt>
                <c:pt idx="375">
                  <c:v>95.94</c:v>
                </c:pt>
                <c:pt idx="376">
                  <c:v>83.49</c:v>
                </c:pt>
                <c:pt idx="377">
                  <c:v>34.380000000000003</c:v>
                </c:pt>
                <c:pt idx="378">
                  <c:v>72.45</c:v>
                </c:pt>
                <c:pt idx="379">
                  <c:v>63.05</c:v>
                </c:pt>
                <c:pt idx="380">
                  <c:v>36.31</c:v>
                </c:pt>
                <c:pt idx="381">
                  <c:v>62.92</c:v>
                </c:pt>
                <c:pt idx="382">
                  <c:v>58.26</c:v>
                </c:pt>
                <c:pt idx="383">
                  <c:v>39.630000000000003</c:v>
                </c:pt>
                <c:pt idx="384">
                  <c:v>70.459999999999994</c:v>
                </c:pt>
                <c:pt idx="385">
                  <c:v>63.02</c:v>
                </c:pt>
                <c:pt idx="386">
                  <c:v>37.82</c:v>
                </c:pt>
                <c:pt idx="387">
                  <c:v>70.52</c:v>
                </c:pt>
                <c:pt idx="388">
                  <c:v>63.04</c:v>
                </c:pt>
                <c:pt idx="389">
                  <c:v>39.130000000000003</c:v>
                </c:pt>
                <c:pt idx="390">
                  <c:v>70.930000000000007</c:v>
                </c:pt>
                <c:pt idx="391">
                  <c:v>63.07</c:v>
                </c:pt>
                <c:pt idx="392">
                  <c:v>36.380000000000003</c:v>
                </c:pt>
                <c:pt idx="393">
                  <c:v>72.45</c:v>
                </c:pt>
                <c:pt idx="394">
                  <c:v>69.489999999999995</c:v>
                </c:pt>
                <c:pt idx="395">
                  <c:v>67.239999999999995</c:v>
                </c:pt>
                <c:pt idx="396">
                  <c:v>62.92</c:v>
                </c:pt>
                <c:pt idx="397">
                  <c:v>61.71</c:v>
                </c:pt>
                <c:pt idx="398">
                  <c:v>60.38</c:v>
                </c:pt>
                <c:pt idx="399">
                  <c:v>70.459999999999994</c:v>
                </c:pt>
                <c:pt idx="400">
                  <c:v>68.73</c:v>
                </c:pt>
                <c:pt idx="401">
                  <c:v>67.27</c:v>
                </c:pt>
                <c:pt idx="402">
                  <c:v>70.52</c:v>
                </c:pt>
                <c:pt idx="403">
                  <c:v>69.02</c:v>
                </c:pt>
                <c:pt idx="404">
                  <c:v>66.78</c:v>
                </c:pt>
                <c:pt idx="405">
                  <c:v>70.930000000000007</c:v>
                </c:pt>
                <c:pt idx="406">
                  <c:v>68.12</c:v>
                </c:pt>
                <c:pt idx="407">
                  <c:v>66.239999999999995</c:v>
                </c:pt>
              </c:numCache>
            </c:numRef>
          </c:xVal>
          <c:yVal>
            <c:numRef>
              <c:f>'SREC II'!$T$2:$T$409</c:f>
              <c:numCache>
                <c:formatCode>0.0</c:formatCode>
                <c:ptCount val="408"/>
                <c:pt idx="0">
                  <c:v>70.916901839586174</c:v>
                </c:pt>
                <c:pt idx="1">
                  <c:v>0</c:v>
                </c:pt>
                <c:pt idx="2">
                  <c:v>0</c:v>
                </c:pt>
                <c:pt idx="3">
                  <c:v>69.511773093917057</c:v>
                </c:pt>
                <c:pt idx="4">
                  <c:v>0</c:v>
                </c:pt>
                <c:pt idx="5">
                  <c:v>0</c:v>
                </c:pt>
                <c:pt idx="6">
                  <c:v>95.733846341555278</c:v>
                </c:pt>
                <c:pt idx="7">
                  <c:v>0</c:v>
                </c:pt>
                <c:pt idx="8">
                  <c:v>0</c:v>
                </c:pt>
                <c:pt idx="9">
                  <c:v>71.698078305177688</c:v>
                </c:pt>
                <c:pt idx="10">
                  <c:v>0</c:v>
                </c:pt>
                <c:pt idx="11">
                  <c:v>0</c:v>
                </c:pt>
                <c:pt idx="12">
                  <c:v>63.389535006527481</c:v>
                </c:pt>
                <c:pt idx="13">
                  <c:v>0</c:v>
                </c:pt>
                <c:pt idx="14">
                  <c:v>0</c:v>
                </c:pt>
                <c:pt idx="15">
                  <c:v>70.916929169459138</c:v>
                </c:pt>
                <c:pt idx="16">
                  <c:v>0</c:v>
                </c:pt>
                <c:pt idx="17">
                  <c:v>0</c:v>
                </c:pt>
                <c:pt idx="18">
                  <c:v>70.72569778054816</c:v>
                </c:pt>
                <c:pt idx="19">
                  <c:v>0</c:v>
                </c:pt>
                <c:pt idx="20">
                  <c:v>0</c:v>
                </c:pt>
                <c:pt idx="21">
                  <c:v>71.148843457195468</c:v>
                </c:pt>
                <c:pt idx="22">
                  <c:v>0</c:v>
                </c:pt>
                <c:pt idx="23">
                  <c:v>0</c:v>
                </c:pt>
                <c:pt idx="24">
                  <c:v>68.755832629877318</c:v>
                </c:pt>
                <c:pt idx="25">
                  <c:v>44.440914603174974</c:v>
                </c:pt>
                <c:pt idx="26">
                  <c:v>38.217863279421039</c:v>
                </c:pt>
                <c:pt idx="27">
                  <c:v>68.493029518717535</c:v>
                </c:pt>
                <c:pt idx="28">
                  <c:v>44.17231520464334</c:v>
                </c:pt>
                <c:pt idx="29">
                  <c:v>37.152481281672117</c:v>
                </c:pt>
                <c:pt idx="30">
                  <c:v>93.970222600537753</c:v>
                </c:pt>
                <c:pt idx="31">
                  <c:v>75.948866791009166</c:v>
                </c:pt>
                <c:pt idx="32">
                  <c:v>56.335546259446559</c:v>
                </c:pt>
                <c:pt idx="33">
                  <c:v>68.755861238345929</c:v>
                </c:pt>
                <c:pt idx="34">
                  <c:v>44.44089574827661</c:v>
                </c:pt>
                <c:pt idx="35">
                  <c:v>38.217828421520657</c:v>
                </c:pt>
                <c:pt idx="36">
                  <c:v>68.492869507741972</c:v>
                </c:pt>
                <c:pt idx="37">
                  <c:v>44.172485711678036</c:v>
                </c:pt>
                <c:pt idx="38">
                  <c:v>36.985263132225349</c:v>
                </c:pt>
                <c:pt idx="39">
                  <c:v>93.970114002547589</c:v>
                </c:pt>
                <c:pt idx="40">
                  <c:v>75.948821513307138</c:v>
                </c:pt>
                <c:pt idx="41">
                  <c:v>52.331921367936474</c:v>
                </c:pt>
                <c:pt idx="42">
                  <c:v>68.447906627775055</c:v>
                </c:pt>
                <c:pt idx="43">
                  <c:v>44.284863241339899</c:v>
                </c:pt>
                <c:pt idx="44">
                  <c:v>37.798431112902101</c:v>
                </c:pt>
                <c:pt idx="45">
                  <c:v>62.089028268062528</c:v>
                </c:pt>
                <c:pt idx="46">
                  <c:v>32.386064859308192</c:v>
                </c:pt>
                <c:pt idx="47">
                  <c:v>24.432934921999404</c:v>
                </c:pt>
                <c:pt idx="48">
                  <c:v>68.755861238345929</c:v>
                </c:pt>
                <c:pt idx="49">
                  <c:v>44.291355544120719</c:v>
                </c:pt>
                <c:pt idx="50">
                  <c:v>36.921723767740723</c:v>
                </c:pt>
                <c:pt idx="51">
                  <c:v>69.031412940675168</c:v>
                </c:pt>
                <c:pt idx="52">
                  <c:v>42.661274827258509</c:v>
                </c:pt>
                <c:pt idx="53">
                  <c:v>34.819743223511239</c:v>
                </c:pt>
                <c:pt idx="54">
                  <c:v>68.666156902946938</c:v>
                </c:pt>
                <c:pt idx="55">
                  <c:v>44.211588773091187</c:v>
                </c:pt>
                <c:pt idx="56">
                  <c:v>37.292366419638576</c:v>
                </c:pt>
                <c:pt idx="57">
                  <c:v>68.447852422406939</c:v>
                </c:pt>
                <c:pt idx="58">
                  <c:v>44.285089617548081</c:v>
                </c:pt>
                <c:pt idx="59">
                  <c:v>37.918485299424511</c:v>
                </c:pt>
                <c:pt idx="60">
                  <c:v>62.089042244198176</c:v>
                </c:pt>
                <c:pt idx="61">
                  <c:v>32.384918828573547</c:v>
                </c:pt>
                <c:pt idx="62">
                  <c:v>24.432821477801188</c:v>
                </c:pt>
                <c:pt idx="63">
                  <c:v>68.755832629877318</c:v>
                </c:pt>
                <c:pt idx="64">
                  <c:v>44.291386457821162</c:v>
                </c:pt>
                <c:pt idx="65">
                  <c:v>36.923179349941115</c:v>
                </c:pt>
                <c:pt idx="66">
                  <c:v>69.03161028159299</c:v>
                </c:pt>
                <c:pt idx="67">
                  <c:v>42.661423342045957</c:v>
                </c:pt>
                <c:pt idx="68">
                  <c:v>34.819309685685582</c:v>
                </c:pt>
                <c:pt idx="69">
                  <c:v>68.666136727594349</c:v>
                </c:pt>
                <c:pt idx="70">
                  <c:v>44.211569253423804</c:v>
                </c:pt>
                <c:pt idx="71">
                  <c:v>37.292474706335405</c:v>
                </c:pt>
                <c:pt idx="72">
                  <c:v>68.755832629877318</c:v>
                </c:pt>
                <c:pt idx="73">
                  <c:v>44.440905062987291</c:v>
                </c:pt>
                <c:pt idx="74">
                  <c:v>38.217707232357775</c:v>
                </c:pt>
                <c:pt idx="75">
                  <c:v>68.493029518717535</c:v>
                </c:pt>
                <c:pt idx="76">
                  <c:v>44.17244619968335</c:v>
                </c:pt>
                <c:pt idx="77">
                  <c:v>37.151946385603956</c:v>
                </c:pt>
                <c:pt idx="78">
                  <c:v>93.969982255634292</c:v>
                </c:pt>
                <c:pt idx="79">
                  <c:v>75.947225224316881</c:v>
                </c:pt>
                <c:pt idx="80">
                  <c:v>56.33526174826325</c:v>
                </c:pt>
                <c:pt idx="81">
                  <c:v>68.755861238345929</c:v>
                </c:pt>
                <c:pt idx="82">
                  <c:v>44.44090924271935</c:v>
                </c:pt>
                <c:pt idx="83">
                  <c:v>38.217765105541851</c:v>
                </c:pt>
                <c:pt idx="84">
                  <c:v>68.492869507741972</c:v>
                </c:pt>
                <c:pt idx="85">
                  <c:v>44.172425151978757</c:v>
                </c:pt>
                <c:pt idx="86">
                  <c:v>36.986646353560559</c:v>
                </c:pt>
                <c:pt idx="87">
                  <c:v>93.970114002547589</c:v>
                </c:pt>
                <c:pt idx="88">
                  <c:v>75.948764123120753</c:v>
                </c:pt>
                <c:pt idx="89">
                  <c:v>52.332172295498012</c:v>
                </c:pt>
                <c:pt idx="90">
                  <c:v>68.447906627775055</c:v>
                </c:pt>
                <c:pt idx="91">
                  <c:v>44.285008011562205</c:v>
                </c:pt>
                <c:pt idx="92">
                  <c:v>37.798427312222593</c:v>
                </c:pt>
                <c:pt idx="93">
                  <c:v>62.089028268062528</c:v>
                </c:pt>
                <c:pt idx="94">
                  <c:v>32.385491424728684</c:v>
                </c:pt>
                <c:pt idx="95">
                  <c:v>24.432268976885958</c:v>
                </c:pt>
                <c:pt idx="96">
                  <c:v>68.755861238345929</c:v>
                </c:pt>
                <c:pt idx="97">
                  <c:v>44.291423218874556</c:v>
                </c:pt>
                <c:pt idx="98">
                  <c:v>36.922250534071658</c:v>
                </c:pt>
                <c:pt idx="99">
                  <c:v>69.031412940675168</c:v>
                </c:pt>
                <c:pt idx="100">
                  <c:v>42.661234434995201</c:v>
                </c:pt>
                <c:pt idx="101">
                  <c:v>34.819614740355121</c:v>
                </c:pt>
                <c:pt idx="102">
                  <c:v>68.666156902946938</c:v>
                </c:pt>
                <c:pt idx="103">
                  <c:v>44.211559189675469</c:v>
                </c:pt>
                <c:pt idx="104">
                  <c:v>37.29237402453235</c:v>
                </c:pt>
                <c:pt idx="105">
                  <c:v>68.447852422406939</c:v>
                </c:pt>
                <c:pt idx="106">
                  <c:v>44.284666632714305</c:v>
                </c:pt>
                <c:pt idx="107">
                  <c:v>37.918392349493786</c:v>
                </c:pt>
                <c:pt idx="108">
                  <c:v>62.089042244198176</c:v>
                </c:pt>
                <c:pt idx="109">
                  <c:v>32.38463102704462</c:v>
                </c:pt>
                <c:pt idx="110">
                  <c:v>24.432225481900623</c:v>
                </c:pt>
                <c:pt idx="111">
                  <c:v>68.755832629877318</c:v>
                </c:pt>
                <c:pt idx="112">
                  <c:v>44.291349628407687</c:v>
                </c:pt>
                <c:pt idx="113">
                  <c:v>36.922404399404783</c:v>
                </c:pt>
                <c:pt idx="114">
                  <c:v>69.03161028159299</c:v>
                </c:pt>
                <c:pt idx="115">
                  <c:v>42.661383148665422</c:v>
                </c:pt>
                <c:pt idx="116">
                  <c:v>34.8192317149798</c:v>
                </c:pt>
                <c:pt idx="117">
                  <c:v>68.666136727594349</c:v>
                </c:pt>
                <c:pt idx="118">
                  <c:v>44.211570752236156</c:v>
                </c:pt>
                <c:pt idx="119">
                  <c:v>37.292673880876912</c:v>
                </c:pt>
                <c:pt idx="120">
                  <c:v>68.65581340822996</c:v>
                </c:pt>
                <c:pt idx="121">
                  <c:v>0</c:v>
                </c:pt>
                <c:pt idx="122">
                  <c:v>0</c:v>
                </c:pt>
                <c:pt idx="123">
                  <c:v>67.921138637270403</c:v>
                </c:pt>
                <c:pt idx="124">
                  <c:v>0</c:v>
                </c:pt>
                <c:pt idx="125">
                  <c:v>0</c:v>
                </c:pt>
                <c:pt idx="126">
                  <c:v>92.927549521545259</c:v>
                </c:pt>
                <c:pt idx="127">
                  <c:v>0</c:v>
                </c:pt>
                <c:pt idx="128">
                  <c:v>0</c:v>
                </c:pt>
                <c:pt idx="129">
                  <c:v>68.655815543774139</c:v>
                </c:pt>
                <c:pt idx="130">
                  <c:v>0</c:v>
                </c:pt>
                <c:pt idx="131">
                  <c:v>0</c:v>
                </c:pt>
                <c:pt idx="132">
                  <c:v>67.921103454319194</c:v>
                </c:pt>
                <c:pt idx="133">
                  <c:v>0</c:v>
                </c:pt>
                <c:pt idx="134">
                  <c:v>0</c:v>
                </c:pt>
                <c:pt idx="135">
                  <c:v>92.927529354824415</c:v>
                </c:pt>
                <c:pt idx="136">
                  <c:v>0</c:v>
                </c:pt>
                <c:pt idx="137">
                  <c:v>0</c:v>
                </c:pt>
                <c:pt idx="138">
                  <c:v>68.393549822125777</c:v>
                </c:pt>
                <c:pt idx="139">
                  <c:v>0</c:v>
                </c:pt>
                <c:pt idx="140">
                  <c:v>0</c:v>
                </c:pt>
                <c:pt idx="141">
                  <c:v>62.09217768293496</c:v>
                </c:pt>
                <c:pt idx="142">
                  <c:v>0</c:v>
                </c:pt>
                <c:pt idx="143">
                  <c:v>0</c:v>
                </c:pt>
                <c:pt idx="144">
                  <c:v>68.655815543774139</c:v>
                </c:pt>
                <c:pt idx="145">
                  <c:v>0</c:v>
                </c:pt>
                <c:pt idx="146">
                  <c:v>0</c:v>
                </c:pt>
                <c:pt idx="147">
                  <c:v>68.845455507387953</c:v>
                </c:pt>
                <c:pt idx="148">
                  <c:v>0</c:v>
                </c:pt>
                <c:pt idx="149">
                  <c:v>0</c:v>
                </c:pt>
                <c:pt idx="150">
                  <c:v>68.380732911660672</c:v>
                </c:pt>
                <c:pt idx="151">
                  <c:v>0</c:v>
                </c:pt>
                <c:pt idx="152">
                  <c:v>0</c:v>
                </c:pt>
                <c:pt idx="153">
                  <c:v>68.393553823487949</c:v>
                </c:pt>
                <c:pt idx="154">
                  <c:v>0</c:v>
                </c:pt>
                <c:pt idx="155">
                  <c:v>0</c:v>
                </c:pt>
                <c:pt idx="156">
                  <c:v>62.092201093575341</c:v>
                </c:pt>
                <c:pt idx="157">
                  <c:v>0</c:v>
                </c:pt>
                <c:pt idx="158">
                  <c:v>0</c:v>
                </c:pt>
                <c:pt idx="159">
                  <c:v>68.65581340822996</c:v>
                </c:pt>
                <c:pt idx="160">
                  <c:v>0</c:v>
                </c:pt>
                <c:pt idx="161">
                  <c:v>0</c:v>
                </c:pt>
                <c:pt idx="162">
                  <c:v>68.845254307477987</c:v>
                </c:pt>
                <c:pt idx="163">
                  <c:v>0</c:v>
                </c:pt>
                <c:pt idx="164">
                  <c:v>0</c:v>
                </c:pt>
                <c:pt idx="165">
                  <c:v>68.380681379459986</c:v>
                </c:pt>
                <c:pt idx="166">
                  <c:v>0</c:v>
                </c:pt>
                <c:pt idx="167">
                  <c:v>0</c:v>
                </c:pt>
                <c:pt idx="168">
                  <c:v>68.65581340822996</c:v>
                </c:pt>
                <c:pt idx="169">
                  <c:v>0</c:v>
                </c:pt>
                <c:pt idx="170">
                  <c:v>0</c:v>
                </c:pt>
                <c:pt idx="171">
                  <c:v>67.921138637270403</c:v>
                </c:pt>
                <c:pt idx="172">
                  <c:v>0</c:v>
                </c:pt>
                <c:pt idx="173">
                  <c:v>0</c:v>
                </c:pt>
                <c:pt idx="174">
                  <c:v>92.927637586494768</c:v>
                </c:pt>
                <c:pt idx="175">
                  <c:v>0</c:v>
                </c:pt>
                <c:pt idx="176">
                  <c:v>0</c:v>
                </c:pt>
                <c:pt idx="177">
                  <c:v>68.655815543774139</c:v>
                </c:pt>
                <c:pt idx="178">
                  <c:v>0</c:v>
                </c:pt>
                <c:pt idx="179">
                  <c:v>0</c:v>
                </c:pt>
                <c:pt idx="180">
                  <c:v>67.921103454319194</c:v>
                </c:pt>
                <c:pt idx="181">
                  <c:v>0</c:v>
                </c:pt>
                <c:pt idx="182">
                  <c:v>0</c:v>
                </c:pt>
                <c:pt idx="183">
                  <c:v>92.927521791460421</c:v>
                </c:pt>
                <c:pt idx="184">
                  <c:v>0</c:v>
                </c:pt>
                <c:pt idx="185">
                  <c:v>0</c:v>
                </c:pt>
                <c:pt idx="186">
                  <c:v>68.393549822125777</c:v>
                </c:pt>
                <c:pt idx="187">
                  <c:v>0</c:v>
                </c:pt>
                <c:pt idx="188">
                  <c:v>0</c:v>
                </c:pt>
                <c:pt idx="189">
                  <c:v>62.09217768293496</c:v>
                </c:pt>
                <c:pt idx="190">
                  <c:v>0</c:v>
                </c:pt>
                <c:pt idx="191">
                  <c:v>0</c:v>
                </c:pt>
                <c:pt idx="192">
                  <c:v>68.655815543774139</c:v>
                </c:pt>
                <c:pt idx="193">
                  <c:v>0</c:v>
                </c:pt>
                <c:pt idx="194">
                  <c:v>0</c:v>
                </c:pt>
                <c:pt idx="195">
                  <c:v>68.845455507387953</c:v>
                </c:pt>
                <c:pt idx="196">
                  <c:v>0</c:v>
                </c:pt>
                <c:pt idx="197">
                  <c:v>0</c:v>
                </c:pt>
                <c:pt idx="198">
                  <c:v>68.380732911660672</c:v>
                </c:pt>
                <c:pt idx="199">
                  <c:v>0</c:v>
                </c:pt>
                <c:pt idx="200">
                  <c:v>0</c:v>
                </c:pt>
                <c:pt idx="201">
                  <c:v>68.393553823487949</c:v>
                </c:pt>
                <c:pt idx="202">
                  <c:v>0</c:v>
                </c:pt>
                <c:pt idx="203">
                  <c:v>0</c:v>
                </c:pt>
                <c:pt idx="204">
                  <c:v>62.092201093575341</c:v>
                </c:pt>
                <c:pt idx="205">
                  <c:v>0</c:v>
                </c:pt>
                <c:pt idx="206">
                  <c:v>0</c:v>
                </c:pt>
                <c:pt idx="207">
                  <c:v>68.65581340822996</c:v>
                </c:pt>
                <c:pt idx="208">
                  <c:v>0</c:v>
                </c:pt>
                <c:pt idx="209">
                  <c:v>0</c:v>
                </c:pt>
                <c:pt idx="210">
                  <c:v>68.845254307477987</c:v>
                </c:pt>
                <c:pt idx="211">
                  <c:v>0</c:v>
                </c:pt>
                <c:pt idx="212">
                  <c:v>0</c:v>
                </c:pt>
                <c:pt idx="213">
                  <c:v>68.380681379459986</c:v>
                </c:pt>
                <c:pt idx="214">
                  <c:v>0</c:v>
                </c:pt>
                <c:pt idx="215">
                  <c:v>0</c:v>
                </c:pt>
                <c:pt idx="216">
                  <c:v>70.924860315964423</c:v>
                </c:pt>
                <c:pt idx="217">
                  <c:v>46.578825912831945</c:v>
                </c:pt>
                <c:pt idx="218">
                  <c:v>38.980611948153332</c:v>
                </c:pt>
                <c:pt idx="219">
                  <c:v>70.368587109314021</c:v>
                </c:pt>
                <c:pt idx="220">
                  <c:v>47.052835810162449</c:v>
                </c:pt>
                <c:pt idx="221">
                  <c:v>40.472405858867646</c:v>
                </c:pt>
                <c:pt idx="222">
                  <c:v>97.211317317514954</c:v>
                </c:pt>
                <c:pt idx="223">
                  <c:v>79.07595142100709</c:v>
                </c:pt>
                <c:pt idx="224">
                  <c:v>56.631576766024068</c:v>
                </c:pt>
                <c:pt idx="225">
                  <c:v>70.924963293009071</c:v>
                </c:pt>
                <c:pt idx="226">
                  <c:v>41.154108461617597</c:v>
                </c:pt>
                <c:pt idx="227">
                  <c:v>22.847620325238001</c:v>
                </c:pt>
                <c:pt idx="228">
                  <c:v>70.368602416602997</c:v>
                </c:pt>
                <c:pt idx="229">
                  <c:v>46.794393402290943</c:v>
                </c:pt>
                <c:pt idx="230">
                  <c:v>22.629858002804426</c:v>
                </c:pt>
                <c:pt idx="231">
                  <c:v>97.211429741508539</c:v>
                </c:pt>
                <c:pt idx="232">
                  <c:v>73.971080426192486</c:v>
                </c:pt>
                <c:pt idx="233">
                  <c:v>37.190481594355774</c:v>
                </c:pt>
                <c:pt idx="234">
                  <c:v>72.674190769939102</c:v>
                </c:pt>
                <c:pt idx="235">
                  <c:v>38.507389985478511</c:v>
                </c:pt>
                <c:pt idx="236">
                  <c:v>15.699203858811487</c:v>
                </c:pt>
                <c:pt idx="237">
                  <c:v>63.289428813691117</c:v>
                </c:pt>
                <c:pt idx="238">
                  <c:v>28.769018048717747</c:v>
                </c:pt>
                <c:pt idx="239">
                  <c:v>4.2878981645955356</c:v>
                </c:pt>
                <c:pt idx="240">
                  <c:v>70.924963293009071</c:v>
                </c:pt>
                <c:pt idx="241">
                  <c:v>41.326728587805064</c:v>
                </c:pt>
                <c:pt idx="242">
                  <c:v>18.216015098134648</c:v>
                </c:pt>
                <c:pt idx="243">
                  <c:v>70.969178155751166</c:v>
                </c:pt>
                <c:pt idx="244">
                  <c:v>41.529441867533535</c:v>
                </c:pt>
                <c:pt idx="245">
                  <c:v>15.906582403995458</c:v>
                </c:pt>
                <c:pt idx="246">
                  <c:v>71.288131044311967</c:v>
                </c:pt>
                <c:pt idx="247">
                  <c:v>40.040054850189307</c:v>
                </c:pt>
                <c:pt idx="248">
                  <c:v>15.588328509721681</c:v>
                </c:pt>
                <c:pt idx="249">
                  <c:v>72.674095432080605</c:v>
                </c:pt>
                <c:pt idx="250">
                  <c:v>47.85721153557234</c:v>
                </c:pt>
                <c:pt idx="251">
                  <c:v>40.967447173496573</c:v>
                </c:pt>
                <c:pt idx="252">
                  <c:v>63.289417770633833</c:v>
                </c:pt>
                <c:pt idx="253">
                  <c:v>35.378184592233509</c:v>
                </c:pt>
                <c:pt idx="254">
                  <c:v>28.602585007784345</c:v>
                </c:pt>
                <c:pt idx="255">
                  <c:v>70.924860315964423</c:v>
                </c:pt>
                <c:pt idx="256">
                  <c:v>46.708462266121096</c:v>
                </c:pt>
                <c:pt idx="257">
                  <c:v>40.372816800882106</c:v>
                </c:pt>
                <c:pt idx="258">
                  <c:v>70.969396747802051</c:v>
                </c:pt>
                <c:pt idx="259">
                  <c:v>47.424566727665471</c:v>
                </c:pt>
                <c:pt idx="260">
                  <c:v>40.023119164388156</c:v>
                </c:pt>
                <c:pt idx="261">
                  <c:v>71.28809693636687</c:v>
                </c:pt>
                <c:pt idx="262">
                  <c:v>46.308213118225744</c:v>
                </c:pt>
                <c:pt idx="263">
                  <c:v>39.466030098730442</c:v>
                </c:pt>
                <c:pt idx="264">
                  <c:v>70.924860315964423</c:v>
                </c:pt>
                <c:pt idx="265">
                  <c:v>47.97016030778682</c:v>
                </c:pt>
                <c:pt idx="266">
                  <c:v>40.365102368039281</c:v>
                </c:pt>
                <c:pt idx="267">
                  <c:v>70.368587109314021</c:v>
                </c:pt>
                <c:pt idx="268">
                  <c:v>48.10404123979913</c:v>
                </c:pt>
                <c:pt idx="269">
                  <c:v>41.849713831274684</c:v>
                </c:pt>
                <c:pt idx="270">
                  <c:v>97.211314849291057</c:v>
                </c:pt>
                <c:pt idx="271">
                  <c:v>80.629237725314496</c:v>
                </c:pt>
                <c:pt idx="272">
                  <c:v>57.891425508233375</c:v>
                </c:pt>
                <c:pt idx="273">
                  <c:v>70.924963293009071</c:v>
                </c:pt>
                <c:pt idx="274">
                  <c:v>47.970209534611499</c:v>
                </c:pt>
                <c:pt idx="275">
                  <c:v>36.685796918787972</c:v>
                </c:pt>
                <c:pt idx="276">
                  <c:v>70.368602416602997</c:v>
                </c:pt>
                <c:pt idx="277">
                  <c:v>48.10378333531812</c:v>
                </c:pt>
                <c:pt idx="278">
                  <c:v>36.021566120771638</c:v>
                </c:pt>
                <c:pt idx="279">
                  <c:v>97.211429741508539</c:v>
                </c:pt>
                <c:pt idx="280">
                  <c:v>80.629572031369932</c:v>
                </c:pt>
                <c:pt idx="281">
                  <c:v>50.377969086101793</c:v>
                </c:pt>
                <c:pt idx="282">
                  <c:v>72.674190769939102</c:v>
                </c:pt>
                <c:pt idx="283">
                  <c:v>49.387386531995347</c:v>
                </c:pt>
                <c:pt idx="284">
                  <c:v>36.044078075198158</c:v>
                </c:pt>
                <c:pt idx="285">
                  <c:v>63.289428813691117</c:v>
                </c:pt>
                <c:pt idx="286">
                  <c:v>36.229500230763037</c:v>
                </c:pt>
                <c:pt idx="287">
                  <c:v>26.320751411210171</c:v>
                </c:pt>
                <c:pt idx="288">
                  <c:v>70.924963293009071</c:v>
                </c:pt>
                <c:pt idx="289">
                  <c:v>48.209486485034667</c:v>
                </c:pt>
                <c:pt idx="290">
                  <c:v>36.128425335647407</c:v>
                </c:pt>
                <c:pt idx="291">
                  <c:v>70.969178155751166</c:v>
                </c:pt>
                <c:pt idx="292">
                  <c:v>48.585297485857595</c:v>
                </c:pt>
                <c:pt idx="293">
                  <c:v>36.002798047876638</c:v>
                </c:pt>
                <c:pt idx="294">
                  <c:v>71.288131044311967</c:v>
                </c:pt>
                <c:pt idx="295">
                  <c:v>47.129175669468353</c:v>
                </c:pt>
                <c:pt idx="296">
                  <c:v>35.621985251999604</c:v>
                </c:pt>
                <c:pt idx="297">
                  <c:v>72.674095432080605</c:v>
                </c:pt>
                <c:pt idx="298">
                  <c:v>49.387535294185767</c:v>
                </c:pt>
                <c:pt idx="299">
                  <c:v>41.900095623832328</c:v>
                </c:pt>
                <c:pt idx="300">
                  <c:v>63.289405894793923</c:v>
                </c:pt>
                <c:pt idx="301">
                  <c:v>36.229484840705098</c:v>
                </c:pt>
                <c:pt idx="302">
                  <c:v>29.067574076813287</c:v>
                </c:pt>
                <c:pt idx="303">
                  <c:v>70.924860315964423</c:v>
                </c:pt>
                <c:pt idx="304">
                  <c:v>48.209517130481913</c:v>
                </c:pt>
                <c:pt idx="305">
                  <c:v>41.543482285373059</c:v>
                </c:pt>
                <c:pt idx="306">
                  <c:v>70.969396747802051</c:v>
                </c:pt>
                <c:pt idx="307">
                  <c:v>48.585415921950869</c:v>
                </c:pt>
                <c:pt idx="308">
                  <c:v>41.130379722206321</c:v>
                </c:pt>
                <c:pt idx="309">
                  <c:v>71.28809693636687</c:v>
                </c:pt>
                <c:pt idx="310">
                  <c:v>47.129262875054401</c:v>
                </c:pt>
                <c:pt idx="311">
                  <c:v>39.956838099949749</c:v>
                </c:pt>
                <c:pt idx="312">
                  <c:v>70.484541304349861</c:v>
                </c:pt>
                <c:pt idx="313">
                  <c:v>0</c:v>
                </c:pt>
                <c:pt idx="314">
                  <c:v>0</c:v>
                </c:pt>
                <c:pt idx="315">
                  <c:v>69.622237189573127</c:v>
                </c:pt>
                <c:pt idx="316">
                  <c:v>0</c:v>
                </c:pt>
                <c:pt idx="317">
                  <c:v>0</c:v>
                </c:pt>
                <c:pt idx="318">
                  <c:v>95.968966795550585</c:v>
                </c:pt>
                <c:pt idx="319">
                  <c:v>0</c:v>
                </c:pt>
                <c:pt idx="320">
                  <c:v>0</c:v>
                </c:pt>
                <c:pt idx="321">
                  <c:v>70.484545293357343</c:v>
                </c:pt>
                <c:pt idx="322">
                  <c:v>0</c:v>
                </c:pt>
                <c:pt idx="323">
                  <c:v>0</c:v>
                </c:pt>
                <c:pt idx="324">
                  <c:v>69.622248229952447</c:v>
                </c:pt>
                <c:pt idx="325">
                  <c:v>0</c:v>
                </c:pt>
                <c:pt idx="326">
                  <c:v>0</c:v>
                </c:pt>
                <c:pt idx="327">
                  <c:v>95.969072323683477</c:v>
                </c:pt>
                <c:pt idx="328">
                  <c:v>0</c:v>
                </c:pt>
                <c:pt idx="329">
                  <c:v>0</c:v>
                </c:pt>
                <c:pt idx="330">
                  <c:v>72.472157273773107</c:v>
                </c:pt>
                <c:pt idx="331">
                  <c:v>0</c:v>
                </c:pt>
                <c:pt idx="332">
                  <c:v>0</c:v>
                </c:pt>
                <c:pt idx="333">
                  <c:v>62.94203589712609</c:v>
                </c:pt>
                <c:pt idx="334">
                  <c:v>0</c:v>
                </c:pt>
                <c:pt idx="335">
                  <c:v>0</c:v>
                </c:pt>
                <c:pt idx="336">
                  <c:v>70.484545293357343</c:v>
                </c:pt>
                <c:pt idx="337">
                  <c:v>0</c:v>
                </c:pt>
                <c:pt idx="338">
                  <c:v>0</c:v>
                </c:pt>
                <c:pt idx="339">
                  <c:v>70.541765148901206</c:v>
                </c:pt>
                <c:pt idx="340">
                  <c:v>0</c:v>
                </c:pt>
                <c:pt idx="341">
                  <c:v>0</c:v>
                </c:pt>
                <c:pt idx="342">
                  <c:v>70.951199686325253</c:v>
                </c:pt>
                <c:pt idx="343">
                  <c:v>0</c:v>
                </c:pt>
                <c:pt idx="344">
                  <c:v>0</c:v>
                </c:pt>
                <c:pt idx="345">
                  <c:v>72.472105640707724</c:v>
                </c:pt>
                <c:pt idx="346">
                  <c:v>0</c:v>
                </c:pt>
                <c:pt idx="347">
                  <c:v>0</c:v>
                </c:pt>
                <c:pt idx="348">
                  <c:v>62.942089437149825</c:v>
                </c:pt>
                <c:pt idx="349">
                  <c:v>0</c:v>
                </c:pt>
                <c:pt idx="350">
                  <c:v>0</c:v>
                </c:pt>
                <c:pt idx="351">
                  <c:v>70.484541304349861</c:v>
                </c:pt>
                <c:pt idx="352">
                  <c:v>0</c:v>
                </c:pt>
                <c:pt idx="353">
                  <c:v>0</c:v>
                </c:pt>
                <c:pt idx="354">
                  <c:v>70.541840928623756</c:v>
                </c:pt>
                <c:pt idx="355">
                  <c:v>0</c:v>
                </c:pt>
                <c:pt idx="356">
                  <c:v>0</c:v>
                </c:pt>
                <c:pt idx="357">
                  <c:v>70.951351880916306</c:v>
                </c:pt>
                <c:pt idx="358">
                  <c:v>0</c:v>
                </c:pt>
                <c:pt idx="359">
                  <c:v>0</c:v>
                </c:pt>
                <c:pt idx="360">
                  <c:v>70.484541304349861</c:v>
                </c:pt>
                <c:pt idx="361">
                  <c:v>0</c:v>
                </c:pt>
                <c:pt idx="362">
                  <c:v>0</c:v>
                </c:pt>
                <c:pt idx="363">
                  <c:v>69.622237189573127</c:v>
                </c:pt>
                <c:pt idx="364">
                  <c:v>0</c:v>
                </c:pt>
                <c:pt idx="365">
                  <c:v>0</c:v>
                </c:pt>
                <c:pt idx="366">
                  <c:v>95.969131286090573</c:v>
                </c:pt>
                <c:pt idx="367">
                  <c:v>0</c:v>
                </c:pt>
                <c:pt idx="368">
                  <c:v>0</c:v>
                </c:pt>
                <c:pt idx="369">
                  <c:v>70.484545293357343</c:v>
                </c:pt>
                <c:pt idx="370">
                  <c:v>0</c:v>
                </c:pt>
                <c:pt idx="371">
                  <c:v>0</c:v>
                </c:pt>
                <c:pt idx="372">
                  <c:v>69.622248229952447</c:v>
                </c:pt>
                <c:pt idx="373">
                  <c:v>0</c:v>
                </c:pt>
                <c:pt idx="374">
                  <c:v>0</c:v>
                </c:pt>
                <c:pt idx="375">
                  <c:v>95.969072323683477</c:v>
                </c:pt>
                <c:pt idx="376">
                  <c:v>0</c:v>
                </c:pt>
                <c:pt idx="377">
                  <c:v>0</c:v>
                </c:pt>
                <c:pt idx="378">
                  <c:v>72.472157273773107</c:v>
                </c:pt>
                <c:pt idx="379">
                  <c:v>0</c:v>
                </c:pt>
                <c:pt idx="380">
                  <c:v>0</c:v>
                </c:pt>
                <c:pt idx="381">
                  <c:v>62.942040935808208</c:v>
                </c:pt>
                <c:pt idx="382">
                  <c:v>0</c:v>
                </c:pt>
                <c:pt idx="383">
                  <c:v>0</c:v>
                </c:pt>
                <c:pt idx="384">
                  <c:v>70.484545293357343</c:v>
                </c:pt>
                <c:pt idx="385">
                  <c:v>0</c:v>
                </c:pt>
                <c:pt idx="386">
                  <c:v>0</c:v>
                </c:pt>
                <c:pt idx="387">
                  <c:v>70.541765148901206</c:v>
                </c:pt>
                <c:pt idx="388">
                  <c:v>0</c:v>
                </c:pt>
                <c:pt idx="389">
                  <c:v>0</c:v>
                </c:pt>
                <c:pt idx="390">
                  <c:v>70.951199686325253</c:v>
                </c:pt>
                <c:pt idx="391">
                  <c:v>0</c:v>
                </c:pt>
                <c:pt idx="392">
                  <c:v>0</c:v>
                </c:pt>
                <c:pt idx="393">
                  <c:v>72.472105640707724</c:v>
                </c:pt>
                <c:pt idx="394">
                  <c:v>0</c:v>
                </c:pt>
                <c:pt idx="395">
                  <c:v>0</c:v>
                </c:pt>
                <c:pt idx="396">
                  <c:v>62.942089437149825</c:v>
                </c:pt>
                <c:pt idx="397">
                  <c:v>0</c:v>
                </c:pt>
                <c:pt idx="398">
                  <c:v>0</c:v>
                </c:pt>
                <c:pt idx="399">
                  <c:v>70.484541304349861</c:v>
                </c:pt>
                <c:pt idx="400">
                  <c:v>0</c:v>
                </c:pt>
                <c:pt idx="401">
                  <c:v>0</c:v>
                </c:pt>
                <c:pt idx="402">
                  <c:v>70.541840928623756</c:v>
                </c:pt>
                <c:pt idx="403">
                  <c:v>0</c:v>
                </c:pt>
                <c:pt idx="404">
                  <c:v>0</c:v>
                </c:pt>
                <c:pt idx="405">
                  <c:v>70.951351880916306</c:v>
                </c:pt>
                <c:pt idx="406">
                  <c:v>0</c:v>
                </c:pt>
                <c:pt idx="40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0-A44D-A025-FFAC2726C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8869664"/>
        <c:axId val="1445331328"/>
      </c:scatterChart>
      <c:valAx>
        <c:axId val="1448869664"/>
        <c:scaling>
          <c:orientation val="minMax"/>
          <c:max val="14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331328"/>
        <c:crosses val="autoZero"/>
        <c:crossBetween val="midCat"/>
      </c:valAx>
      <c:valAx>
        <c:axId val="1445331328"/>
        <c:scaling>
          <c:orientation val="minMax"/>
          <c:max val="1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86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27</xdr:row>
      <xdr:rowOff>25400</xdr:rowOff>
    </xdr:from>
    <xdr:to>
      <xdr:col>11</xdr:col>
      <xdr:colOff>1041400</xdr:colOff>
      <xdr:row>34</xdr:row>
      <xdr:rowOff>76200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5ACAC2C-81CB-364B-9B21-D77A7CC22612}"/>
            </a:ext>
          </a:extLst>
        </xdr:cNvPr>
        <xdr:cNvSpPr/>
      </xdr:nvSpPr>
      <xdr:spPr>
        <a:xfrm>
          <a:off x="6032500" y="6464300"/>
          <a:ext cx="5689600" cy="1473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Notes for</a:t>
          </a:r>
          <a:r>
            <a:rPr lang="en-US" sz="1100" baseline="0"/>
            <a:t> DG per MW cost calculation</a:t>
          </a:r>
        </a:p>
        <a:p>
          <a:pPr algn="l"/>
          <a:r>
            <a:rPr lang="en-US" sz="1100" baseline="0"/>
            <a:t>The DG CAPEX before annualization is calculated as the sum of </a:t>
          </a:r>
        </a:p>
        <a:p>
          <a:pPr algn="l"/>
          <a:r>
            <a:rPr lang="en-US" sz="1100" baseline="0"/>
            <a:t>(1) starting moduled cost + (2) inverter changes in year 13 and (3) decommission cost in year 25.</a:t>
          </a:r>
        </a:p>
        <a:p>
          <a:pPr algn="l"/>
          <a:r>
            <a:rPr lang="en-US" sz="1100" baseline="0"/>
            <a:t>After the CAPEX is obtained,</a:t>
          </a:r>
        </a:p>
        <a:p>
          <a:pPr algn="l"/>
          <a:r>
            <a:rPr lang="en-US" sz="1100" baseline="0"/>
            <a:t>Then scale the number from $/W to $/MW by multiplying 1e6</a:t>
          </a:r>
        </a:p>
        <a:p>
          <a:pPr algn="l"/>
          <a:r>
            <a:rPr lang="en-US" sz="1100" baseline="0"/>
            <a:t>Then apply federal tax credit</a:t>
          </a:r>
        </a:p>
        <a:p>
          <a:pPr algn="l"/>
          <a:r>
            <a:rPr lang="en-US" sz="1100" baseline="0"/>
            <a:t>Then use WACC to do annualization.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704143</xdr:colOff>
      <xdr:row>13</xdr:row>
      <xdr:rowOff>42333</xdr:rowOff>
    </xdr:from>
    <xdr:to>
      <xdr:col>17</xdr:col>
      <xdr:colOff>1100665</xdr:colOff>
      <xdr:row>46</xdr:row>
      <xdr:rowOff>94545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AF1BE-DD30-344F-9909-93061C40BF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0.04203</cdr:x>
      <cdr:y>0.07301</cdr:y>
    </cdr:from>
    <cdr:to>
      <cdr:x>0.70256</cdr:x>
      <cdr:y>0.9534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77377300-084B-E74D-A8BA-6C0FB6279842}"/>
            </a:ext>
          </a:extLst>
        </cdr:cNvPr>
        <cdr:cNvCxnSpPr/>
      </cdr:nvCxnSpPr>
      <cdr:spPr>
        <a:xfrm xmlns:a="http://schemas.openxmlformats.org/drawingml/2006/main" flipV="1">
          <a:off x="424746" y="479778"/>
          <a:ext cx="6674556" cy="5785556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ngyuxu/Downloads/REPORT%20-%20INSTALLED%20-%20June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ingyuxu/Downloads/REPORT%20-%20PIPELINE%20-%20June%202021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ual Capacity"/>
      <sheetName val="Annual Capacity - Graph"/>
      <sheetName val="Class I REC Generators"/>
      <sheetName val="SRP &amp; TI Annual - Graph"/>
      <sheetName val="Monthly Capacity"/>
      <sheetName val="Interconnection &amp; Customer Type"/>
      <sheetName val="Project Type"/>
      <sheetName val="TPO Summary"/>
      <sheetName val="Installations by County"/>
      <sheetName val="By County - Graph"/>
      <sheetName val="Definitions"/>
    </sheetNames>
    <sheetDataSet>
      <sheetData sheetId="0">
        <row r="1">
          <cell r="Q1">
            <v>44377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line - Solar Summary"/>
      <sheetName val="Interconnection &amp; Customer Type"/>
      <sheetName val="Project Type"/>
      <sheetName val="TPO Summary"/>
      <sheetName val="Pipeline - Definitions"/>
    </sheetNames>
    <sheetDataSet>
      <sheetData sheetId="0">
        <row r="2">
          <cell r="A2" t="str">
            <v>as of 06/30/2021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8EDA-9231-F84A-B663-E760DF428257}">
  <dimension ref="A1:BO74"/>
  <sheetViews>
    <sheetView topLeftCell="AS1" zoomScaleNormal="100" workbookViewId="0">
      <selection activeCell="BK21" sqref="BK21"/>
    </sheetView>
  </sheetViews>
  <sheetFormatPr baseColWidth="10" defaultRowHeight="16" x14ac:dyDescent="0.2"/>
  <cols>
    <col min="1" max="1" width="21.1640625" bestFit="1" customWidth="1"/>
    <col min="3" max="3" width="15" bestFit="1" customWidth="1"/>
    <col min="4" max="4" width="17.6640625" bestFit="1" customWidth="1"/>
    <col min="8" max="8" width="39.5" bestFit="1" customWidth="1"/>
    <col min="9" max="10" width="45.1640625" bestFit="1" customWidth="1"/>
    <col min="11" max="11" width="15.5" customWidth="1"/>
    <col min="12" max="13" width="34.1640625" bestFit="1" customWidth="1"/>
    <col min="15" max="16" width="11" bestFit="1" customWidth="1"/>
    <col min="34" max="36" width="12.5" bestFit="1" customWidth="1"/>
    <col min="37" max="37" width="11.5" bestFit="1" customWidth="1"/>
    <col min="38" max="40" width="12.5" bestFit="1" customWidth="1"/>
    <col min="41" max="42" width="11.5" bestFit="1" customWidth="1"/>
    <col min="43" max="45" width="16" bestFit="1" customWidth="1"/>
    <col min="47" max="48" width="16" bestFit="1" customWidth="1"/>
    <col min="49" max="49" width="17.6640625" bestFit="1" customWidth="1"/>
    <col min="50" max="50" width="15" bestFit="1" customWidth="1"/>
    <col min="52" max="56" width="13.5" bestFit="1" customWidth="1"/>
    <col min="58" max="58" width="15" bestFit="1" customWidth="1"/>
    <col min="59" max="59" width="17.6640625" bestFit="1" customWidth="1"/>
    <col min="60" max="60" width="15" bestFit="1" customWidth="1"/>
    <col min="62" max="64" width="14.1640625" customWidth="1"/>
  </cols>
  <sheetData>
    <row r="1" spans="1:67" x14ac:dyDescent="0.2">
      <c r="A1" t="s">
        <v>73</v>
      </c>
      <c r="B1" t="s">
        <v>0</v>
      </c>
      <c r="C1" t="s">
        <v>1</v>
      </c>
      <c r="D1" t="s">
        <v>2</v>
      </c>
    </row>
    <row r="2" spans="1:67" x14ac:dyDescent="0.2">
      <c r="A2" t="s">
        <v>74</v>
      </c>
      <c r="B2">
        <v>2019</v>
      </c>
      <c r="C2" t="s">
        <v>92</v>
      </c>
      <c r="D2" s="10">
        <f>D16</f>
        <v>597056015</v>
      </c>
    </row>
    <row r="3" spans="1:67" x14ac:dyDescent="0.2">
      <c r="A3" t="s">
        <v>74</v>
      </c>
      <c r="B3">
        <v>2030</v>
      </c>
      <c r="C3" t="s">
        <v>92</v>
      </c>
      <c r="D3" s="47">
        <f>BF21+D18</f>
        <v>1201636320.3466282</v>
      </c>
    </row>
    <row r="4" spans="1:67" x14ac:dyDescent="0.2">
      <c r="A4" t="s">
        <v>74</v>
      </c>
      <c r="B4">
        <v>2040</v>
      </c>
      <c r="C4" t="s">
        <v>92</v>
      </c>
      <c r="D4" s="47">
        <f>BG21</f>
        <v>1475131307.2772543</v>
      </c>
    </row>
    <row r="5" spans="1:67" x14ac:dyDescent="0.2">
      <c r="A5" t="s">
        <v>74</v>
      </c>
      <c r="B5">
        <v>2050</v>
      </c>
      <c r="C5" t="s">
        <v>92</v>
      </c>
      <c r="D5" s="47">
        <f>BH21</f>
        <v>1857774234.0994</v>
      </c>
    </row>
    <row r="6" spans="1:67" x14ac:dyDescent="0.2">
      <c r="A6" t="s">
        <v>75</v>
      </c>
      <c r="B6">
        <v>2019</v>
      </c>
      <c r="C6" t="s">
        <v>92</v>
      </c>
      <c r="D6" s="10">
        <f>D16</f>
        <v>597056015</v>
      </c>
    </row>
    <row r="7" spans="1:67" x14ac:dyDescent="0.2">
      <c r="A7" t="s">
        <v>75</v>
      </c>
      <c r="B7">
        <v>2030</v>
      </c>
      <c r="C7" t="s">
        <v>92</v>
      </c>
      <c r="D7" s="47">
        <f>BF28+D18</f>
        <v>1127106038.607038</v>
      </c>
    </row>
    <row r="8" spans="1:67" s="1" customFormat="1" x14ac:dyDescent="0.2">
      <c r="A8" t="s">
        <v>75</v>
      </c>
      <c r="B8">
        <v>2040</v>
      </c>
      <c r="C8" t="s">
        <v>92</v>
      </c>
      <c r="D8" s="47">
        <f>BG28</f>
        <v>1227981040.1559095</v>
      </c>
      <c r="F8" s="2" t="s">
        <v>93</v>
      </c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1" customFormat="1" x14ac:dyDescent="0.2">
      <c r="A9" t="s">
        <v>75</v>
      </c>
      <c r="B9">
        <v>2050</v>
      </c>
      <c r="C9" t="s">
        <v>92</v>
      </c>
      <c r="D9" s="47">
        <f>BH28</f>
        <v>1496035802.9716711</v>
      </c>
      <c r="F9" s="4"/>
      <c r="G9" s="4">
        <v>2000</v>
      </c>
      <c r="H9" s="4">
        <v>2001</v>
      </c>
      <c r="I9" s="4">
        <v>2002</v>
      </c>
      <c r="J9" s="4">
        <v>2003</v>
      </c>
      <c r="K9" s="4">
        <v>2004</v>
      </c>
      <c r="L9" s="4">
        <v>2005</v>
      </c>
      <c r="M9" s="4">
        <v>2006</v>
      </c>
      <c r="N9" s="4">
        <v>2007</v>
      </c>
      <c r="O9" s="4">
        <v>2008</v>
      </c>
      <c r="P9" s="4">
        <v>2009</v>
      </c>
      <c r="Q9" s="4">
        <v>2010</v>
      </c>
      <c r="R9" s="4">
        <v>2011</v>
      </c>
      <c r="S9" s="4">
        <v>2012</v>
      </c>
      <c r="T9" s="4">
        <v>2013</v>
      </c>
      <c r="U9" s="4">
        <v>2014</v>
      </c>
      <c r="V9" s="4">
        <v>2015</v>
      </c>
      <c r="W9" s="4">
        <v>2016</v>
      </c>
      <c r="X9" s="4">
        <v>2017</v>
      </c>
      <c r="Y9" s="4">
        <v>2018</v>
      </c>
      <c r="Z9" s="4">
        <v>2019</v>
      </c>
      <c r="AA9" s="4">
        <v>2020</v>
      </c>
      <c r="AB9" s="4">
        <v>2021</v>
      </c>
      <c r="AC9" s="4">
        <v>2022</v>
      </c>
      <c r="AD9" s="4">
        <v>2023</v>
      </c>
      <c r="AE9" s="4">
        <v>2024</v>
      </c>
      <c r="AF9" s="4">
        <v>2025</v>
      </c>
      <c r="AG9" s="4">
        <v>2026</v>
      </c>
      <c r="AH9" s="4">
        <v>2027</v>
      </c>
      <c r="AI9" s="4">
        <v>2028</v>
      </c>
      <c r="AJ9" s="4">
        <v>2029</v>
      </c>
      <c r="AK9" s="5">
        <v>2030</v>
      </c>
      <c r="AL9" s="4">
        <v>2031</v>
      </c>
      <c r="AM9" s="4">
        <v>2032</v>
      </c>
      <c r="AN9" s="4">
        <v>2033</v>
      </c>
      <c r="AO9" s="4">
        <v>2034</v>
      </c>
      <c r="AP9" s="4">
        <v>2035</v>
      </c>
      <c r="AQ9" s="4">
        <v>2036</v>
      </c>
      <c r="AR9" s="4">
        <v>2037</v>
      </c>
      <c r="AS9" s="4">
        <v>2038</v>
      </c>
      <c r="AT9" s="4">
        <v>2039</v>
      </c>
      <c r="AU9" s="5">
        <v>2040</v>
      </c>
      <c r="AV9" s="4">
        <v>2041</v>
      </c>
      <c r="AW9" s="4">
        <v>2042</v>
      </c>
      <c r="AX9" s="4">
        <v>2043</v>
      </c>
      <c r="AY9" s="4">
        <v>2044</v>
      </c>
      <c r="AZ9" s="4">
        <v>2045</v>
      </c>
      <c r="BA9" s="4">
        <v>2046</v>
      </c>
      <c r="BB9" s="4">
        <v>2047</v>
      </c>
      <c r="BC9" s="4">
        <v>2048</v>
      </c>
      <c r="BD9" s="4">
        <v>2049</v>
      </c>
      <c r="BE9" s="5">
        <v>2050</v>
      </c>
      <c r="BF9" s="4">
        <v>2051</v>
      </c>
      <c r="BG9" s="4">
        <v>2052</v>
      </c>
      <c r="BH9" s="4">
        <v>2053</v>
      </c>
      <c r="BI9" s="4">
        <v>2054</v>
      </c>
      <c r="BJ9" s="4">
        <v>2055</v>
      </c>
      <c r="BK9" s="4">
        <v>2056</v>
      </c>
      <c r="BL9" s="4">
        <v>2057</v>
      </c>
      <c r="BM9" s="4">
        <v>2058</v>
      </c>
      <c r="BN9" s="4">
        <v>2059</v>
      </c>
      <c r="BO9" s="4">
        <v>2060</v>
      </c>
    </row>
    <row r="10" spans="1:67" s="1" customFormat="1" x14ac:dyDescent="0.2">
      <c r="A10" t="s">
        <v>76</v>
      </c>
      <c r="B10">
        <v>2019</v>
      </c>
      <c r="C10" t="s">
        <v>92</v>
      </c>
      <c r="D10" s="10">
        <f>D16</f>
        <v>597056015</v>
      </c>
      <c r="F10" s="6" t="s">
        <v>3</v>
      </c>
      <c r="G10" s="7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50</v>
      </c>
      <c r="AD10" s="8">
        <v>200</v>
      </c>
      <c r="AE10" s="8">
        <v>312.5</v>
      </c>
      <c r="AF10" s="8">
        <v>512.5</v>
      </c>
      <c r="AG10" s="8">
        <v>712.5</v>
      </c>
      <c r="AH10" s="8">
        <v>912.5</v>
      </c>
      <c r="AI10" s="8">
        <v>1162.5</v>
      </c>
      <c r="AJ10" s="8">
        <v>1437.5</v>
      </c>
      <c r="AK10" s="8">
        <v>1712.5</v>
      </c>
      <c r="AL10" s="8">
        <v>1932.5</v>
      </c>
      <c r="AM10" s="8">
        <v>2152.5</v>
      </c>
      <c r="AN10" s="8">
        <v>2372.5</v>
      </c>
      <c r="AO10" s="8">
        <v>2592.5</v>
      </c>
      <c r="AP10" s="8">
        <v>2812.5</v>
      </c>
      <c r="AQ10" s="8">
        <v>3032.5</v>
      </c>
      <c r="AR10" s="8">
        <v>3282.5</v>
      </c>
      <c r="AS10" s="8">
        <v>3532.5</v>
      </c>
      <c r="AT10" s="8">
        <v>3782.5</v>
      </c>
      <c r="AU10" s="8">
        <v>4032.5</v>
      </c>
      <c r="AV10" s="8">
        <v>4252.5</v>
      </c>
      <c r="AW10" s="8">
        <v>4472.5</v>
      </c>
      <c r="AX10" s="8">
        <v>4643.5</v>
      </c>
      <c r="AY10" s="8">
        <v>4814.5</v>
      </c>
      <c r="AZ10" s="8">
        <v>4985.5</v>
      </c>
      <c r="BA10" s="8">
        <v>5183.5</v>
      </c>
      <c r="BB10" s="8">
        <v>5381.5</v>
      </c>
      <c r="BC10" s="8">
        <v>5579.5</v>
      </c>
      <c r="BD10" s="8">
        <v>5777.5</v>
      </c>
      <c r="BE10" s="8">
        <v>5897.5</v>
      </c>
      <c r="BF10" s="8">
        <v>5897.5</v>
      </c>
      <c r="BG10" s="8">
        <v>5897.5</v>
      </c>
      <c r="BH10" s="8">
        <v>5897.5</v>
      </c>
      <c r="BI10" s="8">
        <v>5897.5</v>
      </c>
      <c r="BJ10" s="8">
        <v>5897.5</v>
      </c>
      <c r="BK10" s="8">
        <v>5897.5</v>
      </c>
      <c r="BL10" s="8">
        <v>5897.5</v>
      </c>
      <c r="BM10" s="8">
        <v>5897.5</v>
      </c>
      <c r="BN10" s="8">
        <v>5897.5</v>
      </c>
      <c r="BO10" s="8">
        <v>5897.5</v>
      </c>
    </row>
    <row r="11" spans="1:67" s="1" customFormat="1" x14ac:dyDescent="0.2">
      <c r="A11" t="s">
        <v>76</v>
      </c>
      <c r="B11">
        <v>2030</v>
      </c>
      <c r="C11" t="s">
        <v>92</v>
      </c>
      <c r="D11" s="48">
        <f>BF35+D18</f>
        <v>1441996420.6217427</v>
      </c>
      <c r="F11" s="6" t="s">
        <v>4</v>
      </c>
      <c r="G11" s="7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5</v>
      </c>
      <c r="AD11" s="8">
        <v>195</v>
      </c>
      <c r="AE11" s="8">
        <v>382.5</v>
      </c>
      <c r="AF11" s="8">
        <v>682.5</v>
      </c>
      <c r="AG11" s="8">
        <v>982.5</v>
      </c>
      <c r="AH11" s="8">
        <v>1282.5</v>
      </c>
      <c r="AI11" s="8">
        <v>1582.5</v>
      </c>
      <c r="AJ11" s="8">
        <v>1912.5</v>
      </c>
      <c r="AK11" s="8">
        <v>2242.5</v>
      </c>
      <c r="AL11" s="8">
        <v>2523.75</v>
      </c>
      <c r="AM11" s="8">
        <v>2805</v>
      </c>
      <c r="AN11" s="8">
        <v>3086.25</v>
      </c>
      <c r="AO11" s="8">
        <v>3367.5</v>
      </c>
      <c r="AP11" s="8">
        <v>3648.75</v>
      </c>
      <c r="AQ11" s="8">
        <v>3930</v>
      </c>
      <c r="AR11" s="8">
        <v>4180</v>
      </c>
      <c r="AS11" s="8">
        <v>4430</v>
      </c>
      <c r="AT11" s="8">
        <v>4680</v>
      </c>
      <c r="AU11" s="8">
        <v>4930</v>
      </c>
      <c r="AV11" s="8">
        <v>5160</v>
      </c>
      <c r="AW11" s="8">
        <v>5390</v>
      </c>
      <c r="AX11" s="8">
        <v>5570</v>
      </c>
      <c r="AY11" s="8">
        <v>5750</v>
      </c>
      <c r="AZ11" s="8">
        <v>5930</v>
      </c>
      <c r="BA11" s="8">
        <v>6128</v>
      </c>
      <c r="BB11" s="8">
        <v>6326</v>
      </c>
      <c r="BC11" s="8">
        <v>6524</v>
      </c>
      <c r="BD11" s="8">
        <v>6722</v>
      </c>
      <c r="BE11" s="8">
        <v>6849.5</v>
      </c>
      <c r="BF11" s="8">
        <v>6849.5</v>
      </c>
      <c r="BG11" s="8">
        <v>6849.5</v>
      </c>
      <c r="BH11" s="8">
        <v>6849.5</v>
      </c>
      <c r="BI11" s="8">
        <v>6849.5</v>
      </c>
      <c r="BJ11" s="8">
        <v>6849.5</v>
      </c>
      <c r="BK11" s="8">
        <v>6849.5</v>
      </c>
      <c r="BL11" s="8">
        <v>6849.5</v>
      </c>
      <c r="BM11" s="8">
        <v>6849.5</v>
      </c>
      <c r="BN11" s="8">
        <v>6849.5</v>
      </c>
      <c r="BO11" s="8">
        <v>6849.5</v>
      </c>
    </row>
    <row r="12" spans="1:67" s="1" customFormat="1" x14ac:dyDescent="0.2">
      <c r="A12" t="s">
        <v>76</v>
      </c>
      <c r="B12">
        <v>2040</v>
      </c>
      <c r="C12" t="s">
        <v>92</v>
      </c>
      <c r="D12" s="48">
        <f>BG35</f>
        <v>2156969266.5728054</v>
      </c>
      <c r="F12" s="6" t="s">
        <v>5</v>
      </c>
      <c r="G12" s="7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50</v>
      </c>
      <c r="AG12" s="8">
        <v>100</v>
      </c>
      <c r="AH12" s="8">
        <v>150</v>
      </c>
      <c r="AI12" s="8">
        <v>200</v>
      </c>
      <c r="AJ12" s="8">
        <v>250</v>
      </c>
      <c r="AK12" s="8">
        <v>300</v>
      </c>
      <c r="AL12" s="8">
        <v>350</v>
      </c>
      <c r="AM12" s="8">
        <v>400</v>
      </c>
      <c r="AN12" s="8">
        <v>450</v>
      </c>
      <c r="AO12" s="8">
        <v>500</v>
      </c>
      <c r="AP12" s="8">
        <v>550</v>
      </c>
      <c r="AQ12" s="8">
        <v>600</v>
      </c>
      <c r="AR12" s="8">
        <v>650</v>
      </c>
      <c r="AS12" s="8">
        <v>700</v>
      </c>
      <c r="AT12" s="8">
        <v>750</v>
      </c>
      <c r="AU12" s="8">
        <v>800</v>
      </c>
      <c r="AV12" s="8">
        <v>900</v>
      </c>
      <c r="AW12" s="8">
        <v>1000</v>
      </c>
      <c r="AX12" s="8">
        <v>1100</v>
      </c>
      <c r="AY12" s="8">
        <v>1200</v>
      </c>
      <c r="AZ12" s="8">
        <v>1300</v>
      </c>
      <c r="BA12" s="8">
        <v>1350</v>
      </c>
      <c r="BB12" s="8">
        <v>1400</v>
      </c>
      <c r="BC12" s="8">
        <v>1450</v>
      </c>
      <c r="BD12" s="8">
        <v>1500</v>
      </c>
      <c r="BE12" s="8">
        <v>1550</v>
      </c>
      <c r="BF12" s="8">
        <v>1550</v>
      </c>
      <c r="BG12" s="8">
        <v>1550</v>
      </c>
      <c r="BH12" s="8">
        <v>1550</v>
      </c>
      <c r="BI12" s="8">
        <v>1550</v>
      </c>
      <c r="BJ12" s="8">
        <v>1550</v>
      </c>
      <c r="BK12" s="8">
        <v>1550</v>
      </c>
      <c r="BL12" s="8">
        <v>1550</v>
      </c>
      <c r="BM12" s="8">
        <v>1550</v>
      </c>
      <c r="BN12" s="8">
        <v>1550</v>
      </c>
      <c r="BO12" s="8">
        <v>1550</v>
      </c>
    </row>
    <row r="13" spans="1:67" s="1" customFormat="1" x14ac:dyDescent="0.2">
      <c r="A13" t="s">
        <v>76</v>
      </c>
      <c r="B13">
        <v>2050</v>
      </c>
      <c r="C13" t="s">
        <v>92</v>
      </c>
      <c r="D13" s="48">
        <f>BH35</f>
        <v>2481229862.8834763</v>
      </c>
      <c r="F13" s="6" t="s">
        <v>6</v>
      </c>
      <c r="G13" s="7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150</v>
      </c>
      <c r="AF13" s="8">
        <v>300</v>
      </c>
      <c r="AG13" s="8">
        <v>450</v>
      </c>
      <c r="AH13" s="8">
        <v>600</v>
      </c>
      <c r="AI13" s="8">
        <v>750</v>
      </c>
      <c r="AJ13" s="8">
        <v>900</v>
      </c>
      <c r="AK13" s="8">
        <v>1050</v>
      </c>
      <c r="AL13" s="8">
        <v>1200</v>
      </c>
      <c r="AM13" s="8">
        <v>1350</v>
      </c>
      <c r="AN13" s="8">
        <v>1500</v>
      </c>
      <c r="AO13" s="8">
        <v>1650</v>
      </c>
      <c r="AP13" s="8">
        <v>1800</v>
      </c>
      <c r="AQ13" s="8">
        <v>1950</v>
      </c>
      <c r="AR13" s="8">
        <v>2100</v>
      </c>
      <c r="AS13" s="8">
        <v>2250</v>
      </c>
      <c r="AT13" s="8">
        <v>2400</v>
      </c>
      <c r="AU13" s="8">
        <v>2550</v>
      </c>
      <c r="AV13" s="8">
        <v>2700</v>
      </c>
      <c r="AW13" s="8">
        <v>2850</v>
      </c>
      <c r="AX13" s="8">
        <v>3000</v>
      </c>
      <c r="AY13" s="8">
        <v>3150</v>
      </c>
      <c r="AZ13" s="8">
        <v>3300</v>
      </c>
      <c r="BA13" s="8">
        <v>3450</v>
      </c>
      <c r="BB13" s="8">
        <v>3600</v>
      </c>
      <c r="BC13" s="8">
        <v>3750</v>
      </c>
      <c r="BD13" s="8">
        <v>3900</v>
      </c>
      <c r="BE13" s="8">
        <v>4050</v>
      </c>
      <c r="BF13" s="8">
        <v>4050</v>
      </c>
      <c r="BG13" s="8">
        <v>4050</v>
      </c>
      <c r="BH13" s="8">
        <v>4050</v>
      </c>
      <c r="BI13" s="8">
        <v>4050</v>
      </c>
      <c r="BJ13" s="8">
        <v>4050</v>
      </c>
      <c r="BK13" s="8">
        <v>4050</v>
      </c>
      <c r="BL13" s="8">
        <v>4050</v>
      </c>
      <c r="BM13" s="8">
        <v>4050</v>
      </c>
      <c r="BN13" s="8">
        <v>4050</v>
      </c>
      <c r="BO13" s="8">
        <v>4050</v>
      </c>
    </row>
    <row r="14" spans="1:67" s="1" customFormat="1" ht="14" x14ac:dyDescent="0.2">
      <c r="F14" s="9" t="s">
        <v>7</v>
      </c>
      <c r="G14" s="3">
        <f>SUM(G10:G13)</f>
        <v>0</v>
      </c>
      <c r="H14" s="3">
        <f t="shared" ref="H14:BO14" si="0">SUM(H10:H13)</f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W14" s="3">
        <f t="shared" si="0"/>
        <v>0</v>
      </c>
      <c r="X14" s="3">
        <f t="shared" si="0"/>
        <v>0</v>
      </c>
      <c r="Y14" s="3">
        <f t="shared" si="0"/>
        <v>0</v>
      </c>
      <c r="Z14" s="3">
        <f t="shared" si="0"/>
        <v>0</v>
      </c>
      <c r="AA14" s="3">
        <f t="shared" si="0"/>
        <v>0</v>
      </c>
      <c r="AB14" s="3">
        <f t="shared" si="0"/>
        <v>0</v>
      </c>
      <c r="AC14" s="3">
        <f t="shared" si="0"/>
        <v>55</v>
      </c>
      <c r="AD14" s="3">
        <f t="shared" si="0"/>
        <v>395</v>
      </c>
      <c r="AE14" s="3">
        <f t="shared" si="0"/>
        <v>845</v>
      </c>
      <c r="AF14" s="3">
        <f t="shared" si="0"/>
        <v>1545</v>
      </c>
      <c r="AG14" s="3">
        <f t="shared" si="0"/>
        <v>2245</v>
      </c>
      <c r="AH14" s="3">
        <f t="shared" si="0"/>
        <v>2945</v>
      </c>
      <c r="AI14" s="3">
        <f t="shared" si="0"/>
        <v>3695</v>
      </c>
      <c r="AJ14" s="3">
        <f t="shared" si="0"/>
        <v>4500</v>
      </c>
      <c r="AK14" s="3">
        <f t="shared" si="0"/>
        <v>5305</v>
      </c>
      <c r="AL14" s="3">
        <f t="shared" si="0"/>
        <v>6006.25</v>
      </c>
      <c r="AM14" s="3">
        <f t="shared" si="0"/>
        <v>6707.5</v>
      </c>
      <c r="AN14" s="3">
        <f t="shared" si="0"/>
        <v>7408.75</v>
      </c>
      <c r="AO14" s="3">
        <f t="shared" si="0"/>
        <v>8110</v>
      </c>
      <c r="AP14" s="3">
        <f t="shared" si="0"/>
        <v>8811.25</v>
      </c>
      <c r="AQ14" s="3">
        <f t="shared" si="0"/>
        <v>9512.5</v>
      </c>
      <c r="AR14" s="3">
        <f t="shared" si="0"/>
        <v>10212.5</v>
      </c>
      <c r="AS14" s="3">
        <f t="shared" si="0"/>
        <v>10912.5</v>
      </c>
      <c r="AT14" s="3">
        <f t="shared" si="0"/>
        <v>11612.5</v>
      </c>
      <c r="AU14" s="3">
        <f t="shared" si="0"/>
        <v>12312.5</v>
      </c>
      <c r="AV14" s="3">
        <f t="shared" si="0"/>
        <v>13012.5</v>
      </c>
      <c r="AW14" s="3">
        <f t="shared" si="0"/>
        <v>13712.5</v>
      </c>
      <c r="AX14" s="3">
        <f t="shared" si="0"/>
        <v>14313.5</v>
      </c>
      <c r="AY14" s="3">
        <f t="shared" si="0"/>
        <v>14914.5</v>
      </c>
      <c r="AZ14" s="3">
        <f t="shared" si="0"/>
        <v>15515.5</v>
      </c>
      <c r="BA14" s="3">
        <f t="shared" si="0"/>
        <v>16111.5</v>
      </c>
      <c r="BB14" s="3">
        <f t="shared" si="0"/>
        <v>16707.5</v>
      </c>
      <c r="BC14" s="3">
        <f t="shared" si="0"/>
        <v>17303.5</v>
      </c>
      <c r="BD14" s="3">
        <f t="shared" si="0"/>
        <v>17899.5</v>
      </c>
      <c r="BE14" s="3">
        <f t="shared" si="0"/>
        <v>18347</v>
      </c>
      <c r="BF14" s="3">
        <f t="shared" si="0"/>
        <v>18347</v>
      </c>
      <c r="BG14" s="3">
        <f t="shared" si="0"/>
        <v>18347</v>
      </c>
      <c r="BH14" s="3">
        <f t="shared" si="0"/>
        <v>18347</v>
      </c>
      <c r="BI14" s="3">
        <f t="shared" si="0"/>
        <v>18347</v>
      </c>
      <c r="BJ14" s="3">
        <f t="shared" si="0"/>
        <v>18347</v>
      </c>
      <c r="BK14" s="3">
        <f t="shared" si="0"/>
        <v>18347</v>
      </c>
      <c r="BL14" s="3">
        <f t="shared" si="0"/>
        <v>18347</v>
      </c>
      <c r="BM14" s="3">
        <f t="shared" si="0"/>
        <v>18347</v>
      </c>
      <c r="BN14" s="3">
        <f t="shared" si="0"/>
        <v>18347</v>
      </c>
      <c r="BO14" s="3">
        <f t="shared" si="0"/>
        <v>18347</v>
      </c>
    </row>
    <row r="15" spans="1:67" x14ac:dyDescent="0.2">
      <c r="A15" s="1"/>
      <c r="B15" s="1"/>
      <c r="C15" s="1"/>
      <c r="D15" s="1"/>
      <c r="AF15" s="315" t="s">
        <v>8</v>
      </c>
      <c r="AG15" s="315"/>
      <c r="AH15" s="315"/>
      <c r="AI15" s="315" t="s">
        <v>91</v>
      </c>
      <c r="AJ15" s="315"/>
      <c r="AK15" s="315"/>
      <c r="AP15" s="315" t="s">
        <v>89</v>
      </c>
      <c r="AQ15" s="315"/>
      <c r="AR15" s="315"/>
      <c r="AS15" s="315" t="s">
        <v>66</v>
      </c>
      <c r="AT15" s="315"/>
      <c r="AU15" s="315"/>
      <c r="AV15" s="315" t="s">
        <v>88</v>
      </c>
      <c r="AW15" s="315"/>
      <c r="AX15" s="315"/>
      <c r="AY15" s="315" t="s">
        <v>90</v>
      </c>
      <c r="AZ15" s="315"/>
      <c r="BA15" s="315"/>
      <c r="BB15" s="315" t="s">
        <v>66</v>
      </c>
      <c r="BC15" s="315"/>
      <c r="BD15" s="315"/>
      <c r="BF15" s="315" t="s">
        <v>67</v>
      </c>
      <c r="BG15" s="315"/>
      <c r="BH15" s="315"/>
      <c r="BJ15" s="315" t="s">
        <v>384</v>
      </c>
      <c r="BK15" s="315"/>
      <c r="BL15" s="315"/>
    </row>
    <row r="16" spans="1:67" x14ac:dyDescent="0.2">
      <c r="A16" s="1" t="s">
        <v>94</v>
      </c>
      <c r="B16" s="1">
        <v>2019</v>
      </c>
      <c r="C16" s="1" t="s">
        <v>92</v>
      </c>
      <c r="D16" s="229">
        <v>597056015</v>
      </c>
      <c r="AF16" s="5">
        <v>2030</v>
      </c>
      <c r="AG16" s="5">
        <v>2040</v>
      </c>
      <c r="AH16" s="5">
        <v>2050</v>
      </c>
      <c r="AI16" s="5">
        <v>2030</v>
      </c>
      <c r="AJ16" s="5">
        <v>2040</v>
      </c>
      <c r="AK16" s="5">
        <v>2050</v>
      </c>
      <c r="AP16" s="5">
        <v>2030</v>
      </c>
      <c r="AQ16" s="5">
        <v>2040</v>
      </c>
      <c r="AR16" s="5">
        <v>2050</v>
      </c>
      <c r="AS16" s="5">
        <v>2030</v>
      </c>
      <c r="AT16" s="5">
        <v>2040</v>
      </c>
      <c r="AU16" s="5">
        <v>2050</v>
      </c>
      <c r="AV16" s="5">
        <v>2030</v>
      </c>
      <c r="AW16" s="5">
        <v>2040</v>
      </c>
      <c r="AX16" s="5">
        <v>2050</v>
      </c>
      <c r="AY16" s="5">
        <v>2030</v>
      </c>
      <c r="AZ16" s="5">
        <v>2040</v>
      </c>
      <c r="BA16" s="5">
        <v>2050</v>
      </c>
      <c r="BB16" s="5">
        <v>2030</v>
      </c>
      <c r="BC16" s="5">
        <v>2040</v>
      </c>
      <c r="BD16" s="5">
        <v>2050</v>
      </c>
      <c r="BF16" s="5">
        <v>2030</v>
      </c>
      <c r="BG16" s="5">
        <v>2040</v>
      </c>
      <c r="BH16" s="5">
        <v>2050</v>
      </c>
      <c r="BJ16" s="5">
        <v>2030</v>
      </c>
      <c r="BK16" s="5">
        <v>2040</v>
      </c>
      <c r="BL16" s="5">
        <v>2050</v>
      </c>
    </row>
    <row r="17" spans="1:64" x14ac:dyDescent="0.2">
      <c r="A17" s="1"/>
      <c r="B17" s="1"/>
      <c r="C17" s="1"/>
      <c r="D17" s="1"/>
      <c r="AE17" s="6" t="s">
        <v>3</v>
      </c>
      <c r="AF17" s="10">
        <f>$AK$10</f>
        <v>1712.5</v>
      </c>
      <c r="AG17" s="10">
        <f>$AU$10-$AK$10</f>
        <v>2320</v>
      </c>
      <c r="AH17" s="10">
        <f>$BE$10-$AU$10</f>
        <v>1865</v>
      </c>
      <c r="AI17" s="10">
        <f>AF17</f>
        <v>1712.5</v>
      </c>
      <c r="AJ17" s="10">
        <f>AG17+AI17</f>
        <v>4032.5</v>
      </c>
      <c r="AK17" s="10">
        <f>AJ17+AH17</f>
        <v>5897.5</v>
      </c>
      <c r="AN17" t="s">
        <v>70</v>
      </c>
      <c r="AO17" s="6" t="s">
        <v>3</v>
      </c>
      <c r="AP17" s="41">
        <f t="shared" ref="AP17:AU17" si="1">SUMPRODUCT(H$30:H$31,$N$30:$N$31)</f>
        <v>160720.53085528177</v>
      </c>
      <c r="AQ17" s="41">
        <f t="shared" si="1"/>
        <v>97518.935410146398</v>
      </c>
      <c r="AR17" s="41">
        <f t="shared" si="1"/>
        <v>85136.239624709939</v>
      </c>
      <c r="AS17" s="41">
        <f t="shared" si="1"/>
        <v>24323.581647837225</v>
      </c>
      <c r="AT17" s="41">
        <f t="shared" si="1"/>
        <v>14758.598512810408</v>
      </c>
      <c r="AU17" s="41">
        <f t="shared" si="1"/>
        <v>12884.590815383144</v>
      </c>
      <c r="AV17" s="41">
        <f t="shared" ref="AV17:AX20" si="2">AF17*AP17</f>
        <v>275233909.08967006</v>
      </c>
      <c r="AW17" s="41">
        <f t="shared" si="2"/>
        <v>226243930.15153965</v>
      </c>
      <c r="AX17" s="41">
        <f t="shared" si="2"/>
        <v>158779086.90008405</v>
      </c>
      <c r="AY17">
        <v>0</v>
      </c>
      <c r="AZ17" s="36">
        <f>AV17</f>
        <v>275233909.08967006</v>
      </c>
      <c r="BA17" s="36">
        <f>AZ17+AX17</f>
        <v>434012995.98975408</v>
      </c>
      <c r="BB17" s="41">
        <f t="shared" ref="BB17:BD20" si="3">AS17*AI17</f>
        <v>41654133.571921252</v>
      </c>
      <c r="BC17" s="41">
        <f t="shared" si="3"/>
        <v>59514048.502907969</v>
      </c>
      <c r="BD17" s="41">
        <f t="shared" si="3"/>
        <v>75986874.3337221</v>
      </c>
      <c r="BE17" s="6" t="s">
        <v>3</v>
      </c>
      <c r="BF17" s="41">
        <f>AV17+AY17+BB17</f>
        <v>316888042.66159129</v>
      </c>
      <c r="BG17" s="41">
        <f t="shared" ref="BG17:BG20" si="4">AW17+AZ17+BC17</f>
        <v>560991887.74411774</v>
      </c>
      <c r="BH17" s="41">
        <f t="shared" ref="BH17:BH20" si="5">AX17+BA17+BD17</f>
        <v>668778957.22356021</v>
      </c>
      <c r="BI17" s="6"/>
    </row>
    <row r="18" spans="1:64" x14ac:dyDescent="0.2">
      <c r="A18" s="1" t="s">
        <v>156</v>
      </c>
      <c r="D18" s="229">
        <f>'Installed TI Project Type'!L4+'Pipeline TI Project Type'!N5+Installed!AK29</f>
        <v>404959210.65936714</v>
      </c>
      <c r="AE18" s="6" t="s">
        <v>4</v>
      </c>
      <c r="AF18" s="10">
        <f>$AK$11</f>
        <v>2242.5</v>
      </c>
      <c r="AG18" s="10">
        <f>$AU$11-$AK$11</f>
        <v>2687.5</v>
      </c>
      <c r="AH18" s="10">
        <f>$BE$11-$AU$11</f>
        <v>1919.5</v>
      </c>
      <c r="AI18" s="10">
        <f t="shared" ref="AI18:AI20" si="6">AF18</f>
        <v>2242.5</v>
      </c>
      <c r="AJ18" s="10">
        <f t="shared" ref="AJ18:AJ20" si="7">AG18+AI18</f>
        <v>4930</v>
      </c>
      <c r="AK18" s="10">
        <f t="shared" ref="AK18:AK20" si="8">AJ18+AH18</f>
        <v>6849.5</v>
      </c>
      <c r="AN18" t="s">
        <v>70</v>
      </c>
      <c r="AO18" s="6" t="s">
        <v>4</v>
      </c>
      <c r="AP18" s="41">
        <f t="shared" ref="AP18:AU18" si="9">SUMPRODUCT(H$32:H$33,$N$32:$N$33)</f>
        <v>97361.175496419557</v>
      </c>
      <c r="AQ18" s="41">
        <f t="shared" si="9"/>
        <v>71656.798903119256</v>
      </c>
      <c r="AR18" s="41">
        <f t="shared" si="9"/>
        <v>62744.386313579729</v>
      </c>
      <c r="AS18" s="41">
        <f t="shared" si="9"/>
        <v>34326.939663665318</v>
      </c>
      <c r="AT18" s="41">
        <f t="shared" si="9"/>
        <v>25264.265759909926</v>
      </c>
      <c r="AU18" s="41">
        <f t="shared" si="9"/>
        <v>22121.988074180208</v>
      </c>
      <c r="AV18" s="41">
        <f t="shared" si="2"/>
        <v>218332436.05072087</v>
      </c>
      <c r="AW18" s="41">
        <f t="shared" si="2"/>
        <v>192577647.05213299</v>
      </c>
      <c r="AX18" s="41">
        <f t="shared" si="2"/>
        <v>120437849.52891628</v>
      </c>
      <c r="AY18">
        <v>0</v>
      </c>
      <c r="AZ18" s="36">
        <f>AV18</f>
        <v>218332436.05072087</v>
      </c>
      <c r="BA18" s="36">
        <f>AZ18+AX18</f>
        <v>338770285.57963717</v>
      </c>
      <c r="BB18" s="41">
        <f t="shared" si="3"/>
        <v>76978162.195769474</v>
      </c>
      <c r="BC18" s="41">
        <f t="shared" si="3"/>
        <v>124552830.19635594</v>
      </c>
      <c r="BD18" s="41">
        <f t="shared" si="3"/>
        <v>151524557.31409734</v>
      </c>
      <c r="BE18" s="6" t="s">
        <v>4</v>
      </c>
      <c r="BF18" s="41">
        <f t="shared" ref="BF18:BF20" si="10">AV18+AY18+BB18</f>
        <v>295310598.24649036</v>
      </c>
      <c r="BG18" s="41">
        <f t="shared" si="4"/>
        <v>535462913.29920983</v>
      </c>
      <c r="BH18" s="41">
        <f t="shared" si="5"/>
        <v>610732692.42265081</v>
      </c>
      <c r="BI18" s="6"/>
    </row>
    <row r="19" spans="1:64" x14ac:dyDescent="0.2">
      <c r="AE19" s="6" t="s">
        <v>5</v>
      </c>
      <c r="AF19" s="10">
        <f>$AK$12</f>
        <v>300</v>
      </c>
      <c r="AG19" s="10">
        <f>$AU$12-$AK$12</f>
        <v>500</v>
      </c>
      <c r="AH19" s="10">
        <f>$BE$12-$AU$12</f>
        <v>750</v>
      </c>
      <c r="AI19" s="10">
        <f t="shared" si="6"/>
        <v>300</v>
      </c>
      <c r="AJ19" s="10">
        <f t="shared" si="7"/>
        <v>800</v>
      </c>
      <c r="AK19" s="10">
        <f t="shared" si="8"/>
        <v>1550</v>
      </c>
      <c r="AN19" t="s">
        <v>70</v>
      </c>
      <c r="AO19" s="6" t="s">
        <v>5</v>
      </c>
      <c r="AP19" s="41">
        <f t="shared" ref="AP19:AU19" si="11">SUMPRODUCT(H$34,$N$34)</f>
        <v>90953.521434795693</v>
      </c>
      <c r="AQ19" s="41">
        <f t="shared" si="11"/>
        <v>69355.968294240185</v>
      </c>
      <c r="AR19" s="41">
        <f t="shared" si="11"/>
        <v>62878.572966205131</v>
      </c>
      <c r="AS19" s="41">
        <f t="shared" si="11"/>
        <v>20957.554711908972</v>
      </c>
      <c r="AT19" s="41">
        <f t="shared" si="11"/>
        <v>15981.035997226287</v>
      </c>
      <c r="AU19" s="41">
        <f t="shared" si="11"/>
        <v>14488.511410640847</v>
      </c>
      <c r="AV19" s="41">
        <f t="shared" si="2"/>
        <v>27286056.430438709</v>
      </c>
      <c r="AW19" s="41">
        <f t="shared" si="2"/>
        <v>34677984.147120096</v>
      </c>
      <c r="AX19" s="41">
        <f t="shared" si="2"/>
        <v>47158929.724653848</v>
      </c>
      <c r="AY19">
        <v>0</v>
      </c>
      <c r="AZ19" s="36">
        <f>AV19</f>
        <v>27286056.430438709</v>
      </c>
      <c r="BA19" s="36">
        <f>AZ19+AX19</f>
        <v>74444986.155092552</v>
      </c>
      <c r="BB19" s="41">
        <f t="shared" si="3"/>
        <v>6287266.4135726914</v>
      </c>
      <c r="BC19" s="41">
        <f t="shared" si="3"/>
        <v>12784828.79778103</v>
      </c>
      <c r="BD19" s="41">
        <f t="shared" si="3"/>
        <v>22457192.686493315</v>
      </c>
      <c r="BE19" s="6" t="s">
        <v>5</v>
      </c>
      <c r="BF19" s="41">
        <f t="shared" si="10"/>
        <v>33573322.844011396</v>
      </c>
      <c r="BG19" s="41">
        <f t="shared" si="4"/>
        <v>74748869.375339836</v>
      </c>
      <c r="BH19" s="41">
        <f t="shared" si="5"/>
        <v>144061108.56623971</v>
      </c>
      <c r="BI19" s="6"/>
    </row>
    <row r="20" spans="1:64" x14ac:dyDescent="0.2">
      <c r="AE20" s="6" t="s">
        <v>6</v>
      </c>
      <c r="AF20" s="10">
        <f>$AK$13</f>
        <v>1050</v>
      </c>
      <c r="AG20" s="10">
        <f>$AU$13-$AK$13</f>
        <v>1500</v>
      </c>
      <c r="AH20" s="10">
        <f>$BE$13-$AU$13</f>
        <v>1500</v>
      </c>
      <c r="AI20" s="10">
        <f t="shared" si="6"/>
        <v>1050</v>
      </c>
      <c r="AJ20" s="10">
        <f t="shared" si="7"/>
        <v>2550</v>
      </c>
      <c r="AK20" s="10">
        <f t="shared" si="8"/>
        <v>4050</v>
      </c>
      <c r="AN20" t="s">
        <v>70</v>
      </c>
      <c r="AO20" s="6" t="s">
        <v>6</v>
      </c>
      <c r="AP20" s="41">
        <f t="shared" ref="AP20:AU20" si="12">SUMPRODUCT(H$35,$N$35)</f>
        <v>98134.630524231747</v>
      </c>
      <c r="AQ20" s="41">
        <f t="shared" si="12"/>
        <v>74831.872541460121</v>
      </c>
      <c r="AR20" s="41">
        <f t="shared" si="12"/>
        <v>67843.063452503557</v>
      </c>
      <c r="AS20" s="41">
        <f t="shared" si="12"/>
        <v>45584.556080690105</v>
      </c>
      <c r="AT20" s="41">
        <f t="shared" si="12"/>
        <v>34760.182743511148</v>
      </c>
      <c r="AU20" s="41">
        <f t="shared" si="12"/>
        <v>31513.80826641856</v>
      </c>
      <c r="AV20" s="41">
        <f t="shared" si="2"/>
        <v>103041362.05044334</v>
      </c>
      <c r="AW20" s="41">
        <f t="shared" si="2"/>
        <v>112247808.81219018</v>
      </c>
      <c r="AX20" s="41">
        <f t="shared" si="2"/>
        <v>101764595.17875533</v>
      </c>
      <c r="AY20">
        <v>0</v>
      </c>
      <c r="AZ20" s="36">
        <f>AV20</f>
        <v>103041362.05044334</v>
      </c>
      <c r="BA20" s="36">
        <f>AZ20+AX20</f>
        <v>204805957.22919866</v>
      </c>
      <c r="BB20" s="41">
        <f t="shared" si="3"/>
        <v>47863783.88472461</v>
      </c>
      <c r="BC20" s="41">
        <f t="shared" si="3"/>
        <v>88638465.995953426</v>
      </c>
      <c r="BD20" s="41">
        <f t="shared" si="3"/>
        <v>127630923.47899517</v>
      </c>
      <c r="BE20" s="6" t="s">
        <v>6</v>
      </c>
      <c r="BF20" s="41">
        <f t="shared" si="10"/>
        <v>150905145.93516794</v>
      </c>
      <c r="BG20" s="41">
        <f t="shared" si="4"/>
        <v>303927636.85858697</v>
      </c>
      <c r="BH20" s="41">
        <f t="shared" si="5"/>
        <v>434201475.88694918</v>
      </c>
      <c r="BI20" s="6"/>
    </row>
    <row r="21" spans="1:64" x14ac:dyDescent="0.2">
      <c r="AE21" s="6" t="s">
        <v>7</v>
      </c>
      <c r="AF21" s="10">
        <f>SUM(AF17:AF20)</f>
        <v>5305</v>
      </c>
      <c r="AG21" s="10">
        <f t="shared" ref="AG21:AK21" si="13">SUM(AG17:AG20)</f>
        <v>7007.5</v>
      </c>
      <c r="AH21" s="10">
        <f t="shared" si="13"/>
        <v>6034.5</v>
      </c>
      <c r="AI21" s="10">
        <f>SUM(AI17:AI20)</f>
        <v>5305</v>
      </c>
      <c r="AJ21" s="10">
        <f t="shared" si="13"/>
        <v>12312.5</v>
      </c>
      <c r="AK21" s="10">
        <f t="shared" si="13"/>
        <v>18347</v>
      </c>
      <c r="BE21" s="293" t="s">
        <v>7</v>
      </c>
      <c r="BF21" s="294">
        <f>SUM(BF17:BF20)</f>
        <v>796677109.68726099</v>
      </c>
      <c r="BG21" s="294">
        <f t="shared" ref="BG21:BH21" si="14">SUM(BG17:BG20)</f>
        <v>1475131307.2772543</v>
      </c>
      <c r="BH21" s="294">
        <f t="shared" si="14"/>
        <v>1857774234.0994</v>
      </c>
      <c r="BJ21" s="41">
        <f>(SUMPRODUCT(AP17:AP20,AF17:AF20)+SUMPRODUCT(AS17:AS20,AF17:AF20))/SUM(AF17:AF20)</f>
        <v>150174.76148675985</v>
      </c>
      <c r="BK21" s="41">
        <f>(SUMPRODUCT(AQ17:AQ20,AG17:AG20)+SUMPRODUCT(AT17:AT20,AG17:AG20))/SUM(AG17:AG20)</f>
        <v>103890.94899127234</v>
      </c>
      <c r="BL21" s="41">
        <f>(SUMPRODUCT(AR17:AR20,AH17:AH20)+SUMPRODUCT(AU17:AU20,AH17:AH20))/SUM(AH17:AH20)</f>
        <v>91601.702754013837</v>
      </c>
    </row>
    <row r="22" spans="1:64" x14ac:dyDescent="0.2">
      <c r="AF22" s="231"/>
      <c r="AP22" s="315" t="s">
        <v>89</v>
      </c>
      <c r="AQ22" s="315"/>
      <c r="AR22" s="315"/>
      <c r="AS22" s="315" t="s">
        <v>66</v>
      </c>
      <c r="AT22" s="315"/>
      <c r="AU22" s="315"/>
      <c r="AV22" s="315" t="s">
        <v>88</v>
      </c>
      <c r="AW22" s="315"/>
      <c r="AX22" s="315"/>
      <c r="AY22" s="315" t="s">
        <v>90</v>
      </c>
      <c r="AZ22" s="315"/>
      <c r="BA22" s="315"/>
      <c r="BB22" s="315" t="s">
        <v>66</v>
      </c>
      <c r="BC22" s="315"/>
      <c r="BD22" s="315"/>
      <c r="BF22" s="315" t="s">
        <v>67</v>
      </c>
      <c r="BG22" s="315"/>
      <c r="BH22" s="315"/>
    </row>
    <row r="23" spans="1:64" x14ac:dyDescent="0.2">
      <c r="AP23" s="5">
        <v>2030</v>
      </c>
      <c r="AQ23" s="5">
        <v>2040</v>
      </c>
      <c r="AR23" s="5">
        <v>2050</v>
      </c>
      <c r="AS23" s="5">
        <v>2030</v>
      </c>
      <c r="AT23" s="5">
        <v>2040</v>
      </c>
      <c r="AU23" s="5">
        <v>2050</v>
      </c>
      <c r="AV23" s="5">
        <v>2030</v>
      </c>
      <c r="AW23" s="5">
        <v>2040</v>
      </c>
      <c r="AX23" s="5">
        <v>2050</v>
      </c>
      <c r="AY23" s="5">
        <v>2030</v>
      </c>
      <c r="AZ23" s="5">
        <v>2040</v>
      </c>
      <c r="BA23" s="5">
        <v>2050</v>
      </c>
      <c r="BB23" s="5">
        <v>2030</v>
      </c>
      <c r="BC23" s="5">
        <v>2040</v>
      </c>
      <c r="BD23" s="5">
        <v>2050</v>
      </c>
      <c r="BF23" s="5">
        <v>2030</v>
      </c>
      <c r="BG23" s="5">
        <v>2040</v>
      </c>
      <c r="BH23" s="5">
        <v>2050</v>
      </c>
    </row>
    <row r="24" spans="1:64" x14ac:dyDescent="0.2">
      <c r="AE24" s="6" t="s">
        <v>3</v>
      </c>
      <c r="AF24" s="10">
        <f>$AK$10</f>
        <v>1712.5</v>
      </c>
      <c r="AG24" s="10">
        <f>$AU$10-$AK$10</f>
        <v>2320</v>
      </c>
      <c r="AH24" s="10">
        <f>$BE$10-$AU$10</f>
        <v>1865</v>
      </c>
      <c r="AI24" s="10">
        <f>AF24</f>
        <v>1712.5</v>
      </c>
      <c r="AJ24" s="10">
        <f>AG24+AI24</f>
        <v>4032.5</v>
      </c>
      <c r="AK24" s="10">
        <f>AJ24+AH24</f>
        <v>5897.5</v>
      </c>
      <c r="AN24" t="s">
        <v>68</v>
      </c>
      <c r="AO24" s="6" t="s">
        <v>3</v>
      </c>
      <c r="AP24" s="41">
        <f t="shared" ref="AP24:AU24" si="15">SUMPRODUCT(H$36:H$37,$N$36:$N$37)</f>
        <v>146303.49162528964</v>
      </c>
      <c r="AQ24" s="41">
        <f t="shared" si="15"/>
        <v>73729.250531039084</v>
      </c>
      <c r="AR24" s="41">
        <f t="shared" si="15"/>
        <v>61780.579904777798</v>
      </c>
      <c r="AS24" s="41">
        <f t="shared" si="15"/>
        <v>22141.694685638569</v>
      </c>
      <c r="AT24" s="41">
        <f t="shared" si="15"/>
        <v>11158.247397405481</v>
      </c>
      <c r="AU24" s="41">
        <f t="shared" si="15"/>
        <v>9349.9254362076426</v>
      </c>
      <c r="AV24" s="41">
        <f t="shared" ref="AV24:AX27" si="16">AF24*AP24</f>
        <v>250544729.40830851</v>
      </c>
      <c r="AW24" s="41">
        <f t="shared" si="16"/>
        <v>171051861.23201066</v>
      </c>
      <c r="AX24" s="41">
        <f t="shared" si="16"/>
        <v>115220781.52241059</v>
      </c>
      <c r="AY24">
        <v>0</v>
      </c>
      <c r="AZ24" s="36">
        <f>AV24</f>
        <v>250544729.40830851</v>
      </c>
      <c r="BA24" s="36">
        <f>AZ24+AX24</f>
        <v>365765510.93071908</v>
      </c>
      <c r="BB24" s="41">
        <f t="shared" ref="BB24:BD27" si="17">AS24*AI24</f>
        <v>37917652.149156049</v>
      </c>
      <c r="BC24" s="41">
        <f t="shared" si="17"/>
        <v>44995632.630037606</v>
      </c>
      <c r="BD24" s="41">
        <f t="shared" si="17"/>
        <v>55141185.260034576</v>
      </c>
      <c r="BE24" s="6" t="s">
        <v>3</v>
      </c>
      <c r="BF24" s="41">
        <f>AV24+AY24+BB24</f>
        <v>288462381.55746454</v>
      </c>
      <c r="BG24" s="41">
        <f t="shared" ref="BG24:BG27" si="18">AW24+AZ24+BC24</f>
        <v>466592223.27035677</v>
      </c>
      <c r="BH24" s="41">
        <f t="shared" ref="BH24:BH27" si="19">AX24+BA24+BD24</f>
        <v>536127477.71316421</v>
      </c>
    </row>
    <row r="25" spans="1:64" x14ac:dyDescent="0.2">
      <c r="AE25" s="6" t="s">
        <v>4</v>
      </c>
      <c r="AF25" s="10">
        <f>$AK$11</f>
        <v>2242.5</v>
      </c>
      <c r="AG25" s="10">
        <f>$AU$11-$AK$11</f>
        <v>2687.5</v>
      </c>
      <c r="AH25" s="10">
        <f>$BE$11-$AU$11</f>
        <v>1919.5</v>
      </c>
      <c r="AI25" s="10">
        <f t="shared" ref="AI25:AI27" si="20">AF25</f>
        <v>2242.5</v>
      </c>
      <c r="AJ25" s="10">
        <f t="shared" ref="AJ25:AJ27" si="21">AG25+AI25</f>
        <v>4930</v>
      </c>
      <c r="AK25" s="10">
        <f t="shared" ref="AK25:AK27" si="22">AJ25+AH25</f>
        <v>6849.5</v>
      </c>
      <c r="AN25" t="s">
        <v>68</v>
      </c>
      <c r="AO25" s="6" t="s">
        <v>4</v>
      </c>
      <c r="AP25" s="41">
        <f t="shared" ref="AP25:AU25" si="23">SUMPRODUCT(H$38:H$39,$N$38:$N$39)</f>
        <v>87116.120160492908</v>
      </c>
      <c r="AQ25" s="41">
        <f t="shared" si="23"/>
        <v>55177.902508467596</v>
      </c>
      <c r="AR25" s="41">
        <f t="shared" si="23"/>
        <v>47349.482340551476</v>
      </c>
      <c r="AS25" s="41">
        <f t="shared" si="23"/>
        <v>30714.807881421188</v>
      </c>
      <c r="AT25" s="41">
        <f t="shared" si="23"/>
        <v>19454.248785702359</v>
      </c>
      <c r="AU25" s="41">
        <f t="shared" si="23"/>
        <v>16694.157759729082</v>
      </c>
      <c r="AV25" s="41">
        <f t="shared" si="16"/>
        <v>195357899.45990536</v>
      </c>
      <c r="AW25" s="41">
        <f t="shared" si="16"/>
        <v>148290612.99150667</v>
      </c>
      <c r="AX25" s="41">
        <f t="shared" si="16"/>
        <v>90887331.352688566</v>
      </c>
      <c r="AY25">
        <v>0</v>
      </c>
      <c r="AZ25" s="36">
        <f>AV25</f>
        <v>195357899.45990536</v>
      </c>
      <c r="BA25" s="36">
        <f>AZ25+AX25</f>
        <v>286245230.81259394</v>
      </c>
      <c r="BB25" s="41">
        <f t="shared" si="17"/>
        <v>68877956.674087018</v>
      </c>
      <c r="BC25" s="41">
        <f t="shared" si="17"/>
        <v>95909446.513512626</v>
      </c>
      <c r="BD25" s="41">
        <f t="shared" si="17"/>
        <v>114346633.57526435</v>
      </c>
      <c r="BE25" s="6" t="s">
        <v>4</v>
      </c>
      <c r="BF25" s="41">
        <f t="shared" ref="BF25:BF27" si="24">AV25+AY25+BB25</f>
        <v>264235856.13399237</v>
      </c>
      <c r="BG25" s="41">
        <f t="shared" si="18"/>
        <v>439557958.96492463</v>
      </c>
      <c r="BH25" s="41">
        <f t="shared" si="19"/>
        <v>491479195.74054682</v>
      </c>
    </row>
    <row r="26" spans="1:64" x14ac:dyDescent="0.2">
      <c r="AE26" s="6" t="s">
        <v>5</v>
      </c>
      <c r="AF26" s="10">
        <f>$AK$12</f>
        <v>300</v>
      </c>
      <c r="AG26" s="10">
        <f>$AU$12-$AK$12</f>
        <v>500</v>
      </c>
      <c r="AH26" s="10">
        <f>$BE$12-$AU$12</f>
        <v>750</v>
      </c>
      <c r="AI26" s="10">
        <f t="shared" si="20"/>
        <v>300</v>
      </c>
      <c r="AJ26" s="10">
        <f t="shared" si="21"/>
        <v>800</v>
      </c>
      <c r="AK26" s="10">
        <f t="shared" si="22"/>
        <v>1550</v>
      </c>
      <c r="AN26" t="s">
        <v>68</v>
      </c>
      <c r="AO26" s="6" t="s">
        <v>5</v>
      </c>
      <c r="AP26" s="41">
        <f t="shared" ref="AP26:AU26" si="25">SUMPRODUCT(H$40,$N$40)</f>
        <v>83543.33211867974</v>
      </c>
      <c r="AQ26" s="41">
        <f t="shared" si="25"/>
        <v>56446.082073278056</v>
      </c>
      <c r="AR26" s="41">
        <f t="shared" si="25"/>
        <v>48951.285483239109</v>
      </c>
      <c r="AS26" s="41">
        <f t="shared" si="25"/>
        <v>19250.09528023169</v>
      </c>
      <c r="AT26" s="41">
        <f t="shared" si="25"/>
        <v>13006.333725865667</v>
      </c>
      <c r="AU26" s="41">
        <f t="shared" si="25"/>
        <v>11279.379044919368</v>
      </c>
      <c r="AV26" s="41">
        <f t="shared" si="16"/>
        <v>25062999.635603923</v>
      </c>
      <c r="AW26" s="41">
        <f t="shared" si="16"/>
        <v>28223041.036639027</v>
      </c>
      <c r="AX26" s="41">
        <f t="shared" si="16"/>
        <v>36713464.112429336</v>
      </c>
      <c r="AY26">
        <v>0</v>
      </c>
      <c r="AZ26" s="36">
        <f>AV26</f>
        <v>25062999.635603923</v>
      </c>
      <c r="BA26" s="36">
        <f>AZ26+AX26</f>
        <v>61776463.748033255</v>
      </c>
      <c r="BB26" s="41">
        <f t="shared" si="17"/>
        <v>5775028.5840695072</v>
      </c>
      <c r="BC26" s="41">
        <f t="shared" si="17"/>
        <v>10405066.980692534</v>
      </c>
      <c r="BD26" s="41">
        <f t="shared" si="17"/>
        <v>17483037.519625019</v>
      </c>
      <c r="BE26" s="6" t="s">
        <v>5</v>
      </c>
      <c r="BF26" s="41">
        <f t="shared" si="24"/>
        <v>30838028.219673432</v>
      </c>
      <c r="BG26" s="41">
        <f t="shared" si="18"/>
        <v>63691107.65293549</v>
      </c>
      <c r="BH26" s="41">
        <f t="shared" si="19"/>
        <v>115972965.38008761</v>
      </c>
    </row>
    <row r="27" spans="1:64" x14ac:dyDescent="0.2">
      <c r="AE27" s="6" t="s">
        <v>6</v>
      </c>
      <c r="AF27" s="10">
        <f>$AK$13</f>
        <v>1050</v>
      </c>
      <c r="AG27" s="10">
        <f>$AU$13-$AK$13</f>
        <v>1500</v>
      </c>
      <c r="AH27" s="10">
        <f>$BE$13-$AU$13</f>
        <v>1500</v>
      </c>
      <c r="AI27" s="10">
        <f t="shared" si="20"/>
        <v>1050</v>
      </c>
      <c r="AJ27" s="10">
        <f t="shared" si="21"/>
        <v>2550</v>
      </c>
      <c r="AK27" s="10">
        <f t="shared" si="22"/>
        <v>4050</v>
      </c>
      <c r="AN27" t="s">
        <v>68</v>
      </c>
      <c r="AO27" s="6" t="s">
        <v>6</v>
      </c>
      <c r="AP27" s="41">
        <f t="shared" ref="AP27:AU27" si="26">SUMPRODUCT(H$41,$N$41)</f>
        <v>90139.379992090733</v>
      </c>
      <c r="AQ27" s="41">
        <f t="shared" si="26"/>
        <v>60902.704166025302</v>
      </c>
      <c r="AR27" s="41">
        <f t="shared" si="26"/>
        <v>52816.16631003892</v>
      </c>
      <c r="AS27" s="41">
        <f t="shared" si="26"/>
        <v>41870.679090328827</v>
      </c>
      <c r="AT27" s="41">
        <f t="shared" si="26"/>
        <v>28289.939226258608</v>
      </c>
      <c r="AU27" s="41">
        <f t="shared" si="26"/>
        <v>24533.658324953198</v>
      </c>
      <c r="AV27" s="41">
        <f t="shared" si="16"/>
        <v>94646348.99169527</v>
      </c>
      <c r="AW27" s="41">
        <f t="shared" si="16"/>
        <v>91354056.249037951</v>
      </c>
      <c r="AX27" s="41">
        <f t="shared" si="16"/>
        <v>79224249.465058386</v>
      </c>
      <c r="AY27">
        <v>0</v>
      </c>
      <c r="AZ27" s="36">
        <f>AV27</f>
        <v>94646348.99169527</v>
      </c>
      <c r="BA27" s="36">
        <f>AZ27+AX27</f>
        <v>173870598.45675367</v>
      </c>
      <c r="BB27" s="41">
        <f t="shared" si="17"/>
        <v>43964213.044845268</v>
      </c>
      <c r="BC27" s="41">
        <f t="shared" si="17"/>
        <v>72139345.026959449</v>
      </c>
      <c r="BD27" s="41">
        <f t="shared" si="17"/>
        <v>99361316.216060445</v>
      </c>
      <c r="BE27" s="6" t="s">
        <v>6</v>
      </c>
      <c r="BF27" s="41">
        <f t="shared" si="24"/>
        <v>138610562.03654054</v>
      </c>
      <c r="BG27" s="41">
        <f t="shared" si="18"/>
        <v>258139750.26769266</v>
      </c>
      <c r="BH27" s="41">
        <f t="shared" si="19"/>
        <v>352456164.13787252</v>
      </c>
    </row>
    <row r="28" spans="1:64" x14ac:dyDescent="0.2">
      <c r="H28">
        <v>2030</v>
      </c>
      <c r="I28">
        <v>2040</v>
      </c>
      <c r="J28">
        <v>2050</v>
      </c>
      <c r="K28">
        <v>2030</v>
      </c>
      <c r="L28">
        <v>2040</v>
      </c>
      <c r="M28">
        <v>2050</v>
      </c>
      <c r="AE28" s="6" t="s">
        <v>7</v>
      </c>
      <c r="AF28" s="10">
        <f>SUM(AF24:AF27)</f>
        <v>5305</v>
      </c>
      <c r="AG28" s="10">
        <f t="shared" ref="AG28:AH28" si="27">SUM(AG24:AG27)</f>
        <v>7007.5</v>
      </c>
      <c r="AH28" s="10">
        <f t="shared" si="27"/>
        <v>6034.5</v>
      </c>
      <c r="AI28" s="10">
        <f>SUM(AI24:AI27)</f>
        <v>5305</v>
      </c>
      <c r="AJ28" s="10">
        <f t="shared" ref="AJ28:AK28" si="28">SUM(AJ24:AJ27)</f>
        <v>12312.5</v>
      </c>
      <c r="AK28" s="10">
        <f t="shared" si="28"/>
        <v>18347</v>
      </c>
      <c r="BE28" s="293" t="s">
        <v>7</v>
      </c>
      <c r="BF28" s="294">
        <f>SUM(BF24:BF27)</f>
        <v>722146827.94767082</v>
      </c>
      <c r="BG28" s="294">
        <f t="shared" ref="BG28:BH28" si="29">SUM(BG24:BG27)</f>
        <v>1227981040.1559095</v>
      </c>
      <c r="BH28" s="294">
        <f t="shared" si="29"/>
        <v>1496035802.9716711</v>
      </c>
      <c r="BJ28" s="41">
        <f>(SUMPRODUCT(AP24:AP27,AF24:AF27)+SUMPRODUCT(AS24:AS27,AF24:AF27))/SUM(AF24:AF27)</f>
        <v>136125.69801087104</v>
      </c>
      <c r="BK28" s="41">
        <f>(SUMPRODUCT(AQ24:AQ27,AG24:AG27)+SUMPRODUCT(AT24:AT27,AG24:AG27))/SUM(AG24:AG27)</f>
        <v>80774.609316456757</v>
      </c>
      <c r="BL28" s="41">
        <f>(SUMPRODUCT(AR24:AR27,AH24:AH27)+SUMPRODUCT(AU24:AU27,AH24:AH27))/SUM(AH24:AH27)</f>
        <v>69067.510975562749</v>
      </c>
    </row>
    <row r="29" spans="1:64" ht="45" x14ac:dyDescent="0.2">
      <c r="A29" s="13" t="s">
        <v>398</v>
      </c>
      <c r="B29" s="14" t="s">
        <v>190</v>
      </c>
      <c r="H29" t="s">
        <v>82</v>
      </c>
      <c r="I29" t="s">
        <v>81</v>
      </c>
      <c r="J29" t="s">
        <v>80</v>
      </c>
      <c r="K29" t="s">
        <v>83</v>
      </c>
      <c r="L29" t="s">
        <v>84</v>
      </c>
      <c r="M29" t="s">
        <v>85</v>
      </c>
      <c r="Q29" s="42"/>
      <c r="AP29" s="315" t="s">
        <v>89</v>
      </c>
      <c r="AQ29" s="315"/>
      <c r="AR29" s="315"/>
      <c r="AS29" s="315" t="s">
        <v>66</v>
      </c>
      <c r="AT29" s="315"/>
      <c r="AU29" s="315"/>
      <c r="AV29" s="315" t="s">
        <v>88</v>
      </c>
      <c r="AW29" s="315"/>
      <c r="AX29" s="315"/>
      <c r="AY29" s="315" t="s">
        <v>90</v>
      </c>
      <c r="AZ29" s="315"/>
      <c r="BA29" s="315"/>
      <c r="BB29" s="315" t="s">
        <v>66</v>
      </c>
      <c r="BC29" s="315"/>
      <c r="BD29" s="315"/>
      <c r="BF29" s="315" t="s">
        <v>67</v>
      </c>
      <c r="BG29" s="315"/>
      <c r="BH29" s="315"/>
    </row>
    <row r="30" spans="1:64" x14ac:dyDescent="0.2">
      <c r="A30" s="41">
        <f>_xlfn.XLOOKUP(NormalCase!$G30,'SAM Assumption'!$A$2:$A$20,'SAM Assumption'!$AF$2:$AF$20)</f>
        <v>240911</v>
      </c>
      <c r="B30" s="36">
        <f>_xlfn.XLOOKUP(NormalCase!$G30,'SAM Assumption'!$A$2:$A$20,'SAM Assumption'!$AE$2:$AE$20)</f>
        <v>37125</v>
      </c>
      <c r="D30" t="str">
        <f>E30&amp;F30</f>
        <v>ResidentialMid RE</v>
      </c>
      <c r="E30" t="s">
        <v>3</v>
      </c>
      <c r="F30" t="s">
        <v>70</v>
      </c>
      <c r="G30" t="s">
        <v>40</v>
      </c>
      <c r="H30" s="311" cm="1">
        <f t="array" ref="H30">$A30*_xlfn.XLOOKUP(H$28,$G$65:$J$65,_xlfn.XLOOKUP($D30,$D$66:$D$74,$G$66:$J$74))</f>
        <v>157840.22567978757</v>
      </c>
      <c r="I30" s="311" cm="1">
        <f t="array" ref="I30">$A30*_xlfn.XLOOKUP(I$28,$G$65:$J$65,_xlfn.XLOOKUP($D30,$D$66:$D$74,$G$66:$J$74))</f>
        <v>95771.278823425411</v>
      </c>
      <c r="J30" s="311" cm="1">
        <f t="array" ref="J30">$A30*_xlfn.XLOOKUP(J$28,$G$65:$J$65,_xlfn.XLOOKUP($D30,$D$66:$D$74,$G$66:$J$74))</f>
        <v>83610.495836357411</v>
      </c>
      <c r="K30" s="311" cm="1">
        <f t="array" ref="K30">$B30*_xlfn.XLOOKUP(K$28,$G$65:$J$65,_xlfn.XLOOKUP($D30,$D$66:$D$74,$G$66:$J$74))</f>
        <v>24323.581647837225</v>
      </c>
      <c r="L30" s="311" cm="1">
        <f t="array" ref="L30">$B30*_xlfn.XLOOKUP(L$28,$G$65:$J$65,_xlfn.XLOOKUP($D30,$D$66:$D$74,$G$66:$J$74))</f>
        <v>14758.598512810408</v>
      </c>
      <c r="M30" s="311" cm="1">
        <f t="array" ref="M30">$B30*_xlfn.XLOOKUP(M$28,$G$65:$J$65,_xlfn.XLOOKUP($D30,$D$66:$D$74,$G$66:$J$74))</f>
        <v>12884.590815383144</v>
      </c>
      <c r="N30">
        <v>0.4</v>
      </c>
      <c r="O30" s="36"/>
      <c r="P30" s="36"/>
      <c r="Q30" s="36"/>
      <c r="AP30" s="5">
        <v>2030</v>
      </c>
      <c r="AQ30" s="5">
        <v>2040</v>
      </c>
      <c r="AR30" s="5">
        <v>2050</v>
      </c>
      <c r="AS30" s="5">
        <v>2030</v>
      </c>
      <c r="AT30" s="5">
        <v>2040</v>
      </c>
      <c r="AU30" s="5">
        <v>2050</v>
      </c>
      <c r="AV30" s="5">
        <v>2030</v>
      </c>
      <c r="AW30" s="5">
        <v>2040</v>
      </c>
      <c r="AX30" s="5">
        <v>2050</v>
      </c>
      <c r="AY30" s="5">
        <v>2030</v>
      </c>
      <c r="AZ30" s="5">
        <v>2040</v>
      </c>
      <c r="BA30" s="5">
        <v>2050</v>
      </c>
      <c r="BB30" s="5">
        <v>2030</v>
      </c>
      <c r="BC30" s="5">
        <v>2040</v>
      </c>
      <c r="BD30" s="5">
        <v>2050</v>
      </c>
      <c r="BF30" s="5">
        <v>2030</v>
      </c>
      <c r="BG30" s="5">
        <v>2040</v>
      </c>
      <c r="BH30" s="5">
        <v>2050</v>
      </c>
    </row>
    <row r="31" spans="1:64" x14ac:dyDescent="0.2">
      <c r="A31" s="41">
        <f>_xlfn.XLOOKUP(NormalCase!$G31,'SAM Assumption'!$A$2:$A$20,'SAM Assumption'!$AF$2:$AF$20)</f>
        <v>248238</v>
      </c>
      <c r="B31" s="36">
        <f>_xlfn.XLOOKUP(NormalCase!$G31,'SAM Assumption'!$A$2:$A$20,'SAM Assumption'!$AE$2:$AE$20)</f>
        <v>37125</v>
      </c>
      <c r="D31" t="str">
        <f t="shared" ref="D31:D47" si="30">E31&amp;F31</f>
        <v>ResidentialMid RE</v>
      </c>
      <c r="E31" t="s">
        <v>3</v>
      </c>
      <c r="F31" t="s">
        <v>70</v>
      </c>
      <c r="G31" t="s">
        <v>41</v>
      </c>
      <c r="H31" s="311" cm="1">
        <f t="array" ref="H31">$A31*_xlfn.XLOOKUP(H$28,$G$65:$J$65,_xlfn.XLOOKUP($D31,$D$66:$D$74,$G$66:$J$74))</f>
        <v>162640.73430561123</v>
      </c>
      <c r="I31" s="311" cm="1">
        <f t="array" ref="I31">$A31*_xlfn.XLOOKUP(I$28,$G$65:$J$65,_xlfn.XLOOKUP($D31,$D$66:$D$74,$G$66:$J$74))</f>
        <v>98684.039801293737</v>
      </c>
      <c r="J31" s="311" cm="1">
        <f t="array" ref="J31">$A31*_xlfn.XLOOKUP(J$28,$G$65:$J$65,_xlfn.XLOOKUP($D31,$D$66:$D$74,$G$66:$J$74))</f>
        <v>86153.402150278271</v>
      </c>
      <c r="K31" s="311" cm="1">
        <f t="array" ref="K31">$B31*_xlfn.XLOOKUP(K$28,$G$65:$J$65,_xlfn.XLOOKUP($D31,$D$66:$D$74,$G$66:$J$74))</f>
        <v>24323.581647837225</v>
      </c>
      <c r="L31" s="311" cm="1">
        <f t="array" ref="L31">$B31*_xlfn.XLOOKUP(L$28,$G$65:$J$65,_xlfn.XLOOKUP($D31,$D$66:$D$74,$G$66:$J$74))</f>
        <v>14758.598512810408</v>
      </c>
      <c r="M31" s="311" cm="1">
        <f t="array" ref="M31">$B31*_xlfn.XLOOKUP(M$28,$G$65:$J$65,_xlfn.XLOOKUP($D31,$D$66:$D$74,$G$66:$J$74))</f>
        <v>12884.590815383144</v>
      </c>
      <c r="N31">
        <v>0.6</v>
      </c>
      <c r="O31" s="36"/>
      <c r="P31" s="36"/>
      <c r="Q31" s="36"/>
      <c r="AE31" s="6" t="s">
        <v>3</v>
      </c>
      <c r="AF31" s="10">
        <f>$AK$10</f>
        <v>1712.5</v>
      </c>
      <c r="AG31" s="10">
        <f>$AU$10-$AK$10</f>
        <v>2320</v>
      </c>
      <c r="AH31" s="10">
        <f>$BE$10-$AU$10</f>
        <v>1865</v>
      </c>
      <c r="AI31" s="10">
        <f>AF31</f>
        <v>1712.5</v>
      </c>
      <c r="AJ31" s="10">
        <f>AG31+AI31</f>
        <v>4032.5</v>
      </c>
      <c r="AK31" s="10">
        <f>AJ31+AH31</f>
        <v>5897.5</v>
      </c>
      <c r="AN31" t="s">
        <v>69</v>
      </c>
      <c r="AO31" s="6" t="s">
        <v>3</v>
      </c>
      <c r="AP31" s="41">
        <f t="shared" ref="AP31:AU31" si="31">SUMPRODUCT(H$42:H$43,$N$42:$N$43)</f>
        <v>227578.97348966563</v>
      </c>
      <c r="AQ31" s="41">
        <f t="shared" si="31"/>
        <v>183884.26182658976</v>
      </c>
      <c r="AR31" s="41">
        <f t="shared" si="31"/>
        <v>125928.09093655403</v>
      </c>
      <c r="AS31" s="41">
        <f t="shared" si="31"/>
        <v>34441.995142432985</v>
      </c>
      <c r="AT31" s="41">
        <f t="shared" si="31"/>
        <v>27829.200367181009</v>
      </c>
      <c r="AU31" s="41">
        <f t="shared" si="31"/>
        <v>19058.064239531363</v>
      </c>
      <c r="AV31" s="41">
        <f t="shared" ref="AV31:AX34" si="32">AF31*AP31</f>
        <v>389728992.1010524</v>
      </c>
      <c r="AW31" s="41">
        <f t="shared" si="32"/>
        <v>426611487.43768823</v>
      </c>
      <c r="AX31" s="41">
        <f t="shared" si="32"/>
        <v>234855889.59667325</v>
      </c>
      <c r="AY31">
        <v>0</v>
      </c>
      <c r="AZ31" s="36">
        <f>AV31</f>
        <v>389728992.1010524</v>
      </c>
      <c r="BA31" s="36">
        <f>AZ31+AX31</f>
        <v>624584881.69772565</v>
      </c>
      <c r="BB31" s="41">
        <f t="shared" ref="BB31:BD34" si="33">AS31*AI31</f>
        <v>58981916.681416489</v>
      </c>
      <c r="BC31" s="41">
        <f t="shared" si="33"/>
        <v>112221250.48065741</v>
      </c>
      <c r="BD31" s="41">
        <f t="shared" si="33"/>
        <v>112394933.8526362</v>
      </c>
      <c r="BE31" s="6" t="s">
        <v>3</v>
      </c>
      <c r="BF31" s="41">
        <f>AV31+AY31+BB31</f>
        <v>448710908.78246891</v>
      </c>
      <c r="BG31" s="41">
        <f t="shared" ref="BG31:BG34" si="34">AW31+AZ31+BC31</f>
        <v>928561730.01939809</v>
      </c>
      <c r="BH31" s="41">
        <f t="shared" ref="BH31:BH34" si="35">AX31+BA31+BD31</f>
        <v>971835705.14703512</v>
      </c>
    </row>
    <row r="32" spans="1:64" x14ac:dyDescent="0.2">
      <c r="A32" s="41">
        <f>_xlfn.XLOOKUP(NormalCase!$G32,'SAM Assumption'!$A$2:$A$20,'SAM Assumption'!$AF$2:$AF$20)</f>
        <v>130428</v>
      </c>
      <c r="B32" s="36">
        <f>_xlfn.XLOOKUP(NormalCase!$G32,'SAM Assumption'!$A$2:$A$20,'SAM Assumption'!$AE$2:$AE$20)</f>
        <v>22571.428571428569</v>
      </c>
      <c r="D32" t="str">
        <f t="shared" si="30"/>
        <v>CommercialMid RE</v>
      </c>
      <c r="E32" t="s">
        <v>4</v>
      </c>
      <c r="F32" t="s">
        <v>70</v>
      </c>
      <c r="G32" t="s">
        <v>26</v>
      </c>
      <c r="H32" s="311" cm="1">
        <f t="array" ref="H32">$A32*_xlfn.XLOOKUP(H$28,$G$65:$J$65,_xlfn.XLOOKUP($D32,$D$66:$D$74,$G$66:$J$74))</f>
        <v>98772.009471061407</v>
      </c>
      <c r="I32" s="311" cm="1">
        <f t="array" ref="I32">$A32*_xlfn.XLOOKUP(I$28,$G$65:$J$65,_xlfn.XLOOKUP($D32,$D$66:$D$74,$G$66:$J$74))</f>
        <v>72695.157837172155</v>
      </c>
      <c r="J32" s="311" cm="1">
        <f t="array" ref="J32">$A32*_xlfn.XLOOKUP(J$28,$G$65:$J$65,_xlfn.XLOOKUP($D32,$D$66:$D$74,$G$66:$J$74))</f>
        <v>63653.597931844415</v>
      </c>
      <c r="K32" s="311" cm="1">
        <f t="array" ref="K32">$B32*_xlfn.XLOOKUP(K$28,$G$65:$J$65,_xlfn.XLOOKUP($D32,$D$66:$D$74,$G$66:$J$74))</f>
        <v>17093.149911311441</v>
      </c>
      <c r="L32" s="311" cm="1">
        <f t="array" ref="L32">$B32*_xlfn.XLOOKUP(L$28,$G$65:$J$65,_xlfn.XLOOKUP($D32,$D$66:$D$74,$G$66:$J$74))</f>
        <v>12580.378159677806</v>
      </c>
      <c r="M32" s="311" cm="1">
        <f t="array" ref="M32">$B32*_xlfn.XLOOKUP(M$28,$G$65:$J$65,_xlfn.XLOOKUP($D32,$D$66:$D$74,$G$66:$J$74))</f>
        <v>11015.67638109194</v>
      </c>
      <c r="N32">
        <v>0.4</v>
      </c>
      <c r="O32" s="36"/>
      <c r="P32" s="36"/>
      <c r="Q32" s="36"/>
      <c r="AE32" s="6" t="s">
        <v>4</v>
      </c>
      <c r="AF32" s="10">
        <f>$AK$11</f>
        <v>2242.5</v>
      </c>
      <c r="AG32" s="10">
        <f>$AU$11-$AK$11</f>
        <v>2687.5</v>
      </c>
      <c r="AH32" s="10">
        <f>$BE$11-$AU$11</f>
        <v>1919.5</v>
      </c>
      <c r="AI32" s="10">
        <f t="shared" ref="AI32:AI34" si="36">AF32</f>
        <v>2242.5</v>
      </c>
      <c r="AJ32" s="10">
        <f t="shared" ref="AJ32:AJ34" si="37">AG32+AI32</f>
        <v>4930</v>
      </c>
      <c r="AK32" s="10">
        <f t="shared" ref="AK32:AK34" si="38">AJ32+AH32</f>
        <v>6849.5</v>
      </c>
      <c r="AN32" t="s">
        <v>69</v>
      </c>
      <c r="AO32" s="6" t="s">
        <v>4</v>
      </c>
      <c r="AP32" s="41">
        <f t="shared" ref="AP32:AU32" si="39">SUMPRODUCT(H$44:H$45,$N$44:$N$45)</f>
        <v>120692.37586078591</v>
      </c>
      <c r="AQ32" s="41">
        <f t="shared" si="39"/>
        <v>104138.46944163667</v>
      </c>
      <c r="AR32" s="41">
        <f t="shared" si="39"/>
        <v>83583.032484655007</v>
      </c>
      <c r="AS32" s="41">
        <f t="shared" si="39"/>
        <v>42552.895267682681</v>
      </c>
      <c r="AT32" s="41">
        <f t="shared" si="39"/>
        <v>36716.431770289972</v>
      </c>
      <c r="AU32" s="41">
        <f t="shared" si="39"/>
        <v>29469.135909441062</v>
      </c>
      <c r="AV32" s="41">
        <f t="shared" si="32"/>
        <v>270652652.8678124</v>
      </c>
      <c r="AW32" s="41">
        <f t="shared" si="32"/>
        <v>279872136.62439853</v>
      </c>
      <c r="AX32" s="41">
        <f t="shared" si="32"/>
        <v>160437630.85429528</v>
      </c>
      <c r="AY32">
        <v>0</v>
      </c>
      <c r="AZ32" s="36">
        <f>AV32</f>
        <v>270652652.8678124</v>
      </c>
      <c r="BA32" s="36">
        <f>AZ32+AX32</f>
        <v>431090283.72210765</v>
      </c>
      <c r="BB32" s="41">
        <f t="shared" si="33"/>
        <v>95424867.637778416</v>
      </c>
      <c r="BC32" s="41">
        <f t="shared" si="33"/>
        <v>181012008.62752956</v>
      </c>
      <c r="BD32" s="41">
        <f t="shared" si="33"/>
        <v>201848846.41171655</v>
      </c>
      <c r="BE32" s="6" t="s">
        <v>4</v>
      </c>
      <c r="BF32" s="41">
        <f t="shared" ref="BF32:BF34" si="40">AV32+AY32+BB32</f>
        <v>366077520.5055908</v>
      </c>
      <c r="BG32" s="41">
        <f t="shared" si="34"/>
        <v>731536798.11974049</v>
      </c>
      <c r="BH32" s="41">
        <f t="shared" si="35"/>
        <v>793376760.98811948</v>
      </c>
    </row>
    <row r="33" spans="1:64" x14ac:dyDescent="0.2">
      <c r="A33" s="41">
        <f>_xlfn.XLOOKUP(NormalCase!$G33,'SAM Assumption'!$A$2:$A$20,'SAM Assumption'!$AF$2:$AF$20)</f>
        <v>127323</v>
      </c>
      <c r="B33" s="36">
        <f>_xlfn.XLOOKUP(NormalCase!$G33,'SAM Assumption'!$A$2:$A$20,'SAM Assumption'!$AE$2:$AE$20)</f>
        <v>60500</v>
      </c>
      <c r="D33" t="str">
        <f t="shared" si="30"/>
        <v>CommercialMid RE</v>
      </c>
      <c r="E33" t="s">
        <v>4</v>
      </c>
      <c r="F33" t="s">
        <v>70</v>
      </c>
      <c r="G33" t="s">
        <v>32</v>
      </c>
      <c r="H33" s="311" cm="1">
        <f t="array" ref="H33">$A33*_xlfn.XLOOKUP(H$28,$G$65:$J$65,_xlfn.XLOOKUP($D33,$D$66:$D$74,$G$66:$J$74))</f>
        <v>96420.619513324986</v>
      </c>
      <c r="I33" s="311" cm="1">
        <f t="array" ref="I33">$A33*_xlfn.XLOOKUP(I$28,$G$65:$J$65,_xlfn.XLOOKUP($D33,$D$66:$D$74,$G$66:$J$74))</f>
        <v>70964.559613750651</v>
      </c>
      <c r="J33" s="311" cm="1">
        <f t="array" ref="J33">$A33*_xlfn.XLOOKUP(J$28,$G$65:$J$65,_xlfn.XLOOKUP($D33,$D$66:$D$74,$G$66:$J$74))</f>
        <v>62138.245234736612</v>
      </c>
      <c r="K33" s="311" cm="1">
        <f t="array" ref="K33">$B33*_xlfn.XLOOKUP(K$28,$G$65:$J$65,_xlfn.XLOOKUP($D33,$D$66:$D$74,$G$66:$J$74))</f>
        <v>45816.132831901239</v>
      </c>
      <c r="L33" s="311" cm="1">
        <f t="array" ref="L33">$B33*_xlfn.XLOOKUP(L$28,$G$65:$J$65,_xlfn.XLOOKUP($D33,$D$66:$D$74,$G$66:$J$74))</f>
        <v>33720.190826731341</v>
      </c>
      <c r="M33" s="311" cm="1">
        <f t="array" ref="M33">$B33*_xlfn.XLOOKUP(M$28,$G$65:$J$65,_xlfn.XLOOKUP($D33,$D$66:$D$74,$G$66:$J$74))</f>
        <v>29526.195869572388</v>
      </c>
      <c r="N33">
        <v>0.6</v>
      </c>
      <c r="O33" s="36"/>
      <c r="P33" s="36"/>
      <c r="Q33" s="36"/>
      <c r="AE33" s="6" t="s">
        <v>5</v>
      </c>
      <c r="AF33" s="10">
        <f>$AK$12</f>
        <v>300</v>
      </c>
      <c r="AG33" s="10">
        <f>$AU$12-$AK$12</f>
        <v>500</v>
      </c>
      <c r="AH33" s="10">
        <f>$BE$12-$AU$12</f>
        <v>750</v>
      </c>
      <c r="AI33" s="10">
        <f t="shared" si="36"/>
        <v>300</v>
      </c>
      <c r="AJ33" s="10">
        <f t="shared" si="37"/>
        <v>800</v>
      </c>
      <c r="AK33" s="10">
        <f t="shared" si="38"/>
        <v>1550</v>
      </c>
      <c r="AN33" t="s">
        <v>69</v>
      </c>
      <c r="AO33" s="6" t="s">
        <v>5</v>
      </c>
      <c r="AP33" s="41">
        <f t="shared" ref="AP33:AU33" si="41">SUMPRODUCT(H$46,$N$46)</f>
        <v>109575.4391864295</v>
      </c>
      <c r="AQ33" s="41">
        <f t="shared" si="41"/>
        <v>94912.029372745674</v>
      </c>
      <c r="AR33" s="41">
        <f t="shared" si="41"/>
        <v>78470.145849163717</v>
      </c>
      <c r="AS33" s="41">
        <f t="shared" si="41"/>
        <v>25248.426070862544</v>
      </c>
      <c r="AT33" s="41">
        <f t="shared" si="41"/>
        <v>21869.676039136382</v>
      </c>
      <c r="AU33" s="41">
        <f t="shared" si="41"/>
        <v>18081.129228891845</v>
      </c>
      <c r="AV33" s="41">
        <f t="shared" si="32"/>
        <v>32872631.755928852</v>
      </c>
      <c r="AW33" s="41">
        <f t="shared" si="32"/>
        <v>47456014.686372839</v>
      </c>
      <c r="AX33" s="41">
        <f t="shared" si="32"/>
        <v>58852609.386872791</v>
      </c>
      <c r="AY33">
        <v>0</v>
      </c>
      <c r="AZ33" s="36">
        <f>AV33</f>
        <v>32872631.755928852</v>
      </c>
      <c r="BA33" s="36">
        <f>AZ33+AX33</f>
        <v>91725241.142801642</v>
      </c>
      <c r="BB33" s="41">
        <f t="shared" si="33"/>
        <v>7574527.8212587629</v>
      </c>
      <c r="BC33" s="41">
        <f t="shared" si="33"/>
        <v>17495740.831309106</v>
      </c>
      <c r="BD33" s="41">
        <f t="shared" si="33"/>
        <v>28025750.304782361</v>
      </c>
      <c r="BE33" s="6" t="s">
        <v>5</v>
      </c>
      <c r="BF33" s="41">
        <f t="shared" si="40"/>
        <v>40447159.577187613</v>
      </c>
      <c r="BG33" s="41">
        <f t="shared" si="34"/>
        <v>97824387.273610801</v>
      </c>
      <c r="BH33" s="41">
        <f t="shared" si="35"/>
        <v>178603600.8344568</v>
      </c>
    </row>
    <row r="34" spans="1:64" x14ac:dyDescent="0.2">
      <c r="A34" s="41">
        <f>_xlfn.XLOOKUP(NormalCase!$G34,'SAM Assumption'!$A$2:$A$20,'SAM Assumption'!$AF$2:$AF$20)</f>
        <v>118006</v>
      </c>
      <c r="B34" s="36">
        <f>_xlfn.XLOOKUP(NormalCase!$G34,'SAM Assumption'!$A$2:$A$20,'SAM Assumption'!$AE$2:$AE$20)</f>
        <v>27191.000000000004</v>
      </c>
      <c r="D34" t="str">
        <f t="shared" si="30"/>
        <v>Grid and CommunityMid RE</v>
      </c>
      <c r="E34" t="s">
        <v>393</v>
      </c>
      <c r="F34" t="s">
        <v>70</v>
      </c>
      <c r="G34" t="s">
        <v>37</v>
      </c>
      <c r="H34" s="311" cm="1">
        <f t="array" ref="H34">$A34*_xlfn.XLOOKUP(H$28,$G$65:$J$65,_xlfn.XLOOKUP($D34,$D$66:$D$74,$G$66:$J$74))</f>
        <v>90953.521434795693</v>
      </c>
      <c r="I34" s="311" cm="1">
        <f t="array" ref="I34">$A34*_xlfn.XLOOKUP(I$28,$G$65:$J$65,_xlfn.XLOOKUP($D34,$D$66:$D$74,$G$66:$J$74))</f>
        <v>69355.968294240185</v>
      </c>
      <c r="J34" s="311" cm="1">
        <f t="array" ref="J34">$A34*_xlfn.XLOOKUP(J$28,$G$65:$J$65,_xlfn.XLOOKUP($D34,$D$66:$D$74,$G$66:$J$74))</f>
        <v>62878.572966205131</v>
      </c>
      <c r="K34" s="311" cm="1">
        <f t="array" ref="K34">$B34*_xlfn.XLOOKUP(K$28,$G$65:$J$65,_xlfn.XLOOKUP($D34,$D$66:$D$74,$G$66:$J$74))</f>
        <v>20957.554711908972</v>
      </c>
      <c r="L34" s="311" cm="1">
        <f t="array" ref="L34">$B34*_xlfn.XLOOKUP(L$28,$G$65:$J$65,_xlfn.XLOOKUP($D34,$D$66:$D$74,$G$66:$J$74))</f>
        <v>15981.035997226287</v>
      </c>
      <c r="M34" s="311" cm="1">
        <f t="array" ref="M34">$B34*_xlfn.XLOOKUP(M$28,$G$65:$J$65,_xlfn.XLOOKUP($D34,$D$66:$D$74,$G$66:$J$74))</f>
        <v>14488.511410640847</v>
      </c>
      <c r="N34">
        <v>1</v>
      </c>
      <c r="O34" s="36"/>
      <c r="P34" s="36"/>
      <c r="Q34" s="36"/>
      <c r="AE34" s="6" t="s">
        <v>6</v>
      </c>
      <c r="AF34" s="10">
        <f>$AK$13</f>
        <v>1050</v>
      </c>
      <c r="AG34" s="10">
        <f>$AU$13-$AK$13</f>
        <v>1500</v>
      </c>
      <c r="AH34" s="10">
        <f>$BE$13-$AU$13</f>
        <v>1500</v>
      </c>
      <c r="AI34" s="10">
        <f t="shared" si="36"/>
        <v>1050</v>
      </c>
      <c r="AJ34" s="10">
        <f t="shared" si="37"/>
        <v>2550</v>
      </c>
      <c r="AK34" s="10">
        <f t="shared" si="38"/>
        <v>4050</v>
      </c>
      <c r="AN34" t="s">
        <v>69</v>
      </c>
      <c r="AO34" s="6" t="s">
        <v>6</v>
      </c>
      <c r="AP34" s="41">
        <f t="shared" ref="AP34:AU34" si="42">SUMPRODUCT(H$47,$N$47)</f>
        <v>118226.81595455964</v>
      </c>
      <c r="AQ34" s="41">
        <f t="shared" si="42"/>
        <v>102405.67696410435</v>
      </c>
      <c r="AR34" s="41">
        <f t="shared" si="42"/>
        <v>84665.647339568095</v>
      </c>
      <c r="AS34" s="41">
        <f t="shared" si="42"/>
        <v>54917.585090324479</v>
      </c>
      <c r="AT34" s="41">
        <f t="shared" si="42"/>
        <v>47568.501553573195</v>
      </c>
      <c r="AU34" s="41">
        <f t="shared" si="42"/>
        <v>39328.073368610523</v>
      </c>
      <c r="AV34" s="41">
        <f t="shared" si="32"/>
        <v>124138156.75228763</v>
      </c>
      <c r="AW34" s="41">
        <f t="shared" si="32"/>
        <v>153608515.44615653</v>
      </c>
      <c r="AX34" s="41">
        <f t="shared" si="32"/>
        <v>126998471.00935215</v>
      </c>
      <c r="AY34">
        <v>0</v>
      </c>
      <c r="AZ34" s="36">
        <f>AV34</f>
        <v>124138156.75228763</v>
      </c>
      <c r="BA34" s="36">
        <f>AZ34+AX34</f>
        <v>251136627.76163977</v>
      </c>
      <c r="BB34" s="41">
        <f t="shared" si="33"/>
        <v>57663464.344840705</v>
      </c>
      <c r="BC34" s="41">
        <f t="shared" si="33"/>
        <v>121299678.96161164</v>
      </c>
      <c r="BD34" s="41">
        <f t="shared" si="33"/>
        <v>159278697.14287263</v>
      </c>
      <c r="BE34" s="6" t="s">
        <v>6</v>
      </c>
      <c r="BF34" s="41">
        <f t="shared" si="40"/>
        <v>181801621.09712833</v>
      </c>
      <c r="BG34" s="41">
        <f t="shared" si="34"/>
        <v>399046351.16005576</v>
      </c>
      <c r="BH34" s="41">
        <f t="shared" si="35"/>
        <v>537413795.91386461</v>
      </c>
    </row>
    <row r="35" spans="1:64" x14ac:dyDescent="0.2">
      <c r="A35" s="41">
        <f>_xlfn.XLOOKUP(NormalCase!$G35,'SAM Assumption'!$A$2:$A$20,'SAM Assumption'!$AF$2:$AF$20)</f>
        <v>127323</v>
      </c>
      <c r="B35" s="36">
        <f>_xlfn.XLOOKUP(NormalCase!$G35,'SAM Assumption'!$A$2:$A$20,'SAM Assumption'!$AE$2:$AE$20)</f>
        <v>59142.857142857138</v>
      </c>
      <c r="D35" t="str">
        <f t="shared" si="30"/>
        <v>Grid and CommunityMid RE</v>
      </c>
      <c r="E35" t="s">
        <v>393</v>
      </c>
      <c r="F35" t="s">
        <v>70</v>
      </c>
      <c r="G35" t="s">
        <v>34</v>
      </c>
      <c r="H35" s="311" cm="1">
        <f t="array" ref="H35">$A35*_xlfn.XLOOKUP(H$28,$G$65:$J$65,_xlfn.XLOOKUP($D35,$D$66:$D$74,$G$66:$J$74))</f>
        <v>98134.630524231747</v>
      </c>
      <c r="I35" s="311" cm="1">
        <f t="array" ref="I35">$A35*_xlfn.XLOOKUP(I$28,$G$65:$J$65,_xlfn.XLOOKUP($D35,$D$66:$D$74,$G$66:$J$74))</f>
        <v>74831.872541460121</v>
      </c>
      <c r="J35" s="311" cm="1">
        <f t="array" ref="J35">$A35*_xlfn.XLOOKUP(J$28,$G$65:$J$65,_xlfn.XLOOKUP($D35,$D$66:$D$74,$G$66:$J$74))</f>
        <v>67843.063452503557</v>
      </c>
      <c r="K35" s="311" cm="1">
        <f t="array" ref="K35">$B35*_xlfn.XLOOKUP(K$28,$G$65:$J$65,_xlfn.XLOOKUP($D35,$D$66:$D$74,$G$66:$J$74))</f>
        <v>45584.556080690105</v>
      </c>
      <c r="L35" s="311" cm="1">
        <f t="array" ref="L35">$B35*_xlfn.XLOOKUP(L$28,$G$65:$J$65,_xlfn.XLOOKUP($D35,$D$66:$D$74,$G$66:$J$74))</f>
        <v>34760.182743511148</v>
      </c>
      <c r="M35" s="311" cm="1">
        <f t="array" ref="M35">$B35*_xlfn.XLOOKUP(M$28,$G$65:$J$65,_xlfn.XLOOKUP($D35,$D$66:$D$74,$G$66:$J$74))</f>
        <v>31513.80826641856</v>
      </c>
      <c r="N35">
        <v>1</v>
      </c>
      <c r="O35" s="36"/>
      <c r="P35" s="36"/>
      <c r="Q35" s="36"/>
      <c r="AE35" s="6" t="s">
        <v>7</v>
      </c>
      <c r="AF35" s="10">
        <f>SUM(AF31:AF34)</f>
        <v>5305</v>
      </c>
      <c r="AG35" s="10">
        <f t="shared" ref="AG35:AH35" si="43">SUM(AG31:AG34)</f>
        <v>7007.5</v>
      </c>
      <c r="AH35" s="10">
        <f t="shared" si="43"/>
        <v>6034.5</v>
      </c>
      <c r="AI35" s="10">
        <f>SUM(AI31:AI34)</f>
        <v>5305</v>
      </c>
      <c r="AJ35" s="10">
        <f t="shared" ref="AJ35:AK35" si="44">SUM(AJ31:AJ34)</f>
        <v>12312.5</v>
      </c>
      <c r="AK35" s="10">
        <f t="shared" si="44"/>
        <v>18347</v>
      </c>
      <c r="BE35" s="293" t="s">
        <v>7</v>
      </c>
      <c r="BF35" s="294">
        <f>SUM(BF31:BF34)</f>
        <v>1037037209.9623756</v>
      </c>
      <c r="BG35" s="294">
        <f t="shared" ref="BG35:BH35" si="45">SUM(BG31:BG34)</f>
        <v>2156969266.5728054</v>
      </c>
      <c r="BH35" s="294">
        <f t="shared" si="45"/>
        <v>2481229862.8834763</v>
      </c>
      <c r="BJ35" s="41">
        <f>(SUMPRODUCT(AP31:AP34,AF31:AF34)+SUMPRODUCT(AS31:AS34,AF31:AF34))/SUM(AF31:AF34)</f>
        <v>195482.98020025931</v>
      </c>
      <c r="BK35" s="41">
        <f>(SUMPRODUCT(AQ31:AQ34,AG31:AG34)+SUMPRODUCT(AT31:AT34,AG31:AG34))/SUM(AG31:AG34)</f>
        <v>164548.68352180641</v>
      </c>
      <c r="BL35" s="41">
        <f>(SUMPRODUCT(AR31:AR34,AH31:AH34)+SUMPRODUCT(AU31:AU34,AH31:AH34))/SUM(AH31:AH34)</f>
        <v>123590.49697682926</v>
      </c>
    </row>
    <row r="36" spans="1:64" x14ac:dyDescent="0.2">
      <c r="A36" s="41">
        <f>_xlfn.XLOOKUP(NormalCase!$G36,'SAM Assumption'!$A$2:$A$20,'SAM Assumption'!$AF$2:$AF$20)</f>
        <v>240911</v>
      </c>
      <c r="B36" s="36">
        <f>_xlfn.XLOOKUP(NormalCase!$G36,'SAM Assumption'!$A$2:$A$20,'SAM Assumption'!$AE$2:$AE$20)</f>
        <v>37125</v>
      </c>
      <c r="D36" t="str">
        <f t="shared" si="30"/>
        <v>ResidentialLow RE</v>
      </c>
      <c r="E36" t="s">
        <v>3</v>
      </c>
      <c r="F36" t="s">
        <v>68</v>
      </c>
      <c r="G36" t="s">
        <v>40</v>
      </c>
      <c r="H36" s="311" cm="1">
        <f t="array" ref="H36">$A36*_xlfn.XLOOKUP(H$28,$G$65:$J$65,_xlfn.XLOOKUP($D36,$D$66:$D$74,$G$66:$J$74))</f>
        <v>143681.55712893934</v>
      </c>
      <c r="I36" s="311" cm="1">
        <f t="array" ref="I36">$A36*_xlfn.XLOOKUP(I$28,$G$65:$J$65,_xlfn.XLOOKUP($D36,$D$66:$D$74,$G$66:$J$74))</f>
        <v>72407.933703874805</v>
      </c>
      <c r="J36" s="311" cm="1">
        <f t="array" ref="J36">$A36*_xlfn.XLOOKUP(J$28,$G$65:$J$65,_xlfn.XLOOKUP($D36,$D$66:$D$74,$G$66:$J$74))</f>
        <v>60673.397623224766</v>
      </c>
      <c r="K36" s="311" cm="1">
        <f t="array" ref="K36">$B36*_xlfn.XLOOKUP(K$28,$G$65:$J$65,_xlfn.XLOOKUP($D36,$D$66:$D$74,$G$66:$J$74))</f>
        <v>22141.694685638569</v>
      </c>
      <c r="L36" s="311" cm="1">
        <f t="array" ref="L36">$B36*_xlfn.XLOOKUP(L$28,$G$65:$J$65,_xlfn.XLOOKUP($D36,$D$66:$D$74,$G$66:$J$74))</f>
        <v>11158.247397405481</v>
      </c>
      <c r="M36" s="311" cm="1">
        <f t="array" ref="M36">$B36*_xlfn.XLOOKUP(M$28,$G$65:$J$65,_xlfn.XLOOKUP($D36,$D$66:$D$74,$G$66:$J$74))</f>
        <v>9349.9254362076426</v>
      </c>
      <c r="N36">
        <v>0.4</v>
      </c>
    </row>
    <row r="37" spans="1:64" x14ac:dyDescent="0.2">
      <c r="A37" s="41">
        <f>_xlfn.XLOOKUP(NormalCase!$G37,'SAM Assumption'!$A$2:$A$20,'SAM Assumption'!$AF$2:$AF$20)</f>
        <v>248238</v>
      </c>
      <c r="B37" s="36">
        <f>_xlfn.XLOOKUP(NormalCase!$G37,'SAM Assumption'!$A$2:$A$20,'SAM Assumption'!$AE$2:$AE$20)</f>
        <v>37125</v>
      </c>
      <c r="D37" t="str">
        <f t="shared" si="30"/>
        <v>ResidentialLow RE</v>
      </c>
      <c r="E37" t="s">
        <v>3</v>
      </c>
      <c r="F37" t="s">
        <v>68</v>
      </c>
      <c r="G37" t="s">
        <v>41</v>
      </c>
      <c r="H37" s="311" cm="1">
        <f t="array" ref="H37">$A37*_xlfn.XLOOKUP(H$28,$G$65:$J$65,_xlfn.XLOOKUP($D37,$D$66:$D$74,$G$66:$J$74))</f>
        <v>148051.44795618983</v>
      </c>
      <c r="I37" s="311" cm="1">
        <f t="array" ref="I37">$A37*_xlfn.XLOOKUP(I$28,$G$65:$J$65,_xlfn.XLOOKUP($D37,$D$66:$D$74,$G$66:$J$74))</f>
        <v>74610.12841581527</v>
      </c>
      <c r="J37" s="311" cm="1">
        <f t="array" ref="J37">$A37*_xlfn.XLOOKUP(J$28,$G$65:$J$65,_xlfn.XLOOKUP($D37,$D$66:$D$74,$G$66:$J$74))</f>
        <v>62518.701425813146</v>
      </c>
      <c r="K37" s="311" cm="1">
        <f t="array" ref="K37">$B37*_xlfn.XLOOKUP(K$28,$G$65:$J$65,_xlfn.XLOOKUP($D37,$D$66:$D$74,$G$66:$J$74))</f>
        <v>22141.694685638569</v>
      </c>
      <c r="L37" s="311" cm="1">
        <f t="array" ref="L37">$B37*_xlfn.XLOOKUP(L$28,$G$65:$J$65,_xlfn.XLOOKUP($D37,$D$66:$D$74,$G$66:$J$74))</f>
        <v>11158.247397405481</v>
      </c>
      <c r="M37" s="311" cm="1">
        <f t="array" ref="M37">$B37*_xlfn.XLOOKUP(M$28,$G$65:$J$65,_xlfn.XLOOKUP($D37,$D$66:$D$74,$G$66:$J$74))</f>
        <v>9349.9254362076426</v>
      </c>
      <c r="N37">
        <v>0.6</v>
      </c>
    </row>
    <row r="38" spans="1:64" x14ac:dyDescent="0.2">
      <c r="A38" s="41">
        <f>_xlfn.XLOOKUP(NormalCase!$G38,'SAM Assumption'!$A$2:$A$20,'SAM Assumption'!$AF$2:$AF$20)</f>
        <v>130428</v>
      </c>
      <c r="B38" s="36">
        <f>_xlfn.XLOOKUP(NormalCase!$G38,'SAM Assumption'!$A$2:$A$20,'SAM Assumption'!$AE$2:$AE$20)</f>
        <v>22571.428571428569</v>
      </c>
      <c r="D38" t="str">
        <f t="shared" si="30"/>
        <v>CommercialLow RE</v>
      </c>
      <c r="E38" t="s">
        <v>4</v>
      </c>
      <c r="F38" t="s">
        <v>68</v>
      </c>
      <c r="G38" t="s">
        <v>26</v>
      </c>
      <c r="H38" s="311" cm="1">
        <f t="array" ref="H38">$A38*_xlfn.XLOOKUP(H$28,$G$65:$J$65,_xlfn.XLOOKUP($D38,$D$66:$D$74,$G$66:$J$74))</f>
        <v>88378.495860403447</v>
      </c>
      <c r="I38" s="311" cm="1">
        <f t="array" ref="I38">$A38*_xlfn.XLOOKUP(I$28,$G$65:$J$65,_xlfn.XLOOKUP($D38,$D$66:$D$74,$G$66:$J$74))</f>
        <v>55977.470294204577</v>
      </c>
      <c r="J38" s="311" cm="1">
        <f t="array" ref="J38">$A38*_xlfn.XLOOKUP(J$28,$G$65:$J$65,_xlfn.XLOOKUP($D38,$D$66:$D$74,$G$66:$J$74))</f>
        <v>48035.610646081346</v>
      </c>
      <c r="K38" s="311" cm="1">
        <f t="array" ref="K38">$B38*_xlfn.XLOOKUP(K$28,$G$65:$J$65,_xlfn.XLOOKUP($D38,$D$66:$D$74,$G$66:$J$74))</f>
        <v>15294.483596799706</v>
      </c>
      <c r="L38" s="311" cm="1">
        <f t="array" ref="L38">$B38*_xlfn.XLOOKUP(L$28,$G$65:$J$65,_xlfn.XLOOKUP($D38,$D$66:$D$74,$G$66:$J$74))</f>
        <v>9687.2716928489517</v>
      </c>
      <c r="M38" s="311" cm="1">
        <f t="array" ref="M38">$B38*_xlfn.XLOOKUP(M$28,$G$65:$J$65,_xlfn.XLOOKUP($D38,$D$66:$D$74,$G$66:$J$74))</f>
        <v>8312.8803215795597</v>
      </c>
      <c r="N38">
        <v>0.4</v>
      </c>
    </row>
    <row r="39" spans="1:64" x14ac:dyDescent="0.2">
      <c r="A39" s="41">
        <f>_xlfn.XLOOKUP(NormalCase!$G39,'SAM Assumption'!$A$2:$A$20,'SAM Assumption'!$AF$2:$AF$20)</f>
        <v>127323</v>
      </c>
      <c r="B39" s="36">
        <f>_xlfn.XLOOKUP(NormalCase!$G39,'SAM Assumption'!$A$2:$A$20,'SAM Assumption'!$AE$2:$AE$20)</f>
        <v>60500</v>
      </c>
      <c r="D39" t="str">
        <f t="shared" si="30"/>
        <v>CommercialLow RE</v>
      </c>
      <c r="E39" t="s">
        <v>4</v>
      </c>
      <c r="F39" t="s">
        <v>68</v>
      </c>
      <c r="G39" t="s">
        <v>32</v>
      </c>
      <c r="H39" s="311" cm="1">
        <f t="array" ref="H39">$A39*_xlfn.XLOOKUP(H$28,$G$65:$J$65,_xlfn.XLOOKUP($D39,$D$66:$D$74,$G$66:$J$74))</f>
        <v>86274.536360552549</v>
      </c>
      <c r="I39" s="311" cm="1">
        <f t="array" ref="I39">$A39*_xlfn.XLOOKUP(I$28,$G$65:$J$65,_xlfn.XLOOKUP($D39,$D$66:$D$74,$G$66:$J$74))</f>
        <v>54644.857317976275</v>
      </c>
      <c r="J39" s="311" cm="1">
        <f t="array" ref="J39">$A39*_xlfn.XLOOKUP(J$28,$G$65:$J$65,_xlfn.XLOOKUP($D39,$D$66:$D$74,$G$66:$J$74))</f>
        <v>46892.063470198234</v>
      </c>
      <c r="K39" s="311" cm="1">
        <f t="array" ref="K39">$B39*_xlfn.XLOOKUP(K$28,$G$65:$J$65,_xlfn.XLOOKUP($D39,$D$66:$D$74,$G$66:$J$74))</f>
        <v>40995.024071168838</v>
      </c>
      <c r="L39" s="311" cm="1">
        <f t="array" ref="L39">$B39*_xlfn.XLOOKUP(L$28,$G$65:$J$65,_xlfn.XLOOKUP($D39,$D$66:$D$74,$G$66:$J$74))</f>
        <v>25965.56684760463</v>
      </c>
      <c r="M39" s="311" cm="1">
        <f t="array" ref="M39">$B39*_xlfn.XLOOKUP(M$28,$G$65:$J$65,_xlfn.XLOOKUP($D39,$D$66:$D$74,$G$66:$J$74))</f>
        <v>22281.676051828759</v>
      </c>
      <c r="N39">
        <v>0.6</v>
      </c>
    </row>
    <row r="40" spans="1:64" x14ac:dyDescent="0.2">
      <c r="A40" s="41">
        <f>_xlfn.XLOOKUP(NormalCase!$G40,'SAM Assumption'!$A$2:$A$20,'SAM Assumption'!$AF$2:$AF$20)</f>
        <v>118006</v>
      </c>
      <c r="B40" s="36">
        <f>_xlfn.XLOOKUP(NormalCase!$G40,'SAM Assumption'!$A$2:$A$20,'SAM Assumption'!$AE$2:$AE$20)</f>
        <v>27191.000000000004</v>
      </c>
      <c r="D40" t="str">
        <f t="shared" si="30"/>
        <v>Grid and CommunityLow RE</v>
      </c>
      <c r="E40" t="s">
        <v>393</v>
      </c>
      <c r="F40" t="s">
        <v>68</v>
      </c>
      <c r="G40" t="s">
        <v>37</v>
      </c>
      <c r="H40" s="311" cm="1">
        <f t="array" ref="H40">$A40*_xlfn.XLOOKUP(H$28,$G$65:$J$65,_xlfn.XLOOKUP($D40,$D$66:$D$74,$G$66:$J$74))</f>
        <v>83543.33211867974</v>
      </c>
      <c r="I40" s="311" cm="1">
        <f t="array" ref="I40">$A40*_xlfn.XLOOKUP(I$28,$G$65:$J$65,_xlfn.XLOOKUP($D40,$D$66:$D$74,$G$66:$J$74))</f>
        <v>56446.082073278056</v>
      </c>
      <c r="J40" s="311" cm="1">
        <f t="array" ref="J40">$A40*_xlfn.XLOOKUP(J$28,$G$65:$J$65,_xlfn.XLOOKUP($D40,$D$66:$D$74,$G$66:$J$74))</f>
        <v>48951.285483239109</v>
      </c>
      <c r="K40" s="311" cm="1">
        <f t="array" ref="K40">$B40*_xlfn.XLOOKUP(K$28,$G$65:$J$65,_xlfn.XLOOKUP($D40,$D$66:$D$74,$G$66:$J$74))</f>
        <v>19250.09528023169</v>
      </c>
      <c r="L40" s="311" cm="1">
        <f t="array" ref="L40">$B40*_xlfn.XLOOKUP(L$28,$G$65:$J$65,_xlfn.XLOOKUP($D40,$D$66:$D$74,$G$66:$J$74))</f>
        <v>13006.333725865667</v>
      </c>
      <c r="M40" s="311" cm="1">
        <f t="array" ref="M40">$B40*_xlfn.XLOOKUP(M$28,$G$65:$J$65,_xlfn.XLOOKUP($D40,$D$66:$D$74,$G$66:$J$74))</f>
        <v>11279.379044919368</v>
      </c>
      <c r="N40">
        <v>1</v>
      </c>
    </row>
    <row r="41" spans="1:64" x14ac:dyDescent="0.2">
      <c r="A41" s="41">
        <f>_xlfn.XLOOKUP(NormalCase!$G41,'SAM Assumption'!$A$2:$A$20,'SAM Assumption'!$AF$2:$AF$20)</f>
        <v>127323</v>
      </c>
      <c r="B41" s="36">
        <f>_xlfn.XLOOKUP(NormalCase!$G41,'SAM Assumption'!$A$2:$A$20,'SAM Assumption'!$AE$2:$AE$20)</f>
        <v>59142.857142857138</v>
      </c>
      <c r="D41" t="str">
        <f t="shared" si="30"/>
        <v>Grid and CommunityLow RE</v>
      </c>
      <c r="E41" t="s">
        <v>393</v>
      </c>
      <c r="F41" t="s">
        <v>68</v>
      </c>
      <c r="G41" t="s">
        <v>34</v>
      </c>
      <c r="H41" s="311" cm="1">
        <f t="array" ref="H41">$A41*_xlfn.XLOOKUP(H$28,$G$65:$J$65,_xlfn.XLOOKUP($D41,$D$66:$D$74,$G$66:$J$74))</f>
        <v>90139.379992090733</v>
      </c>
      <c r="I41" s="311" cm="1">
        <f t="array" ref="I41">$A41*_xlfn.XLOOKUP(I$28,$G$65:$J$65,_xlfn.XLOOKUP($D41,$D$66:$D$74,$G$66:$J$74))</f>
        <v>60902.704166025302</v>
      </c>
      <c r="J41" s="311" cm="1">
        <f t="array" ref="J41">$A41*_xlfn.XLOOKUP(J$28,$G$65:$J$65,_xlfn.XLOOKUP($D41,$D$66:$D$74,$G$66:$J$74))</f>
        <v>52816.16631003892</v>
      </c>
      <c r="K41" s="311" cm="1">
        <f t="array" ref="K41">$B41*_xlfn.XLOOKUP(K$28,$G$65:$J$65,_xlfn.XLOOKUP($D41,$D$66:$D$74,$G$66:$J$74))</f>
        <v>41870.679090328827</v>
      </c>
      <c r="L41" s="311" cm="1">
        <f t="array" ref="L41">$B41*_xlfn.XLOOKUP(L$28,$G$65:$J$65,_xlfn.XLOOKUP($D41,$D$66:$D$74,$G$66:$J$74))</f>
        <v>28289.939226258608</v>
      </c>
      <c r="M41" s="311" cm="1">
        <f t="array" ref="M41">$B41*_xlfn.XLOOKUP(M$28,$G$65:$J$65,_xlfn.XLOOKUP($D41,$D$66:$D$74,$G$66:$J$74))</f>
        <v>24533.658324953198</v>
      </c>
      <c r="N41">
        <v>1</v>
      </c>
    </row>
    <row r="42" spans="1:64" x14ac:dyDescent="0.2">
      <c r="A42" s="41">
        <f>_xlfn.XLOOKUP(NormalCase!$G42,'SAM Assumption'!$A$2:$A$20,'SAM Assumption'!$AF$2:$AF$20)</f>
        <v>240911</v>
      </c>
      <c r="B42" s="36">
        <f>_xlfn.XLOOKUP(NormalCase!$G42,'SAM Assumption'!$A$2:$A$20,'SAM Assumption'!$AE$2:$AE$20)</f>
        <v>37125</v>
      </c>
      <c r="D42" t="str">
        <f t="shared" si="30"/>
        <v>ResidentialHigh RE</v>
      </c>
      <c r="E42" t="s">
        <v>3</v>
      </c>
      <c r="F42" t="s">
        <v>69</v>
      </c>
      <c r="G42" t="s">
        <v>40</v>
      </c>
      <c r="H42" s="311" cm="1">
        <f t="array" ref="H42">$A42*_xlfn.XLOOKUP(H$28,$G$65:$J$65,_xlfn.XLOOKUP($D42,$D$66:$D$74,$G$66:$J$74))</f>
        <v>223500.48462649624</v>
      </c>
      <c r="I42" s="311" cm="1">
        <f t="array" ref="I42">$A42*_xlfn.XLOOKUP(I$28,$G$65:$J$65,_xlfn.XLOOKUP($D42,$D$66:$D$74,$G$66:$J$74))</f>
        <v>180588.83473826112</v>
      </c>
      <c r="J42" s="311" cm="1">
        <f t="array" ref="J42">$A42*_xlfn.XLOOKUP(J$28,$G$65:$J$65,_xlfn.XLOOKUP($D42,$D$66:$D$74,$G$66:$J$74))</f>
        <v>123671.30812147449</v>
      </c>
      <c r="K42" s="311" cm="1">
        <f t="array" ref="K42">$B42*_xlfn.XLOOKUP(K$28,$G$65:$J$65,_xlfn.XLOOKUP($D42,$D$66:$D$74,$G$66:$J$74))</f>
        <v>34441.995142432985</v>
      </c>
      <c r="L42" s="311" cm="1">
        <f t="array" ref="L42">$B42*_xlfn.XLOOKUP(L$28,$G$65:$J$65,_xlfn.XLOOKUP($D42,$D$66:$D$74,$G$66:$J$74))</f>
        <v>27829.200367181009</v>
      </c>
      <c r="M42" s="311" cm="1">
        <f t="array" ref="M42">$B42*_xlfn.XLOOKUP(M$28,$G$65:$J$65,_xlfn.XLOOKUP($D42,$D$66:$D$74,$G$66:$J$74))</f>
        <v>19058.064239531363</v>
      </c>
      <c r="N42">
        <v>0.4</v>
      </c>
    </row>
    <row r="43" spans="1:64" x14ac:dyDescent="0.2">
      <c r="A43" s="41">
        <f>_xlfn.XLOOKUP(NormalCase!$G43,'SAM Assumption'!$A$2:$A$20,'SAM Assumption'!$AF$2:$AF$20)</f>
        <v>248238</v>
      </c>
      <c r="B43" s="36">
        <f>_xlfn.XLOOKUP(NormalCase!$G43,'SAM Assumption'!$A$2:$A$20,'SAM Assumption'!$AE$2:$AE$20)</f>
        <v>37125</v>
      </c>
      <c r="D43" t="str">
        <f t="shared" si="30"/>
        <v>ResidentialHigh RE</v>
      </c>
      <c r="E43" t="s">
        <v>3</v>
      </c>
      <c r="F43" t="s">
        <v>69</v>
      </c>
      <c r="G43" t="s">
        <v>41</v>
      </c>
      <c r="H43" s="311" cm="1">
        <f t="array" ref="H43">$A43*_xlfn.XLOOKUP(H$28,$G$65:$J$65,_xlfn.XLOOKUP($D43,$D$66:$D$74,$G$66:$J$74))</f>
        <v>230297.96606511189</v>
      </c>
      <c r="I43" s="311" cm="1">
        <f t="array" ref="I43">$A43*_xlfn.XLOOKUP(I$28,$G$65:$J$65,_xlfn.XLOOKUP($D43,$D$66:$D$74,$G$66:$J$74))</f>
        <v>186081.21321880887</v>
      </c>
      <c r="J43" s="311" cm="1">
        <f t="array" ref="J43">$A43*_xlfn.XLOOKUP(J$28,$G$65:$J$65,_xlfn.XLOOKUP($D43,$D$66:$D$74,$G$66:$J$74))</f>
        <v>127432.61281327372</v>
      </c>
      <c r="K43" s="311" cm="1">
        <f t="array" ref="K43">$B43*_xlfn.XLOOKUP(K$28,$G$65:$J$65,_xlfn.XLOOKUP($D43,$D$66:$D$74,$G$66:$J$74))</f>
        <v>34441.995142432985</v>
      </c>
      <c r="L43" s="311" cm="1">
        <f t="array" ref="L43">$B43*_xlfn.XLOOKUP(L$28,$G$65:$J$65,_xlfn.XLOOKUP($D43,$D$66:$D$74,$G$66:$J$74))</f>
        <v>27829.200367181009</v>
      </c>
      <c r="M43" s="311" cm="1">
        <f t="array" ref="M43">$B43*_xlfn.XLOOKUP(M$28,$G$65:$J$65,_xlfn.XLOOKUP($D43,$D$66:$D$74,$G$66:$J$74))</f>
        <v>19058.064239531363</v>
      </c>
      <c r="N43">
        <v>0.6</v>
      </c>
    </row>
    <row r="44" spans="1:64" x14ac:dyDescent="0.2">
      <c r="A44" s="41">
        <f>_xlfn.XLOOKUP(NormalCase!$G44,'SAM Assumption'!$A$2:$A$20,'SAM Assumption'!$AF$2:$AF$20)</f>
        <v>130428</v>
      </c>
      <c r="B44" s="36">
        <f>_xlfn.XLOOKUP(NormalCase!$G44,'SAM Assumption'!$A$2:$A$20,'SAM Assumption'!$AE$2:$AE$20)</f>
        <v>22571.428571428569</v>
      </c>
      <c r="D44" t="str">
        <f t="shared" si="30"/>
        <v>CommercialHigh RE</v>
      </c>
      <c r="E44" t="s">
        <v>4</v>
      </c>
      <c r="F44" t="s">
        <v>69</v>
      </c>
      <c r="G44" t="s">
        <v>26</v>
      </c>
      <c r="H44" s="311" cm="1">
        <f t="array" ref="H44">$A44*_xlfn.XLOOKUP(H$28,$G$65:$J$65,_xlfn.XLOOKUP($D44,$D$66:$D$74,$G$66:$J$74))</f>
        <v>122441.2958330073</v>
      </c>
      <c r="I44" s="311" cm="1">
        <f t="array" ref="I44">$A44*_xlfn.XLOOKUP(I$28,$G$65:$J$65,_xlfn.XLOOKUP($D44,$D$66:$D$74,$G$66:$J$74))</f>
        <v>105647.51131593969</v>
      </c>
      <c r="J44" s="311" cm="1">
        <f t="array" ref="J44">$A44*_xlfn.XLOOKUP(J$28,$G$65:$J$65,_xlfn.XLOOKUP($D44,$D$66:$D$74,$G$66:$J$74))</f>
        <v>84794.211184292639</v>
      </c>
      <c r="K44" s="311" cm="1">
        <f t="array" ref="K44">$B44*_xlfn.XLOOKUP(K$28,$G$65:$J$65,_xlfn.XLOOKUP($D44,$D$66:$D$74,$G$66:$J$74))</f>
        <v>21189.276559388156</v>
      </c>
      <c r="L44" s="311" cm="1">
        <f t="array" ref="L44">$B44*_xlfn.XLOOKUP(L$28,$G$65:$J$65,_xlfn.XLOOKUP($D44,$D$66:$D$74,$G$66:$J$74))</f>
        <v>18283.001007582145</v>
      </c>
      <c r="M44" s="311" cm="1">
        <f t="array" ref="M44">$B44*_xlfn.XLOOKUP(M$28,$G$65:$J$65,_xlfn.XLOOKUP($D44,$D$66:$D$74,$G$66:$J$74))</f>
        <v>14674.199412832295</v>
      </c>
      <c r="N44">
        <v>0.4</v>
      </c>
    </row>
    <row r="45" spans="1:64" x14ac:dyDescent="0.2">
      <c r="A45" s="41">
        <f>_xlfn.XLOOKUP(NormalCase!$G45,'SAM Assumption'!$A$2:$A$20,'SAM Assumption'!$AF$2:$AF$20)</f>
        <v>127323</v>
      </c>
      <c r="B45" s="36">
        <f>_xlfn.XLOOKUP(NormalCase!$G45,'SAM Assumption'!$A$2:$A$20,'SAM Assumption'!$AE$2:$AE$20)</f>
        <v>60500</v>
      </c>
      <c r="D45" t="str">
        <f t="shared" si="30"/>
        <v>CommercialHigh RE</v>
      </c>
      <c r="E45" t="s">
        <v>4</v>
      </c>
      <c r="F45" t="s">
        <v>69</v>
      </c>
      <c r="G45" t="s">
        <v>32</v>
      </c>
      <c r="H45" s="311" cm="1">
        <f t="array" ref="H45">$A45*_xlfn.XLOOKUP(H$28,$G$65:$J$65,_xlfn.XLOOKUP($D45,$D$66:$D$74,$G$66:$J$74))</f>
        <v>119526.42921263829</v>
      </c>
      <c r="I45" s="311" cm="1">
        <f t="array" ref="I45">$A45*_xlfn.XLOOKUP(I$28,$G$65:$J$65,_xlfn.XLOOKUP($D45,$D$66:$D$74,$G$66:$J$74))</f>
        <v>103132.44152543464</v>
      </c>
      <c r="J45" s="311" cm="1">
        <f t="array" ref="J45">$A45*_xlfn.XLOOKUP(J$28,$G$65:$J$65,_xlfn.XLOOKUP($D45,$D$66:$D$74,$G$66:$J$74))</f>
        <v>82775.580018229914</v>
      </c>
      <c r="K45" s="311" cm="1">
        <f t="array" ref="K45">$B45*_xlfn.XLOOKUP(K$28,$G$65:$J$65,_xlfn.XLOOKUP($D45,$D$66:$D$74,$G$66:$J$74))</f>
        <v>56795.307739879026</v>
      </c>
      <c r="L45" s="311" cm="1">
        <f t="array" ref="L45">$B45*_xlfn.XLOOKUP(L$28,$G$65:$J$65,_xlfn.XLOOKUP($D45,$D$66:$D$74,$G$66:$J$74))</f>
        <v>49005.38561209519</v>
      </c>
      <c r="M45" s="311" cm="1">
        <f t="array" ref="M45">$B45*_xlfn.XLOOKUP(M$28,$G$65:$J$65,_xlfn.XLOOKUP($D45,$D$66:$D$74,$G$66:$J$74))</f>
        <v>39332.426907180241</v>
      </c>
      <c r="N45">
        <v>0.6</v>
      </c>
    </row>
    <row r="46" spans="1:64" x14ac:dyDescent="0.2">
      <c r="A46" s="41">
        <f>_xlfn.XLOOKUP(NormalCase!$G46,'SAM Assumption'!$A$2:$A$20,'SAM Assumption'!$AF$2:$AF$20)</f>
        <v>118006</v>
      </c>
      <c r="B46" s="36">
        <f>_xlfn.XLOOKUP(NormalCase!$G46,'SAM Assumption'!$A$2:$A$20,'SAM Assumption'!$AE$2:$AE$20)</f>
        <v>27191.000000000004</v>
      </c>
      <c r="D46" t="str">
        <f t="shared" si="30"/>
        <v>Grid and CommunityHigh RE</v>
      </c>
      <c r="E46" t="s">
        <v>393</v>
      </c>
      <c r="F46" t="s">
        <v>69</v>
      </c>
      <c r="G46" t="s">
        <v>37</v>
      </c>
      <c r="H46" s="311" cm="1">
        <f t="array" ref="H46">$A46*_xlfn.XLOOKUP(H$28,$G$65:$J$65,_xlfn.XLOOKUP($D46,$D$66:$D$74,$G$66:$J$74))</f>
        <v>109575.4391864295</v>
      </c>
      <c r="I46" s="311" cm="1">
        <f t="array" ref="I46">$A46*_xlfn.XLOOKUP(I$28,$G$65:$J$65,_xlfn.XLOOKUP($D46,$D$66:$D$74,$G$66:$J$74))</f>
        <v>94912.029372745674</v>
      </c>
      <c r="J46" s="311" cm="1">
        <f t="array" ref="J46">$A46*_xlfn.XLOOKUP(J$28,$G$65:$J$65,_xlfn.XLOOKUP($D46,$D$66:$D$74,$G$66:$J$74))</f>
        <v>78470.145849163717</v>
      </c>
      <c r="K46" s="311" cm="1">
        <f t="array" ref="K46">$B46*_xlfn.XLOOKUP(K$28,$G$65:$J$65,_xlfn.XLOOKUP($D46,$D$66:$D$74,$G$66:$J$74))</f>
        <v>25248.426070862544</v>
      </c>
      <c r="L46" s="311" cm="1">
        <f t="array" ref="L46">$B46*_xlfn.XLOOKUP(L$28,$G$65:$J$65,_xlfn.XLOOKUP($D46,$D$66:$D$74,$G$66:$J$74))</f>
        <v>21869.676039136382</v>
      </c>
      <c r="M46" s="311" cm="1">
        <f t="array" ref="M46">$B46*_xlfn.XLOOKUP(M$28,$G$65:$J$65,_xlfn.XLOOKUP($D46,$D$66:$D$74,$G$66:$J$74))</f>
        <v>18081.129228891845</v>
      </c>
      <c r="N46">
        <v>1</v>
      </c>
      <c r="BG46" s="44"/>
      <c r="BH46" s="44"/>
      <c r="BI46" s="44"/>
      <c r="BJ46" s="44"/>
      <c r="BK46" s="44"/>
      <c r="BL46" s="44"/>
    </row>
    <row r="47" spans="1:64" x14ac:dyDescent="0.2">
      <c r="A47" s="41">
        <f>_xlfn.XLOOKUP(NormalCase!$G47,'SAM Assumption'!$A$2:$A$20,'SAM Assumption'!$AF$2:$AF$20)</f>
        <v>127323</v>
      </c>
      <c r="B47" s="36">
        <f>_xlfn.XLOOKUP(NormalCase!$G47,'SAM Assumption'!$A$2:$A$20,'SAM Assumption'!$AE$2:$AE$20)</f>
        <v>59142.857142857138</v>
      </c>
      <c r="D47" t="str">
        <f t="shared" si="30"/>
        <v>Grid and CommunityHigh RE</v>
      </c>
      <c r="E47" t="s">
        <v>393</v>
      </c>
      <c r="F47" t="s">
        <v>69</v>
      </c>
      <c r="G47" t="s">
        <v>34</v>
      </c>
      <c r="H47" s="311" cm="1">
        <f t="array" ref="H47">$A47*_xlfn.XLOOKUP(H$28,$G$65:$J$65,_xlfn.XLOOKUP($D47,$D$66:$D$74,$G$66:$J$74))</f>
        <v>118226.81595455964</v>
      </c>
      <c r="I47" s="311" cm="1">
        <f t="array" ref="I47">$A47*_xlfn.XLOOKUP(I$28,$G$65:$J$65,_xlfn.XLOOKUP($D47,$D$66:$D$74,$G$66:$J$74))</f>
        <v>102405.67696410435</v>
      </c>
      <c r="J47" s="311" cm="1">
        <f t="array" ref="J47">$A47*_xlfn.XLOOKUP(J$28,$G$65:$J$65,_xlfn.XLOOKUP($D47,$D$66:$D$74,$G$66:$J$74))</f>
        <v>84665.647339568095</v>
      </c>
      <c r="K47" s="311" cm="1">
        <f t="array" ref="K47">$B47*_xlfn.XLOOKUP(K$28,$G$65:$J$65,_xlfn.XLOOKUP($D47,$D$66:$D$74,$G$66:$J$74))</f>
        <v>54917.585090324479</v>
      </c>
      <c r="L47" s="311" cm="1">
        <f t="array" ref="L47">$B47*_xlfn.XLOOKUP(L$28,$G$65:$J$65,_xlfn.XLOOKUP($D47,$D$66:$D$74,$G$66:$J$74))</f>
        <v>47568.501553573195</v>
      </c>
      <c r="M47" s="311" cm="1">
        <f t="array" ref="M47">$B47*_xlfn.XLOOKUP(M$28,$G$65:$J$65,_xlfn.XLOOKUP($D47,$D$66:$D$74,$G$66:$J$74))</f>
        <v>39328.073368610523</v>
      </c>
      <c r="N47">
        <v>1</v>
      </c>
    </row>
    <row r="51" spans="6:16" x14ac:dyDescent="0.2">
      <c r="F51" s="45"/>
      <c r="G51" s="45"/>
      <c r="H51" s="45" t="s">
        <v>71</v>
      </c>
      <c r="I51" s="45" t="s">
        <v>72</v>
      </c>
      <c r="J51" s="45" t="s">
        <v>71</v>
      </c>
      <c r="K51" s="45" t="s">
        <v>72</v>
      </c>
      <c r="L51" s="45" t="s">
        <v>71</v>
      </c>
      <c r="M51" s="45" t="s">
        <v>72</v>
      </c>
      <c r="N51" s="45"/>
      <c r="O51" s="45" t="s">
        <v>86</v>
      </c>
      <c r="P51" s="45" t="s">
        <v>87</v>
      </c>
    </row>
    <row r="52" spans="6:16" x14ac:dyDescent="0.2">
      <c r="F52" s="45" t="s">
        <v>78</v>
      </c>
      <c r="G52" s="45" t="s">
        <v>70</v>
      </c>
      <c r="H52" s="46">
        <v>63618.30704</v>
      </c>
      <c r="I52" s="46">
        <v>13216</v>
      </c>
      <c r="J52" s="46">
        <v>49536.323040000003</v>
      </c>
      <c r="K52" s="46">
        <v>9602</v>
      </c>
      <c r="L52" s="46">
        <v>45767.491040000001</v>
      </c>
      <c r="M52" s="46">
        <v>8705</v>
      </c>
      <c r="N52" s="45"/>
      <c r="O52" s="45">
        <f t="shared" ref="O52:O57" si="46">K52/I52</f>
        <v>0.72654358353510895</v>
      </c>
      <c r="P52" s="45">
        <f t="shared" ref="P52:P57" si="47">M52/I52</f>
        <v>0.65867130750605329</v>
      </c>
    </row>
    <row r="53" spans="6:16" x14ac:dyDescent="0.2">
      <c r="F53" s="45" t="s">
        <v>79</v>
      </c>
      <c r="G53" s="45" t="s">
        <v>70</v>
      </c>
      <c r="H53" s="46">
        <v>63852.264448000002</v>
      </c>
      <c r="I53" s="46">
        <v>13216</v>
      </c>
      <c r="J53" s="46">
        <v>49770.280447999998</v>
      </c>
      <c r="K53" s="46">
        <v>9602</v>
      </c>
      <c r="L53" s="46">
        <v>46001.448448000003</v>
      </c>
      <c r="M53" s="46">
        <v>8705</v>
      </c>
      <c r="N53" s="45"/>
      <c r="O53" s="45">
        <f t="shared" si="46"/>
        <v>0.72654358353510895</v>
      </c>
      <c r="P53" s="45">
        <f t="shared" si="47"/>
        <v>0.65867130750605329</v>
      </c>
    </row>
    <row r="54" spans="6:16" x14ac:dyDescent="0.2">
      <c r="F54" s="45" t="s">
        <v>78</v>
      </c>
      <c r="G54" s="45" t="s">
        <v>68</v>
      </c>
      <c r="H54" s="46">
        <v>59588.355040000002</v>
      </c>
      <c r="I54" s="46">
        <v>12238</v>
      </c>
      <c r="J54" s="46">
        <v>41696.195039999999</v>
      </c>
      <c r="K54" s="46">
        <v>7737</v>
      </c>
      <c r="L54" s="46">
        <v>37377.923040000001</v>
      </c>
      <c r="M54" s="46">
        <v>6709</v>
      </c>
      <c r="N54" s="45"/>
      <c r="O54" s="45">
        <f t="shared" si="46"/>
        <v>0.63221114561202807</v>
      </c>
      <c r="P54" s="45">
        <f t="shared" si="47"/>
        <v>0.54821049191044291</v>
      </c>
    </row>
    <row r="55" spans="6:16" x14ac:dyDescent="0.2">
      <c r="F55" s="45" t="s">
        <v>79</v>
      </c>
      <c r="G55" s="45" t="s">
        <v>68</v>
      </c>
      <c r="H55" s="46">
        <v>59822.312447999997</v>
      </c>
      <c r="I55" s="46">
        <v>12238</v>
      </c>
      <c r="J55" s="46">
        <v>41930.152448000001</v>
      </c>
      <c r="K55" s="46">
        <v>7737</v>
      </c>
      <c r="L55" s="46">
        <v>37611.880448000004</v>
      </c>
      <c r="M55" s="46">
        <v>6709</v>
      </c>
      <c r="N55" s="45"/>
      <c r="O55" s="45">
        <f t="shared" si="46"/>
        <v>0.63221114561202807</v>
      </c>
      <c r="P55" s="45">
        <f t="shared" si="47"/>
        <v>0.54821049191044291</v>
      </c>
    </row>
    <row r="56" spans="6:16" x14ac:dyDescent="0.2">
      <c r="F56" s="45" t="s">
        <v>78</v>
      </c>
      <c r="G56" s="45" t="s">
        <v>69</v>
      </c>
      <c r="H56" s="46">
        <v>74113.155039999998</v>
      </c>
      <c r="I56" s="46">
        <v>15764</v>
      </c>
      <c r="J56" s="46">
        <v>65843.267040000006</v>
      </c>
      <c r="K56" s="46">
        <v>13482</v>
      </c>
      <c r="L56" s="46">
        <v>56027.331039999997</v>
      </c>
      <c r="M56" s="46">
        <v>11146</v>
      </c>
      <c r="N56" s="45"/>
      <c r="O56" s="45">
        <f t="shared" si="46"/>
        <v>0.85523978685612789</v>
      </c>
      <c r="P56" s="45">
        <f t="shared" si="47"/>
        <v>0.70705404719614307</v>
      </c>
    </row>
    <row r="57" spans="6:16" x14ac:dyDescent="0.2">
      <c r="F57" s="45" t="s">
        <v>79</v>
      </c>
      <c r="G57" s="45" t="s">
        <v>69</v>
      </c>
      <c r="H57" s="46">
        <v>74347.112448</v>
      </c>
      <c r="I57" s="46">
        <v>15764</v>
      </c>
      <c r="J57" s="46">
        <v>66077.224447999994</v>
      </c>
      <c r="K57" s="46">
        <v>13482</v>
      </c>
      <c r="L57" s="46">
        <v>56261.288447999999</v>
      </c>
      <c r="M57" s="46">
        <v>11146</v>
      </c>
      <c r="N57" s="45"/>
      <c r="O57" s="45">
        <f t="shared" si="46"/>
        <v>0.85523978685612789</v>
      </c>
      <c r="P57" s="45">
        <f t="shared" si="47"/>
        <v>0.70705404719614307</v>
      </c>
    </row>
    <row r="58" spans="6:16" x14ac:dyDescent="0.2">
      <c r="H58" s="43"/>
      <c r="I58" s="43"/>
      <c r="J58" s="43"/>
      <c r="K58" s="43"/>
      <c r="L58" s="43"/>
      <c r="M58" s="43"/>
    </row>
    <row r="59" spans="6:16" x14ac:dyDescent="0.2">
      <c r="G59" t="s">
        <v>77</v>
      </c>
      <c r="H59" s="44">
        <f t="shared" ref="H59:M59" si="48">H54/H52</f>
        <v>0.93665420870966964</v>
      </c>
      <c r="I59" s="44">
        <f t="shared" si="48"/>
        <v>0.92599878934624702</v>
      </c>
      <c r="J59" s="44">
        <f t="shared" si="48"/>
        <v>0.84172971430137855</v>
      </c>
      <c r="K59" s="44">
        <f t="shared" si="48"/>
        <v>0.8057696313268069</v>
      </c>
      <c r="L59" s="44">
        <f t="shared" si="48"/>
        <v>0.81669154656811616</v>
      </c>
      <c r="M59" s="44">
        <f t="shared" si="48"/>
        <v>0.77070649052268814</v>
      </c>
    </row>
    <row r="60" spans="6:16" x14ac:dyDescent="0.2">
      <c r="H60" s="44"/>
      <c r="I60" s="44"/>
      <c r="J60" s="44"/>
      <c r="K60" s="44"/>
      <c r="L60" s="44"/>
      <c r="M60" s="44"/>
    </row>
    <row r="61" spans="6:16" x14ac:dyDescent="0.2">
      <c r="H61" s="44">
        <f t="shared" ref="H61:M61" si="49">H56/H52</f>
        <v>1.1649658484844836</v>
      </c>
      <c r="I61" s="44">
        <f t="shared" si="49"/>
        <v>1.1927966101694916</v>
      </c>
      <c r="J61" s="44">
        <f t="shared" si="49"/>
        <v>1.329191651686225</v>
      </c>
      <c r="K61" s="44">
        <f t="shared" si="49"/>
        <v>1.4040824828160801</v>
      </c>
      <c r="L61" s="44">
        <f t="shared" si="49"/>
        <v>1.2241730924474989</v>
      </c>
      <c r="M61" s="44">
        <f t="shared" si="49"/>
        <v>1.280413555427915</v>
      </c>
    </row>
    <row r="64" spans="6:16" x14ac:dyDescent="0.2">
      <c r="G64" t="s">
        <v>397</v>
      </c>
    </row>
    <row r="65" spans="4:11" x14ac:dyDescent="0.2">
      <c r="G65">
        <v>2020</v>
      </c>
      <c r="H65">
        <v>2030</v>
      </c>
      <c r="I65">
        <v>2040</v>
      </c>
      <c r="J65">
        <v>2050</v>
      </c>
    </row>
    <row r="66" spans="4:11" x14ac:dyDescent="0.2">
      <c r="D66" t="str">
        <f>F66&amp;E66</f>
        <v>CommercialLow RE</v>
      </c>
      <c r="E66" t="s">
        <v>68</v>
      </c>
      <c r="F66" t="s">
        <v>4</v>
      </c>
      <c r="G66">
        <v>1</v>
      </c>
      <c r="H66" s="310">
        <v>0.67760370365568323</v>
      </c>
      <c r="I66" s="310">
        <v>0.429182923100903</v>
      </c>
      <c r="J66" s="310">
        <v>0.36829216614592991</v>
      </c>
      <c r="K66" t="s">
        <v>395</v>
      </c>
    </row>
    <row r="67" spans="4:11" x14ac:dyDescent="0.2">
      <c r="D67" t="str">
        <f t="shared" ref="D67:D74" si="50">F67&amp;E67</f>
        <v>CommercialMid RE</v>
      </c>
      <c r="E67" t="s">
        <v>70</v>
      </c>
      <c r="F67" t="s">
        <v>4</v>
      </c>
      <c r="G67">
        <v>1</v>
      </c>
      <c r="H67" s="310">
        <v>0.75729145176696266</v>
      </c>
      <c r="I67" s="310">
        <v>0.55735852606167502</v>
      </c>
      <c r="J67" s="310">
        <v>0.48803629536483284</v>
      </c>
      <c r="K67" t="s">
        <v>395</v>
      </c>
    </row>
    <row r="68" spans="4:11" x14ac:dyDescent="0.2">
      <c r="D68" t="str">
        <f t="shared" si="50"/>
        <v>CommercialHigh RE</v>
      </c>
      <c r="E68" t="s">
        <v>69</v>
      </c>
      <c r="F68" t="s">
        <v>4</v>
      </c>
      <c r="G68">
        <v>1</v>
      </c>
      <c r="H68" s="310">
        <v>0.93876541718808304</v>
      </c>
      <c r="I68" s="310">
        <v>0.81000637375363949</v>
      </c>
      <c r="J68" s="310">
        <v>0.65012275879636761</v>
      </c>
      <c r="K68" t="s">
        <v>395</v>
      </c>
    </row>
    <row r="69" spans="4:11" x14ac:dyDescent="0.2">
      <c r="D69" t="str">
        <f t="shared" si="50"/>
        <v>ResidentialLow RE</v>
      </c>
      <c r="E69" t="s">
        <v>68</v>
      </c>
      <c r="F69" t="s">
        <v>3</v>
      </c>
      <c r="G69">
        <v>1</v>
      </c>
      <c r="H69" s="310">
        <v>0.59640928446164498</v>
      </c>
      <c r="I69" s="310">
        <v>0.30055885245536651</v>
      </c>
      <c r="J69" s="310">
        <v>0.25184984339953248</v>
      </c>
      <c r="K69" t="s">
        <v>394</v>
      </c>
    </row>
    <row r="70" spans="4:11" x14ac:dyDescent="0.2">
      <c r="D70" t="str">
        <f t="shared" si="50"/>
        <v>ResidentialMid RE</v>
      </c>
      <c r="E70" t="s">
        <v>70</v>
      </c>
      <c r="F70" t="s">
        <v>3</v>
      </c>
      <c r="G70">
        <v>1</v>
      </c>
      <c r="H70" s="310">
        <v>0.65518065044679397</v>
      </c>
      <c r="I70" s="310">
        <v>0.39753800707906822</v>
      </c>
      <c r="J70" s="310">
        <v>0.34705968526284564</v>
      </c>
      <c r="K70" t="s">
        <v>394</v>
      </c>
    </row>
    <row r="71" spans="4:11" x14ac:dyDescent="0.2">
      <c r="D71" t="str">
        <f t="shared" si="50"/>
        <v>ResidentialHigh RE</v>
      </c>
      <c r="E71" t="s">
        <v>69</v>
      </c>
      <c r="F71" t="s">
        <v>3</v>
      </c>
      <c r="G71">
        <v>1</v>
      </c>
      <c r="H71" s="310">
        <v>0.92773050888708375</v>
      </c>
      <c r="I71" s="310">
        <v>0.74960809069847834</v>
      </c>
      <c r="J71" s="310">
        <v>0.51334853170454853</v>
      </c>
      <c r="K71" t="s">
        <v>394</v>
      </c>
    </row>
    <row r="72" spans="4:11" x14ac:dyDescent="0.2">
      <c r="D72" t="str">
        <f t="shared" si="50"/>
        <v>Grid and CommunityLow RE</v>
      </c>
      <c r="E72" t="s">
        <v>68</v>
      </c>
      <c r="F72" t="s">
        <v>393</v>
      </c>
      <c r="G72">
        <v>1</v>
      </c>
      <c r="H72" s="310">
        <v>0.70795834210700925</v>
      </c>
      <c r="I72" s="310">
        <v>0.47833230575799585</v>
      </c>
      <c r="J72" s="310">
        <v>0.41482030984220386</v>
      </c>
      <c r="K72" t="s">
        <v>396</v>
      </c>
    </row>
    <row r="73" spans="4:11" x14ac:dyDescent="0.2">
      <c r="D73" t="str">
        <f t="shared" si="50"/>
        <v>Grid and CommunityMid RE</v>
      </c>
      <c r="E73" t="s">
        <v>70</v>
      </c>
      <c r="F73" t="s">
        <v>393</v>
      </c>
      <c r="G73">
        <v>1</v>
      </c>
      <c r="H73" s="310">
        <v>0.77075336368316605</v>
      </c>
      <c r="I73" s="310">
        <v>0.58773255846516437</v>
      </c>
      <c r="J73" s="310">
        <v>0.53284216875586943</v>
      </c>
      <c r="K73" t="s">
        <v>396</v>
      </c>
    </row>
    <row r="74" spans="4:11" x14ac:dyDescent="0.2">
      <c r="D74" t="str">
        <f t="shared" si="50"/>
        <v>Grid and CommunityHigh RE</v>
      </c>
      <c r="E74" t="s">
        <v>69</v>
      </c>
      <c r="F74" t="s">
        <v>393</v>
      </c>
      <c r="G74">
        <v>1</v>
      </c>
      <c r="H74" s="310">
        <v>0.92855820201031736</v>
      </c>
      <c r="I74" s="310">
        <v>0.80429833544688978</v>
      </c>
      <c r="J74" s="310">
        <v>0.66496742410694132</v>
      </c>
      <c r="K74" t="s">
        <v>396</v>
      </c>
    </row>
  </sheetData>
  <mergeCells count="21">
    <mergeCell ref="BJ15:BL15"/>
    <mergeCell ref="BF22:BH22"/>
    <mergeCell ref="BF29:BH29"/>
    <mergeCell ref="AF15:AH15"/>
    <mergeCell ref="AI15:AK15"/>
    <mergeCell ref="AP15:AR15"/>
    <mergeCell ref="AV15:AX15"/>
    <mergeCell ref="BF15:BH15"/>
    <mergeCell ref="AP22:AR22"/>
    <mergeCell ref="AP29:AR29"/>
    <mergeCell ref="AY15:BA15"/>
    <mergeCell ref="BB15:BD15"/>
    <mergeCell ref="AS15:AU15"/>
    <mergeCell ref="AS22:AU22"/>
    <mergeCell ref="AS29:AU29"/>
    <mergeCell ref="AV22:AX22"/>
    <mergeCell ref="AY22:BA22"/>
    <mergeCell ref="BB22:BD22"/>
    <mergeCell ref="AV29:AX29"/>
    <mergeCell ref="AY29:BA29"/>
    <mergeCell ref="BB29:BD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DA36-2BD4-AD4A-996C-4C5A09846EC3}">
  <dimension ref="A1:BO74"/>
  <sheetViews>
    <sheetView topLeftCell="AZ1" zoomScaleNormal="100" workbookViewId="0">
      <selection activeCell="BM29" sqref="BM29"/>
    </sheetView>
  </sheetViews>
  <sheetFormatPr baseColWidth="10" defaultRowHeight="16" x14ac:dyDescent="0.2"/>
  <cols>
    <col min="1" max="1" width="20.6640625" bestFit="1" customWidth="1"/>
    <col min="3" max="3" width="15" bestFit="1" customWidth="1"/>
    <col min="4" max="4" width="17.6640625" bestFit="1" customWidth="1"/>
    <col min="8" max="8" width="39.5" bestFit="1" customWidth="1"/>
    <col min="9" max="10" width="45.1640625" bestFit="1" customWidth="1"/>
    <col min="11" max="11" width="25.83203125" customWidth="1"/>
    <col min="12" max="13" width="34.1640625" bestFit="1" customWidth="1"/>
    <col min="15" max="16" width="11" bestFit="1" customWidth="1"/>
    <col min="17" max="19" width="14" bestFit="1" customWidth="1"/>
    <col min="21" max="23" width="13" bestFit="1" customWidth="1"/>
    <col min="34" max="36" width="12.5" bestFit="1" customWidth="1"/>
    <col min="37" max="37" width="11.5" bestFit="1" customWidth="1"/>
    <col min="38" max="40" width="12.5" bestFit="1" customWidth="1"/>
    <col min="41" max="42" width="11.5" bestFit="1" customWidth="1"/>
    <col min="43" max="43" width="16" bestFit="1" customWidth="1"/>
    <col min="44" max="44" width="12" customWidth="1"/>
    <col min="45" max="45" width="10.5" customWidth="1"/>
    <col min="47" max="47" width="9.33203125" customWidth="1"/>
    <col min="48" max="48" width="16" bestFit="1" customWidth="1"/>
    <col min="49" max="49" width="12.33203125" customWidth="1"/>
    <col min="50" max="50" width="15" bestFit="1" customWidth="1"/>
    <col min="52" max="56" width="13.5" bestFit="1" customWidth="1"/>
    <col min="58" max="58" width="15" bestFit="1" customWidth="1"/>
    <col min="59" max="59" width="17.6640625" bestFit="1" customWidth="1"/>
    <col min="60" max="60" width="15" bestFit="1" customWidth="1"/>
    <col min="62" max="64" width="14.1640625" customWidth="1"/>
  </cols>
  <sheetData>
    <row r="1" spans="1:67" x14ac:dyDescent="0.2">
      <c r="A1" t="s">
        <v>73</v>
      </c>
      <c r="B1" t="s">
        <v>0</v>
      </c>
      <c r="C1" t="s">
        <v>1</v>
      </c>
      <c r="D1" t="s">
        <v>2</v>
      </c>
      <c r="AK1" s="43"/>
    </row>
    <row r="2" spans="1:67" x14ac:dyDescent="0.2">
      <c r="A2" t="s">
        <v>74</v>
      </c>
      <c r="B2">
        <v>2019</v>
      </c>
      <c r="C2" t="s">
        <v>92</v>
      </c>
      <c r="D2" s="10">
        <f>D16</f>
        <v>597056015</v>
      </c>
      <c r="AK2" s="43"/>
    </row>
    <row r="3" spans="1:67" x14ac:dyDescent="0.2">
      <c r="A3" t="s">
        <v>74</v>
      </c>
      <c r="B3">
        <v>2030</v>
      </c>
      <c r="C3" t="s">
        <v>92</v>
      </c>
      <c r="D3" s="47">
        <f>BF21+D18</f>
        <v>744962171.626158</v>
      </c>
      <c r="AK3" s="43"/>
    </row>
    <row r="4" spans="1:67" x14ac:dyDescent="0.2">
      <c r="A4" t="s">
        <v>74</v>
      </c>
      <c r="B4">
        <v>2040</v>
      </c>
      <c r="C4" t="s">
        <v>92</v>
      </c>
      <c r="D4" s="47">
        <f>BG21</f>
        <v>317964169.10794711</v>
      </c>
      <c r="AK4" s="43"/>
    </row>
    <row r="5" spans="1:67" x14ac:dyDescent="0.2">
      <c r="A5" t="s">
        <v>74</v>
      </c>
      <c r="B5">
        <v>2050</v>
      </c>
      <c r="C5" t="s">
        <v>92</v>
      </c>
      <c r="D5" s="47">
        <f>BH21</f>
        <v>311640347.21392971</v>
      </c>
      <c r="AK5" s="43">
        <v>650</v>
      </c>
    </row>
    <row r="6" spans="1:67" x14ac:dyDescent="0.2">
      <c r="A6" t="s">
        <v>75</v>
      </c>
      <c r="B6">
        <v>2019</v>
      </c>
      <c r="C6" t="s">
        <v>92</v>
      </c>
      <c r="D6" s="10">
        <f>D16</f>
        <v>597056015</v>
      </c>
      <c r="AK6" s="43">
        <v>850</v>
      </c>
    </row>
    <row r="7" spans="1:67" x14ac:dyDescent="0.2">
      <c r="A7" t="s">
        <v>75</v>
      </c>
      <c r="B7">
        <v>2030</v>
      </c>
      <c r="C7" t="s">
        <v>92</v>
      </c>
      <c r="D7" s="47">
        <f>BF28+D18</f>
        <v>713612414.90891218</v>
      </c>
    </row>
    <row r="8" spans="1:67" s="1" customFormat="1" x14ac:dyDescent="0.2">
      <c r="A8" t="s">
        <v>75</v>
      </c>
      <c r="B8">
        <v>2040</v>
      </c>
      <c r="C8" t="s">
        <v>92</v>
      </c>
      <c r="D8" s="47">
        <f>BG28</f>
        <v>281756933.38277984</v>
      </c>
      <c r="F8" s="2" t="s">
        <v>93</v>
      </c>
      <c r="AK8" s="1">
        <f>150*5</f>
        <v>750</v>
      </c>
      <c r="BF8" s="3"/>
      <c r="BG8" s="3"/>
      <c r="BH8" s="3"/>
      <c r="BI8" s="3"/>
      <c r="BJ8" s="3"/>
      <c r="BK8" s="3"/>
      <c r="BL8" s="3"/>
      <c r="BM8" s="3"/>
      <c r="BN8" s="3"/>
      <c r="BO8" s="3"/>
    </row>
    <row r="9" spans="1:67" s="1" customFormat="1" x14ac:dyDescent="0.2">
      <c r="A9" t="s">
        <v>75</v>
      </c>
      <c r="B9">
        <v>2050</v>
      </c>
      <c r="C9" t="s">
        <v>92</v>
      </c>
      <c r="D9" s="47">
        <f>BH28</f>
        <v>275418236.05994487</v>
      </c>
      <c r="F9" s="4"/>
      <c r="G9" s="4">
        <v>2000</v>
      </c>
      <c r="H9" s="4">
        <v>2001</v>
      </c>
      <c r="I9" s="4">
        <v>2002</v>
      </c>
      <c r="J9" s="4">
        <v>2003</v>
      </c>
      <c r="K9" s="4">
        <v>2004</v>
      </c>
      <c r="L9" s="4">
        <v>2005</v>
      </c>
      <c r="M9" s="4">
        <v>2006</v>
      </c>
      <c r="N9" s="4">
        <v>2007</v>
      </c>
      <c r="O9" s="4">
        <v>2008</v>
      </c>
      <c r="P9" s="4">
        <v>2009</v>
      </c>
      <c r="Q9" s="4">
        <v>2010</v>
      </c>
      <c r="R9" s="4">
        <v>2011</v>
      </c>
      <c r="S9" s="4">
        <v>2012</v>
      </c>
      <c r="T9" s="4">
        <v>2013</v>
      </c>
      <c r="U9" s="4">
        <v>2014</v>
      </c>
      <c r="V9" s="4">
        <v>2015</v>
      </c>
      <c r="W9" s="4">
        <v>2016</v>
      </c>
      <c r="X9" s="4">
        <v>2017</v>
      </c>
      <c r="Y9" s="4">
        <v>2018</v>
      </c>
      <c r="Z9" s="4">
        <v>2019</v>
      </c>
      <c r="AA9" s="4">
        <v>2020</v>
      </c>
      <c r="AB9" s="4">
        <v>2021</v>
      </c>
      <c r="AC9" s="4">
        <v>2022</v>
      </c>
      <c r="AD9" s="4">
        <v>2023</v>
      </c>
      <c r="AE9" s="4">
        <v>2024</v>
      </c>
      <c r="AF9" s="4">
        <v>2025</v>
      </c>
      <c r="AG9" s="4">
        <v>2026</v>
      </c>
      <c r="AH9" s="4">
        <v>2027</v>
      </c>
      <c r="AI9" s="4">
        <v>2028</v>
      </c>
      <c r="AJ9" s="4">
        <v>2029</v>
      </c>
      <c r="AK9" s="5">
        <v>2030</v>
      </c>
      <c r="AL9" s="4">
        <v>2031</v>
      </c>
      <c r="AM9" s="4">
        <v>2032</v>
      </c>
      <c r="AN9" s="4">
        <v>2033</v>
      </c>
      <c r="AO9" s="4">
        <v>2034</v>
      </c>
      <c r="AP9" s="4">
        <v>2035</v>
      </c>
      <c r="AQ9" s="4">
        <v>2036</v>
      </c>
      <c r="AR9" s="4">
        <v>2037</v>
      </c>
      <c r="AS9" s="4">
        <v>2038</v>
      </c>
      <c r="AT9" s="4">
        <v>2039</v>
      </c>
      <c r="AU9" s="5">
        <v>2040</v>
      </c>
      <c r="AV9" s="4">
        <v>2041</v>
      </c>
      <c r="AW9" s="4">
        <v>2042</v>
      </c>
      <c r="AX9" s="4">
        <v>2043</v>
      </c>
      <c r="AY9" s="4">
        <v>2044</v>
      </c>
      <c r="AZ9" s="4">
        <v>2045</v>
      </c>
      <c r="BA9" s="4">
        <v>2046</v>
      </c>
      <c r="BB9" s="4">
        <v>2047</v>
      </c>
      <c r="BC9" s="4">
        <v>2048</v>
      </c>
      <c r="BD9" s="4">
        <v>2049</v>
      </c>
      <c r="BE9" s="5">
        <v>2050</v>
      </c>
      <c r="BF9" s="4">
        <v>2051</v>
      </c>
      <c r="BG9" s="4">
        <v>2052</v>
      </c>
      <c r="BH9" s="4">
        <v>2053</v>
      </c>
      <c r="BI9" s="4">
        <v>2054</v>
      </c>
      <c r="BJ9" s="4">
        <v>2055</v>
      </c>
      <c r="BK9" s="4">
        <v>2056</v>
      </c>
      <c r="BL9" s="4">
        <v>2057</v>
      </c>
      <c r="BM9" s="4">
        <v>2058</v>
      </c>
      <c r="BN9" s="4">
        <v>2059</v>
      </c>
      <c r="BO9" s="4">
        <v>2060</v>
      </c>
    </row>
    <row r="10" spans="1:67" s="1" customFormat="1" x14ac:dyDescent="0.2">
      <c r="A10" t="s">
        <v>76</v>
      </c>
      <c r="B10">
        <v>2019</v>
      </c>
      <c r="C10" t="s">
        <v>92</v>
      </c>
      <c r="D10" s="10">
        <f>D16</f>
        <v>597056015</v>
      </c>
      <c r="F10" s="6" t="s">
        <v>3</v>
      </c>
      <c r="G10" s="7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43">
        <v>650</v>
      </c>
      <c r="AL10" s="8"/>
      <c r="AM10" s="8"/>
      <c r="AN10" s="8"/>
      <c r="AO10" s="8"/>
      <c r="AP10" s="8"/>
      <c r="AQ10" s="8"/>
      <c r="AR10" s="8"/>
      <c r="AS10" s="8"/>
      <c r="AT10" s="8"/>
      <c r="AU10" s="43">
        <v>650</v>
      </c>
      <c r="AV10" s="8"/>
      <c r="AW10" s="8"/>
      <c r="AX10" s="8"/>
      <c r="AY10" s="8"/>
      <c r="AZ10" s="8"/>
      <c r="BA10" s="8"/>
      <c r="BB10" s="8"/>
      <c r="BC10" s="8"/>
      <c r="BD10" s="8"/>
      <c r="BE10" s="43">
        <v>650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</row>
    <row r="11" spans="1:67" s="1" customFormat="1" x14ac:dyDescent="0.2">
      <c r="A11" t="s">
        <v>76</v>
      </c>
      <c r="B11">
        <v>2030</v>
      </c>
      <c r="C11" t="s">
        <v>92</v>
      </c>
      <c r="D11" s="48">
        <f>BF35+D18</f>
        <v>843889621.51309264</v>
      </c>
      <c r="F11" s="6" t="s">
        <v>4</v>
      </c>
      <c r="G11" s="7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43">
        <v>850</v>
      </c>
      <c r="AL11" s="8"/>
      <c r="AM11" s="8"/>
      <c r="AN11" s="8"/>
      <c r="AO11" s="8"/>
      <c r="AP11" s="8"/>
      <c r="AQ11" s="8"/>
      <c r="AR11" s="8"/>
      <c r="AS11" s="8"/>
      <c r="AT11" s="8"/>
      <c r="AU11" s="43">
        <v>850</v>
      </c>
      <c r="AV11" s="8"/>
      <c r="AW11" s="8"/>
      <c r="AX11" s="8"/>
      <c r="AY11" s="8"/>
      <c r="AZ11" s="8"/>
      <c r="BA11" s="8"/>
      <c r="BB11" s="8"/>
      <c r="BC11" s="8"/>
      <c r="BD11" s="8"/>
      <c r="BE11" s="43">
        <v>850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</row>
    <row r="12" spans="1:67" s="1" customFormat="1" x14ac:dyDescent="0.2">
      <c r="A12" t="s">
        <v>76</v>
      </c>
      <c r="B12">
        <v>2040</v>
      </c>
      <c r="C12" t="s">
        <v>92</v>
      </c>
      <c r="D12" s="48">
        <f>BG35</f>
        <v>424159287.62446445</v>
      </c>
      <c r="F12" s="6" t="s">
        <v>5</v>
      </c>
      <c r="G12" s="7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/>
      <c r="AL12" s="8"/>
      <c r="AM12" s="8"/>
      <c r="AN12" s="8"/>
      <c r="AO12" s="8"/>
      <c r="AP12" s="8"/>
      <c r="AQ12" s="8"/>
      <c r="AR12" s="8"/>
      <c r="AS12" s="8"/>
      <c r="AT12" s="8"/>
      <c r="AU12"/>
      <c r="AV12" s="8"/>
      <c r="AW12" s="8"/>
      <c r="AX12" s="8"/>
      <c r="AY12" s="8"/>
      <c r="AZ12" s="8"/>
      <c r="BA12" s="8"/>
      <c r="BB12" s="8"/>
      <c r="BC12" s="8"/>
      <c r="BD12" s="8"/>
      <c r="BE12"/>
      <c r="BF12" s="8"/>
      <c r="BG12" s="8"/>
      <c r="BH12" s="8"/>
      <c r="BI12" s="8"/>
      <c r="BJ12" s="8"/>
      <c r="BK12" s="8"/>
      <c r="BL12" s="8"/>
      <c r="BM12" s="8"/>
      <c r="BN12" s="8"/>
      <c r="BO12" s="8"/>
    </row>
    <row r="13" spans="1:67" s="1" customFormat="1" x14ac:dyDescent="0.2">
      <c r="A13" t="s">
        <v>76</v>
      </c>
      <c r="B13">
        <v>2050</v>
      </c>
      <c r="C13" t="s">
        <v>92</v>
      </c>
      <c r="D13" s="48">
        <f>BH35</f>
        <v>406117526.52104861</v>
      </c>
      <c r="F13" s="6" t="s">
        <v>6</v>
      </c>
      <c r="G13" s="7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1">
        <f>150*5</f>
        <v>750</v>
      </c>
      <c r="AL13" s="8"/>
      <c r="AM13" s="8"/>
      <c r="AN13" s="8"/>
      <c r="AO13" s="8"/>
      <c r="AP13" s="8"/>
      <c r="AQ13" s="8"/>
      <c r="AR13" s="8"/>
      <c r="AS13" s="8"/>
      <c r="AT13" s="8"/>
      <c r="AU13" s="1">
        <f>150*5</f>
        <v>750</v>
      </c>
      <c r="AV13" s="8"/>
      <c r="AW13" s="8"/>
      <c r="AX13" s="8"/>
      <c r="AY13" s="8"/>
      <c r="AZ13" s="8"/>
      <c r="BA13" s="8"/>
      <c r="BB13" s="8"/>
      <c r="BC13" s="8"/>
      <c r="BD13" s="8"/>
      <c r="BE13" s="1">
        <f>150*5</f>
        <v>750</v>
      </c>
      <c r="BF13" s="8"/>
      <c r="BG13" s="8"/>
      <c r="BH13" s="8"/>
      <c r="BI13" s="8"/>
      <c r="BJ13" s="8"/>
      <c r="BK13" s="8"/>
      <c r="BL13" s="8"/>
      <c r="BM13" s="8"/>
      <c r="BN13" s="8"/>
      <c r="BO13" s="8"/>
    </row>
    <row r="14" spans="1:67" s="1" customFormat="1" ht="14" x14ac:dyDescent="0.2">
      <c r="F14" s="9" t="s">
        <v>7</v>
      </c>
      <c r="G14" s="3">
        <f>SUM(G10:G13)</f>
        <v>0</v>
      </c>
      <c r="H14" s="3">
        <f t="shared" ref="H14:BO14" si="0">SUM(H10:H13)</f>
        <v>0</v>
      </c>
      <c r="I14" s="3">
        <f t="shared" si="0"/>
        <v>0</v>
      </c>
      <c r="J14" s="3">
        <f t="shared" si="0"/>
        <v>0</v>
      </c>
      <c r="K14" s="3">
        <f t="shared" si="0"/>
        <v>0</v>
      </c>
      <c r="L14" s="3">
        <f t="shared" si="0"/>
        <v>0</v>
      </c>
      <c r="M14" s="3">
        <f t="shared" si="0"/>
        <v>0</v>
      </c>
      <c r="N14" s="3">
        <f t="shared" si="0"/>
        <v>0</v>
      </c>
      <c r="O14" s="3">
        <f t="shared" si="0"/>
        <v>0</v>
      </c>
      <c r="P14" s="3">
        <f t="shared" si="0"/>
        <v>0</v>
      </c>
      <c r="Q14" s="3">
        <f t="shared" si="0"/>
        <v>0</v>
      </c>
      <c r="R14" s="3">
        <f t="shared" si="0"/>
        <v>0</v>
      </c>
      <c r="S14" s="3">
        <f t="shared" si="0"/>
        <v>0</v>
      </c>
      <c r="T14" s="3">
        <f t="shared" si="0"/>
        <v>0</v>
      </c>
      <c r="U14" s="3">
        <f t="shared" si="0"/>
        <v>0</v>
      </c>
      <c r="V14" s="3">
        <f t="shared" si="0"/>
        <v>0</v>
      </c>
      <c r="W14" s="3">
        <f t="shared" si="0"/>
        <v>0</v>
      </c>
      <c r="X14" s="3">
        <f t="shared" si="0"/>
        <v>0</v>
      </c>
      <c r="Y14" s="3">
        <f t="shared" si="0"/>
        <v>0</v>
      </c>
      <c r="Z14" s="3">
        <f t="shared" si="0"/>
        <v>0</v>
      </c>
      <c r="AA14" s="3">
        <f t="shared" si="0"/>
        <v>0</v>
      </c>
      <c r="AB14" s="3">
        <f t="shared" si="0"/>
        <v>0</v>
      </c>
      <c r="AC14" s="3">
        <f t="shared" si="0"/>
        <v>0</v>
      </c>
      <c r="AD14" s="3">
        <f t="shared" si="0"/>
        <v>0</v>
      </c>
      <c r="AE14" s="3">
        <f t="shared" si="0"/>
        <v>0</v>
      </c>
      <c r="AF14" s="3">
        <f t="shared" si="0"/>
        <v>0</v>
      </c>
      <c r="AG14" s="3">
        <f t="shared" si="0"/>
        <v>0</v>
      </c>
      <c r="AH14" s="3">
        <f t="shared" si="0"/>
        <v>0</v>
      </c>
      <c r="AI14" s="3">
        <f t="shared" si="0"/>
        <v>0</v>
      </c>
      <c r="AJ14" s="3">
        <f t="shared" si="0"/>
        <v>0</v>
      </c>
      <c r="AK14" s="3">
        <f t="shared" si="0"/>
        <v>2250</v>
      </c>
      <c r="AL14" s="3">
        <f t="shared" si="0"/>
        <v>0</v>
      </c>
      <c r="AM14" s="3">
        <f t="shared" si="0"/>
        <v>0</v>
      </c>
      <c r="AN14" s="3">
        <f t="shared" si="0"/>
        <v>0</v>
      </c>
      <c r="AO14" s="3">
        <f t="shared" si="0"/>
        <v>0</v>
      </c>
      <c r="AP14" s="3">
        <f t="shared" si="0"/>
        <v>0</v>
      </c>
      <c r="AQ14" s="3">
        <f t="shared" si="0"/>
        <v>0</v>
      </c>
      <c r="AR14" s="3">
        <f t="shared" si="0"/>
        <v>0</v>
      </c>
      <c r="AS14" s="3">
        <f t="shared" si="0"/>
        <v>0</v>
      </c>
      <c r="AT14" s="3">
        <f t="shared" si="0"/>
        <v>0</v>
      </c>
      <c r="AU14" s="3">
        <f t="shared" si="0"/>
        <v>2250</v>
      </c>
      <c r="AV14" s="3">
        <f t="shared" si="0"/>
        <v>0</v>
      </c>
      <c r="AW14" s="3">
        <f t="shared" si="0"/>
        <v>0</v>
      </c>
      <c r="AX14" s="3">
        <f t="shared" si="0"/>
        <v>0</v>
      </c>
      <c r="AY14" s="3">
        <f t="shared" si="0"/>
        <v>0</v>
      </c>
      <c r="AZ14" s="3">
        <f t="shared" si="0"/>
        <v>0</v>
      </c>
      <c r="BA14" s="3">
        <f t="shared" si="0"/>
        <v>0</v>
      </c>
      <c r="BB14" s="3">
        <f t="shared" si="0"/>
        <v>0</v>
      </c>
      <c r="BC14" s="3">
        <f t="shared" si="0"/>
        <v>0</v>
      </c>
      <c r="BD14" s="3">
        <f t="shared" si="0"/>
        <v>0</v>
      </c>
      <c r="BE14" s="3">
        <f t="shared" si="0"/>
        <v>2250</v>
      </c>
      <c r="BF14" s="3">
        <f t="shared" si="0"/>
        <v>0</v>
      </c>
      <c r="BG14" s="3">
        <f t="shared" si="0"/>
        <v>0</v>
      </c>
      <c r="BH14" s="3">
        <f t="shared" si="0"/>
        <v>0</v>
      </c>
      <c r="BI14" s="3">
        <f t="shared" si="0"/>
        <v>0</v>
      </c>
      <c r="BJ14" s="3">
        <f t="shared" si="0"/>
        <v>0</v>
      </c>
      <c r="BK14" s="3">
        <f t="shared" si="0"/>
        <v>0</v>
      </c>
      <c r="BL14" s="3">
        <f t="shared" si="0"/>
        <v>0</v>
      </c>
      <c r="BM14" s="3">
        <f t="shared" si="0"/>
        <v>0</v>
      </c>
      <c r="BN14" s="3">
        <f t="shared" si="0"/>
        <v>0</v>
      </c>
      <c r="BO14" s="3">
        <f t="shared" si="0"/>
        <v>0</v>
      </c>
    </row>
    <row r="15" spans="1:67" x14ac:dyDescent="0.2">
      <c r="A15" s="1"/>
      <c r="B15" s="1"/>
      <c r="C15" s="1"/>
      <c r="D15" s="1"/>
      <c r="AF15" s="315" t="s">
        <v>8</v>
      </c>
      <c r="AG15" s="315"/>
      <c r="AH15" s="315"/>
      <c r="AI15" s="315" t="s">
        <v>91</v>
      </c>
      <c r="AJ15" s="315"/>
      <c r="AK15" s="315"/>
      <c r="AP15" s="315" t="s">
        <v>89</v>
      </c>
      <c r="AQ15" s="315"/>
      <c r="AR15" s="315"/>
      <c r="AS15" s="316" t="s">
        <v>66</v>
      </c>
      <c r="AT15" s="317"/>
      <c r="AU15" s="318"/>
      <c r="AV15" s="316" t="s">
        <v>88</v>
      </c>
      <c r="AW15" s="317"/>
      <c r="AX15" s="318"/>
      <c r="AY15" s="315" t="s">
        <v>90</v>
      </c>
      <c r="AZ15" s="315"/>
      <c r="BA15" s="315"/>
      <c r="BB15" s="316" t="s">
        <v>66</v>
      </c>
      <c r="BC15" s="317"/>
      <c r="BD15" s="317"/>
      <c r="BF15" s="315" t="s">
        <v>67</v>
      </c>
      <c r="BG15" s="315"/>
      <c r="BH15" s="315"/>
      <c r="BJ15" s="315" t="s">
        <v>384</v>
      </c>
      <c r="BK15" s="315"/>
      <c r="BL15" s="315"/>
    </row>
    <row r="16" spans="1:67" x14ac:dyDescent="0.2">
      <c r="A16" s="1" t="s">
        <v>94</v>
      </c>
      <c r="B16" s="1">
        <v>2019</v>
      </c>
      <c r="C16" s="1" t="s">
        <v>92</v>
      </c>
      <c r="D16" s="229">
        <v>597056015</v>
      </c>
      <c r="AF16" s="5">
        <v>2030</v>
      </c>
      <c r="AG16" s="5">
        <v>2040</v>
      </c>
      <c r="AH16" s="5">
        <v>2050</v>
      </c>
      <c r="AI16" s="5">
        <v>2030</v>
      </c>
      <c r="AJ16" s="5">
        <v>2040</v>
      </c>
      <c r="AK16" s="5">
        <v>2050</v>
      </c>
      <c r="AP16" s="5">
        <v>2030</v>
      </c>
      <c r="AQ16" s="5">
        <v>2040</v>
      </c>
      <c r="AR16" s="5">
        <v>2050</v>
      </c>
      <c r="AS16" s="298">
        <v>2030</v>
      </c>
      <c r="AT16" s="299">
        <v>2040</v>
      </c>
      <c r="AU16" s="304">
        <v>2050</v>
      </c>
      <c r="AV16" s="298">
        <v>2030</v>
      </c>
      <c r="AW16" s="299">
        <v>2040</v>
      </c>
      <c r="AX16" s="304">
        <v>2050</v>
      </c>
      <c r="AY16" s="5">
        <v>2030</v>
      </c>
      <c r="AZ16" s="5">
        <v>2040</v>
      </c>
      <c r="BA16" s="5">
        <v>2050</v>
      </c>
      <c r="BB16" s="298">
        <v>2030</v>
      </c>
      <c r="BC16" s="299">
        <v>2040</v>
      </c>
      <c r="BD16" s="299">
        <v>2050</v>
      </c>
      <c r="BF16" s="5">
        <v>2030</v>
      </c>
      <c r="BG16" s="5">
        <v>2040</v>
      </c>
      <c r="BH16" s="5">
        <v>2050</v>
      </c>
      <c r="BJ16" s="5">
        <v>2030</v>
      </c>
      <c r="BK16" s="5">
        <v>2040</v>
      </c>
      <c r="BL16" s="5">
        <v>2050</v>
      </c>
    </row>
    <row r="17" spans="1:64" x14ac:dyDescent="0.2">
      <c r="A17" s="1"/>
      <c r="B17" s="1"/>
      <c r="C17" s="1"/>
      <c r="D17" s="1"/>
      <c r="AE17" s="6" t="s">
        <v>3</v>
      </c>
      <c r="AF17" s="10">
        <f>$AK$10</f>
        <v>650</v>
      </c>
      <c r="AG17" s="10">
        <v>0</v>
      </c>
      <c r="AH17" s="10">
        <v>0</v>
      </c>
      <c r="AI17" s="10">
        <f>AF17</f>
        <v>650</v>
      </c>
      <c r="AJ17" s="10">
        <f>AG17+AI17</f>
        <v>650</v>
      </c>
      <c r="AK17" s="10">
        <f>AJ17+AH17</f>
        <v>650</v>
      </c>
      <c r="AN17" t="s">
        <v>70</v>
      </c>
      <c r="AO17" s="6" t="s">
        <v>3</v>
      </c>
      <c r="AP17" s="41">
        <f t="shared" ref="AP17:AU17" si="1">SUMPRODUCT(H$30:H$31,$N$30:$N$31)</f>
        <v>160720.53085528177</v>
      </c>
      <c r="AQ17" s="41">
        <f t="shared" si="1"/>
        <v>97518.935410146398</v>
      </c>
      <c r="AR17" s="41">
        <f t="shared" si="1"/>
        <v>85136.239624709939</v>
      </c>
      <c r="AS17" s="312">
        <f t="shared" si="1"/>
        <v>24323.581647837225</v>
      </c>
      <c r="AT17" s="313">
        <f t="shared" si="1"/>
        <v>14758.598512810408</v>
      </c>
      <c r="AU17" s="314">
        <f t="shared" si="1"/>
        <v>12884.590815383144</v>
      </c>
      <c r="AV17" s="300">
        <f t="shared" ref="AV17:AX20" si="2">AF17*AP17</f>
        <v>104468345.05593315</v>
      </c>
      <c r="AW17" s="301">
        <f t="shared" si="2"/>
        <v>0</v>
      </c>
      <c r="AX17" s="305">
        <f t="shared" si="2"/>
        <v>0</v>
      </c>
      <c r="AY17">
        <v>0</v>
      </c>
      <c r="AZ17" s="36">
        <f>AV17</f>
        <v>104468345.05593315</v>
      </c>
      <c r="BA17" s="36">
        <f>AZ17+AX17</f>
        <v>104468345.05593315</v>
      </c>
      <c r="BB17" s="300">
        <f t="shared" ref="BB17:BD20" si="3">AS17*AI17</f>
        <v>15810328.071094196</v>
      </c>
      <c r="BC17" s="301">
        <f t="shared" si="3"/>
        <v>9593089.0333267655</v>
      </c>
      <c r="BD17" s="301">
        <f t="shared" si="3"/>
        <v>8374984.0299990438</v>
      </c>
      <c r="BE17" s="6" t="s">
        <v>3</v>
      </c>
      <c r="BF17" s="41">
        <f>AV17+AY17+BB17</f>
        <v>120278673.12702735</v>
      </c>
      <c r="BG17" s="41">
        <f t="shared" ref="BG17:BH20" si="4">AW17+AZ17+BC17</f>
        <v>114061434.08925991</v>
      </c>
      <c r="BH17" s="41">
        <f t="shared" si="4"/>
        <v>112843329.0859322</v>
      </c>
      <c r="BI17" s="6"/>
    </row>
    <row r="18" spans="1:64" x14ac:dyDescent="0.2">
      <c r="A18" s="1" t="s">
        <v>156</v>
      </c>
      <c r="D18" s="229">
        <f>'Installed TI Project Type'!L4+'Pipeline TI Project Type'!N5+Installed!AK29</f>
        <v>404959210.65936714</v>
      </c>
      <c r="AE18" s="6" t="s">
        <v>4</v>
      </c>
      <c r="AF18" s="10">
        <f>$AK$11</f>
        <v>850</v>
      </c>
      <c r="AG18" s="10">
        <v>0</v>
      </c>
      <c r="AH18" s="10">
        <v>0</v>
      </c>
      <c r="AI18" s="10">
        <f t="shared" ref="AI18:AI20" si="5">AF18</f>
        <v>850</v>
      </c>
      <c r="AJ18" s="10">
        <f t="shared" ref="AJ18:AJ20" si="6">AG18+AI18</f>
        <v>850</v>
      </c>
      <c r="AK18" s="10">
        <f t="shared" ref="AK18:AK20" si="7">AJ18+AH18</f>
        <v>850</v>
      </c>
      <c r="AN18" t="s">
        <v>70</v>
      </c>
      <c r="AO18" s="6" t="s">
        <v>4</v>
      </c>
      <c r="AP18" s="41">
        <f t="shared" ref="AP18:AU18" si="8">SUMPRODUCT(H$32:H$33,$N$32:$N$33)</f>
        <v>97361.175496419557</v>
      </c>
      <c r="AQ18" s="41">
        <f t="shared" si="8"/>
        <v>71656.798903119256</v>
      </c>
      <c r="AR18" s="41">
        <f t="shared" si="8"/>
        <v>62744.386313579729</v>
      </c>
      <c r="AS18" s="312">
        <f t="shared" si="8"/>
        <v>34326.939663665318</v>
      </c>
      <c r="AT18" s="313">
        <f t="shared" si="8"/>
        <v>25264.265759909926</v>
      </c>
      <c r="AU18" s="314">
        <f t="shared" si="8"/>
        <v>22121.988074180208</v>
      </c>
      <c r="AV18" s="300">
        <f t="shared" si="2"/>
        <v>82756999.171956629</v>
      </c>
      <c r="AW18" s="301">
        <f t="shared" si="2"/>
        <v>0</v>
      </c>
      <c r="AX18" s="305">
        <f t="shared" si="2"/>
        <v>0</v>
      </c>
      <c r="AY18">
        <v>0</v>
      </c>
      <c r="AZ18" s="36">
        <f>AV18</f>
        <v>82756999.171956629</v>
      </c>
      <c r="BA18" s="36">
        <f>AZ18+AX18</f>
        <v>82756999.171956629</v>
      </c>
      <c r="BB18" s="300">
        <f t="shared" si="3"/>
        <v>29177898.714115519</v>
      </c>
      <c r="BC18" s="301">
        <f t="shared" si="3"/>
        <v>21474625.895923436</v>
      </c>
      <c r="BD18" s="301">
        <f t="shared" si="3"/>
        <v>18803689.863053177</v>
      </c>
      <c r="BE18" s="6" t="s">
        <v>4</v>
      </c>
      <c r="BF18" s="41">
        <f t="shared" ref="BF18:BF20" si="9">AV18+AY18+BB18</f>
        <v>111934897.88607214</v>
      </c>
      <c r="BG18" s="41">
        <f t="shared" si="4"/>
        <v>104231625.06788006</v>
      </c>
      <c r="BH18" s="41">
        <f t="shared" si="4"/>
        <v>101560689.0350098</v>
      </c>
      <c r="BI18" s="6"/>
    </row>
    <row r="19" spans="1:64" x14ac:dyDescent="0.2">
      <c r="AE19" s="6" t="s">
        <v>5</v>
      </c>
      <c r="AF19" s="10">
        <f>$AK$12</f>
        <v>0</v>
      </c>
      <c r="AG19" s="10">
        <v>0</v>
      </c>
      <c r="AH19" s="10">
        <v>0</v>
      </c>
      <c r="AI19" s="10">
        <f t="shared" si="5"/>
        <v>0</v>
      </c>
      <c r="AJ19" s="10">
        <f t="shared" si="6"/>
        <v>0</v>
      </c>
      <c r="AK19" s="10">
        <f t="shared" si="7"/>
        <v>0</v>
      </c>
      <c r="AN19" t="s">
        <v>70</v>
      </c>
      <c r="AO19" s="6" t="s">
        <v>5</v>
      </c>
      <c r="AP19" s="41">
        <f t="shared" ref="AP19:AU19" si="10">SUMPRODUCT(H$34,$N$34)</f>
        <v>90953.521434795693</v>
      </c>
      <c r="AQ19" s="41">
        <f t="shared" si="10"/>
        <v>69355.968294240185</v>
      </c>
      <c r="AR19" s="41">
        <f t="shared" si="10"/>
        <v>62878.572966205131</v>
      </c>
      <c r="AS19" s="312">
        <f t="shared" si="10"/>
        <v>20957.554711908972</v>
      </c>
      <c r="AT19" s="313">
        <f t="shared" si="10"/>
        <v>15981.035997226287</v>
      </c>
      <c r="AU19" s="314">
        <f t="shared" si="10"/>
        <v>14488.511410640847</v>
      </c>
      <c r="AV19" s="300">
        <f t="shared" si="2"/>
        <v>0</v>
      </c>
      <c r="AW19" s="301">
        <f t="shared" si="2"/>
        <v>0</v>
      </c>
      <c r="AX19" s="305">
        <f t="shared" si="2"/>
        <v>0</v>
      </c>
      <c r="AY19">
        <v>0</v>
      </c>
      <c r="AZ19" s="36">
        <f>AV19</f>
        <v>0</v>
      </c>
      <c r="BA19" s="36">
        <f>AZ19+AX19</f>
        <v>0</v>
      </c>
      <c r="BB19" s="300">
        <f t="shared" si="3"/>
        <v>0</v>
      </c>
      <c r="BC19" s="301">
        <f t="shared" si="3"/>
        <v>0</v>
      </c>
      <c r="BD19" s="301">
        <f t="shared" si="3"/>
        <v>0</v>
      </c>
      <c r="BE19" s="6" t="s">
        <v>5</v>
      </c>
      <c r="BF19" s="41">
        <f t="shared" si="9"/>
        <v>0</v>
      </c>
      <c r="BG19" s="41">
        <f t="shared" si="4"/>
        <v>0</v>
      </c>
      <c r="BH19" s="41">
        <f t="shared" si="4"/>
        <v>0</v>
      </c>
      <c r="BI19" s="6"/>
    </row>
    <row r="20" spans="1:64" x14ac:dyDescent="0.2">
      <c r="AE20" s="6" t="s">
        <v>6</v>
      </c>
      <c r="AF20" s="10">
        <f>$AK$13</f>
        <v>750</v>
      </c>
      <c r="AG20" s="10">
        <v>0</v>
      </c>
      <c r="AH20" s="10">
        <v>0</v>
      </c>
      <c r="AI20" s="10">
        <f t="shared" si="5"/>
        <v>750</v>
      </c>
      <c r="AJ20" s="10">
        <f t="shared" si="6"/>
        <v>750</v>
      </c>
      <c r="AK20" s="10">
        <f t="shared" si="7"/>
        <v>750</v>
      </c>
      <c r="AN20" t="s">
        <v>70</v>
      </c>
      <c r="AO20" s="6" t="s">
        <v>6</v>
      </c>
      <c r="AP20" s="41">
        <f t="shared" ref="AP20:AU20" si="11">SUMPRODUCT(H$35,$N$35)</f>
        <v>98134.630524231747</v>
      </c>
      <c r="AQ20" s="41">
        <f t="shared" si="11"/>
        <v>74831.872541460121</v>
      </c>
      <c r="AR20" s="41">
        <f t="shared" si="11"/>
        <v>67843.063452503557</v>
      </c>
      <c r="AS20" s="312">
        <f t="shared" si="11"/>
        <v>45584.556080690105</v>
      </c>
      <c r="AT20" s="313">
        <f t="shared" si="11"/>
        <v>34760.182743511148</v>
      </c>
      <c r="AU20" s="314">
        <f t="shared" si="11"/>
        <v>31513.80826641856</v>
      </c>
      <c r="AV20" s="300">
        <f t="shared" si="2"/>
        <v>73600972.893173814</v>
      </c>
      <c r="AW20" s="301">
        <f t="shared" si="2"/>
        <v>0</v>
      </c>
      <c r="AX20" s="305">
        <f t="shared" si="2"/>
        <v>0</v>
      </c>
      <c r="AY20">
        <v>0</v>
      </c>
      <c r="AZ20" s="36">
        <f>AV20</f>
        <v>73600972.893173814</v>
      </c>
      <c r="BA20" s="36">
        <f>AZ20+AX20</f>
        <v>73600972.893173814</v>
      </c>
      <c r="BB20" s="300">
        <f t="shared" si="3"/>
        <v>34188417.060517579</v>
      </c>
      <c r="BC20" s="301">
        <f t="shared" si="3"/>
        <v>26070137.057633363</v>
      </c>
      <c r="BD20" s="301">
        <f t="shared" si="3"/>
        <v>23635356.199813921</v>
      </c>
      <c r="BE20" s="6" t="s">
        <v>6</v>
      </c>
      <c r="BF20" s="41">
        <f t="shared" si="9"/>
        <v>107789389.95369139</v>
      </c>
      <c r="BG20" s="41">
        <f t="shared" si="4"/>
        <v>99671109.950807184</v>
      </c>
      <c r="BH20" s="41">
        <f t="shared" si="4"/>
        <v>97236329.092987731</v>
      </c>
      <c r="BI20" s="6"/>
    </row>
    <row r="21" spans="1:64" x14ac:dyDescent="0.2">
      <c r="AE21" s="6" t="s">
        <v>7</v>
      </c>
      <c r="AF21" s="10">
        <f>SUM(AF17:AF20)</f>
        <v>2250</v>
      </c>
      <c r="AG21" s="10">
        <v>0</v>
      </c>
      <c r="AH21" s="10">
        <v>0</v>
      </c>
      <c r="AI21" s="10">
        <f>SUM(AI17:AI20)</f>
        <v>2250</v>
      </c>
      <c r="AJ21" s="10">
        <f t="shared" ref="AG21:AK21" si="12">SUM(AJ17:AJ20)</f>
        <v>2250</v>
      </c>
      <c r="AK21" s="10">
        <f t="shared" si="12"/>
        <v>2250</v>
      </c>
      <c r="AS21" s="302"/>
      <c r="AT21" s="303"/>
      <c r="AU21" s="306"/>
      <c r="AV21" s="302"/>
      <c r="AW21" s="303"/>
      <c r="AX21" s="306"/>
      <c r="BB21" s="302"/>
      <c r="BC21" s="303"/>
      <c r="BD21" s="303"/>
      <c r="BE21" s="293" t="s">
        <v>7</v>
      </c>
      <c r="BF21" s="294">
        <f>SUM(BF17:BF20)</f>
        <v>340002960.96679091</v>
      </c>
      <c r="BG21" s="294">
        <f t="shared" ref="BG21:BH21" si="13">SUM(BG17:BG20)</f>
        <v>317964169.10794711</v>
      </c>
      <c r="BH21" s="294">
        <f t="shared" si="13"/>
        <v>311640347.21392971</v>
      </c>
      <c r="BJ21" s="41">
        <f>(SUMPRODUCT(AP17:AP20,AF17:AF20)+SUMPRODUCT(AS17:AS20,AF17:AF20))/SUM(AF17:AF20)</f>
        <v>151112.42709635152</v>
      </c>
      <c r="BK21" s="41" t="e">
        <f>(SUMPRODUCT(AQ17:AQ20,AG17:AG20)+SUMPRODUCT(AT17:AT20,AG17:AG20))/SUM(AG17:AG20)</f>
        <v>#DIV/0!</v>
      </c>
      <c r="BL21" s="41" t="e">
        <f>(SUMPRODUCT(AR17:AR20,AH17:AH20)+SUMPRODUCT(AU17:AU20,AH17:AH20))/SUM(AH17:AH20)</f>
        <v>#DIV/0!</v>
      </c>
    </row>
    <row r="22" spans="1:64" x14ac:dyDescent="0.2">
      <c r="AP22" s="315" t="s">
        <v>89</v>
      </c>
      <c r="AQ22" s="315"/>
      <c r="AR22" s="315"/>
      <c r="AS22" s="316" t="s">
        <v>66</v>
      </c>
      <c r="AT22" s="317"/>
      <c r="AU22" s="318"/>
      <c r="AV22" s="316" t="s">
        <v>88</v>
      </c>
      <c r="AW22" s="317"/>
      <c r="AX22" s="318"/>
      <c r="AY22" s="315" t="s">
        <v>90</v>
      </c>
      <c r="AZ22" s="315"/>
      <c r="BA22" s="315"/>
      <c r="BB22" s="316" t="s">
        <v>66</v>
      </c>
      <c r="BC22" s="317"/>
      <c r="BD22" s="317"/>
      <c r="BF22" s="315" t="s">
        <v>67</v>
      </c>
      <c r="BG22" s="315"/>
      <c r="BH22" s="315"/>
    </row>
    <row r="23" spans="1:64" x14ac:dyDescent="0.2">
      <c r="AP23" s="5">
        <v>2030</v>
      </c>
      <c r="AQ23" s="5">
        <v>2040</v>
      </c>
      <c r="AR23" s="5">
        <v>2050</v>
      </c>
      <c r="AS23" s="298">
        <v>2030</v>
      </c>
      <c r="AT23" s="299">
        <v>2040</v>
      </c>
      <c r="AU23" s="304">
        <v>2050</v>
      </c>
      <c r="AV23" s="298">
        <v>2030</v>
      </c>
      <c r="AW23" s="299">
        <v>2040</v>
      </c>
      <c r="AX23" s="304">
        <v>2050</v>
      </c>
      <c r="AY23" s="5">
        <v>2030</v>
      </c>
      <c r="AZ23" s="5">
        <v>2040</v>
      </c>
      <c r="BA23" s="5">
        <v>2050</v>
      </c>
      <c r="BB23" s="298">
        <v>2030</v>
      </c>
      <c r="BC23" s="299">
        <v>2040</v>
      </c>
      <c r="BD23" s="299">
        <v>2050</v>
      </c>
      <c r="BF23" s="5">
        <v>2030</v>
      </c>
      <c r="BG23" s="5">
        <v>2040</v>
      </c>
      <c r="BH23" s="5">
        <v>2050</v>
      </c>
    </row>
    <row r="24" spans="1:64" x14ac:dyDescent="0.2">
      <c r="AE24" s="6" t="s">
        <v>3</v>
      </c>
      <c r="AF24" s="10">
        <f>$AK$10</f>
        <v>650</v>
      </c>
      <c r="AG24" s="10">
        <v>0</v>
      </c>
      <c r="AH24" s="10">
        <v>0</v>
      </c>
      <c r="AI24" s="10">
        <f>AF24</f>
        <v>650</v>
      </c>
      <c r="AJ24" s="10">
        <f>AG24+AI24</f>
        <v>650</v>
      </c>
      <c r="AK24" s="10">
        <f>AJ24+AH24</f>
        <v>650</v>
      </c>
      <c r="AN24" t="s">
        <v>68</v>
      </c>
      <c r="AO24" s="6" t="s">
        <v>3</v>
      </c>
      <c r="AP24" s="41">
        <f t="shared" ref="AP24:AU24" si="14">SUMPRODUCT(H$36:H$37,$N$36:$N$37)</f>
        <v>146303.49162528964</v>
      </c>
      <c r="AQ24" s="41">
        <f t="shared" si="14"/>
        <v>73729.250531039084</v>
      </c>
      <c r="AR24" s="41">
        <f t="shared" si="14"/>
        <v>61780.579904777798</v>
      </c>
      <c r="AS24" s="312">
        <f t="shared" si="14"/>
        <v>22141.694685638569</v>
      </c>
      <c r="AT24" s="313">
        <f t="shared" si="14"/>
        <v>11158.247397405481</v>
      </c>
      <c r="AU24" s="314">
        <f t="shared" si="14"/>
        <v>9349.9254362076426</v>
      </c>
      <c r="AV24" s="300">
        <f t="shared" ref="AV24:AX27" si="15">AF24*AP24</f>
        <v>95097269.556438267</v>
      </c>
      <c r="AW24" s="301">
        <f t="shared" si="15"/>
        <v>0</v>
      </c>
      <c r="AX24" s="305">
        <f t="shared" si="15"/>
        <v>0</v>
      </c>
      <c r="AY24">
        <v>0</v>
      </c>
      <c r="AZ24" s="36">
        <f>AV24</f>
        <v>95097269.556438267</v>
      </c>
      <c r="BA24" s="36">
        <f>AZ24+AX24</f>
        <v>95097269.556438267</v>
      </c>
      <c r="BB24" s="300">
        <f t="shared" ref="BB24:BD27" si="16">AS24*AI24</f>
        <v>14392101.54566507</v>
      </c>
      <c r="BC24" s="301">
        <f t="shared" si="16"/>
        <v>7252860.8083135625</v>
      </c>
      <c r="BD24" s="301">
        <f t="shared" si="16"/>
        <v>6077451.5335349673</v>
      </c>
      <c r="BE24" s="6" t="s">
        <v>3</v>
      </c>
      <c r="BF24" s="41">
        <f>AV24+AY24+BB24</f>
        <v>109489371.10210334</v>
      </c>
      <c r="BG24" s="41">
        <f t="shared" ref="BG24:BH27" si="17">AW24+AZ24+BC24</f>
        <v>102350130.36475183</v>
      </c>
      <c r="BH24" s="41">
        <f t="shared" si="17"/>
        <v>101174721.08997324</v>
      </c>
    </row>
    <row r="25" spans="1:64" x14ac:dyDescent="0.2">
      <c r="AE25" s="6" t="s">
        <v>4</v>
      </c>
      <c r="AF25" s="10">
        <f>$AK$11</f>
        <v>850</v>
      </c>
      <c r="AG25" s="10">
        <v>0</v>
      </c>
      <c r="AH25" s="10">
        <v>0</v>
      </c>
      <c r="AI25" s="10">
        <f t="shared" ref="AI25:AI27" si="18">AF25</f>
        <v>850</v>
      </c>
      <c r="AJ25" s="10">
        <f t="shared" ref="AJ25:AJ27" si="19">AG25+AI25</f>
        <v>850</v>
      </c>
      <c r="AK25" s="10">
        <f t="shared" ref="AK25:AK27" si="20">AJ25+AH25</f>
        <v>850</v>
      </c>
      <c r="AN25" t="s">
        <v>68</v>
      </c>
      <c r="AO25" s="6" t="s">
        <v>4</v>
      </c>
      <c r="AP25" s="41">
        <f t="shared" ref="AP25:AU25" si="21">SUMPRODUCT(H$38:H$39,$N$38:$N$39)</f>
        <v>87116.120160492908</v>
      </c>
      <c r="AQ25" s="41">
        <f t="shared" si="21"/>
        <v>55177.902508467596</v>
      </c>
      <c r="AR25" s="41">
        <f t="shared" si="21"/>
        <v>47349.482340551476</v>
      </c>
      <c r="AS25" s="312">
        <f t="shared" si="21"/>
        <v>30714.807881421188</v>
      </c>
      <c r="AT25" s="313">
        <f t="shared" si="21"/>
        <v>19454.248785702359</v>
      </c>
      <c r="AU25" s="314">
        <f t="shared" si="21"/>
        <v>16694.157759729082</v>
      </c>
      <c r="AV25" s="300">
        <f t="shared" si="15"/>
        <v>74048702.136418968</v>
      </c>
      <c r="AW25" s="301">
        <f t="shared" si="15"/>
        <v>0</v>
      </c>
      <c r="AX25" s="305">
        <f t="shared" si="15"/>
        <v>0</v>
      </c>
      <c r="AY25">
        <v>0</v>
      </c>
      <c r="AZ25" s="36">
        <f>AV25</f>
        <v>74048702.136418968</v>
      </c>
      <c r="BA25" s="36">
        <f>AZ25+AX25</f>
        <v>74048702.136418968</v>
      </c>
      <c r="BB25" s="300">
        <f t="shared" si="16"/>
        <v>26107586.69920801</v>
      </c>
      <c r="BC25" s="301">
        <f t="shared" si="16"/>
        <v>16536111.467847005</v>
      </c>
      <c r="BD25" s="301">
        <f t="shared" si="16"/>
        <v>14190034.09576972</v>
      </c>
      <c r="BE25" s="6" t="s">
        <v>4</v>
      </c>
      <c r="BF25" s="41">
        <f t="shared" ref="BF25:BF27" si="22">AV25+AY25+BB25</f>
        <v>100156288.83562697</v>
      </c>
      <c r="BG25" s="41">
        <f t="shared" si="17"/>
        <v>90584813.604265973</v>
      </c>
      <c r="BH25" s="41">
        <f t="shared" si="17"/>
        <v>88238736.232188687</v>
      </c>
    </row>
    <row r="26" spans="1:64" x14ac:dyDescent="0.2">
      <c r="AE26" s="6" t="s">
        <v>5</v>
      </c>
      <c r="AF26" s="10">
        <f>$AK$12</f>
        <v>0</v>
      </c>
      <c r="AG26" s="10">
        <v>0</v>
      </c>
      <c r="AH26" s="10">
        <v>0</v>
      </c>
      <c r="AI26" s="10">
        <f t="shared" si="18"/>
        <v>0</v>
      </c>
      <c r="AJ26" s="10">
        <f t="shared" si="19"/>
        <v>0</v>
      </c>
      <c r="AK26" s="10">
        <f t="shared" si="20"/>
        <v>0</v>
      </c>
      <c r="AN26" t="s">
        <v>68</v>
      </c>
      <c r="AO26" s="6" t="s">
        <v>5</v>
      </c>
      <c r="AP26" s="41">
        <f t="shared" ref="AP26:AU26" si="23">SUMPRODUCT(H$40,$N$40)</f>
        <v>83543.33211867974</v>
      </c>
      <c r="AQ26" s="41">
        <f t="shared" si="23"/>
        <v>56446.082073278056</v>
      </c>
      <c r="AR26" s="41">
        <f t="shared" si="23"/>
        <v>48951.285483239109</v>
      </c>
      <c r="AS26" s="312">
        <f t="shared" si="23"/>
        <v>19250.09528023169</v>
      </c>
      <c r="AT26" s="313">
        <f t="shared" si="23"/>
        <v>13006.333725865667</v>
      </c>
      <c r="AU26" s="314">
        <f t="shared" si="23"/>
        <v>11279.379044919368</v>
      </c>
      <c r="AV26" s="300">
        <f t="shared" si="15"/>
        <v>0</v>
      </c>
      <c r="AW26" s="301">
        <f t="shared" si="15"/>
        <v>0</v>
      </c>
      <c r="AX26" s="305">
        <f t="shared" si="15"/>
        <v>0</v>
      </c>
      <c r="AY26">
        <v>0</v>
      </c>
      <c r="AZ26" s="36">
        <f>AV26</f>
        <v>0</v>
      </c>
      <c r="BA26" s="36">
        <f>AZ26+AX26</f>
        <v>0</v>
      </c>
      <c r="BB26" s="300">
        <f t="shared" si="16"/>
        <v>0</v>
      </c>
      <c r="BC26" s="301">
        <f t="shared" si="16"/>
        <v>0</v>
      </c>
      <c r="BD26" s="301">
        <f t="shared" si="16"/>
        <v>0</v>
      </c>
      <c r="BE26" s="6" t="s">
        <v>5</v>
      </c>
      <c r="BF26" s="41">
        <f t="shared" si="22"/>
        <v>0</v>
      </c>
      <c r="BG26" s="41">
        <f t="shared" si="17"/>
        <v>0</v>
      </c>
      <c r="BH26" s="41">
        <f t="shared" si="17"/>
        <v>0</v>
      </c>
    </row>
    <row r="27" spans="1:64" x14ac:dyDescent="0.2">
      <c r="AE27" s="6" t="s">
        <v>6</v>
      </c>
      <c r="AF27" s="10">
        <f>$AK$13</f>
        <v>750</v>
      </c>
      <c r="AG27" s="10">
        <v>0</v>
      </c>
      <c r="AH27" s="10">
        <v>0</v>
      </c>
      <c r="AI27" s="10">
        <f t="shared" si="18"/>
        <v>750</v>
      </c>
      <c r="AJ27" s="10">
        <f t="shared" si="19"/>
        <v>750</v>
      </c>
      <c r="AK27" s="10">
        <f t="shared" si="20"/>
        <v>750</v>
      </c>
      <c r="AN27" t="s">
        <v>68</v>
      </c>
      <c r="AO27" s="6" t="s">
        <v>6</v>
      </c>
      <c r="AP27" s="41">
        <f t="shared" ref="AP27:AU27" si="24">SUMPRODUCT(H$41,$N$41)</f>
        <v>90139.379992090733</v>
      </c>
      <c r="AQ27" s="41">
        <f t="shared" si="24"/>
        <v>60902.704166025302</v>
      </c>
      <c r="AR27" s="41">
        <f t="shared" si="24"/>
        <v>52816.16631003892</v>
      </c>
      <c r="AS27" s="312">
        <f t="shared" si="24"/>
        <v>41870.679090328827</v>
      </c>
      <c r="AT27" s="313">
        <f t="shared" si="24"/>
        <v>28289.939226258608</v>
      </c>
      <c r="AU27" s="314">
        <f t="shared" si="24"/>
        <v>24533.658324953198</v>
      </c>
      <c r="AV27" s="300">
        <f t="shared" si="15"/>
        <v>67604534.994068056</v>
      </c>
      <c r="AW27" s="301">
        <f t="shared" si="15"/>
        <v>0</v>
      </c>
      <c r="AX27" s="305">
        <f t="shared" si="15"/>
        <v>0</v>
      </c>
      <c r="AY27">
        <v>0</v>
      </c>
      <c r="AZ27" s="36">
        <f>AV27</f>
        <v>67604534.994068056</v>
      </c>
      <c r="BA27" s="36">
        <f>AZ27+AX27</f>
        <v>67604534.994068056</v>
      </c>
      <c r="BB27" s="300">
        <f t="shared" si="16"/>
        <v>31403009.317746621</v>
      </c>
      <c r="BC27" s="301">
        <f t="shared" si="16"/>
        <v>21217454.419693954</v>
      </c>
      <c r="BD27" s="301">
        <f t="shared" si="16"/>
        <v>18400243.743714899</v>
      </c>
      <c r="BE27" s="6" t="s">
        <v>6</v>
      </c>
      <c r="BF27" s="41">
        <f t="shared" si="22"/>
        <v>99007544.311814681</v>
      </c>
      <c r="BG27" s="41">
        <f t="shared" si="17"/>
        <v>88821989.413762003</v>
      </c>
      <c r="BH27" s="41">
        <f t="shared" si="17"/>
        <v>86004778.737782955</v>
      </c>
    </row>
    <row r="28" spans="1:64" x14ac:dyDescent="0.2">
      <c r="H28">
        <v>2030</v>
      </c>
      <c r="I28">
        <v>2040</v>
      </c>
      <c r="J28">
        <v>2050</v>
      </c>
      <c r="K28">
        <v>2030</v>
      </c>
      <c r="L28">
        <v>2040</v>
      </c>
      <c r="M28">
        <v>2050</v>
      </c>
      <c r="AE28" s="6" t="s">
        <v>7</v>
      </c>
      <c r="AF28" s="10">
        <f>SUM(AF24:AF27)</f>
        <v>2250</v>
      </c>
      <c r="AG28" s="10">
        <v>0</v>
      </c>
      <c r="AH28" s="10">
        <v>0</v>
      </c>
      <c r="AI28" s="10">
        <f>SUM(AI24:AI27)</f>
        <v>2250</v>
      </c>
      <c r="AJ28" s="10">
        <f t="shared" ref="AJ28:AK28" si="25">SUM(AJ24:AJ27)</f>
        <v>2250</v>
      </c>
      <c r="AK28" s="10">
        <f t="shared" si="25"/>
        <v>2250</v>
      </c>
      <c r="AS28" s="302"/>
      <c r="AT28" s="303"/>
      <c r="AU28" s="306"/>
      <c r="AV28" s="302"/>
      <c r="AW28" s="303"/>
      <c r="AX28" s="306"/>
      <c r="BB28" s="302"/>
      <c r="BC28" s="303"/>
      <c r="BD28" s="303"/>
      <c r="BE28" s="293" t="s">
        <v>7</v>
      </c>
      <c r="BF28" s="294">
        <f>SUM(BF24:BF27)</f>
        <v>308653204.24954498</v>
      </c>
      <c r="BG28" s="294">
        <f t="shared" ref="BG28:BH28" si="26">SUM(BG24:BG27)</f>
        <v>281756933.38277984</v>
      </c>
      <c r="BH28" s="294">
        <f t="shared" si="26"/>
        <v>275418236.05994487</v>
      </c>
      <c r="BJ28" s="41">
        <f>(SUMPRODUCT(AP24:AP27,AF24:AF27)+SUMPRODUCT(AS24:AS27,AF24:AF27))/SUM(AF24:AF27)</f>
        <v>137179.20188868666</v>
      </c>
      <c r="BK28" s="41" t="e">
        <f>(SUMPRODUCT(AQ24:AQ27,AG24:AG27)+SUMPRODUCT(AT24:AT27,AG24:AG27))/SUM(AG24:AG27)</f>
        <v>#DIV/0!</v>
      </c>
      <c r="BL28" s="41" t="e">
        <f>(SUMPRODUCT(AR24:AR27,AH24:AH27)+SUMPRODUCT(AU24:AU27,AH24:AH27))/SUM(AH24:AH27)</f>
        <v>#DIV/0!</v>
      </c>
    </row>
    <row r="29" spans="1:64" ht="45" x14ac:dyDescent="0.2">
      <c r="A29" s="13" t="s">
        <v>398</v>
      </c>
      <c r="B29" s="14" t="s">
        <v>190</v>
      </c>
      <c r="H29" t="s">
        <v>82</v>
      </c>
      <c r="I29" t="s">
        <v>81</v>
      </c>
      <c r="J29" t="s">
        <v>80</v>
      </c>
      <c r="K29" t="s">
        <v>83</v>
      </c>
      <c r="L29" t="s">
        <v>84</v>
      </c>
      <c r="M29" t="s">
        <v>85</v>
      </c>
      <c r="Q29" s="42"/>
      <c r="AP29" s="315" t="s">
        <v>89</v>
      </c>
      <c r="AQ29" s="315"/>
      <c r="AR29" s="315"/>
      <c r="AS29" s="316" t="s">
        <v>66</v>
      </c>
      <c r="AT29" s="317"/>
      <c r="AU29" s="318"/>
      <c r="AV29" s="316" t="s">
        <v>88</v>
      </c>
      <c r="AW29" s="317"/>
      <c r="AX29" s="318"/>
      <c r="AY29" s="315" t="s">
        <v>90</v>
      </c>
      <c r="AZ29" s="315"/>
      <c r="BA29" s="315"/>
      <c r="BB29" s="316" t="s">
        <v>66</v>
      </c>
      <c r="BC29" s="317"/>
      <c r="BD29" s="317"/>
      <c r="BF29" s="315" t="s">
        <v>67</v>
      </c>
      <c r="BG29" s="315"/>
      <c r="BH29" s="315"/>
    </row>
    <row r="30" spans="1:64" x14ac:dyDescent="0.2">
      <c r="A30" s="41">
        <f>_xlfn.XLOOKUP(NormalCase!$G30,'SAM Assumption'!$A$2:$A$20,'SAM Assumption'!$AF$2:$AF$20)</f>
        <v>240911</v>
      </c>
      <c r="B30" s="36">
        <f>_xlfn.XLOOKUP(NormalCase!$G30,'SAM Assumption'!$A$2:$A$20,'SAM Assumption'!$AE$2:$AE$20)</f>
        <v>37125</v>
      </c>
      <c r="D30" t="str">
        <f>E30&amp;F30</f>
        <v>ResidentialMid RE</v>
      </c>
      <c r="E30" t="s">
        <v>3</v>
      </c>
      <c r="F30" t="s">
        <v>70</v>
      </c>
      <c r="G30" t="s">
        <v>40</v>
      </c>
      <c r="H30" s="311" cm="1">
        <f t="array" ref="H30">$A30*_xlfn.XLOOKUP(H$28,$G$65:$J$65,_xlfn.XLOOKUP($D30,$D$66:$D$74,$G$66:$J$74))</f>
        <v>157840.22567978757</v>
      </c>
      <c r="I30" s="311" cm="1">
        <f t="array" ref="I30">$A30*_xlfn.XLOOKUP(I$28,$G$65:$J$65,_xlfn.XLOOKUP($D30,$D$66:$D$74,$G$66:$J$74))</f>
        <v>95771.278823425411</v>
      </c>
      <c r="J30" s="311" cm="1">
        <f t="array" ref="J30">$A30*_xlfn.XLOOKUP(J$28,$G$65:$J$65,_xlfn.XLOOKUP($D30,$D$66:$D$74,$G$66:$J$74))</f>
        <v>83610.495836357411</v>
      </c>
      <c r="K30" s="311" cm="1">
        <f t="array" ref="K30">$B30*_xlfn.XLOOKUP(K$28,$G$65:$J$65,_xlfn.XLOOKUP($D30,$D$66:$D$74,$G$66:$J$74))</f>
        <v>24323.581647837225</v>
      </c>
      <c r="L30" s="311" cm="1">
        <f t="array" ref="L30">$B30*_xlfn.XLOOKUP(L$28,$G$65:$J$65,_xlfn.XLOOKUP($D30,$D$66:$D$74,$G$66:$J$74))</f>
        <v>14758.598512810408</v>
      </c>
      <c r="M30" s="311" cm="1">
        <f t="array" ref="M30">$B30*_xlfn.XLOOKUP(M$28,$G$65:$J$65,_xlfn.XLOOKUP($D30,$D$66:$D$74,$G$66:$J$74))</f>
        <v>12884.590815383144</v>
      </c>
      <c r="N30">
        <v>0.4</v>
      </c>
      <c r="O30" s="36"/>
      <c r="P30" s="44">
        <f>_xlfn.XLOOKUP(NormalCase!$G30,'SAM Assumption'!$A$2:$A$20,'SAM Assumption'!Z$2:Z$20)</f>
        <v>4.8414634146341395E-2</v>
      </c>
      <c r="Q30" s="41">
        <f t="shared" ref="Q30:Q47" si="27">-PV($P30,25,H30)</f>
        <v>2260373.5344628626</v>
      </c>
      <c r="R30" s="41">
        <f t="shared" ref="R30:R47" si="28">-PV($P30,25,I30)</f>
        <v>1371506.3006391523</v>
      </c>
      <c r="S30" s="41">
        <f t="shared" ref="S30:S47" si="29">-PV($P30,25,J30)</f>
        <v>1197356.0679976975</v>
      </c>
      <c r="U30" s="229">
        <f>SUMPRODUCT(Q30:Q31,$N$30:$N$31)</f>
        <v>2260373.2797854263</v>
      </c>
      <c r="V30" s="229">
        <f>SUMPRODUCT(R30:R31,$N$30:$N$31)</f>
        <v>1371506.1461108394</v>
      </c>
      <c r="W30" s="229">
        <f>SUMPRODUCT(S30:S31,$N$30:$N$31)</f>
        <v>1197355.9330909797</v>
      </c>
      <c r="AP30" s="5">
        <v>2030</v>
      </c>
      <c r="AQ30" s="5">
        <v>2040</v>
      </c>
      <c r="AR30" s="5">
        <v>2050</v>
      </c>
      <c r="AS30" s="298">
        <v>2030</v>
      </c>
      <c r="AT30" s="299">
        <v>2040</v>
      </c>
      <c r="AU30" s="304">
        <v>2050</v>
      </c>
      <c r="AV30" s="298">
        <v>2030</v>
      </c>
      <c r="AW30" s="299">
        <v>2040</v>
      </c>
      <c r="AX30" s="304">
        <v>2050</v>
      </c>
      <c r="AY30" s="5">
        <v>2030</v>
      </c>
      <c r="AZ30" s="5">
        <v>2040</v>
      </c>
      <c r="BA30" s="5">
        <v>2050</v>
      </c>
      <c r="BB30" s="298">
        <v>2030</v>
      </c>
      <c r="BC30" s="299">
        <v>2040</v>
      </c>
      <c r="BD30" s="299">
        <v>2050</v>
      </c>
      <c r="BF30" s="5">
        <v>2030</v>
      </c>
      <c r="BG30" s="5">
        <v>2040</v>
      </c>
      <c r="BH30" s="5">
        <v>2050</v>
      </c>
    </row>
    <row r="31" spans="1:64" x14ac:dyDescent="0.2">
      <c r="A31" s="41">
        <f>_xlfn.XLOOKUP(NormalCase!$G31,'SAM Assumption'!$A$2:$A$20,'SAM Assumption'!$AF$2:$AF$20)</f>
        <v>248238</v>
      </c>
      <c r="B31" s="36">
        <f>_xlfn.XLOOKUP(NormalCase!$G31,'SAM Assumption'!$A$2:$A$20,'SAM Assumption'!$AE$2:$AE$20)</f>
        <v>37125</v>
      </c>
      <c r="D31" t="str">
        <f t="shared" ref="D31:D47" si="30">E31&amp;F31</f>
        <v>ResidentialMid RE</v>
      </c>
      <c r="E31" t="s">
        <v>3</v>
      </c>
      <c r="F31" t="s">
        <v>70</v>
      </c>
      <c r="G31" t="s">
        <v>41</v>
      </c>
      <c r="H31" s="311" cm="1">
        <f t="array" ref="H31">$A31*_xlfn.XLOOKUP(H$28,$G$65:$J$65,_xlfn.XLOOKUP($D31,$D$66:$D$74,$G$66:$J$74))</f>
        <v>162640.73430561123</v>
      </c>
      <c r="I31" s="311" cm="1">
        <f t="array" ref="I31">$A31*_xlfn.XLOOKUP(I$28,$G$65:$J$65,_xlfn.XLOOKUP($D31,$D$66:$D$74,$G$66:$J$74))</f>
        <v>98684.039801293737</v>
      </c>
      <c r="J31" s="311" cm="1">
        <f t="array" ref="J31">$A31*_xlfn.XLOOKUP(J$28,$G$65:$J$65,_xlfn.XLOOKUP($D31,$D$66:$D$74,$G$66:$J$74))</f>
        <v>86153.402150278271</v>
      </c>
      <c r="K31" s="311" cm="1">
        <f t="array" ref="K31">$B31*_xlfn.XLOOKUP(K$28,$G$65:$J$65,_xlfn.XLOOKUP($D31,$D$66:$D$74,$G$66:$J$74))</f>
        <v>24323.581647837225</v>
      </c>
      <c r="L31" s="311" cm="1">
        <f t="array" ref="L31">$B31*_xlfn.XLOOKUP(L$28,$G$65:$J$65,_xlfn.XLOOKUP($D31,$D$66:$D$74,$G$66:$J$74))</f>
        <v>14758.598512810408</v>
      </c>
      <c r="M31" s="311" cm="1">
        <f t="array" ref="M31">$B31*_xlfn.XLOOKUP(M$28,$G$65:$J$65,_xlfn.XLOOKUP($D31,$D$66:$D$74,$G$66:$J$74))</f>
        <v>12884.590815383144</v>
      </c>
      <c r="N31">
        <v>0.6</v>
      </c>
      <c r="O31" s="36"/>
      <c r="P31" s="44">
        <f>_xlfn.XLOOKUP(NormalCase!$G31,'SAM Assumption'!$A$2:$A$20,'SAM Assumption'!Z$2:Z$20)</f>
        <v>5.1402439024390345E-2</v>
      </c>
      <c r="Q31" s="41">
        <f t="shared" si="27"/>
        <v>2260373.1100004683</v>
      </c>
      <c r="R31" s="41">
        <f t="shared" si="28"/>
        <v>1371506.0430919642</v>
      </c>
      <c r="S31" s="41">
        <f t="shared" si="29"/>
        <v>1197355.843153168</v>
      </c>
      <c r="U31" s="229">
        <f>SUMPRODUCT(Q32:Q33,$N$32:$N$33)</f>
        <v>1410836.1713129557</v>
      </c>
      <c r="V31" s="229">
        <f>SUMPRODUCT(R32:R33,$N$32:$N$33)</f>
        <v>1038360.5507796786</v>
      </c>
      <c r="W31" s="229">
        <f>SUMPRODUCT(S32:S33,$N$32:$N$33)</f>
        <v>909213.03390885249</v>
      </c>
      <c r="AE31" s="6" t="s">
        <v>3</v>
      </c>
      <c r="AF31" s="10">
        <f>$AK$10</f>
        <v>650</v>
      </c>
      <c r="AG31" s="10">
        <v>0</v>
      </c>
      <c r="AH31" s="10">
        <v>0</v>
      </c>
      <c r="AI31" s="10">
        <f>AF31</f>
        <v>650</v>
      </c>
      <c r="AJ31" s="10">
        <f>AG31+AI31</f>
        <v>650</v>
      </c>
      <c r="AK31" s="10">
        <f>AJ31+AH31</f>
        <v>650</v>
      </c>
      <c r="AN31" t="s">
        <v>69</v>
      </c>
      <c r="AO31" s="6" t="s">
        <v>3</v>
      </c>
      <c r="AP31" s="41">
        <f t="shared" ref="AP31:AU31" si="31">SUMPRODUCT(H$42:H$43,$N$42:$N$43)</f>
        <v>227578.97348966563</v>
      </c>
      <c r="AQ31" s="41">
        <f t="shared" si="31"/>
        <v>183884.26182658976</v>
      </c>
      <c r="AR31" s="41">
        <f t="shared" si="31"/>
        <v>125928.09093655403</v>
      </c>
      <c r="AS31" s="312">
        <f t="shared" si="31"/>
        <v>34441.995142432985</v>
      </c>
      <c r="AT31" s="313">
        <f t="shared" si="31"/>
        <v>27829.200367181009</v>
      </c>
      <c r="AU31" s="314">
        <f t="shared" si="31"/>
        <v>19058.064239531363</v>
      </c>
      <c r="AV31" s="300">
        <f t="shared" ref="AV31:AX34" si="32">AF31*AP31</f>
        <v>147926332.76828265</v>
      </c>
      <c r="AW31" s="301">
        <f t="shared" si="32"/>
        <v>0</v>
      </c>
      <c r="AX31" s="305">
        <f t="shared" si="32"/>
        <v>0</v>
      </c>
      <c r="AY31">
        <v>0</v>
      </c>
      <c r="AZ31" s="36">
        <f>AV31</f>
        <v>147926332.76828265</v>
      </c>
      <c r="BA31" s="36">
        <f>AZ31+AX31</f>
        <v>147926332.76828265</v>
      </c>
      <c r="BB31" s="300">
        <f t="shared" ref="BB31:BD34" si="33">AS31*AI31</f>
        <v>22387296.84258144</v>
      </c>
      <c r="BC31" s="301">
        <f t="shared" si="33"/>
        <v>18088980.238667656</v>
      </c>
      <c r="BD31" s="301">
        <f t="shared" si="33"/>
        <v>12387741.755695386</v>
      </c>
      <c r="BE31" s="6" t="s">
        <v>3</v>
      </c>
      <c r="BF31" s="41">
        <f>AV31+AY31+BB31</f>
        <v>170313629.6108641</v>
      </c>
      <c r="BG31" s="41">
        <f t="shared" ref="BG31:BH34" si="34">AW31+AZ31+BC31</f>
        <v>166015313.00695032</v>
      </c>
      <c r="BH31" s="41">
        <f t="shared" si="34"/>
        <v>160314074.52397802</v>
      </c>
    </row>
    <row r="32" spans="1:64" x14ac:dyDescent="0.2">
      <c r="A32" s="41">
        <f>_xlfn.XLOOKUP(NormalCase!$G32,'SAM Assumption'!$A$2:$A$20,'SAM Assumption'!$AF$2:$AF$20)</f>
        <v>130428</v>
      </c>
      <c r="B32" s="36">
        <f>_xlfn.XLOOKUP(NormalCase!$G32,'SAM Assumption'!$A$2:$A$20,'SAM Assumption'!$AE$2:$AE$20)</f>
        <v>22571.428571428569</v>
      </c>
      <c r="D32" t="str">
        <f t="shared" si="30"/>
        <v>CommercialMid RE</v>
      </c>
      <c r="E32" t="s">
        <v>4</v>
      </c>
      <c r="F32" t="s">
        <v>70</v>
      </c>
      <c r="G32" t="s">
        <v>26</v>
      </c>
      <c r="H32" s="311" cm="1">
        <f t="array" ref="H32">$A32*_xlfn.XLOOKUP(H$28,$G$65:$J$65,_xlfn.XLOOKUP($D32,$D$66:$D$74,$G$66:$J$74))</f>
        <v>98772.009471061407</v>
      </c>
      <c r="I32" s="311" cm="1">
        <f t="array" ref="I32">$A32*_xlfn.XLOOKUP(I$28,$G$65:$J$65,_xlfn.XLOOKUP($D32,$D$66:$D$74,$G$66:$J$74))</f>
        <v>72695.157837172155</v>
      </c>
      <c r="J32" s="311" cm="1">
        <f t="array" ref="J32">$A32*_xlfn.XLOOKUP(J$28,$G$65:$J$65,_xlfn.XLOOKUP($D32,$D$66:$D$74,$G$66:$J$74))</f>
        <v>63653.597931844415</v>
      </c>
      <c r="K32" s="311" cm="1">
        <f t="array" ref="K32">$B32*_xlfn.XLOOKUP(K$28,$G$65:$J$65,_xlfn.XLOOKUP($D32,$D$66:$D$74,$G$66:$J$74))</f>
        <v>17093.149911311441</v>
      </c>
      <c r="L32" s="311" cm="1">
        <f t="array" ref="L32">$B32*_xlfn.XLOOKUP(L$28,$G$65:$J$65,_xlfn.XLOOKUP($D32,$D$66:$D$74,$G$66:$J$74))</f>
        <v>12580.378159677806</v>
      </c>
      <c r="M32" s="311" cm="1">
        <f t="array" ref="M32">$B32*_xlfn.XLOOKUP(M$28,$G$65:$J$65,_xlfn.XLOOKUP($D32,$D$66:$D$74,$G$66:$J$74))</f>
        <v>11015.67638109194</v>
      </c>
      <c r="N32">
        <v>0.4</v>
      </c>
      <c r="O32" s="36"/>
      <c r="P32" s="44">
        <f>_xlfn.XLOOKUP(NormalCase!$G32,'SAM Assumption'!$A$2:$A$20,'SAM Assumption'!Z$2:Z$20)</f>
        <v>4.7250000000000236E-2</v>
      </c>
      <c r="Q32" s="41">
        <f t="shared" si="27"/>
        <v>1431280.2096371965</v>
      </c>
      <c r="R32" s="41">
        <f t="shared" si="28"/>
        <v>1053407.1474903119</v>
      </c>
      <c r="S32" s="41">
        <f t="shared" si="29"/>
        <v>922388.1895279726</v>
      </c>
      <c r="U32" s="229">
        <f>SUMPRODUCT(Q34,$N$34)</f>
        <v>1317984.4768124947</v>
      </c>
      <c r="V32" s="229">
        <f>SUMPRODUCT(R34,$N$34)</f>
        <v>1005019.7963103576</v>
      </c>
      <c r="W32" s="229">
        <f>SUMPRODUCT(S34,$N$34)</f>
        <v>911157.49875601614</v>
      </c>
      <c r="AE32" s="6" t="s">
        <v>4</v>
      </c>
      <c r="AF32" s="10">
        <f>$AK$11</f>
        <v>850</v>
      </c>
      <c r="AG32" s="10">
        <v>0</v>
      </c>
      <c r="AH32" s="10">
        <v>0</v>
      </c>
      <c r="AI32" s="10">
        <f t="shared" ref="AI32:AI34" si="35">AF32</f>
        <v>850</v>
      </c>
      <c r="AJ32" s="10">
        <f t="shared" ref="AJ32:AJ34" si="36">AG32+AI32</f>
        <v>850</v>
      </c>
      <c r="AK32" s="10">
        <f t="shared" ref="AK32:AK34" si="37">AJ32+AH32</f>
        <v>850</v>
      </c>
      <c r="AN32" t="s">
        <v>69</v>
      </c>
      <c r="AO32" s="6" t="s">
        <v>4</v>
      </c>
      <c r="AP32" s="41">
        <f t="shared" ref="AP32:AU32" si="38">SUMPRODUCT(H$44:H$45,$N$44:$N$45)</f>
        <v>120692.37586078591</v>
      </c>
      <c r="AQ32" s="41">
        <f t="shared" si="38"/>
        <v>104138.46944163667</v>
      </c>
      <c r="AR32" s="41">
        <f t="shared" si="38"/>
        <v>83583.032484655007</v>
      </c>
      <c r="AS32" s="312">
        <f t="shared" si="38"/>
        <v>42552.895267682681</v>
      </c>
      <c r="AT32" s="313">
        <f t="shared" si="38"/>
        <v>36716.431770289972</v>
      </c>
      <c r="AU32" s="314">
        <f t="shared" si="38"/>
        <v>29469.135909441062</v>
      </c>
      <c r="AV32" s="300">
        <f t="shared" si="32"/>
        <v>102588519.48166803</v>
      </c>
      <c r="AW32" s="301">
        <f t="shared" si="32"/>
        <v>0</v>
      </c>
      <c r="AX32" s="305">
        <f t="shared" si="32"/>
        <v>0</v>
      </c>
      <c r="AY32">
        <v>0</v>
      </c>
      <c r="AZ32" s="36">
        <f>AV32</f>
        <v>102588519.48166803</v>
      </c>
      <c r="BA32" s="36">
        <f>AZ32+AX32</f>
        <v>102588519.48166803</v>
      </c>
      <c r="BB32" s="300">
        <f t="shared" si="33"/>
        <v>36169960.977530278</v>
      </c>
      <c r="BC32" s="301">
        <f t="shared" si="33"/>
        <v>31208967.004746474</v>
      </c>
      <c r="BD32" s="301">
        <f t="shared" si="33"/>
        <v>25048765.523024902</v>
      </c>
      <c r="BE32" s="6" t="s">
        <v>4</v>
      </c>
      <c r="BF32" s="41">
        <f t="shared" ref="BF32:BF34" si="39">AV32+AY32+BB32</f>
        <v>138758480.4591983</v>
      </c>
      <c r="BG32" s="41">
        <f t="shared" si="34"/>
        <v>133797486.48641449</v>
      </c>
      <c r="BH32" s="41">
        <f t="shared" si="34"/>
        <v>127637285.00469293</v>
      </c>
    </row>
    <row r="33" spans="1:64" x14ac:dyDescent="0.2">
      <c r="A33" s="41">
        <f>_xlfn.XLOOKUP(NormalCase!$G33,'SAM Assumption'!$A$2:$A$20,'SAM Assumption'!$AF$2:$AF$20)</f>
        <v>127323</v>
      </c>
      <c r="B33" s="36">
        <f>_xlfn.XLOOKUP(NormalCase!$G33,'SAM Assumption'!$A$2:$A$20,'SAM Assumption'!$AE$2:$AE$20)</f>
        <v>60500</v>
      </c>
      <c r="D33" t="str">
        <f t="shared" si="30"/>
        <v>CommercialMid RE</v>
      </c>
      <c r="E33" t="s">
        <v>4</v>
      </c>
      <c r="F33" t="s">
        <v>70</v>
      </c>
      <c r="G33" t="s">
        <v>32</v>
      </c>
      <c r="H33" s="311" cm="1">
        <f t="array" ref="H33">$A33*_xlfn.XLOOKUP(H$28,$G$65:$J$65,_xlfn.XLOOKUP($D33,$D$66:$D$74,$G$66:$J$74))</f>
        <v>96420.619513324986</v>
      </c>
      <c r="I33" s="311" cm="1">
        <f t="array" ref="I33">$A33*_xlfn.XLOOKUP(I$28,$G$65:$J$65,_xlfn.XLOOKUP($D33,$D$66:$D$74,$G$66:$J$74))</f>
        <v>70964.559613750651</v>
      </c>
      <c r="J33" s="311" cm="1">
        <f t="array" ref="J33">$A33*_xlfn.XLOOKUP(J$28,$G$65:$J$65,_xlfn.XLOOKUP($D33,$D$66:$D$74,$G$66:$J$74))</f>
        <v>62138.245234736612</v>
      </c>
      <c r="K33" s="311" cm="1">
        <f t="array" ref="K33">$B33*_xlfn.XLOOKUP(K$28,$G$65:$J$65,_xlfn.XLOOKUP($D33,$D$66:$D$74,$G$66:$J$74))</f>
        <v>45816.132831901239</v>
      </c>
      <c r="L33" s="311" cm="1">
        <f t="array" ref="L33">$B33*_xlfn.XLOOKUP(L$28,$G$65:$J$65,_xlfn.XLOOKUP($D33,$D$66:$D$74,$G$66:$J$74))</f>
        <v>33720.190826731341</v>
      </c>
      <c r="M33" s="311" cm="1">
        <f t="array" ref="M33">$B33*_xlfn.XLOOKUP(M$28,$G$65:$J$65,_xlfn.XLOOKUP($D33,$D$66:$D$74,$G$66:$J$74))</f>
        <v>29526.195869572388</v>
      </c>
      <c r="N33">
        <v>0.6</v>
      </c>
      <c r="O33" s="36"/>
      <c r="P33" s="44">
        <f>_xlfn.XLOOKUP(NormalCase!$G33,'SAM Assumption'!$A$2:$A$20,'SAM Assumption'!Z$2:Z$20)</f>
        <v>4.7250000000000236E-2</v>
      </c>
      <c r="Q33" s="41">
        <f t="shared" si="27"/>
        <v>1397206.8124301285</v>
      </c>
      <c r="R33" s="41">
        <f t="shared" si="28"/>
        <v>1028329.4863059233</v>
      </c>
      <c r="S33" s="41">
        <f t="shared" si="29"/>
        <v>900429.59682943905</v>
      </c>
      <c r="U33" s="229">
        <f>SUMPRODUCT(Q35,$N$35)</f>
        <v>1422044.1125128998</v>
      </c>
      <c r="V33" s="229">
        <f>SUMPRODUCT(R35,$N$35)</f>
        <v>1084369.7398913926</v>
      </c>
      <c r="W33" s="229">
        <f>SUMPRODUCT(S35,$N$35)</f>
        <v>983096.67486494093</v>
      </c>
      <c r="AE33" s="6" t="s">
        <v>5</v>
      </c>
      <c r="AF33" s="10">
        <f>$AK$12</f>
        <v>0</v>
      </c>
      <c r="AG33" s="10">
        <v>0</v>
      </c>
      <c r="AH33" s="10">
        <v>0</v>
      </c>
      <c r="AI33" s="10">
        <f t="shared" si="35"/>
        <v>0</v>
      </c>
      <c r="AJ33" s="10">
        <f t="shared" si="36"/>
        <v>0</v>
      </c>
      <c r="AK33" s="10">
        <f t="shared" si="37"/>
        <v>0</v>
      </c>
      <c r="AN33" t="s">
        <v>69</v>
      </c>
      <c r="AO33" s="6" t="s">
        <v>5</v>
      </c>
      <c r="AP33" s="41">
        <f t="shared" ref="AP33:AU33" si="40">SUMPRODUCT(H$46,$N$46)</f>
        <v>109575.4391864295</v>
      </c>
      <c r="AQ33" s="41">
        <f t="shared" si="40"/>
        <v>94912.029372745674</v>
      </c>
      <c r="AR33" s="41">
        <f t="shared" si="40"/>
        <v>78470.145849163717</v>
      </c>
      <c r="AS33" s="312">
        <f t="shared" si="40"/>
        <v>25248.426070862544</v>
      </c>
      <c r="AT33" s="313">
        <f t="shared" si="40"/>
        <v>21869.676039136382</v>
      </c>
      <c r="AU33" s="314">
        <f t="shared" si="40"/>
        <v>18081.129228891845</v>
      </c>
      <c r="AV33" s="300">
        <f t="shared" si="32"/>
        <v>0</v>
      </c>
      <c r="AW33" s="301">
        <f t="shared" si="32"/>
        <v>0</v>
      </c>
      <c r="AX33" s="305">
        <f t="shared" si="32"/>
        <v>0</v>
      </c>
      <c r="AY33">
        <v>0</v>
      </c>
      <c r="AZ33" s="36">
        <f>AV33</f>
        <v>0</v>
      </c>
      <c r="BA33" s="36">
        <f>AZ33+AX33</f>
        <v>0</v>
      </c>
      <c r="BB33" s="300">
        <f t="shared" si="33"/>
        <v>0</v>
      </c>
      <c r="BC33" s="301">
        <f t="shared" si="33"/>
        <v>0</v>
      </c>
      <c r="BD33" s="301">
        <f t="shared" si="33"/>
        <v>0</v>
      </c>
      <c r="BE33" s="6" t="s">
        <v>5</v>
      </c>
      <c r="BF33" s="41">
        <f t="shared" si="39"/>
        <v>0</v>
      </c>
      <c r="BG33" s="41">
        <f t="shared" si="34"/>
        <v>0</v>
      </c>
      <c r="BH33" s="41">
        <f t="shared" si="34"/>
        <v>0</v>
      </c>
    </row>
    <row r="34" spans="1:64" x14ac:dyDescent="0.2">
      <c r="A34" s="41">
        <f>_xlfn.XLOOKUP(NormalCase!$G34,'SAM Assumption'!$A$2:$A$20,'SAM Assumption'!$AF$2:$AF$20)</f>
        <v>118006</v>
      </c>
      <c r="B34" s="36">
        <f>_xlfn.XLOOKUP(NormalCase!$G34,'SAM Assumption'!$A$2:$A$20,'SAM Assumption'!$AE$2:$AE$20)</f>
        <v>27191.000000000004</v>
      </c>
      <c r="D34" t="str">
        <f t="shared" si="30"/>
        <v>Grid and CommunityMid RE</v>
      </c>
      <c r="E34" t="s">
        <v>393</v>
      </c>
      <c r="F34" t="s">
        <v>70</v>
      </c>
      <c r="G34" t="s">
        <v>37</v>
      </c>
      <c r="H34" s="311" cm="1">
        <f t="array" ref="H34">$A34*_xlfn.XLOOKUP(H$28,$G$65:$J$65,_xlfn.XLOOKUP($D34,$D$66:$D$74,$G$66:$J$74))</f>
        <v>90953.521434795693</v>
      </c>
      <c r="I34" s="311" cm="1">
        <f t="array" ref="I34">$A34*_xlfn.XLOOKUP(I$28,$G$65:$J$65,_xlfn.XLOOKUP($D34,$D$66:$D$74,$G$66:$J$74))</f>
        <v>69355.968294240185</v>
      </c>
      <c r="J34" s="311" cm="1">
        <f t="array" ref="J34">$A34*_xlfn.XLOOKUP(J$28,$G$65:$J$65,_xlfn.XLOOKUP($D34,$D$66:$D$74,$G$66:$J$74))</f>
        <v>62878.572966205131</v>
      </c>
      <c r="K34" s="311" cm="1">
        <f t="array" ref="K34">$B34*_xlfn.XLOOKUP(K$28,$G$65:$J$65,_xlfn.XLOOKUP($D34,$D$66:$D$74,$G$66:$J$74))</f>
        <v>20957.554711908972</v>
      </c>
      <c r="L34" s="311" cm="1">
        <f t="array" ref="L34">$B34*_xlfn.XLOOKUP(L$28,$G$65:$J$65,_xlfn.XLOOKUP($D34,$D$66:$D$74,$G$66:$J$74))</f>
        <v>15981.035997226287</v>
      </c>
      <c r="M34" s="311" cm="1">
        <f t="array" ref="M34">$B34*_xlfn.XLOOKUP(M$28,$G$65:$J$65,_xlfn.XLOOKUP($D34,$D$66:$D$74,$G$66:$J$74))</f>
        <v>14488.511410640847</v>
      </c>
      <c r="N34">
        <v>1</v>
      </c>
      <c r="O34" s="36"/>
      <c r="P34" s="44">
        <f>_xlfn.XLOOKUP(NormalCase!$G34,'SAM Assumption'!$A$2:$A$20,'SAM Assumption'!Z$2:Z$20)</f>
        <v>4.7250000000000236E-2</v>
      </c>
      <c r="Q34" s="41">
        <f t="shared" si="27"/>
        <v>1317984.4768124947</v>
      </c>
      <c r="R34" s="41">
        <f t="shared" si="28"/>
        <v>1005019.7963103576</v>
      </c>
      <c r="S34" s="41">
        <f t="shared" si="29"/>
        <v>911157.49875601614</v>
      </c>
      <c r="AE34" s="6" t="s">
        <v>6</v>
      </c>
      <c r="AF34" s="10">
        <f>$AK$13</f>
        <v>750</v>
      </c>
      <c r="AG34" s="10">
        <v>0</v>
      </c>
      <c r="AH34" s="10">
        <v>0</v>
      </c>
      <c r="AI34" s="10">
        <f t="shared" si="35"/>
        <v>750</v>
      </c>
      <c r="AJ34" s="10">
        <f t="shared" si="36"/>
        <v>750</v>
      </c>
      <c r="AK34" s="10">
        <f t="shared" si="37"/>
        <v>750</v>
      </c>
      <c r="AN34" t="s">
        <v>69</v>
      </c>
      <c r="AO34" s="6" t="s">
        <v>6</v>
      </c>
      <c r="AP34" s="41">
        <f t="shared" ref="AP34:AU34" si="41">SUMPRODUCT(H$47,$N$47)</f>
        <v>118226.81595455964</v>
      </c>
      <c r="AQ34" s="41">
        <f t="shared" si="41"/>
        <v>102405.67696410435</v>
      </c>
      <c r="AR34" s="41">
        <f t="shared" si="41"/>
        <v>84665.647339568095</v>
      </c>
      <c r="AS34" s="312">
        <f t="shared" si="41"/>
        <v>54917.585090324479</v>
      </c>
      <c r="AT34" s="313">
        <f t="shared" si="41"/>
        <v>47568.501553573195</v>
      </c>
      <c r="AU34" s="314">
        <f t="shared" si="41"/>
        <v>39328.073368610523</v>
      </c>
      <c r="AV34" s="300">
        <f t="shared" si="32"/>
        <v>88670111.965919733</v>
      </c>
      <c r="AW34" s="301">
        <f t="shared" si="32"/>
        <v>0</v>
      </c>
      <c r="AX34" s="305">
        <f t="shared" si="32"/>
        <v>0</v>
      </c>
      <c r="AY34">
        <v>0</v>
      </c>
      <c r="AZ34" s="36">
        <f>AV34</f>
        <v>88670111.965919733</v>
      </c>
      <c r="BA34" s="36">
        <f>AZ34+AX34</f>
        <v>88670111.965919733</v>
      </c>
      <c r="BB34" s="300">
        <f t="shared" si="33"/>
        <v>41188188.817743361</v>
      </c>
      <c r="BC34" s="301">
        <f t="shared" si="33"/>
        <v>35676376.165179893</v>
      </c>
      <c r="BD34" s="301">
        <f t="shared" si="33"/>
        <v>29496055.026457891</v>
      </c>
      <c r="BE34" s="6" t="s">
        <v>6</v>
      </c>
      <c r="BF34" s="41">
        <f t="shared" si="39"/>
        <v>129858300.78366309</v>
      </c>
      <c r="BG34" s="41">
        <f t="shared" si="34"/>
        <v>124346488.13109963</v>
      </c>
      <c r="BH34" s="41">
        <f t="shared" si="34"/>
        <v>118166166.99237762</v>
      </c>
    </row>
    <row r="35" spans="1:64" x14ac:dyDescent="0.2">
      <c r="A35" s="41">
        <f>_xlfn.XLOOKUP(NormalCase!$G35,'SAM Assumption'!$A$2:$A$20,'SAM Assumption'!$AF$2:$AF$20)</f>
        <v>127323</v>
      </c>
      <c r="B35" s="36">
        <f>_xlfn.XLOOKUP(NormalCase!$G35,'SAM Assumption'!$A$2:$A$20,'SAM Assumption'!$AE$2:$AE$20)</f>
        <v>59142.857142857138</v>
      </c>
      <c r="D35" t="str">
        <f t="shared" si="30"/>
        <v>Grid and CommunityMid RE</v>
      </c>
      <c r="E35" t="s">
        <v>393</v>
      </c>
      <c r="F35" t="s">
        <v>70</v>
      </c>
      <c r="G35" t="s">
        <v>34</v>
      </c>
      <c r="H35" s="311" cm="1">
        <f t="array" ref="H35">$A35*_xlfn.XLOOKUP(H$28,$G$65:$J$65,_xlfn.XLOOKUP($D35,$D$66:$D$74,$G$66:$J$74))</f>
        <v>98134.630524231747</v>
      </c>
      <c r="I35" s="311" cm="1">
        <f t="array" ref="I35">$A35*_xlfn.XLOOKUP(I$28,$G$65:$J$65,_xlfn.XLOOKUP($D35,$D$66:$D$74,$G$66:$J$74))</f>
        <v>74831.872541460121</v>
      </c>
      <c r="J35" s="311" cm="1">
        <f t="array" ref="J35">$A35*_xlfn.XLOOKUP(J$28,$G$65:$J$65,_xlfn.XLOOKUP($D35,$D$66:$D$74,$G$66:$J$74))</f>
        <v>67843.063452503557</v>
      </c>
      <c r="K35" s="311" cm="1">
        <f t="array" ref="K35">$B35*_xlfn.XLOOKUP(K$28,$G$65:$J$65,_xlfn.XLOOKUP($D35,$D$66:$D$74,$G$66:$J$74))</f>
        <v>45584.556080690105</v>
      </c>
      <c r="L35" s="311" cm="1">
        <f t="array" ref="L35">$B35*_xlfn.XLOOKUP(L$28,$G$65:$J$65,_xlfn.XLOOKUP($D35,$D$66:$D$74,$G$66:$J$74))</f>
        <v>34760.182743511148</v>
      </c>
      <c r="M35" s="311" cm="1">
        <f t="array" ref="M35">$B35*_xlfn.XLOOKUP(M$28,$G$65:$J$65,_xlfn.XLOOKUP($D35,$D$66:$D$74,$G$66:$J$74))</f>
        <v>31513.80826641856</v>
      </c>
      <c r="N35">
        <v>1</v>
      </c>
      <c r="O35" s="36"/>
      <c r="P35" s="44">
        <f>_xlfn.XLOOKUP(NormalCase!$G35,'SAM Assumption'!$A$2:$A$20,'SAM Assumption'!Z$2:Z$20)</f>
        <v>4.7250000000000236E-2</v>
      </c>
      <c r="Q35" s="41">
        <f t="shared" si="27"/>
        <v>1422044.1125128998</v>
      </c>
      <c r="R35" s="41">
        <f t="shared" si="28"/>
        <v>1084369.7398913926</v>
      </c>
      <c r="S35" s="41">
        <f t="shared" si="29"/>
        <v>983096.67486494093</v>
      </c>
      <c r="AE35" s="6" t="s">
        <v>7</v>
      </c>
      <c r="AF35" s="10">
        <f>SUM(AF31:AF34)</f>
        <v>2250</v>
      </c>
      <c r="AG35" s="10">
        <v>0</v>
      </c>
      <c r="AH35" s="10">
        <v>0</v>
      </c>
      <c r="AI35" s="10">
        <f>SUM(AI31:AI34)</f>
        <v>2250</v>
      </c>
      <c r="AJ35" s="10">
        <f t="shared" ref="AJ35:AK35" si="42">SUM(AJ31:AJ34)</f>
        <v>2250</v>
      </c>
      <c r="AK35" s="10">
        <f t="shared" si="42"/>
        <v>2250</v>
      </c>
      <c r="BE35" s="293" t="s">
        <v>7</v>
      </c>
      <c r="BF35" s="294">
        <f>SUM(BF31:BF34)</f>
        <v>438930410.85372549</v>
      </c>
      <c r="BG35" s="294">
        <f t="shared" ref="BG35:BH35" si="43">SUM(BG31:BG34)</f>
        <v>424159287.62446445</v>
      </c>
      <c r="BH35" s="294">
        <f t="shared" si="43"/>
        <v>406117526.52104861</v>
      </c>
      <c r="BJ35" s="41">
        <f>(SUMPRODUCT(AP31:AP34,AF31:AF34)+SUMPRODUCT(AS31:AS34,AF31:AF34))/SUM(AF31:AF34)</f>
        <v>195080.18260165575</v>
      </c>
      <c r="BK35" s="41" t="e">
        <f>(SUMPRODUCT(AQ31:AQ34,AG31:AG34)+SUMPRODUCT(AT31:AT34,AG31:AG34))/SUM(AG31:AG34)</f>
        <v>#DIV/0!</v>
      </c>
      <c r="BL35" s="41" t="e">
        <f>(SUMPRODUCT(AR31:AR34,AH31:AH34)+SUMPRODUCT(AU31:AU34,AH31:AH34))/SUM(AH31:AH34)</f>
        <v>#DIV/0!</v>
      </c>
    </row>
    <row r="36" spans="1:64" x14ac:dyDescent="0.2">
      <c r="A36" s="41">
        <f>_xlfn.XLOOKUP(NormalCase!$G36,'SAM Assumption'!$A$2:$A$20,'SAM Assumption'!$AF$2:$AF$20)</f>
        <v>240911</v>
      </c>
      <c r="B36" s="36">
        <f>_xlfn.XLOOKUP(NormalCase!$G36,'SAM Assumption'!$A$2:$A$20,'SAM Assumption'!$AE$2:$AE$20)</f>
        <v>37125</v>
      </c>
      <c r="D36" t="str">
        <f t="shared" si="30"/>
        <v>ResidentialLow RE</v>
      </c>
      <c r="E36" t="s">
        <v>3</v>
      </c>
      <c r="F36" t="s">
        <v>68</v>
      </c>
      <c r="G36" t="s">
        <v>40</v>
      </c>
      <c r="H36" s="311" cm="1">
        <f t="array" ref="H36">$A36*_xlfn.XLOOKUP(H$28,$G$65:$J$65,_xlfn.XLOOKUP($D36,$D$66:$D$74,$G$66:$J$74))</f>
        <v>143681.55712893934</v>
      </c>
      <c r="I36" s="311" cm="1">
        <f t="array" ref="I36">$A36*_xlfn.XLOOKUP(I$28,$G$65:$J$65,_xlfn.XLOOKUP($D36,$D$66:$D$74,$G$66:$J$74))</f>
        <v>72407.933703874805</v>
      </c>
      <c r="J36" s="311" cm="1">
        <f t="array" ref="J36">$A36*_xlfn.XLOOKUP(J$28,$G$65:$J$65,_xlfn.XLOOKUP($D36,$D$66:$D$74,$G$66:$J$74))</f>
        <v>60673.397623224766</v>
      </c>
      <c r="K36" s="311" cm="1">
        <f t="array" ref="K36">$B36*_xlfn.XLOOKUP(K$28,$G$65:$J$65,_xlfn.XLOOKUP($D36,$D$66:$D$74,$G$66:$J$74))</f>
        <v>22141.694685638569</v>
      </c>
      <c r="L36" s="311" cm="1">
        <f t="array" ref="L36">$B36*_xlfn.XLOOKUP(L$28,$G$65:$J$65,_xlfn.XLOOKUP($D36,$D$66:$D$74,$G$66:$J$74))</f>
        <v>11158.247397405481</v>
      </c>
      <c r="M36" s="311" cm="1">
        <f t="array" ref="M36">$B36*_xlfn.XLOOKUP(M$28,$G$65:$J$65,_xlfn.XLOOKUP($D36,$D$66:$D$74,$G$66:$J$74))</f>
        <v>9349.9254362076426</v>
      </c>
      <c r="N36">
        <v>0.4</v>
      </c>
      <c r="P36" s="44">
        <f>_xlfn.XLOOKUP(NormalCase!$G36,'SAM Assumption'!$A$2:$A$20,'SAM Assumption'!Z$2:Z$20)</f>
        <v>4.8414634146341395E-2</v>
      </c>
      <c r="Q36" s="41">
        <f t="shared" si="27"/>
        <v>2057612.2957625603</v>
      </c>
      <c r="R36" s="41">
        <f t="shared" si="28"/>
        <v>1036928.1741995062</v>
      </c>
      <c r="S36" s="41">
        <f t="shared" si="29"/>
        <v>868882.07136567356</v>
      </c>
      <c r="U36" s="229">
        <f>SUMPRODUCT(Q36:Q37,$N$30:$N$31)</f>
        <v>2057612.0639303359</v>
      </c>
      <c r="V36" s="229">
        <f>SUMPRODUCT(R36:R37,$N$30:$N$31)</f>
        <v>1036928.0573682809</v>
      </c>
      <c r="W36" s="229">
        <f>SUMPRODUCT(S36:S37,$N$30:$N$31)</f>
        <v>868881.97346828831</v>
      </c>
    </row>
    <row r="37" spans="1:64" x14ac:dyDescent="0.2">
      <c r="A37" s="41">
        <f>_xlfn.XLOOKUP(NormalCase!$G37,'SAM Assumption'!$A$2:$A$20,'SAM Assumption'!$AF$2:$AF$20)</f>
        <v>248238</v>
      </c>
      <c r="B37" s="36">
        <f>_xlfn.XLOOKUP(NormalCase!$G37,'SAM Assumption'!$A$2:$A$20,'SAM Assumption'!$AE$2:$AE$20)</f>
        <v>37125</v>
      </c>
      <c r="D37" t="str">
        <f t="shared" si="30"/>
        <v>ResidentialLow RE</v>
      </c>
      <c r="E37" t="s">
        <v>3</v>
      </c>
      <c r="F37" t="s">
        <v>68</v>
      </c>
      <c r="G37" t="s">
        <v>41</v>
      </c>
      <c r="H37" s="311" cm="1">
        <f t="array" ref="H37">$A37*_xlfn.XLOOKUP(H$28,$G$65:$J$65,_xlfn.XLOOKUP($D37,$D$66:$D$74,$G$66:$J$74))</f>
        <v>148051.44795618983</v>
      </c>
      <c r="I37" s="311" cm="1">
        <f t="array" ref="I37">$A37*_xlfn.XLOOKUP(I$28,$G$65:$J$65,_xlfn.XLOOKUP($D37,$D$66:$D$74,$G$66:$J$74))</f>
        <v>74610.12841581527</v>
      </c>
      <c r="J37" s="311" cm="1">
        <f t="array" ref="J37">$A37*_xlfn.XLOOKUP(J$28,$G$65:$J$65,_xlfn.XLOOKUP($D37,$D$66:$D$74,$G$66:$J$74))</f>
        <v>62518.701425813146</v>
      </c>
      <c r="K37" s="311" cm="1">
        <f t="array" ref="K37">$B37*_xlfn.XLOOKUP(K$28,$G$65:$J$65,_xlfn.XLOOKUP($D37,$D$66:$D$74,$G$66:$J$74))</f>
        <v>22141.694685638569</v>
      </c>
      <c r="L37" s="311" cm="1">
        <f t="array" ref="L37">$B37*_xlfn.XLOOKUP(L$28,$G$65:$J$65,_xlfn.XLOOKUP($D37,$D$66:$D$74,$G$66:$J$74))</f>
        <v>11158.247397405481</v>
      </c>
      <c r="M37" s="311" cm="1">
        <f t="array" ref="M37">$B37*_xlfn.XLOOKUP(M$28,$G$65:$J$65,_xlfn.XLOOKUP($D37,$D$66:$D$74,$G$66:$J$74))</f>
        <v>9349.9254362076426</v>
      </c>
      <c r="N37">
        <v>0.6</v>
      </c>
      <c r="P37" s="44">
        <f>_xlfn.XLOOKUP(NormalCase!$G37,'SAM Assumption'!$A$2:$A$20,'SAM Assumption'!Z$2:Z$20)</f>
        <v>5.1402439024390345E-2</v>
      </c>
      <c r="Q37" s="41">
        <f t="shared" si="27"/>
        <v>2057611.9093755197</v>
      </c>
      <c r="R37" s="41">
        <f t="shared" si="28"/>
        <v>1036927.9794807974</v>
      </c>
      <c r="S37" s="41">
        <f t="shared" si="29"/>
        <v>868881.90820336493</v>
      </c>
      <c r="U37" s="229">
        <f>SUMPRODUCT(Q38:Q39,$N$32:$N$33)</f>
        <v>1262377.6654318341</v>
      </c>
      <c r="V37" s="229">
        <f>SUMPRODUCT(R38:R39,$N$32:$N$33)</f>
        <v>799569.03066550149</v>
      </c>
      <c r="W37" s="229">
        <f>SUMPRODUCT(S38:S39,$N$32:$N$33)</f>
        <v>686129.37383290636</v>
      </c>
    </row>
    <row r="38" spans="1:64" x14ac:dyDescent="0.2">
      <c r="A38" s="41">
        <f>_xlfn.XLOOKUP(NormalCase!$G38,'SAM Assumption'!$A$2:$A$20,'SAM Assumption'!$AF$2:$AF$20)</f>
        <v>130428</v>
      </c>
      <c r="B38" s="36">
        <f>_xlfn.XLOOKUP(NormalCase!$G38,'SAM Assumption'!$A$2:$A$20,'SAM Assumption'!$AE$2:$AE$20)</f>
        <v>22571.428571428569</v>
      </c>
      <c r="D38" t="str">
        <f t="shared" si="30"/>
        <v>CommercialLow RE</v>
      </c>
      <c r="E38" t="s">
        <v>4</v>
      </c>
      <c r="F38" t="s">
        <v>68</v>
      </c>
      <c r="G38" t="s">
        <v>26</v>
      </c>
      <c r="H38" s="311" cm="1">
        <f t="array" ref="H38">$A38*_xlfn.XLOOKUP(H$28,$G$65:$J$65,_xlfn.XLOOKUP($D38,$D$66:$D$74,$G$66:$J$74))</f>
        <v>88378.495860403447</v>
      </c>
      <c r="I38" s="311" cm="1">
        <f t="array" ref="I38">$A38*_xlfn.XLOOKUP(I$28,$G$65:$J$65,_xlfn.XLOOKUP($D38,$D$66:$D$74,$G$66:$J$74))</f>
        <v>55977.470294204577</v>
      </c>
      <c r="J38" s="311" cm="1">
        <f t="array" ref="J38">$A38*_xlfn.XLOOKUP(J$28,$G$65:$J$65,_xlfn.XLOOKUP($D38,$D$66:$D$74,$G$66:$J$74))</f>
        <v>48035.610646081346</v>
      </c>
      <c r="K38" s="311" cm="1">
        <f t="array" ref="K38">$B38*_xlfn.XLOOKUP(K$28,$G$65:$J$65,_xlfn.XLOOKUP($D38,$D$66:$D$74,$G$66:$J$74))</f>
        <v>15294.483596799706</v>
      </c>
      <c r="L38" s="311" cm="1">
        <f t="array" ref="L38">$B38*_xlfn.XLOOKUP(L$28,$G$65:$J$65,_xlfn.XLOOKUP($D38,$D$66:$D$74,$G$66:$J$74))</f>
        <v>9687.2716928489517</v>
      </c>
      <c r="M38" s="311" cm="1">
        <f t="array" ref="M38">$B38*_xlfn.XLOOKUP(M$28,$G$65:$J$65,_xlfn.XLOOKUP($D38,$D$66:$D$74,$G$66:$J$74))</f>
        <v>8312.8803215795597</v>
      </c>
      <c r="N38">
        <v>0.4</v>
      </c>
      <c r="P38" s="44">
        <f>_xlfn.XLOOKUP(NormalCase!$G38,'SAM Assumption'!$A$2:$A$20,'SAM Assumption'!Z$2:Z$20)</f>
        <v>4.7250000000000236E-2</v>
      </c>
      <c r="Q38" s="41">
        <f t="shared" si="27"/>
        <v>1280670.4324422919</v>
      </c>
      <c r="R38" s="41">
        <f t="shared" si="28"/>
        <v>811155.36523657304</v>
      </c>
      <c r="S38" s="41">
        <f t="shared" si="29"/>
        <v>696071.88558533275</v>
      </c>
      <c r="U38" s="229">
        <f>SUMPRODUCT(Q40,$N$34)</f>
        <v>1210605.2974820472</v>
      </c>
      <c r="V38" s="229">
        <f>SUMPRODUCT(R40,$N$34)</f>
        <v>817945.90001441666</v>
      </c>
      <c r="W38" s="229">
        <f>SUMPRODUCT(S40,$N$34)</f>
        <v>709340.69807487365</v>
      </c>
    </row>
    <row r="39" spans="1:64" x14ac:dyDescent="0.2">
      <c r="A39" s="41">
        <f>_xlfn.XLOOKUP(NormalCase!$G39,'SAM Assumption'!$A$2:$A$20,'SAM Assumption'!$AF$2:$AF$20)</f>
        <v>127323</v>
      </c>
      <c r="B39" s="36">
        <f>_xlfn.XLOOKUP(NormalCase!$G39,'SAM Assumption'!$A$2:$A$20,'SAM Assumption'!$AE$2:$AE$20)</f>
        <v>60500</v>
      </c>
      <c r="D39" t="str">
        <f t="shared" si="30"/>
        <v>CommercialLow RE</v>
      </c>
      <c r="E39" t="s">
        <v>4</v>
      </c>
      <c r="F39" t="s">
        <v>68</v>
      </c>
      <c r="G39" t="s">
        <v>32</v>
      </c>
      <c r="H39" s="311" cm="1">
        <f t="array" ref="H39">$A39*_xlfn.XLOOKUP(H$28,$G$65:$J$65,_xlfn.XLOOKUP($D39,$D$66:$D$74,$G$66:$J$74))</f>
        <v>86274.536360552549</v>
      </c>
      <c r="I39" s="311" cm="1">
        <f t="array" ref="I39">$A39*_xlfn.XLOOKUP(I$28,$G$65:$J$65,_xlfn.XLOOKUP($D39,$D$66:$D$74,$G$66:$J$74))</f>
        <v>54644.857317976275</v>
      </c>
      <c r="J39" s="311" cm="1">
        <f t="array" ref="J39">$A39*_xlfn.XLOOKUP(J$28,$G$65:$J$65,_xlfn.XLOOKUP($D39,$D$66:$D$74,$G$66:$J$74))</f>
        <v>46892.063470198234</v>
      </c>
      <c r="K39" s="311" cm="1">
        <f t="array" ref="K39">$B39*_xlfn.XLOOKUP(K$28,$G$65:$J$65,_xlfn.XLOOKUP($D39,$D$66:$D$74,$G$66:$J$74))</f>
        <v>40995.024071168838</v>
      </c>
      <c r="L39" s="311" cm="1">
        <f t="array" ref="L39">$B39*_xlfn.XLOOKUP(L$28,$G$65:$J$65,_xlfn.XLOOKUP($D39,$D$66:$D$74,$G$66:$J$74))</f>
        <v>25965.56684760463</v>
      </c>
      <c r="M39" s="311" cm="1">
        <f t="array" ref="M39">$B39*_xlfn.XLOOKUP(M$28,$G$65:$J$65,_xlfn.XLOOKUP($D39,$D$66:$D$74,$G$66:$J$74))</f>
        <v>22281.676051828759</v>
      </c>
      <c r="N39">
        <v>0.6</v>
      </c>
      <c r="P39" s="44">
        <f>_xlfn.XLOOKUP(NormalCase!$G39,'SAM Assumption'!$A$2:$A$20,'SAM Assumption'!Z$2:Z$20)</f>
        <v>4.7250000000000236E-2</v>
      </c>
      <c r="Q39" s="41">
        <f t="shared" si="27"/>
        <v>1250182.4874248621</v>
      </c>
      <c r="R39" s="41">
        <f t="shared" si="28"/>
        <v>791844.80761812034</v>
      </c>
      <c r="S39" s="41">
        <f t="shared" si="29"/>
        <v>679501.03266462206</v>
      </c>
      <c r="U39" s="229">
        <f>SUMPRODUCT(Q41,$N$35)</f>
        <v>1306186.9590640026</v>
      </c>
      <c r="V39" s="229">
        <f>SUMPRODUCT(R41,$N$35)</f>
        <v>882525.68367316574</v>
      </c>
      <c r="W39" s="229">
        <f>SUMPRODUCT(S41,$N$35)</f>
        <v>765345.70870114339</v>
      </c>
    </row>
    <row r="40" spans="1:64" x14ac:dyDescent="0.2">
      <c r="A40" s="41">
        <f>_xlfn.XLOOKUP(NormalCase!$G40,'SAM Assumption'!$A$2:$A$20,'SAM Assumption'!$AF$2:$AF$20)</f>
        <v>118006</v>
      </c>
      <c r="B40" s="36">
        <f>_xlfn.XLOOKUP(NormalCase!$G40,'SAM Assumption'!$A$2:$A$20,'SAM Assumption'!$AE$2:$AE$20)</f>
        <v>27191.000000000004</v>
      </c>
      <c r="D40" t="str">
        <f t="shared" si="30"/>
        <v>Grid and CommunityLow RE</v>
      </c>
      <c r="E40" t="s">
        <v>393</v>
      </c>
      <c r="F40" t="s">
        <v>68</v>
      </c>
      <c r="G40" t="s">
        <v>37</v>
      </c>
      <c r="H40" s="311" cm="1">
        <f t="array" ref="H40">$A40*_xlfn.XLOOKUP(H$28,$G$65:$J$65,_xlfn.XLOOKUP($D40,$D$66:$D$74,$G$66:$J$74))</f>
        <v>83543.33211867974</v>
      </c>
      <c r="I40" s="311" cm="1">
        <f t="array" ref="I40">$A40*_xlfn.XLOOKUP(I$28,$G$65:$J$65,_xlfn.XLOOKUP($D40,$D$66:$D$74,$G$66:$J$74))</f>
        <v>56446.082073278056</v>
      </c>
      <c r="J40" s="311" cm="1">
        <f t="array" ref="J40">$A40*_xlfn.XLOOKUP(J$28,$G$65:$J$65,_xlfn.XLOOKUP($D40,$D$66:$D$74,$G$66:$J$74))</f>
        <v>48951.285483239109</v>
      </c>
      <c r="K40" s="311" cm="1">
        <f t="array" ref="K40">$B40*_xlfn.XLOOKUP(K$28,$G$65:$J$65,_xlfn.XLOOKUP($D40,$D$66:$D$74,$G$66:$J$74))</f>
        <v>19250.09528023169</v>
      </c>
      <c r="L40" s="311" cm="1">
        <f t="array" ref="L40">$B40*_xlfn.XLOOKUP(L$28,$G$65:$J$65,_xlfn.XLOOKUP($D40,$D$66:$D$74,$G$66:$J$74))</f>
        <v>13006.333725865667</v>
      </c>
      <c r="M40" s="311" cm="1">
        <f t="array" ref="M40">$B40*_xlfn.XLOOKUP(M$28,$G$65:$J$65,_xlfn.XLOOKUP($D40,$D$66:$D$74,$G$66:$J$74))</f>
        <v>11279.379044919368</v>
      </c>
      <c r="N40">
        <v>1</v>
      </c>
      <c r="P40" s="44">
        <f>_xlfn.XLOOKUP(NormalCase!$G40,'SAM Assumption'!$A$2:$A$20,'SAM Assumption'!Z$2:Z$20)</f>
        <v>4.7250000000000236E-2</v>
      </c>
      <c r="Q40" s="41">
        <f t="shared" si="27"/>
        <v>1210605.2974820472</v>
      </c>
      <c r="R40" s="41">
        <f t="shared" si="28"/>
        <v>817945.90001441666</v>
      </c>
      <c r="S40" s="41">
        <f t="shared" si="29"/>
        <v>709340.69807487365</v>
      </c>
    </row>
    <row r="41" spans="1:64" x14ac:dyDescent="0.2">
      <c r="A41" s="41">
        <f>_xlfn.XLOOKUP(NormalCase!$G41,'SAM Assumption'!$A$2:$A$20,'SAM Assumption'!$AF$2:$AF$20)</f>
        <v>127323</v>
      </c>
      <c r="B41" s="36">
        <f>_xlfn.XLOOKUP(NormalCase!$G41,'SAM Assumption'!$A$2:$A$20,'SAM Assumption'!$AE$2:$AE$20)</f>
        <v>59142.857142857138</v>
      </c>
      <c r="D41" t="str">
        <f t="shared" si="30"/>
        <v>Grid and CommunityLow RE</v>
      </c>
      <c r="E41" t="s">
        <v>393</v>
      </c>
      <c r="F41" t="s">
        <v>68</v>
      </c>
      <c r="G41" t="s">
        <v>34</v>
      </c>
      <c r="H41" s="311" cm="1">
        <f t="array" ref="H41">$A41*_xlfn.XLOOKUP(H$28,$G$65:$J$65,_xlfn.XLOOKUP($D41,$D$66:$D$74,$G$66:$J$74))</f>
        <v>90139.379992090733</v>
      </c>
      <c r="I41" s="311" cm="1">
        <f t="array" ref="I41">$A41*_xlfn.XLOOKUP(I$28,$G$65:$J$65,_xlfn.XLOOKUP($D41,$D$66:$D$74,$G$66:$J$74))</f>
        <v>60902.704166025302</v>
      </c>
      <c r="J41" s="311" cm="1">
        <f t="array" ref="J41">$A41*_xlfn.XLOOKUP(J$28,$G$65:$J$65,_xlfn.XLOOKUP($D41,$D$66:$D$74,$G$66:$J$74))</f>
        <v>52816.16631003892</v>
      </c>
      <c r="K41" s="311" cm="1">
        <f t="array" ref="K41">$B41*_xlfn.XLOOKUP(K$28,$G$65:$J$65,_xlfn.XLOOKUP($D41,$D$66:$D$74,$G$66:$J$74))</f>
        <v>41870.679090328827</v>
      </c>
      <c r="L41" s="311" cm="1">
        <f t="array" ref="L41">$B41*_xlfn.XLOOKUP(L$28,$G$65:$J$65,_xlfn.XLOOKUP($D41,$D$66:$D$74,$G$66:$J$74))</f>
        <v>28289.939226258608</v>
      </c>
      <c r="M41" s="311" cm="1">
        <f t="array" ref="M41">$B41*_xlfn.XLOOKUP(M$28,$G$65:$J$65,_xlfn.XLOOKUP($D41,$D$66:$D$74,$G$66:$J$74))</f>
        <v>24533.658324953198</v>
      </c>
      <c r="N41">
        <v>1</v>
      </c>
      <c r="P41" s="44">
        <f>_xlfn.XLOOKUP(NormalCase!$G41,'SAM Assumption'!$A$2:$A$20,'SAM Assumption'!Z$2:Z$20)</f>
        <v>4.7250000000000236E-2</v>
      </c>
      <c r="Q41" s="41">
        <f t="shared" si="27"/>
        <v>1306186.9590640026</v>
      </c>
      <c r="R41" s="41">
        <f t="shared" si="28"/>
        <v>882525.68367316574</v>
      </c>
      <c r="S41" s="41">
        <f t="shared" si="29"/>
        <v>765345.70870114339</v>
      </c>
    </row>
    <row r="42" spans="1:64" x14ac:dyDescent="0.2">
      <c r="A42" s="41">
        <f>_xlfn.XLOOKUP(NormalCase!$G42,'SAM Assumption'!$A$2:$A$20,'SAM Assumption'!$AF$2:$AF$20)</f>
        <v>240911</v>
      </c>
      <c r="B42" s="36">
        <f>_xlfn.XLOOKUP(NormalCase!$G42,'SAM Assumption'!$A$2:$A$20,'SAM Assumption'!$AE$2:$AE$20)</f>
        <v>37125</v>
      </c>
      <c r="D42" t="str">
        <f t="shared" si="30"/>
        <v>ResidentialHigh RE</v>
      </c>
      <c r="E42" t="s">
        <v>3</v>
      </c>
      <c r="F42" t="s">
        <v>69</v>
      </c>
      <c r="G42" t="s">
        <v>40</v>
      </c>
      <c r="H42" s="311" cm="1">
        <f t="array" ref="H42">$A42*_xlfn.XLOOKUP(H$28,$G$65:$J$65,_xlfn.XLOOKUP($D42,$D$66:$D$74,$G$66:$J$74))</f>
        <v>223500.48462649624</v>
      </c>
      <c r="I42" s="311" cm="1">
        <f t="array" ref="I42">$A42*_xlfn.XLOOKUP(I$28,$G$65:$J$65,_xlfn.XLOOKUP($D42,$D$66:$D$74,$G$66:$J$74))</f>
        <v>180588.83473826112</v>
      </c>
      <c r="J42" s="311" cm="1">
        <f t="array" ref="J42">$A42*_xlfn.XLOOKUP(J$28,$G$65:$J$65,_xlfn.XLOOKUP($D42,$D$66:$D$74,$G$66:$J$74))</f>
        <v>123671.30812147449</v>
      </c>
      <c r="K42" s="311" cm="1">
        <f t="array" ref="K42">$B42*_xlfn.XLOOKUP(K$28,$G$65:$J$65,_xlfn.XLOOKUP($D42,$D$66:$D$74,$G$66:$J$74))</f>
        <v>34441.995142432985</v>
      </c>
      <c r="L42" s="311" cm="1">
        <f t="array" ref="L42">$B42*_xlfn.XLOOKUP(L$28,$G$65:$J$65,_xlfn.XLOOKUP($D42,$D$66:$D$74,$G$66:$J$74))</f>
        <v>27829.200367181009</v>
      </c>
      <c r="M42" s="311" cm="1">
        <f t="array" ref="M42">$B42*_xlfn.XLOOKUP(M$28,$G$65:$J$65,_xlfn.XLOOKUP($D42,$D$66:$D$74,$G$66:$J$74))</f>
        <v>19058.064239531363</v>
      </c>
      <c r="N42">
        <v>0.4</v>
      </c>
      <c r="P42" s="44">
        <f>_xlfn.XLOOKUP(NormalCase!$G42,'SAM Assumption'!$A$2:$A$20,'SAM Assumption'!Z$2:Z$20)</f>
        <v>4.8414634146341395E-2</v>
      </c>
      <c r="Q42" s="41">
        <f t="shared" si="27"/>
        <v>3200670.6668948289</v>
      </c>
      <c r="R42" s="41">
        <f t="shared" si="28"/>
        <v>2586148.2451879526</v>
      </c>
      <c r="S42" s="41">
        <f t="shared" si="29"/>
        <v>1771052.6619323017</v>
      </c>
      <c r="U42" s="229">
        <f>SUMPRODUCT(Q42:Q43,$N$30:$N$31)</f>
        <v>3200670.3062736355</v>
      </c>
      <c r="V42" s="229">
        <f>SUMPRODUCT(R42:R43,$N$30:$N$31)</f>
        <v>2586147.9538053139</v>
      </c>
      <c r="W42" s="229">
        <f>SUMPRODUCT(S42:S43,$N$30:$N$31)</f>
        <v>1771052.4623868968</v>
      </c>
    </row>
    <row r="43" spans="1:64" x14ac:dyDescent="0.2">
      <c r="A43" s="41">
        <f>_xlfn.XLOOKUP(NormalCase!$G43,'SAM Assumption'!$A$2:$A$20,'SAM Assumption'!$AF$2:$AF$20)</f>
        <v>248238</v>
      </c>
      <c r="B43" s="36">
        <f>_xlfn.XLOOKUP(NormalCase!$G43,'SAM Assumption'!$A$2:$A$20,'SAM Assumption'!$AE$2:$AE$20)</f>
        <v>37125</v>
      </c>
      <c r="D43" t="str">
        <f t="shared" si="30"/>
        <v>ResidentialHigh RE</v>
      </c>
      <c r="E43" t="s">
        <v>3</v>
      </c>
      <c r="F43" t="s">
        <v>69</v>
      </c>
      <c r="G43" t="s">
        <v>41</v>
      </c>
      <c r="H43" s="311" cm="1">
        <f t="array" ref="H43">$A43*_xlfn.XLOOKUP(H$28,$G$65:$J$65,_xlfn.XLOOKUP($D43,$D$66:$D$74,$G$66:$J$74))</f>
        <v>230297.96606511189</v>
      </c>
      <c r="I43" s="311" cm="1">
        <f t="array" ref="I43">$A43*_xlfn.XLOOKUP(I$28,$G$65:$J$65,_xlfn.XLOOKUP($D43,$D$66:$D$74,$G$66:$J$74))</f>
        <v>186081.21321880887</v>
      </c>
      <c r="J43" s="311" cm="1">
        <f t="array" ref="J43">$A43*_xlfn.XLOOKUP(J$28,$G$65:$J$65,_xlfn.XLOOKUP($D43,$D$66:$D$74,$G$66:$J$74))</f>
        <v>127432.61281327372</v>
      </c>
      <c r="K43" s="311" cm="1">
        <f t="array" ref="K43">$B43*_xlfn.XLOOKUP(K$28,$G$65:$J$65,_xlfn.XLOOKUP($D43,$D$66:$D$74,$G$66:$J$74))</f>
        <v>34441.995142432985</v>
      </c>
      <c r="L43" s="311" cm="1">
        <f t="array" ref="L43">$B43*_xlfn.XLOOKUP(L$28,$G$65:$J$65,_xlfn.XLOOKUP($D43,$D$66:$D$74,$G$66:$J$74))</f>
        <v>27829.200367181009</v>
      </c>
      <c r="M43" s="311" cm="1">
        <f t="array" ref="M43">$B43*_xlfn.XLOOKUP(M$28,$G$65:$J$65,_xlfn.XLOOKUP($D43,$D$66:$D$74,$G$66:$J$74))</f>
        <v>19058.064239531363</v>
      </c>
      <c r="N43">
        <v>0.6</v>
      </c>
      <c r="P43" s="44">
        <f>_xlfn.XLOOKUP(NormalCase!$G43,'SAM Assumption'!$A$2:$A$20,'SAM Assumption'!Z$2:Z$20)</f>
        <v>5.1402439024390345E-2</v>
      </c>
      <c r="Q43" s="41">
        <f t="shared" si="27"/>
        <v>3200670.0658595068</v>
      </c>
      <c r="R43" s="41">
        <f t="shared" si="28"/>
        <v>2586147.7595502213</v>
      </c>
      <c r="S43" s="41">
        <f t="shared" si="29"/>
        <v>1771052.3293566271</v>
      </c>
      <c r="U43" s="229">
        <f>SUMPRODUCT(Q44:Q45,$N$32:$N$33)</f>
        <v>1748922.6952930256</v>
      </c>
      <c r="V43" s="229">
        <f>SUMPRODUCT(R44:R45,$N$32:$N$33)</f>
        <v>1509044.2238840158</v>
      </c>
      <c r="W43" s="229">
        <f>SUMPRODUCT(S44:S45,$N$32:$N$33)</f>
        <v>1211180.5854451051</v>
      </c>
    </row>
    <row r="44" spans="1:64" x14ac:dyDescent="0.2">
      <c r="A44" s="41">
        <f>_xlfn.XLOOKUP(NormalCase!$G44,'SAM Assumption'!$A$2:$A$20,'SAM Assumption'!$AF$2:$AF$20)</f>
        <v>130428</v>
      </c>
      <c r="B44" s="36">
        <f>_xlfn.XLOOKUP(NormalCase!$G44,'SAM Assumption'!$A$2:$A$20,'SAM Assumption'!$AE$2:$AE$20)</f>
        <v>22571.428571428569</v>
      </c>
      <c r="D44" t="str">
        <f t="shared" si="30"/>
        <v>CommercialHigh RE</v>
      </c>
      <c r="E44" t="s">
        <v>4</v>
      </c>
      <c r="F44" t="s">
        <v>69</v>
      </c>
      <c r="G44" t="s">
        <v>26</v>
      </c>
      <c r="H44" s="311" cm="1">
        <f t="array" ref="H44">$A44*_xlfn.XLOOKUP(H$28,$G$65:$J$65,_xlfn.XLOOKUP($D44,$D$66:$D$74,$G$66:$J$74))</f>
        <v>122441.2958330073</v>
      </c>
      <c r="I44" s="311" cm="1">
        <f t="array" ref="I44">$A44*_xlfn.XLOOKUP(I$28,$G$65:$J$65,_xlfn.XLOOKUP($D44,$D$66:$D$74,$G$66:$J$74))</f>
        <v>105647.51131593969</v>
      </c>
      <c r="J44" s="311" cm="1">
        <f t="array" ref="J44">$A44*_xlfn.XLOOKUP(J$28,$G$65:$J$65,_xlfn.XLOOKUP($D44,$D$66:$D$74,$G$66:$J$74))</f>
        <v>84794.211184292639</v>
      </c>
      <c r="K44" s="311" cm="1">
        <f t="array" ref="K44">$B44*_xlfn.XLOOKUP(K$28,$G$65:$J$65,_xlfn.XLOOKUP($D44,$D$66:$D$74,$G$66:$J$74))</f>
        <v>21189.276559388156</v>
      </c>
      <c r="L44" s="311" cm="1">
        <f t="array" ref="L44">$B44*_xlfn.XLOOKUP(L$28,$G$65:$J$65,_xlfn.XLOOKUP($D44,$D$66:$D$74,$G$66:$J$74))</f>
        <v>18283.001007582145</v>
      </c>
      <c r="M44" s="311" cm="1">
        <f t="array" ref="M44">$B44*_xlfn.XLOOKUP(M$28,$G$65:$J$65,_xlfn.XLOOKUP($D44,$D$66:$D$74,$G$66:$J$74))</f>
        <v>14674.199412832295</v>
      </c>
      <c r="N44">
        <v>0.4</v>
      </c>
      <c r="P44" s="44">
        <f>_xlfn.XLOOKUP(NormalCase!$G44,'SAM Assumption'!$A$2:$A$20,'SAM Assumption'!Z$2:Z$20)</f>
        <v>4.7250000000000236E-2</v>
      </c>
      <c r="Q44" s="41">
        <f t="shared" si="27"/>
        <v>1774265.8523056721</v>
      </c>
      <c r="R44" s="41">
        <f t="shared" si="28"/>
        <v>1530911.3680453033</v>
      </c>
      <c r="S44" s="41">
        <f t="shared" si="29"/>
        <v>1228731.4696724161</v>
      </c>
      <c r="U44" s="229">
        <f>SUMPRODUCT(Q46,$N$34)</f>
        <v>1587829.9774369809</v>
      </c>
      <c r="V44" s="229">
        <f>SUMPRODUCT(R46,$N$34)</f>
        <v>1375346.214227987</v>
      </c>
      <c r="W44" s="229">
        <f>SUMPRODUCT(S46,$N$34)</f>
        <v>1137091.0382678632</v>
      </c>
    </row>
    <row r="45" spans="1:64" x14ac:dyDescent="0.2">
      <c r="A45" s="41">
        <f>_xlfn.XLOOKUP(NormalCase!$G45,'SAM Assumption'!$A$2:$A$20,'SAM Assumption'!$AF$2:$AF$20)</f>
        <v>127323</v>
      </c>
      <c r="B45" s="36">
        <f>_xlfn.XLOOKUP(NormalCase!$G45,'SAM Assumption'!$A$2:$A$20,'SAM Assumption'!$AE$2:$AE$20)</f>
        <v>60500</v>
      </c>
      <c r="D45" t="str">
        <f t="shared" si="30"/>
        <v>CommercialHigh RE</v>
      </c>
      <c r="E45" t="s">
        <v>4</v>
      </c>
      <c r="F45" t="s">
        <v>69</v>
      </c>
      <c r="G45" t="s">
        <v>32</v>
      </c>
      <c r="H45" s="311" cm="1">
        <f t="array" ref="H45">$A45*_xlfn.XLOOKUP(H$28,$G$65:$J$65,_xlfn.XLOOKUP($D45,$D$66:$D$74,$G$66:$J$74))</f>
        <v>119526.42921263829</v>
      </c>
      <c r="I45" s="311" cm="1">
        <f t="array" ref="I45">$A45*_xlfn.XLOOKUP(I$28,$G$65:$J$65,_xlfn.XLOOKUP($D45,$D$66:$D$74,$G$66:$J$74))</f>
        <v>103132.44152543464</v>
      </c>
      <c r="J45" s="311" cm="1">
        <f t="array" ref="J45">$A45*_xlfn.XLOOKUP(J$28,$G$65:$J$65,_xlfn.XLOOKUP($D45,$D$66:$D$74,$G$66:$J$74))</f>
        <v>82775.580018229914</v>
      </c>
      <c r="K45" s="311" cm="1">
        <f t="array" ref="K45">$B45*_xlfn.XLOOKUP(K$28,$G$65:$J$65,_xlfn.XLOOKUP($D45,$D$66:$D$74,$G$66:$J$74))</f>
        <v>56795.307739879026</v>
      </c>
      <c r="L45" s="311" cm="1">
        <f t="array" ref="L45">$B45*_xlfn.XLOOKUP(L$28,$G$65:$J$65,_xlfn.XLOOKUP($D45,$D$66:$D$74,$G$66:$J$74))</f>
        <v>49005.38561209519</v>
      </c>
      <c r="M45" s="311" cm="1">
        <f t="array" ref="M45">$B45*_xlfn.XLOOKUP(M$28,$G$65:$J$65,_xlfn.XLOOKUP($D45,$D$66:$D$74,$G$66:$J$74))</f>
        <v>39332.426907180241</v>
      </c>
      <c r="N45">
        <v>0.6</v>
      </c>
      <c r="P45" s="44">
        <f>_xlfn.XLOOKUP(NormalCase!$G45,'SAM Assumption'!$A$2:$A$20,'SAM Assumption'!Z$2:Z$20)</f>
        <v>4.7250000000000236E-2</v>
      </c>
      <c r="Q45" s="41">
        <f t="shared" si="27"/>
        <v>1732027.2572845945</v>
      </c>
      <c r="R45" s="41">
        <f t="shared" si="28"/>
        <v>1494466.1277764908</v>
      </c>
      <c r="S45" s="41">
        <f t="shared" si="29"/>
        <v>1199479.9959602312</v>
      </c>
      <c r="U45" s="229">
        <f>SUMPRODUCT(Q47,$N$35)</f>
        <v>1713194.890236164</v>
      </c>
      <c r="V45" s="229">
        <f>SUMPRODUCT(R47,$N$35)</f>
        <v>1483934.7663182381</v>
      </c>
      <c r="W45" s="229">
        <f>SUMPRODUCT(S47,$N$35)</f>
        <v>1226868.4835125261</v>
      </c>
    </row>
    <row r="46" spans="1:64" x14ac:dyDescent="0.2">
      <c r="A46" s="41">
        <f>_xlfn.XLOOKUP(NormalCase!$G46,'SAM Assumption'!$A$2:$A$20,'SAM Assumption'!$AF$2:$AF$20)</f>
        <v>118006</v>
      </c>
      <c r="B46" s="36">
        <f>_xlfn.XLOOKUP(NormalCase!$G46,'SAM Assumption'!$A$2:$A$20,'SAM Assumption'!$AE$2:$AE$20)</f>
        <v>27191.000000000004</v>
      </c>
      <c r="D46" t="str">
        <f t="shared" si="30"/>
        <v>Grid and CommunityHigh RE</v>
      </c>
      <c r="E46" t="s">
        <v>393</v>
      </c>
      <c r="F46" t="s">
        <v>69</v>
      </c>
      <c r="G46" t="s">
        <v>37</v>
      </c>
      <c r="H46" s="311" cm="1">
        <f t="array" ref="H46">$A46*_xlfn.XLOOKUP(H$28,$G$65:$J$65,_xlfn.XLOOKUP($D46,$D$66:$D$74,$G$66:$J$74))</f>
        <v>109575.4391864295</v>
      </c>
      <c r="I46" s="311" cm="1">
        <f t="array" ref="I46">$A46*_xlfn.XLOOKUP(I$28,$G$65:$J$65,_xlfn.XLOOKUP($D46,$D$66:$D$74,$G$66:$J$74))</f>
        <v>94912.029372745674</v>
      </c>
      <c r="J46" s="311" cm="1">
        <f t="array" ref="J46">$A46*_xlfn.XLOOKUP(J$28,$G$65:$J$65,_xlfn.XLOOKUP($D46,$D$66:$D$74,$G$66:$J$74))</f>
        <v>78470.145849163717</v>
      </c>
      <c r="K46" s="311" cm="1">
        <f t="array" ref="K46">$B46*_xlfn.XLOOKUP(K$28,$G$65:$J$65,_xlfn.XLOOKUP($D46,$D$66:$D$74,$G$66:$J$74))</f>
        <v>25248.426070862544</v>
      </c>
      <c r="L46" s="311" cm="1">
        <f t="array" ref="L46">$B46*_xlfn.XLOOKUP(L$28,$G$65:$J$65,_xlfn.XLOOKUP($D46,$D$66:$D$74,$G$66:$J$74))</f>
        <v>21869.676039136382</v>
      </c>
      <c r="M46" s="311" cm="1">
        <f t="array" ref="M46">$B46*_xlfn.XLOOKUP(M$28,$G$65:$J$65,_xlfn.XLOOKUP($D46,$D$66:$D$74,$G$66:$J$74))</f>
        <v>18081.129228891845</v>
      </c>
      <c r="N46">
        <v>1</v>
      </c>
      <c r="P46" s="44">
        <f>_xlfn.XLOOKUP(NormalCase!$G46,'SAM Assumption'!$A$2:$A$20,'SAM Assumption'!Z$2:Z$20)</f>
        <v>4.7250000000000236E-2</v>
      </c>
      <c r="Q46" s="41">
        <f t="shared" si="27"/>
        <v>1587829.9774369809</v>
      </c>
      <c r="R46" s="41">
        <f t="shared" si="28"/>
        <v>1375346.214227987</v>
      </c>
      <c r="S46" s="41">
        <f t="shared" si="29"/>
        <v>1137091.0382678632</v>
      </c>
      <c r="BG46" s="44"/>
      <c r="BH46" s="44"/>
      <c r="BI46" s="44"/>
      <c r="BJ46" s="44"/>
      <c r="BK46" s="44"/>
      <c r="BL46" s="44"/>
    </row>
    <row r="47" spans="1:64" x14ac:dyDescent="0.2">
      <c r="A47" s="41">
        <f>_xlfn.XLOOKUP(NormalCase!$G47,'SAM Assumption'!$A$2:$A$20,'SAM Assumption'!$AF$2:$AF$20)</f>
        <v>127323</v>
      </c>
      <c r="B47" s="36">
        <f>_xlfn.XLOOKUP(NormalCase!$G47,'SAM Assumption'!$A$2:$A$20,'SAM Assumption'!$AE$2:$AE$20)</f>
        <v>59142.857142857138</v>
      </c>
      <c r="D47" t="str">
        <f t="shared" si="30"/>
        <v>Grid and CommunityHigh RE</v>
      </c>
      <c r="E47" t="s">
        <v>393</v>
      </c>
      <c r="F47" t="s">
        <v>69</v>
      </c>
      <c r="G47" t="s">
        <v>34</v>
      </c>
      <c r="H47" s="311" cm="1">
        <f t="array" ref="H47">$A47*_xlfn.XLOOKUP(H$28,$G$65:$J$65,_xlfn.XLOOKUP($D47,$D$66:$D$74,$G$66:$J$74))</f>
        <v>118226.81595455964</v>
      </c>
      <c r="I47" s="311" cm="1">
        <f t="array" ref="I47">$A47*_xlfn.XLOOKUP(I$28,$G$65:$J$65,_xlfn.XLOOKUP($D47,$D$66:$D$74,$G$66:$J$74))</f>
        <v>102405.67696410435</v>
      </c>
      <c r="J47" s="311" cm="1">
        <f t="array" ref="J47">$A47*_xlfn.XLOOKUP(J$28,$G$65:$J$65,_xlfn.XLOOKUP($D47,$D$66:$D$74,$G$66:$J$74))</f>
        <v>84665.647339568095</v>
      </c>
      <c r="K47" s="311" cm="1">
        <f t="array" ref="K47">$B47*_xlfn.XLOOKUP(K$28,$G$65:$J$65,_xlfn.XLOOKUP($D47,$D$66:$D$74,$G$66:$J$74))</f>
        <v>54917.585090324479</v>
      </c>
      <c r="L47" s="311" cm="1">
        <f t="array" ref="L47">$B47*_xlfn.XLOOKUP(L$28,$G$65:$J$65,_xlfn.XLOOKUP($D47,$D$66:$D$74,$G$66:$J$74))</f>
        <v>47568.501553573195</v>
      </c>
      <c r="M47" s="311" cm="1">
        <f t="array" ref="M47">$B47*_xlfn.XLOOKUP(M$28,$G$65:$J$65,_xlfn.XLOOKUP($D47,$D$66:$D$74,$G$66:$J$74))</f>
        <v>39328.073368610523</v>
      </c>
      <c r="N47">
        <v>1</v>
      </c>
      <c r="P47" s="44">
        <f>_xlfn.XLOOKUP(NormalCase!$G47,'SAM Assumption'!$A$2:$A$20,'SAM Assumption'!Z$2:Z$20)</f>
        <v>4.7250000000000236E-2</v>
      </c>
      <c r="Q47" s="41">
        <f t="shared" si="27"/>
        <v>1713194.890236164</v>
      </c>
      <c r="R47" s="41">
        <f t="shared" si="28"/>
        <v>1483934.7663182381</v>
      </c>
      <c r="S47" s="41">
        <f t="shared" si="29"/>
        <v>1226868.4835125261</v>
      </c>
    </row>
    <row r="51" spans="6:16" x14ac:dyDescent="0.2">
      <c r="F51" s="45"/>
      <c r="G51" s="45"/>
      <c r="H51" s="45" t="s">
        <v>71</v>
      </c>
      <c r="I51" s="45" t="s">
        <v>72</v>
      </c>
      <c r="J51" s="45" t="s">
        <v>71</v>
      </c>
      <c r="K51" s="45" t="s">
        <v>72</v>
      </c>
      <c r="L51" s="45" t="s">
        <v>71</v>
      </c>
      <c r="M51" s="45" t="s">
        <v>72</v>
      </c>
      <c r="N51" s="45"/>
      <c r="O51" s="45" t="s">
        <v>86</v>
      </c>
      <c r="P51" s="45" t="s">
        <v>87</v>
      </c>
    </row>
    <row r="52" spans="6:16" x14ac:dyDescent="0.2">
      <c r="F52" s="45" t="s">
        <v>78</v>
      </c>
      <c r="G52" s="45" t="s">
        <v>70</v>
      </c>
      <c r="H52" s="46">
        <v>63618.30704</v>
      </c>
      <c r="I52" s="46">
        <v>13216</v>
      </c>
      <c r="J52" s="46">
        <v>49536.323040000003</v>
      </c>
      <c r="K52" s="46">
        <v>9602</v>
      </c>
      <c r="L52" s="46">
        <v>45767.491040000001</v>
      </c>
      <c r="M52" s="46">
        <v>8705</v>
      </c>
      <c r="N52" s="45"/>
      <c r="O52" s="45">
        <f t="shared" ref="O52:O57" si="44">K52/I52</f>
        <v>0.72654358353510895</v>
      </c>
      <c r="P52" s="45">
        <f t="shared" ref="P52:P57" si="45">M52/I52</f>
        <v>0.65867130750605329</v>
      </c>
    </row>
    <row r="53" spans="6:16" x14ac:dyDescent="0.2">
      <c r="F53" s="45" t="s">
        <v>79</v>
      </c>
      <c r="G53" s="45" t="s">
        <v>70</v>
      </c>
      <c r="H53" s="46">
        <v>63852.264448000002</v>
      </c>
      <c r="I53" s="46">
        <v>13216</v>
      </c>
      <c r="J53" s="46">
        <v>49770.280447999998</v>
      </c>
      <c r="K53" s="46">
        <v>9602</v>
      </c>
      <c r="L53" s="46">
        <v>46001.448448000003</v>
      </c>
      <c r="M53" s="46">
        <v>8705</v>
      </c>
      <c r="N53" s="45"/>
      <c r="O53" s="45">
        <f t="shared" si="44"/>
        <v>0.72654358353510895</v>
      </c>
      <c r="P53" s="45">
        <f t="shared" si="45"/>
        <v>0.65867130750605329</v>
      </c>
    </row>
    <row r="54" spans="6:16" x14ac:dyDescent="0.2">
      <c r="F54" s="45" t="s">
        <v>78</v>
      </c>
      <c r="G54" s="45" t="s">
        <v>68</v>
      </c>
      <c r="H54" s="46">
        <v>59588.355040000002</v>
      </c>
      <c r="I54" s="46">
        <v>12238</v>
      </c>
      <c r="J54" s="46">
        <v>41696.195039999999</v>
      </c>
      <c r="K54" s="46">
        <v>7737</v>
      </c>
      <c r="L54" s="46">
        <v>37377.923040000001</v>
      </c>
      <c r="M54" s="46">
        <v>6709</v>
      </c>
      <c r="N54" s="45"/>
      <c r="O54" s="45">
        <f t="shared" si="44"/>
        <v>0.63221114561202807</v>
      </c>
      <c r="P54" s="45">
        <f t="shared" si="45"/>
        <v>0.54821049191044291</v>
      </c>
    </row>
    <row r="55" spans="6:16" x14ac:dyDescent="0.2">
      <c r="F55" s="45" t="s">
        <v>79</v>
      </c>
      <c r="G55" s="45" t="s">
        <v>68</v>
      </c>
      <c r="H55" s="46">
        <v>59822.312447999997</v>
      </c>
      <c r="I55" s="46">
        <v>12238</v>
      </c>
      <c r="J55" s="46">
        <v>41930.152448000001</v>
      </c>
      <c r="K55" s="46">
        <v>7737</v>
      </c>
      <c r="L55" s="46">
        <v>37611.880448000004</v>
      </c>
      <c r="M55" s="46">
        <v>6709</v>
      </c>
      <c r="N55" s="45"/>
      <c r="O55" s="45">
        <f t="shared" si="44"/>
        <v>0.63221114561202807</v>
      </c>
      <c r="P55" s="45">
        <f t="shared" si="45"/>
        <v>0.54821049191044291</v>
      </c>
    </row>
    <row r="56" spans="6:16" x14ac:dyDescent="0.2">
      <c r="F56" s="45" t="s">
        <v>78</v>
      </c>
      <c r="G56" s="45" t="s">
        <v>69</v>
      </c>
      <c r="H56" s="46">
        <v>74113.155039999998</v>
      </c>
      <c r="I56" s="46">
        <v>15764</v>
      </c>
      <c r="J56" s="46">
        <v>65843.267040000006</v>
      </c>
      <c r="K56" s="46">
        <v>13482</v>
      </c>
      <c r="L56" s="46">
        <v>56027.331039999997</v>
      </c>
      <c r="M56" s="46">
        <v>11146</v>
      </c>
      <c r="N56" s="45"/>
      <c r="O56" s="45">
        <f t="shared" si="44"/>
        <v>0.85523978685612789</v>
      </c>
      <c r="P56" s="45">
        <f t="shared" si="45"/>
        <v>0.70705404719614307</v>
      </c>
    </row>
    <row r="57" spans="6:16" x14ac:dyDescent="0.2">
      <c r="F57" s="45" t="s">
        <v>79</v>
      </c>
      <c r="G57" s="45" t="s">
        <v>69</v>
      </c>
      <c r="H57" s="46">
        <v>74347.112448</v>
      </c>
      <c r="I57" s="46">
        <v>15764</v>
      </c>
      <c r="J57" s="46">
        <v>66077.224447999994</v>
      </c>
      <c r="K57" s="46">
        <v>13482</v>
      </c>
      <c r="L57" s="46">
        <v>56261.288447999999</v>
      </c>
      <c r="M57" s="46">
        <v>11146</v>
      </c>
      <c r="N57" s="45"/>
      <c r="O57" s="45">
        <f t="shared" si="44"/>
        <v>0.85523978685612789</v>
      </c>
      <c r="P57" s="45">
        <f t="shared" si="45"/>
        <v>0.70705404719614307</v>
      </c>
    </row>
    <row r="58" spans="6:16" x14ac:dyDescent="0.2">
      <c r="H58" s="43"/>
      <c r="I58" s="43"/>
      <c r="J58" s="43"/>
      <c r="K58" s="43"/>
      <c r="L58" s="43"/>
      <c r="M58" s="43"/>
    </row>
    <row r="59" spans="6:16" x14ac:dyDescent="0.2">
      <c r="G59" t="s">
        <v>77</v>
      </c>
      <c r="H59" s="44">
        <f>H54/H52</f>
        <v>0.93665420870966964</v>
      </c>
      <c r="I59" s="44">
        <f t="shared" ref="I59:M59" si="46">I54/I52</f>
        <v>0.92599878934624702</v>
      </c>
      <c r="J59" s="44">
        <f t="shared" si="46"/>
        <v>0.84172971430137855</v>
      </c>
      <c r="K59" s="44">
        <f t="shared" si="46"/>
        <v>0.8057696313268069</v>
      </c>
      <c r="L59" s="44">
        <f t="shared" si="46"/>
        <v>0.81669154656811616</v>
      </c>
      <c r="M59" s="44">
        <f t="shared" si="46"/>
        <v>0.77070649052268814</v>
      </c>
    </row>
    <row r="60" spans="6:16" x14ac:dyDescent="0.2">
      <c r="H60" s="44"/>
      <c r="I60" s="44"/>
      <c r="J60" s="44"/>
      <c r="K60" s="44"/>
      <c r="L60" s="44"/>
      <c r="M60" s="44"/>
    </row>
    <row r="61" spans="6:16" x14ac:dyDescent="0.2">
      <c r="H61" s="44">
        <f t="shared" ref="H61:M61" si="47">H56/H52</f>
        <v>1.1649658484844836</v>
      </c>
      <c r="I61" s="44">
        <f t="shared" si="47"/>
        <v>1.1927966101694916</v>
      </c>
      <c r="J61" s="44">
        <f t="shared" si="47"/>
        <v>1.329191651686225</v>
      </c>
      <c r="K61" s="44">
        <f t="shared" si="47"/>
        <v>1.4040824828160801</v>
      </c>
      <c r="L61" s="44">
        <f t="shared" si="47"/>
        <v>1.2241730924474989</v>
      </c>
      <c r="M61" s="44">
        <f t="shared" si="47"/>
        <v>1.280413555427915</v>
      </c>
    </row>
    <row r="64" spans="6:16" x14ac:dyDescent="0.2">
      <c r="G64" t="s">
        <v>397</v>
      </c>
    </row>
    <row r="65" spans="4:11" x14ac:dyDescent="0.2">
      <c r="G65">
        <v>2020</v>
      </c>
      <c r="H65">
        <v>2030</v>
      </c>
      <c r="I65">
        <v>2040</v>
      </c>
      <c r="J65">
        <v>2050</v>
      </c>
    </row>
    <row r="66" spans="4:11" x14ac:dyDescent="0.2">
      <c r="D66" t="str">
        <f>F66&amp;E66</f>
        <v>CommercialLow RE</v>
      </c>
      <c r="E66" t="s">
        <v>68</v>
      </c>
      <c r="F66" t="s">
        <v>4</v>
      </c>
      <c r="G66">
        <v>1</v>
      </c>
      <c r="H66" s="310">
        <v>0.67760370365568323</v>
      </c>
      <c r="I66" s="310">
        <v>0.429182923100903</v>
      </c>
      <c r="J66" s="310">
        <v>0.36829216614592991</v>
      </c>
      <c r="K66" t="s">
        <v>395</v>
      </c>
    </row>
    <row r="67" spans="4:11" x14ac:dyDescent="0.2">
      <c r="D67" t="str">
        <f t="shared" ref="D67:D74" si="48">F67&amp;E67</f>
        <v>CommercialMid RE</v>
      </c>
      <c r="E67" t="s">
        <v>70</v>
      </c>
      <c r="F67" t="s">
        <v>4</v>
      </c>
      <c r="G67">
        <v>1</v>
      </c>
      <c r="H67" s="310">
        <v>0.75729145176696266</v>
      </c>
      <c r="I67" s="310">
        <v>0.55735852606167502</v>
      </c>
      <c r="J67" s="310">
        <v>0.48803629536483284</v>
      </c>
      <c r="K67" t="s">
        <v>395</v>
      </c>
    </row>
    <row r="68" spans="4:11" x14ac:dyDescent="0.2">
      <c r="D68" t="str">
        <f t="shared" si="48"/>
        <v>CommercialHigh RE</v>
      </c>
      <c r="E68" t="s">
        <v>69</v>
      </c>
      <c r="F68" t="s">
        <v>4</v>
      </c>
      <c r="G68">
        <v>1</v>
      </c>
      <c r="H68" s="310">
        <v>0.93876541718808304</v>
      </c>
      <c r="I68" s="310">
        <v>0.81000637375363949</v>
      </c>
      <c r="J68" s="310">
        <v>0.65012275879636761</v>
      </c>
      <c r="K68" t="s">
        <v>395</v>
      </c>
    </row>
    <row r="69" spans="4:11" x14ac:dyDescent="0.2">
      <c r="D69" t="str">
        <f t="shared" si="48"/>
        <v>ResidentialLow RE</v>
      </c>
      <c r="E69" t="s">
        <v>68</v>
      </c>
      <c r="F69" t="s">
        <v>3</v>
      </c>
      <c r="G69">
        <v>1</v>
      </c>
      <c r="H69" s="310">
        <v>0.59640928446164498</v>
      </c>
      <c r="I69" s="310">
        <v>0.30055885245536651</v>
      </c>
      <c r="J69" s="310">
        <v>0.25184984339953248</v>
      </c>
      <c r="K69" t="s">
        <v>394</v>
      </c>
    </row>
    <row r="70" spans="4:11" x14ac:dyDescent="0.2">
      <c r="D70" t="str">
        <f t="shared" si="48"/>
        <v>ResidentialMid RE</v>
      </c>
      <c r="E70" t="s">
        <v>70</v>
      </c>
      <c r="F70" t="s">
        <v>3</v>
      </c>
      <c r="G70">
        <v>1</v>
      </c>
      <c r="H70" s="310">
        <v>0.65518065044679397</v>
      </c>
      <c r="I70" s="310">
        <v>0.39753800707906822</v>
      </c>
      <c r="J70" s="310">
        <v>0.34705968526284564</v>
      </c>
      <c r="K70" t="s">
        <v>394</v>
      </c>
    </row>
    <row r="71" spans="4:11" x14ac:dyDescent="0.2">
      <c r="D71" t="str">
        <f t="shared" si="48"/>
        <v>ResidentialHigh RE</v>
      </c>
      <c r="E71" t="s">
        <v>69</v>
      </c>
      <c r="F71" t="s">
        <v>3</v>
      </c>
      <c r="G71">
        <v>1</v>
      </c>
      <c r="H71" s="310">
        <v>0.92773050888708375</v>
      </c>
      <c r="I71" s="310">
        <v>0.74960809069847834</v>
      </c>
      <c r="J71" s="310">
        <v>0.51334853170454853</v>
      </c>
      <c r="K71" t="s">
        <v>394</v>
      </c>
    </row>
    <row r="72" spans="4:11" x14ac:dyDescent="0.2">
      <c r="D72" t="str">
        <f t="shared" si="48"/>
        <v>Grid and CommunityLow RE</v>
      </c>
      <c r="E72" t="s">
        <v>68</v>
      </c>
      <c r="F72" t="s">
        <v>393</v>
      </c>
      <c r="G72">
        <v>1</v>
      </c>
      <c r="H72" s="310">
        <v>0.70795834210700925</v>
      </c>
      <c r="I72" s="310">
        <v>0.47833230575799585</v>
      </c>
      <c r="J72" s="310">
        <v>0.41482030984220386</v>
      </c>
      <c r="K72" t="s">
        <v>396</v>
      </c>
    </row>
    <row r="73" spans="4:11" x14ac:dyDescent="0.2">
      <c r="D73" t="str">
        <f t="shared" si="48"/>
        <v>Grid and CommunityMid RE</v>
      </c>
      <c r="E73" t="s">
        <v>70</v>
      </c>
      <c r="F73" t="s">
        <v>393</v>
      </c>
      <c r="G73">
        <v>1</v>
      </c>
      <c r="H73" s="310">
        <v>0.77075336368316605</v>
      </c>
      <c r="I73" s="310">
        <v>0.58773255846516437</v>
      </c>
      <c r="J73" s="310">
        <v>0.53284216875586943</v>
      </c>
      <c r="K73" t="s">
        <v>396</v>
      </c>
    </row>
    <row r="74" spans="4:11" x14ac:dyDescent="0.2">
      <c r="D74" t="str">
        <f t="shared" si="48"/>
        <v>Grid and CommunityHigh RE</v>
      </c>
      <c r="E74" t="s">
        <v>69</v>
      </c>
      <c r="F74" t="s">
        <v>393</v>
      </c>
      <c r="G74">
        <v>1</v>
      </c>
      <c r="H74" s="310">
        <v>0.92855820201031736</v>
      </c>
      <c r="I74" s="310">
        <v>0.80429833544688978</v>
      </c>
      <c r="J74" s="310">
        <v>0.66496742410694132</v>
      </c>
      <c r="K74" t="s">
        <v>396</v>
      </c>
    </row>
  </sheetData>
  <mergeCells count="21">
    <mergeCell ref="BJ15:BL15"/>
    <mergeCell ref="BF29:BH29"/>
    <mergeCell ref="BB15:BD15"/>
    <mergeCell ref="BF15:BH15"/>
    <mergeCell ref="AP22:AR22"/>
    <mergeCell ref="AS22:AU22"/>
    <mergeCell ref="AV22:AX22"/>
    <mergeCell ref="AY22:BA22"/>
    <mergeCell ref="BB22:BD22"/>
    <mergeCell ref="BF22:BH22"/>
    <mergeCell ref="AY15:BA15"/>
    <mergeCell ref="AP29:AR29"/>
    <mergeCell ref="AS29:AU29"/>
    <mergeCell ref="AV29:AX29"/>
    <mergeCell ref="AY29:BA29"/>
    <mergeCell ref="BB29:BD29"/>
    <mergeCell ref="AF15:AH15"/>
    <mergeCell ref="AI15:AK15"/>
    <mergeCell ref="AP15:AR15"/>
    <mergeCell ref="AS15:AU15"/>
    <mergeCell ref="AV15:AX1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AD86-9EA6-6245-970A-A9EC7D1BA3DF}">
  <dimension ref="A1:AF58"/>
  <sheetViews>
    <sheetView topLeftCell="R1" workbookViewId="0">
      <selection activeCell="AF2" sqref="AF2"/>
    </sheetView>
  </sheetViews>
  <sheetFormatPr baseColWidth="10" defaultRowHeight="16" x14ac:dyDescent="0.2"/>
  <cols>
    <col min="1" max="1" width="22.83203125" bestFit="1" customWidth="1"/>
    <col min="10" max="16" width="15.33203125" customWidth="1"/>
    <col min="17" max="17" width="17.1640625" customWidth="1"/>
    <col min="18" max="18" width="15.6640625" customWidth="1"/>
    <col min="21" max="21" width="10.83203125" customWidth="1"/>
    <col min="25" max="28" width="12.5" bestFit="1" customWidth="1"/>
    <col min="32" max="32" width="17" customWidth="1"/>
  </cols>
  <sheetData>
    <row r="1" spans="1:32" ht="90" x14ac:dyDescent="0.2">
      <c r="A1" t="s">
        <v>9</v>
      </c>
      <c r="C1" s="11" t="s">
        <v>10</v>
      </c>
      <c r="D1" s="11" t="s">
        <v>11</v>
      </c>
      <c r="E1" s="11" t="s">
        <v>12</v>
      </c>
      <c r="F1" s="12" t="s">
        <v>13</v>
      </c>
      <c r="G1" s="291" t="s">
        <v>198</v>
      </c>
      <c r="H1" s="292" t="s">
        <v>199</v>
      </c>
      <c r="I1" s="308" t="s">
        <v>392</v>
      </c>
      <c r="J1" s="291" t="s">
        <v>191</v>
      </c>
      <c r="K1" s="291" t="s">
        <v>192</v>
      </c>
      <c r="L1" s="291" t="s">
        <v>193</v>
      </c>
      <c r="M1" s="292" t="s">
        <v>194</v>
      </c>
      <c r="N1" s="292" t="s">
        <v>195</v>
      </c>
      <c r="O1" s="292" t="s">
        <v>196</v>
      </c>
      <c r="P1" s="13" t="s">
        <v>197</v>
      </c>
      <c r="Q1" s="13" t="s">
        <v>200</v>
      </c>
      <c r="R1" s="13" t="s">
        <v>201</v>
      </c>
      <c r="S1" s="13" t="s">
        <v>202</v>
      </c>
      <c r="T1" s="13" t="s">
        <v>203</v>
      </c>
      <c r="U1" s="13" t="s">
        <v>204</v>
      </c>
      <c r="V1" s="13" t="s">
        <v>14</v>
      </c>
      <c r="W1" s="13" t="s">
        <v>15</v>
      </c>
      <c r="X1" s="13" t="s">
        <v>16</v>
      </c>
      <c r="Y1" s="13" t="s">
        <v>17</v>
      </c>
      <c r="Z1" s="13" t="s">
        <v>18</v>
      </c>
      <c r="AA1" s="13" t="s">
        <v>205</v>
      </c>
      <c r="AB1" s="13" t="s">
        <v>206</v>
      </c>
      <c r="AC1" s="13" t="s">
        <v>19</v>
      </c>
      <c r="AD1" s="13" t="s">
        <v>20</v>
      </c>
      <c r="AE1" s="14" t="s">
        <v>190</v>
      </c>
      <c r="AF1" s="13" t="s">
        <v>399</v>
      </c>
    </row>
    <row r="2" spans="1:32" x14ac:dyDescent="0.2">
      <c r="A2" s="15" t="s">
        <v>21</v>
      </c>
      <c r="B2" s="16" t="s">
        <v>22</v>
      </c>
      <c r="C2" s="17">
        <v>1.9</v>
      </c>
      <c r="D2" s="18">
        <v>3500</v>
      </c>
      <c r="E2" s="19" t="s">
        <v>23</v>
      </c>
      <c r="F2" s="20">
        <v>3</v>
      </c>
      <c r="G2" s="21">
        <v>0.25</v>
      </c>
      <c r="H2" s="21">
        <v>0.06</v>
      </c>
      <c r="I2" s="22">
        <v>1.5899999999999999</v>
      </c>
      <c r="J2" s="22">
        <f>$G2*(1+$C$27)^10</f>
        <v>0.21493261056478577</v>
      </c>
      <c r="K2" s="22">
        <f>$G2*(1+$C$27)^20</f>
        <v>0.18478410833677544</v>
      </c>
      <c r="L2" s="22">
        <f>$G2*(1+$C$27)^30</f>
        <v>0.15886452318283736</v>
      </c>
      <c r="M2" s="22">
        <f>$H2*(1+$C$28)^10</f>
        <v>4.9024368413252792E-2</v>
      </c>
      <c r="N2" s="22">
        <f>$H2*(1+$C$28)^20</f>
        <v>4.0056478305305648E-2</v>
      </c>
      <c r="O2" s="22">
        <f>$H2*(1+$C$28)^30</f>
        <v>3.2729059162946203E-2</v>
      </c>
      <c r="P2" s="309">
        <f>$G2*(1+$C$27)^2*(1-(1+$C$27)^9)/(1-(1+$C$27))/9
+$H2*(1+$C$28)^2*(1-(1+$C$28)^9)/(1-(1+$C$28))/9
+$I2*IFERROR((1+$C$29)^2*(1-(1+$C$29)^9)/(1-(1+$C$29))/9,1)</f>
        <v>1.8717238356292234</v>
      </c>
      <c r="Q2" s="22">
        <f>$G2*(1+$C$27)^11*(1-(1+$C$27)^10)/(1-(1+$C$27))/10
+$H2*(1+$C$28)^11*(1-(1+$C$28)^10)/(1-(1+$C$28))/10
+$I2*IFERROR((1+$C$29)^11*(1-(1+$C$29)^10)/(1-(1+$C$29))/10,1)</f>
        <v>1.8319178261595419</v>
      </c>
      <c r="R2" s="22">
        <f>$G2*(1+$C$27)^21*(1-(1+$C$27)^10)/(1-(1+$C$27))/10
+$H2*(1+$C$28)^21*(1-(1+$C$28)^10)/(1-(1+$C$28))/10
+$I2*IFERROR((1+$C$29)^21*(1-(1+$C$29)^10)/(1-(1+$C$29))/10,1)</f>
        <v>1.7961096296417542</v>
      </c>
      <c r="S2" s="22">
        <f>+$H2*(1+$C$28)^14*(1-(1+$C$28)^9)/(1-(1+$C$28))/9</f>
        <v>4.1764886440927011E-2</v>
      </c>
      <c r="T2" s="22">
        <f>+$H2*(1+$C$28)^23*(1-(1+$C$28)^10)/(1-(1+$C$28))/10</f>
        <v>3.448254138717783E-2</v>
      </c>
      <c r="U2" s="22">
        <f>+$H2*(1+$C$28)^33*(1-(1+$C$28)^10)/(1-(1+$C$28))/10</f>
        <v>2.8174746879837387E-2</v>
      </c>
      <c r="V2" s="22">
        <v>0.02</v>
      </c>
      <c r="W2" s="23">
        <v>0.48750000000000004</v>
      </c>
      <c r="X2" s="24">
        <v>6.5000000000000002E-2</v>
      </c>
      <c r="Y2" s="25">
        <v>0.1</v>
      </c>
      <c r="Z2" s="26">
        <f t="shared" ref="Z2:Z20" si="0">(1+(1-W2)*Y2+W2*X2*(1-$C$30-$C$31))/(1+$C$32)-1</f>
        <v>4.7250000000000236E-2</v>
      </c>
      <c r="AA2" s="27">
        <f>ROUND(-PMT($Z2,$C$34,((S2/((1+$Z2)^13)+V2/((1+$Z2)^25)+C2)*1000000*0.74))*$C$33,0)</f>
        <v>98520</v>
      </c>
      <c r="AB2" s="27">
        <f>ROUND(-PMT($Z2,$C$34,((S2/((1+Z2)^13)+V2/((1+Z2)^25)+P2)*1000000*0.9))*$C$33,0)</f>
        <v>118065</v>
      </c>
      <c r="AC2" s="27">
        <f>ROUND(-PMT($Z2,$C$34,((T2/((1+Z2)^13)+V2/((1+Z2)^25)+Q2)*1000000*0.9))*$C$33,0)</f>
        <v>115345</v>
      </c>
      <c r="AD2" s="27">
        <f>ROUND(-PMT($Z2,$C$34,((U2/((1+Z2)^13)+V2/((1+Z2)^25)+R2)*1000000*0.9))*$C$33,0)</f>
        <v>112906</v>
      </c>
      <c r="AE2" s="28">
        <f t="shared" ref="AE2:AE20" si="1">(I40/D2+J40)*1000*$C$33</f>
        <v>13428.571428571429</v>
      </c>
      <c r="AF2" s="295">
        <f>ROUND(-PMT($Z2,$C$34,((C2)*1000000*0.9))*$C$33,0)</f>
        <v>118006</v>
      </c>
    </row>
    <row r="3" spans="1:32" x14ac:dyDescent="0.2">
      <c r="A3" s="15" t="s">
        <v>24</v>
      </c>
      <c r="B3" s="16" t="s">
        <v>22</v>
      </c>
      <c r="C3" s="17">
        <v>2.4</v>
      </c>
      <c r="D3" s="18">
        <v>500</v>
      </c>
      <c r="E3" s="19" t="s">
        <v>4</v>
      </c>
      <c r="F3" s="20">
        <v>2</v>
      </c>
      <c r="G3" s="21">
        <v>0.3</v>
      </c>
      <c r="H3" s="21">
        <v>0.1</v>
      </c>
      <c r="I3" s="22">
        <v>2</v>
      </c>
      <c r="J3" s="22">
        <f t="shared" ref="J3:J20" si="2">$G3*(1+$C$27)^10</f>
        <v>0.25791913267774291</v>
      </c>
      <c r="K3" s="22">
        <f t="shared" ref="K3:K20" si="3">$G3*(1+$C$27)^20</f>
        <v>0.22174093000413053</v>
      </c>
      <c r="L3" s="22">
        <f t="shared" ref="L3:L20" si="4">$G3*(1+$C$27)^30</f>
        <v>0.19063742781940482</v>
      </c>
      <c r="M3" s="22">
        <f t="shared" ref="M3:M20" si="5">$H3*(1+$C$28)^10</f>
        <v>8.1707280688754658E-2</v>
      </c>
      <c r="N3" s="22">
        <f t="shared" ref="N3:N20" si="6">$H3*(1+$C$28)^20</f>
        <v>6.6760797175509409E-2</v>
      </c>
      <c r="O3" s="22">
        <f t="shared" ref="O3:O20" si="7">$H3*(1+$C$28)^30</f>
        <v>5.4548431938243672E-2</v>
      </c>
      <c r="P3" s="309">
        <f>$G3*(1+$C$27)^2*(1-(1+$C$27)^9)/(1-(1+$C$27))/9
+$H3*(1+$C$28)^2*(1-(1+$C$28)^9)/(1-(1+$C$28))/9
+$I3*IFERROR((1+$C$29)^2*(1-(1+$C$29)^9)/(1-(1+$C$29))/9,1)</f>
        <v>2.3629059481939887</v>
      </c>
      <c r="Q3" s="22">
        <f t="shared" ref="Q3:Q20" si="8">$G3*(1+$C$27)^11*(1-(1+$C$27)^10)/(1-(1+$C$27))/10
+$H3*(1+$C$28)^11*(1-(1+$C$28)^10)/(1-(1+$C$28))/10
+$I3*IFERROR((1+$C$29)^11*(1-(1+$C$29)^10)/(1-(1+$C$29))/10,1)</f>
        <v>2.3108079667716228</v>
      </c>
      <c r="R3" s="22">
        <f t="shared" ref="R3:R20" si="9">$G3*(1+$C$27)^21*(1-(1+$C$27)^10)/(1-(1+$C$27))/10
+$H3*(1+$C$28)^21*(1-(1+$C$28)^10)/(1-(1+$C$28))/10
+$I3*IFERROR((1+$C$29)^21*(1-(1+$C$29)^10)/(1-(1+$C$29))/10,1)</f>
        <v>2.2640869206756342</v>
      </c>
      <c r="S3" s="22">
        <f t="shared" ref="S3:S6" si="10">+$H3*(1+$C$28)^14*(1-(1+$C$28)^9)/(1-(1+$C$28))/9</f>
        <v>6.9608144068211697E-2</v>
      </c>
      <c r="T3" s="22">
        <f t="shared" ref="T3:T6" si="11">+$H3*(1+$C$28)^23*(1-(1+$C$28)^10)/(1-(1+$C$28))/10</f>
        <v>5.7470902311963043E-2</v>
      </c>
      <c r="U3" s="22">
        <f t="shared" ref="U3:U6" si="12">+$H3*(1+$C$28)^33*(1-(1+$C$28)^10)/(1-(1+$C$28))/10</f>
        <v>4.6957911466395642E-2</v>
      </c>
      <c r="V3" s="22">
        <v>0.02</v>
      </c>
      <c r="W3" s="23">
        <v>0.48750000000000004</v>
      </c>
      <c r="X3" s="24">
        <v>6.5000000000000002E-2</v>
      </c>
      <c r="Y3" s="25">
        <v>0.1</v>
      </c>
      <c r="Z3" s="26">
        <f t="shared" si="0"/>
        <v>4.7250000000000236E-2</v>
      </c>
      <c r="AA3" s="27">
        <f t="shared" ref="AA3:AA20" si="13">ROUND(-PMT($Z3,$C$34,((S3/((1+$Z3)^13)+V3/((1+$Z3)^25)+C3)*1000000*0.74))*$C$33,0)</f>
        <v>124834</v>
      </c>
      <c r="AB3" s="27">
        <f t="shared" ref="AB3:AB18" si="14">ROUND(-PMT($Z3,$C$34,((S3/((1+Z3)^13)+V3/((1+Z3)^25)+P3)*1000000*0.9))*$C$33,0)</f>
        <v>149521</v>
      </c>
      <c r="AC3" s="27">
        <f t="shared" ref="AC3:AC18" si="15">ROUND(-PMT($Z3,$C$34,((T3/((1+Z3)^13)+V3/((1+Z3)^25)+Q3)*1000000*0.9))*$C$33,0)</f>
        <v>145871</v>
      </c>
      <c r="AD3" s="27">
        <f t="shared" ref="AD3:AD18" si="16">ROUND(-PMT($Z3,$C$34,((U3/((1+Z3)^13)+V3/((1+Z3)^25)+R3)*1000000*0.9))*$C$33,0)</f>
        <v>142611</v>
      </c>
      <c r="AE3" s="28">
        <f t="shared" si="1"/>
        <v>20000</v>
      </c>
      <c r="AF3" s="295">
        <f t="shared" ref="AF3:AF18" si="17">ROUND(-PMT($Z3,$C$34,((C3)*1000000*0.9))*$C$33,0)</f>
        <v>149061</v>
      </c>
    </row>
    <row r="4" spans="1:32" x14ac:dyDescent="0.2">
      <c r="A4" t="s">
        <v>25</v>
      </c>
      <c r="B4" s="16" t="s">
        <v>22</v>
      </c>
      <c r="C4" s="17">
        <v>1.7</v>
      </c>
      <c r="D4" s="18">
        <v>2000</v>
      </c>
      <c r="E4" s="19" t="s">
        <v>23</v>
      </c>
      <c r="F4" s="20">
        <v>3</v>
      </c>
      <c r="G4" s="21">
        <v>0.25</v>
      </c>
      <c r="H4" s="21">
        <v>0.06</v>
      </c>
      <c r="I4" s="22">
        <v>1.39</v>
      </c>
      <c r="J4" s="22">
        <f t="shared" si="2"/>
        <v>0.21493261056478577</v>
      </c>
      <c r="K4" s="22">
        <f t="shared" si="3"/>
        <v>0.18478410833677544</v>
      </c>
      <c r="L4" s="22">
        <f t="shared" si="4"/>
        <v>0.15886452318283736</v>
      </c>
      <c r="M4" s="22">
        <f t="shared" si="5"/>
        <v>4.9024368413252792E-2</v>
      </c>
      <c r="N4" s="22">
        <f t="shared" si="6"/>
        <v>4.0056478305305648E-2</v>
      </c>
      <c r="O4" s="22">
        <f t="shared" si="7"/>
        <v>3.2729059162946203E-2</v>
      </c>
      <c r="P4" s="309">
        <f t="shared" ref="P4:P20" si="18">$G4*(1+$C$27)^2*(1-(1+$C$27)^9)/(1-(1+$C$27))/9
+$H4*(1+$C$28)^2*(1-(1+$C$28)^9)/(1-(1+$C$28))/9
+$I4*IFERROR((1+$C$29)^2*(1-(1+$C$29)^9)/(1-(1+$C$29))/9,1)</f>
        <v>1.6717238356292234</v>
      </c>
      <c r="Q4" s="22">
        <f t="shared" si="8"/>
        <v>1.631917826159542</v>
      </c>
      <c r="R4" s="22">
        <f t="shared" si="9"/>
        <v>1.5961096296417545</v>
      </c>
      <c r="S4" s="22">
        <f t="shared" si="10"/>
        <v>4.1764886440927011E-2</v>
      </c>
      <c r="T4" s="22">
        <f t="shared" si="11"/>
        <v>3.448254138717783E-2</v>
      </c>
      <c r="U4" s="22">
        <f t="shared" si="12"/>
        <v>2.8174746879837387E-2</v>
      </c>
      <c r="V4" s="22">
        <v>0.02</v>
      </c>
      <c r="W4" s="23">
        <v>0.48750000000000004</v>
      </c>
      <c r="X4" s="24">
        <v>6.5000000000000002E-2</v>
      </c>
      <c r="Y4" s="25">
        <v>0.1</v>
      </c>
      <c r="Z4" s="26">
        <f t="shared" si="0"/>
        <v>4.7250000000000236E-2</v>
      </c>
      <c r="AA4" s="27">
        <f t="shared" si="13"/>
        <v>88306</v>
      </c>
      <c r="AB4" s="27">
        <f t="shared" si="14"/>
        <v>105643</v>
      </c>
      <c r="AC4" s="27">
        <f t="shared" si="15"/>
        <v>102923</v>
      </c>
      <c r="AD4" s="27">
        <f t="shared" si="16"/>
        <v>100484</v>
      </c>
      <c r="AE4" s="28">
        <f t="shared" si="1"/>
        <v>14500</v>
      </c>
      <c r="AF4" s="295">
        <f t="shared" si="17"/>
        <v>105585</v>
      </c>
    </row>
    <row r="5" spans="1:32" x14ac:dyDescent="0.2">
      <c r="A5" t="s">
        <v>26</v>
      </c>
      <c r="B5" s="16" t="s">
        <v>22</v>
      </c>
      <c r="C5" s="17">
        <v>2.1</v>
      </c>
      <c r="D5" s="18">
        <v>350</v>
      </c>
      <c r="E5" s="19" t="s">
        <v>4</v>
      </c>
      <c r="F5" s="20">
        <v>2</v>
      </c>
      <c r="G5" s="21">
        <v>0.3</v>
      </c>
      <c r="H5" s="21">
        <v>0.1</v>
      </c>
      <c r="I5" s="22">
        <v>1.7</v>
      </c>
      <c r="J5" s="22">
        <f t="shared" si="2"/>
        <v>0.25791913267774291</v>
      </c>
      <c r="K5" s="22">
        <f t="shared" si="3"/>
        <v>0.22174093000413053</v>
      </c>
      <c r="L5" s="22">
        <f t="shared" si="4"/>
        <v>0.19063742781940482</v>
      </c>
      <c r="M5" s="22">
        <f t="shared" si="5"/>
        <v>8.1707280688754658E-2</v>
      </c>
      <c r="N5" s="22">
        <f t="shared" si="6"/>
        <v>6.6760797175509409E-2</v>
      </c>
      <c r="O5" s="22">
        <f t="shared" si="7"/>
        <v>5.4548431938243672E-2</v>
      </c>
      <c r="P5" s="309">
        <f t="shared" si="18"/>
        <v>2.0629059481939889</v>
      </c>
      <c r="Q5" s="22">
        <f t="shared" si="8"/>
        <v>2.010807966771623</v>
      </c>
      <c r="R5" s="22">
        <f t="shared" si="9"/>
        <v>1.964086920675634</v>
      </c>
      <c r="S5" s="22">
        <f t="shared" si="10"/>
        <v>6.9608144068211697E-2</v>
      </c>
      <c r="T5" s="22">
        <f t="shared" si="11"/>
        <v>5.7470902311963043E-2</v>
      </c>
      <c r="U5" s="22">
        <f t="shared" si="12"/>
        <v>4.6957911466395642E-2</v>
      </c>
      <c r="V5" s="22">
        <v>0.02</v>
      </c>
      <c r="W5" s="23">
        <v>0.48750000000000004</v>
      </c>
      <c r="X5" s="24">
        <v>6.5000000000000002E-2</v>
      </c>
      <c r="Y5" s="25">
        <v>0.1</v>
      </c>
      <c r="Z5" s="26">
        <f t="shared" si="0"/>
        <v>4.7250000000000236E-2</v>
      </c>
      <c r="AA5" s="27">
        <f t="shared" si="13"/>
        <v>109513</v>
      </c>
      <c r="AB5" s="27">
        <f t="shared" si="14"/>
        <v>130888</v>
      </c>
      <c r="AC5" s="27">
        <f t="shared" si="15"/>
        <v>127239</v>
      </c>
      <c r="AD5" s="27">
        <f t="shared" si="16"/>
        <v>123979</v>
      </c>
      <c r="AE5" s="28">
        <f t="shared" si="1"/>
        <v>22571.428571428569</v>
      </c>
      <c r="AF5" s="295">
        <f t="shared" si="17"/>
        <v>130428</v>
      </c>
    </row>
    <row r="6" spans="1:32" x14ac:dyDescent="0.2">
      <c r="A6" t="s">
        <v>27</v>
      </c>
      <c r="B6" s="16" t="s">
        <v>22</v>
      </c>
      <c r="C6" s="17">
        <v>2.6</v>
      </c>
      <c r="D6" s="18">
        <v>35</v>
      </c>
      <c r="E6" s="19" t="s">
        <v>4</v>
      </c>
      <c r="F6" s="20">
        <v>2</v>
      </c>
      <c r="G6" s="21">
        <v>0.3</v>
      </c>
      <c r="H6" s="21">
        <v>0.1</v>
      </c>
      <c r="I6" s="22">
        <v>2.2000000000000002</v>
      </c>
      <c r="J6" s="22">
        <f t="shared" si="2"/>
        <v>0.25791913267774291</v>
      </c>
      <c r="K6" s="22">
        <f t="shared" si="3"/>
        <v>0.22174093000413053</v>
      </c>
      <c r="L6" s="22">
        <f t="shared" si="4"/>
        <v>0.19063742781940482</v>
      </c>
      <c r="M6" s="22">
        <f t="shared" si="5"/>
        <v>8.1707280688754658E-2</v>
      </c>
      <c r="N6" s="22">
        <f t="shared" si="6"/>
        <v>6.6760797175509409E-2</v>
      </c>
      <c r="O6" s="22">
        <f t="shared" si="7"/>
        <v>5.4548431938243672E-2</v>
      </c>
      <c r="P6" s="309">
        <f t="shared" si="18"/>
        <v>2.5629059481939889</v>
      </c>
      <c r="Q6" s="22">
        <f t="shared" si="8"/>
        <v>2.510807966771623</v>
      </c>
      <c r="R6" s="22">
        <f t="shared" si="9"/>
        <v>2.4640869206756344</v>
      </c>
      <c r="S6" s="22">
        <f t="shared" si="10"/>
        <v>6.9608144068211697E-2</v>
      </c>
      <c r="T6" s="22">
        <f t="shared" si="11"/>
        <v>5.7470902311963043E-2</v>
      </c>
      <c r="U6" s="22">
        <f t="shared" si="12"/>
        <v>4.6957911466395642E-2</v>
      </c>
      <c r="V6" s="22">
        <v>0.02</v>
      </c>
      <c r="W6" s="23">
        <v>0.48750000000000004</v>
      </c>
      <c r="X6" s="24">
        <v>6.5000000000000002E-2</v>
      </c>
      <c r="Y6" s="25">
        <v>0.1</v>
      </c>
      <c r="Z6" s="26">
        <f t="shared" si="0"/>
        <v>4.7250000000000236E-2</v>
      </c>
      <c r="AA6" s="27">
        <f t="shared" si="13"/>
        <v>135047</v>
      </c>
      <c r="AB6" s="27">
        <f t="shared" si="14"/>
        <v>161942</v>
      </c>
      <c r="AC6" s="27">
        <f t="shared" si="15"/>
        <v>158293</v>
      </c>
      <c r="AD6" s="27">
        <f t="shared" si="16"/>
        <v>155033</v>
      </c>
      <c r="AE6" s="28">
        <f t="shared" si="1"/>
        <v>14485.714285714286</v>
      </c>
      <c r="AF6" s="295">
        <f t="shared" si="17"/>
        <v>161482</v>
      </c>
    </row>
    <row r="7" spans="1:32" x14ac:dyDescent="0.2">
      <c r="A7" t="s">
        <v>28</v>
      </c>
      <c r="B7" s="16" t="s">
        <v>22</v>
      </c>
      <c r="C7" s="17">
        <v>2.65</v>
      </c>
      <c r="D7" s="18">
        <v>1500</v>
      </c>
      <c r="E7" s="19" t="s">
        <v>23</v>
      </c>
      <c r="F7" s="20">
        <v>3</v>
      </c>
      <c r="G7" s="21">
        <v>0.25</v>
      </c>
      <c r="H7" s="21">
        <v>0.06</v>
      </c>
      <c r="I7" s="22">
        <v>2.34</v>
      </c>
      <c r="J7" s="22">
        <f t="shared" si="2"/>
        <v>0.21493261056478577</v>
      </c>
      <c r="K7" s="22">
        <f t="shared" si="3"/>
        <v>0.18478410833677544</v>
      </c>
      <c r="L7" s="22">
        <f t="shared" si="4"/>
        <v>0.15886452318283736</v>
      </c>
      <c r="M7" s="22">
        <f t="shared" si="5"/>
        <v>4.9024368413252792E-2</v>
      </c>
      <c r="N7" s="22">
        <f t="shared" si="6"/>
        <v>4.0056478305305648E-2</v>
      </c>
      <c r="O7" s="22">
        <f t="shared" si="7"/>
        <v>3.2729059162946203E-2</v>
      </c>
      <c r="P7" s="309">
        <f t="shared" si="18"/>
        <v>2.6217238356292234</v>
      </c>
      <c r="Q7" s="22">
        <f t="shared" si="8"/>
        <v>2.5819178261595419</v>
      </c>
      <c r="R7" s="22">
        <f t="shared" si="9"/>
        <v>2.5461096296417542</v>
      </c>
      <c r="S7" s="22">
        <v>0</v>
      </c>
      <c r="T7" s="22">
        <v>0</v>
      </c>
      <c r="U7" s="22">
        <v>0</v>
      </c>
      <c r="V7" s="22">
        <v>0</v>
      </c>
      <c r="W7" s="23">
        <v>0.48750000000000004</v>
      </c>
      <c r="X7" s="24">
        <v>6.5000000000000002E-2</v>
      </c>
      <c r="Y7" s="25">
        <v>0.1</v>
      </c>
      <c r="Z7" s="26">
        <f t="shared" si="0"/>
        <v>4.7250000000000236E-2</v>
      </c>
      <c r="AA7" s="27">
        <f t="shared" si="13"/>
        <v>135328</v>
      </c>
      <c r="AB7" s="27">
        <f t="shared" si="14"/>
        <v>162832</v>
      </c>
      <c r="AC7" s="27">
        <f t="shared" si="15"/>
        <v>160359</v>
      </c>
      <c r="AD7" s="27">
        <f t="shared" si="16"/>
        <v>158135</v>
      </c>
      <c r="AE7" s="28">
        <f t="shared" si="1"/>
        <v>38433.333333333336</v>
      </c>
      <c r="AF7" s="295">
        <f t="shared" si="17"/>
        <v>164588</v>
      </c>
    </row>
    <row r="8" spans="1:32" x14ac:dyDescent="0.2">
      <c r="A8" t="s">
        <v>29</v>
      </c>
      <c r="B8" s="16" t="s">
        <v>22</v>
      </c>
      <c r="C8" s="17">
        <v>1.85</v>
      </c>
      <c r="D8" s="18">
        <v>3500</v>
      </c>
      <c r="E8" s="19" t="s">
        <v>23</v>
      </c>
      <c r="F8" s="20">
        <v>3</v>
      </c>
      <c r="G8" s="21">
        <v>0.25</v>
      </c>
      <c r="H8" s="21">
        <v>0.06</v>
      </c>
      <c r="I8" s="22">
        <v>1.54</v>
      </c>
      <c r="J8" s="22">
        <f t="shared" si="2"/>
        <v>0.21493261056478577</v>
      </c>
      <c r="K8" s="22">
        <f t="shared" si="3"/>
        <v>0.18478410833677544</v>
      </c>
      <c r="L8" s="22">
        <f t="shared" si="4"/>
        <v>0.15886452318283736</v>
      </c>
      <c r="M8" s="22">
        <f t="shared" si="5"/>
        <v>4.9024368413252792E-2</v>
      </c>
      <c r="N8" s="22">
        <f t="shared" si="6"/>
        <v>4.0056478305305648E-2</v>
      </c>
      <c r="O8" s="22">
        <f t="shared" si="7"/>
        <v>3.2729059162946203E-2</v>
      </c>
      <c r="P8" s="309">
        <f t="shared" si="18"/>
        <v>1.8217238356292236</v>
      </c>
      <c r="Q8" s="22">
        <f t="shared" si="8"/>
        <v>1.7819178261595421</v>
      </c>
      <c r="R8" s="22">
        <f t="shared" si="9"/>
        <v>1.7461096296417544</v>
      </c>
      <c r="S8" s="22">
        <v>0</v>
      </c>
      <c r="T8" s="22">
        <v>0</v>
      </c>
      <c r="U8" s="22">
        <v>0</v>
      </c>
      <c r="V8" s="22">
        <v>0</v>
      </c>
      <c r="W8" s="23">
        <v>0.48750000000000004</v>
      </c>
      <c r="X8" s="24">
        <v>6.5000000000000002E-2</v>
      </c>
      <c r="Y8" s="25">
        <v>0.1</v>
      </c>
      <c r="Z8" s="26">
        <f t="shared" si="0"/>
        <v>4.7250000000000236E-2</v>
      </c>
      <c r="AA8" s="27">
        <f t="shared" si="13"/>
        <v>94474</v>
      </c>
      <c r="AB8" s="27">
        <f t="shared" si="14"/>
        <v>113145</v>
      </c>
      <c r="AC8" s="27">
        <f t="shared" si="15"/>
        <v>110672</v>
      </c>
      <c r="AD8" s="27">
        <f t="shared" si="16"/>
        <v>108448</v>
      </c>
      <c r="AE8" s="28">
        <f t="shared" si="1"/>
        <v>29142.857142857141</v>
      </c>
      <c r="AF8" s="295">
        <f t="shared" si="17"/>
        <v>114901</v>
      </c>
    </row>
    <row r="9" spans="1:32" x14ac:dyDescent="0.2">
      <c r="A9" t="s">
        <v>30</v>
      </c>
      <c r="B9" s="16" t="s">
        <v>22</v>
      </c>
      <c r="C9" s="17">
        <v>2.2999999999999998</v>
      </c>
      <c r="D9" s="18">
        <v>450</v>
      </c>
      <c r="E9" s="19" t="s">
        <v>4</v>
      </c>
      <c r="F9" s="20">
        <v>2</v>
      </c>
      <c r="G9" s="21">
        <v>0.3</v>
      </c>
      <c r="H9" s="21">
        <v>0.1</v>
      </c>
      <c r="I9" s="22">
        <v>1.8999999999999997</v>
      </c>
      <c r="J9" s="22">
        <f t="shared" si="2"/>
        <v>0.25791913267774291</v>
      </c>
      <c r="K9" s="22">
        <f t="shared" si="3"/>
        <v>0.22174093000413053</v>
      </c>
      <c r="L9" s="22">
        <f t="shared" si="4"/>
        <v>0.19063742781940482</v>
      </c>
      <c r="M9" s="22">
        <f t="shared" si="5"/>
        <v>8.1707280688754658E-2</v>
      </c>
      <c r="N9" s="22">
        <f t="shared" si="6"/>
        <v>6.6760797175509409E-2</v>
      </c>
      <c r="O9" s="22">
        <f t="shared" si="7"/>
        <v>5.4548431938243672E-2</v>
      </c>
      <c r="P9" s="309">
        <f t="shared" si="18"/>
        <v>2.2629059481939886</v>
      </c>
      <c r="Q9" s="22">
        <f t="shared" si="8"/>
        <v>2.2108079667716227</v>
      </c>
      <c r="R9" s="22">
        <f t="shared" si="9"/>
        <v>2.1640869206756337</v>
      </c>
      <c r="S9" s="22">
        <v>0</v>
      </c>
      <c r="T9" s="22">
        <v>0</v>
      </c>
      <c r="U9" s="22">
        <v>0</v>
      </c>
      <c r="V9" s="22">
        <v>0</v>
      </c>
      <c r="W9" s="23">
        <v>0.48750000000000004</v>
      </c>
      <c r="X9" s="24">
        <v>6.5000000000000002E-2</v>
      </c>
      <c r="Y9" s="25">
        <v>0.1</v>
      </c>
      <c r="Z9" s="26">
        <f t="shared" si="0"/>
        <v>4.7250000000000236E-2</v>
      </c>
      <c r="AA9" s="27">
        <f t="shared" si="13"/>
        <v>117454</v>
      </c>
      <c r="AB9" s="27">
        <f t="shared" si="14"/>
        <v>140546</v>
      </c>
      <c r="AC9" s="27">
        <f t="shared" si="15"/>
        <v>137310</v>
      </c>
      <c r="AD9" s="27">
        <f t="shared" si="16"/>
        <v>134408</v>
      </c>
      <c r="AE9" s="28">
        <f t="shared" si="1"/>
        <v>54000</v>
      </c>
      <c r="AF9" s="295">
        <f t="shared" si="17"/>
        <v>142850</v>
      </c>
    </row>
    <row r="10" spans="1:32" x14ac:dyDescent="0.2">
      <c r="A10" t="s">
        <v>31</v>
      </c>
      <c r="B10" s="16" t="s">
        <v>22</v>
      </c>
      <c r="C10" s="17">
        <v>1.65</v>
      </c>
      <c r="D10" s="18">
        <v>2000</v>
      </c>
      <c r="E10" s="19" t="s">
        <v>23</v>
      </c>
      <c r="F10" s="20">
        <v>3</v>
      </c>
      <c r="G10" s="21">
        <v>0.25</v>
      </c>
      <c r="H10" s="21">
        <v>0.06</v>
      </c>
      <c r="I10" s="22">
        <v>1.3399999999999999</v>
      </c>
      <c r="J10" s="22">
        <f t="shared" si="2"/>
        <v>0.21493261056478577</v>
      </c>
      <c r="K10" s="22">
        <f t="shared" si="3"/>
        <v>0.18478410833677544</v>
      </c>
      <c r="L10" s="22">
        <f t="shared" si="4"/>
        <v>0.15886452318283736</v>
      </c>
      <c r="M10" s="22">
        <f t="shared" si="5"/>
        <v>4.9024368413252792E-2</v>
      </c>
      <c r="N10" s="22">
        <f t="shared" si="6"/>
        <v>4.0056478305305648E-2</v>
      </c>
      <c r="O10" s="22">
        <f t="shared" si="7"/>
        <v>3.2729059162946203E-2</v>
      </c>
      <c r="P10" s="309">
        <f t="shared" si="18"/>
        <v>1.6217238356292234</v>
      </c>
      <c r="Q10" s="22">
        <f t="shared" si="8"/>
        <v>1.5819178261595419</v>
      </c>
      <c r="R10" s="22">
        <f t="shared" si="9"/>
        <v>1.5461096296417542</v>
      </c>
      <c r="S10" s="22">
        <v>0</v>
      </c>
      <c r="T10" s="22">
        <v>0</v>
      </c>
      <c r="U10" s="22">
        <v>0</v>
      </c>
      <c r="V10" s="22">
        <v>0</v>
      </c>
      <c r="W10" s="23">
        <v>0.48750000000000004</v>
      </c>
      <c r="X10" s="24">
        <v>6.5000000000000002E-2</v>
      </c>
      <c r="Y10" s="25">
        <v>0.1</v>
      </c>
      <c r="Z10" s="26">
        <f t="shared" si="0"/>
        <v>4.7250000000000236E-2</v>
      </c>
      <c r="AA10" s="27">
        <f t="shared" si="13"/>
        <v>84261</v>
      </c>
      <c r="AB10" s="27">
        <f t="shared" si="14"/>
        <v>100723</v>
      </c>
      <c r="AC10" s="27">
        <f t="shared" si="15"/>
        <v>98251</v>
      </c>
      <c r="AD10" s="27">
        <f t="shared" si="16"/>
        <v>96027</v>
      </c>
      <c r="AE10" s="28">
        <f t="shared" si="1"/>
        <v>42000</v>
      </c>
      <c r="AF10" s="295">
        <f t="shared" si="17"/>
        <v>102479</v>
      </c>
    </row>
    <row r="11" spans="1:32" x14ac:dyDescent="0.2">
      <c r="A11" t="s">
        <v>32</v>
      </c>
      <c r="B11" s="16" t="s">
        <v>22</v>
      </c>
      <c r="C11" s="17">
        <v>2.0499999999999998</v>
      </c>
      <c r="D11" s="18">
        <v>250</v>
      </c>
      <c r="E11" s="19" t="s">
        <v>4</v>
      </c>
      <c r="F11" s="20">
        <v>2</v>
      </c>
      <c r="G11" s="21">
        <v>0.3</v>
      </c>
      <c r="H11" s="21">
        <v>0.1</v>
      </c>
      <c r="I11" s="22">
        <v>1.6499999999999997</v>
      </c>
      <c r="J11" s="22">
        <f t="shared" si="2"/>
        <v>0.25791913267774291</v>
      </c>
      <c r="K11" s="22">
        <f t="shared" si="3"/>
        <v>0.22174093000413053</v>
      </c>
      <c r="L11" s="22">
        <f t="shared" si="4"/>
        <v>0.19063742781940482</v>
      </c>
      <c r="M11" s="22">
        <f t="shared" si="5"/>
        <v>8.1707280688754658E-2</v>
      </c>
      <c r="N11" s="22">
        <f t="shared" si="6"/>
        <v>6.6760797175509409E-2</v>
      </c>
      <c r="O11" s="22">
        <f t="shared" si="7"/>
        <v>5.4548431938243672E-2</v>
      </c>
      <c r="P11" s="309">
        <f t="shared" si="18"/>
        <v>2.0129059481939886</v>
      </c>
      <c r="Q11" s="22">
        <f t="shared" si="8"/>
        <v>1.9608079667716225</v>
      </c>
      <c r="R11" s="22">
        <f t="shared" si="9"/>
        <v>1.9140869206756337</v>
      </c>
      <c r="S11" s="22">
        <v>0</v>
      </c>
      <c r="T11" s="22">
        <v>0</v>
      </c>
      <c r="U11" s="22">
        <v>0</v>
      </c>
      <c r="V11" s="22">
        <v>0</v>
      </c>
      <c r="W11" s="23">
        <v>0.48750000000000004</v>
      </c>
      <c r="X11" s="24">
        <v>6.5000000000000002E-2</v>
      </c>
      <c r="Y11" s="25">
        <v>0.1</v>
      </c>
      <c r="Z11" s="26">
        <f t="shared" si="0"/>
        <v>4.7250000000000236E-2</v>
      </c>
      <c r="AA11" s="27">
        <f t="shared" si="13"/>
        <v>104687</v>
      </c>
      <c r="AB11" s="27">
        <f t="shared" si="14"/>
        <v>125019</v>
      </c>
      <c r="AC11" s="27">
        <f t="shared" si="15"/>
        <v>121783</v>
      </c>
      <c r="AD11" s="27">
        <f t="shared" si="16"/>
        <v>118881</v>
      </c>
      <c r="AE11" s="28">
        <f t="shared" si="1"/>
        <v>60500</v>
      </c>
      <c r="AF11" s="295">
        <f t="shared" si="17"/>
        <v>127323</v>
      </c>
    </row>
    <row r="12" spans="1:32" x14ac:dyDescent="0.2">
      <c r="A12" t="s">
        <v>33</v>
      </c>
      <c r="B12" s="16" t="s">
        <v>22</v>
      </c>
      <c r="C12" s="17">
        <v>2.5499999999999998</v>
      </c>
      <c r="D12" s="18">
        <v>35</v>
      </c>
      <c r="E12" s="19" t="s">
        <v>4</v>
      </c>
      <c r="F12" s="20">
        <v>2</v>
      </c>
      <c r="G12" s="21">
        <v>0.3</v>
      </c>
      <c r="H12" s="21">
        <v>0.1</v>
      </c>
      <c r="I12" s="22">
        <v>2.15</v>
      </c>
      <c r="J12" s="22">
        <f t="shared" si="2"/>
        <v>0.25791913267774291</v>
      </c>
      <c r="K12" s="22">
        <f t="shared" si="3"/>
        <v>0.22174093000413053</v>
      </c>
      <c r="L12" s="22">
        <f t="shared" si="4"/>
        <v>0.19063742781940482</v>
      </c>
      <c r="M12" s="22">
        <f t="shared" si="5"/>
        <v>8.1707280688754658E-2</v>
      </c>
      <c r="N12" s="22">
        <f t="shared" si="6"/>
        <v>6.6760797175509409E-2</v>
      </c>
      <c r="O12" s="22">
        <f t="shared" si="7"/>
        <v>5.4548431938243672E-2</v>
      </c>
      <c r="P12" s="309">
        <f t="shared" si="18"/>
        <v>2.512905948193989</v>
      </c>
      <c r="Q12" s="22">
        <f t="shared" si="8"/>
        <v>2.4608079667716227</v>
      </c>
      <c r="R12" s="22">
        <f t="shared" si="9"/>
        <v>2.4140869206756337</v>
      </c>
      <c r="S12" s="22">
        <v>0</v>
      </c>
      <c r="T12" s="22">
        <v>0</v>
      </c>
      <c r="U12" s="22">
        <v>0</v>
      </c>
      <c r="V12" s="22">
        <v>0</v>
      </c>
      <c r="W12" s="23">
        <v>0.48750000000000004</v>
      </c>
      <c r="X12" s="24">
        <v>7.0000000000000007E-2</v>
      </c>
      <c r="Y12" s="25">
        <v>0.1</v>
      </c>
      <c r="Z12" s="26">
        <f t="shared" si="0"/>
        <v>4.8914634146341562E-2</v>
      </c>
      <c r="AA12" s="27">
        <f t="shared" si="13"/>
        <v>132435</v>
      </c>
      <c r="AB12" s="27">
        <f t="shared" si="14"/>
        <v>158726</v>
      </c>
      <c r="AC12" s="27">
        <f t="shared" si="15"/>
        <v>155435</v>
      </c>
      <c r="AD12" s="27">
        <f t="shared" si="16"/>
        <v>152484</v>
      </c>
      <c r="AE12" s="28">
        <f t="shared" si="1"/>
        <v>43057.142857142855</v>
      </c>
      <c r="AF12" s="295">
        <f t="shared" si="17"/>
        <v>161069</v>
      </c>
    </row>
    <row r="13" spans="1:32" x14ac:dyDescent="0.2">
      <c r="A13" t="s">
        <v>34</v>
      </c>
      <c r="B13" s="16" t="s">
        <v>22</v>
      </c>
      <c r="C13" s="17">
        <v>2.0500000000000003</v>
      </c>
      <c r="D13" s="18">
        <v>3500</v>
      </c>
      <c r="E13" s="19" t="s">
        <v>23</v>
      </c>
      <c r="F13" s="20">
        <v>3</v>
      </c>
      <c r="G13" s="21">
        <v>0.25</v>
      </c>
      <c r="H13" s="21">
        <v>0.06</v>
      </c>
      <c r="I13" s="22">
        <v>1.7400000000000002</v>
      </c>
      <c r="J13" s="22">
        <f t="shared" si="2"/>
        <v>0.21493261056478577</v>
      </c>
      <c r="K13" s="22">
        <f t="shared" si="3"/>
        <v>0.18478410833677544</v>
      </c>
      <c r="L13" s="22">
        <f t="shared" si="4"/>
        <v>0.15886452318283736</v>
      </c>
      <c r="M13" s="22">
        <f t="shared" si="5"/>
        <v>4.9024368413252792E-2</v>
      </c>
      <c r="N13" s="22">
        <f t="shared" si="6"/>
        <v>4.0056478305305648E-2</v>
      </c>
      <c r="O13" s="22">
        <f t="shared" si="7"/>
        <v>3.2729059162946203E-2</v>
      </c>
      <c r="P13" s="309">
        <f t="shared" si="18"/>
        <v>2.0217238356292238</v>
      </c>
      <c r="Q13" s="22">
        <f t="shared" si="8"/>
        <v>1.9819178261595423</v>
      </c>
      <c r="R13" s="22">
        <f t="shared" si="9"/>
        <v>1.9461096296417546</v>
      </c>
      <c r="S13" s="22">
        <v>0</v>
      </c>
      <c r="T13" s="22">
        <v>0</v>
      </c>
      <c r="U13" s="22">
        <v>0</v>
      </c>
      <c r="V13" s="22">
        <v>0</v>
      </c>
      <c r="W13" s="23">
        <v>0.48750000000000004</v>
      </c>
      <c r="X13" s="24">
        <v>6.5000000000000002E-2</v>
      </c>
      <c r="Y13" s="25">
        <v>0.1</v>
      </c>
      <c r="Z13" s="26">
        <f t="shared" si="0"/>
        <v>4.7250000000000236E-2</v>
      </c>
      <c r="AA13" s="27">
        <f t="shared" si="13"/>
        <v>104687</v>
      </c>
      <c r="AB13" s="27">
        <f t="shared" si="14"/>
        <v>125566</v>
      </c>
      <c r="AC13" s="27">
        <f t="shared" si="15"/>
        <v>123094</v>
      </c>
      <c r="AD13" s="27">
        <f t="shared" si="16"/>
        <v>120870</v>
      </c>
      <c r="AE13" s="28">
        <f t="shared" si="1"/>
        <v>59142.857142857138</v>
      </c>
      <c r="AF13" s="295">
        <f t="shared" si="17"/>
        <v>127323</v>
      </c>
    </row>
    <row r="14" spans="1:32" x14ac:dyDescent="0.2">
      <c r="A14" t="s">
        <v>35</v>
      </c>
      <c r="B14" s="16" t="s">
        <v>22</v>
      </c>
      <c r="C14" s="17">
        <v>1.8499999999999999</v>
      </c>
      <c r="D14" s="18">
        <v>2000</v>
      </c>
      <c r="E14" s="19" t="s">
        <v>23</v>
      </c>
      <c r="F14" s="20">
        <v>3</v>
      </c>
      <c r="G14" s="21">
        <v>0.25</v>
      </c>
      <c r="H14" s="21">
        <v>0.06</v>
      </c>
      <c r="I14" s="22">
        <v>1.5399999999999998</v>
      </c>
      <c r="J14" s="22">
        <f t="shared" si="2"/>
        <v>0.21493261056478577</v>
      </c>
      <c r="K14" s="22">
        <f t="shared" si="3"/>
        <v>0.18478410833677544</v>
      </c>
      <c r="L14" s="22">
        <f t="shared" si="4"/>
        <v>0.15886452318283736</v>
      </c>
      <c r="M14" s="22">
        <f t="shared" si="5"/>
        <v>4.9024368413252792E-2</v>
      </c>
      <c r="N14" s="22">
        <f t="shared" si="6"/>
        <v>4.0056478305305648E-2</v>
      </c>
      <c r="O14" s="22">
        <f t="shared" si="7"/>
        <v>3.2729059162946203E-2</v>
      </c>
      <c r="P14" s="309">
        <f t="shared" si="18"/>
        <v>1.8217238356292234</v>
      </c>
      <c r="Q14" s="22">
        <f t="shared" si="8"/>
        <v>1.7819178261595419</v>
      </c>
      <c r="R14" s="22">
        <f t="shared" si="9"/>
        <v>1.7461096296417544</v>
      </c>
      <c r="S14" s="22">
        <v>0</v>
      </c>
      <c r="T14" s="22">
        <v>0</v>
      </c>
      <c r="U14" s="22">
        <v>0</v>
      </c>
      <c r="V14" s="22">
        <v>0</v>
      </c>
      <c r="W14" s="23">
        <v>0.48750000000000004</v>
      </c>
      <c r="X14" s="24">
        <v>6.5000000000000002E-2</v>
      </c>
      <c r="Y14" s="25">
        <v>0.1</v>
      </c>
      <c r="Z14" s="26">
        <f t="shared" si="0"/>
        <v>4.7250000000000236E-2</v>
      </c>
      <c r="AA14" s="27">
        <f t="shared" si="13"/>
        <v>94474</v>
      </c>
      <c r="AB14" s="27">
        <f t="shared" si="14"/>
        <v>113145</v>
      </c>
      <c r="AC14" s="27">
        <f t="shared" si="15"/>
        <v>110672</v>
      </c>
      <c r="AD14" s="27">
        <f t="shared" si="16"/>
        <v>108448</v>
      </c>
      <c r="AE14" s="28">
        <f t="shared" si="1"/>
        <v>67000</v>
      </c>
      <c r="AF14" s="295">
        <f t="shared" si="17"/>
        <v>114901</v>
      </c>
    </row>
    <row r="15" spans="1:32" x14ac:dyDescent="0.2">
      <c r="A15" t="s">
        <v>36</v>
      </c>
      <c r="B15" s="16" t="s">
        <v>22</v>
      </c>
      <c r="C15" s="17">
        <v>2.25</v>
      </c>
      <c r="D15" s="18">
        <v>650</v>
      </c>
      <c r="E15" s="19" t="s">
        <v>4</v>
      </c>
      <c r="F15" s="20">
        <v>2</v>
      </c>
      <c r="G15" s="21">
        <v>0.3</v>
      </c>
      <c r="H15" s="21">
        <v>0.1</v>
      </c>
      <c r="I15" s="22">
        <v>1.8499999999999999</v>
      </c>
      <c r="J15" s="22">
        <f t="shared" si="2"/>
        <v>0.25791913267774291</v>
      </c>
      <c r="K15" s="22">
        <f t="shared" si="3"/>
        <v>0.22174093000413053</v>
      </c>
      <c r="L15" s="22">
        <f t="shared" si="4"/>
        <v>0.19063742781940482</v>
      </c>
      <c r="M15" s="22">
        <f t="shared" si="5"/>
        <v>8.1707280688754658E-2</v>
      </c>
      <c r="N15" s="22">
        <f t="shared" si="6"/>
        <v>6.6760797175509409E-2</v>
      </c>
      <c r="O15" s="22">
        <f t="shared" si="7"/>
        <v>5.4548431938243672E-2</v>
      </c>
      <c r="P15" s="309">
        <f t="shared" si="18"/>
        <v>2.2129059481939888</v>
      </c>
      <c r="Q15" s="22">
        <f t="shared" si="8"/>
        <v>2.1608079667716229</v>
      </c>
      <c r="R15" s="22">
        <f t="shared" si="9"/>
        <v>2.1140869206756339</v>
      </c>
      <c r="S15" s="22">
        <v>0</v>
      </c>
      <c r="T15" s="22">
        <v>0</v>
      </c>
      <c r="U15" s="22">
        <v>0</v>
      </c>
      <c r="V15" s="22">
        <v>0</v>
      </c>
      <c r="W15" s="23">
        <v>0.48750000000000004</v>
      </c>
      <c r="X15" s="24">
        <v>6.5000000000000002E-2</v>
      </c>
      <c r="Y15" s="25">
        <v>0.1</v>
      </c>
      <c r="Z15" s="26">
        <f t="shared" si="0"/>
        <v>4.7250000000000236E-2</v>
      </c>
      <c r="AA15" s="27">
        <f t="shared" si="13"/>
        <v>114901</v>
      </c>
      <c r="AB15" s="27">
        <f t="shared" si="14"/>
        <v>137440</v>
      </c>
      <c r="AC15" s="27">
        <f t="shared" si="15"/>
        <v>134205</v>
      </c>
      <c r="AD15" s="27">
        <f t="shared" si="16"/>
        <v>131303</v>
      </c>
      <c r="AE15" s="28">
        <f t="shared" si="1"/>
        <v>72384.61538461539</v>
      </c>
      <c r="AF15" s="295">
        <f t="shared" si="17"/>
        <v>139744</v>
      </c>
    </row>
    <row r="16" spans="1:32" x14ac:dyDescent="0.2">
      <c r="A16" t="s">
        <v>37</v>
      </c>
      <c r="B16" s="16" t="s">
        <v>22</v>
      </c>
      <c r="C16" s="17">
        <v>1.9</v>
      </c>
      <c r="D16" s="18">
        <v>7000</v>
      </c>
      <c r="E16" s="19" t="s">
        <v>23</v>
      </c>
      <c r="F16" s="20">
        <v>3</v>
      </c>
      <c r="G16" s="21">
        <v>0.25</v>
      </c>
      <c r="H16" s="21">
        <v>0.06</v>
      </c>
      <c r="I16" s="22">
        <v>1.5899999999999999</v>
      </c>
      <c r="J16" s="22">
        <f t="shared" si="2"/>
        <v>0.21493261056478577</v>
      </c>
      <c r="K16" s="22">
        <f t="shared" si="3"/>
        <v>0.18478410833677544</v>
      </c>
      <c r="L16" s="22">
        <f t="shared" si="4"/>
        <v>0.15886452318283736</v>
      </c>
      <c r="M16" s="22">
        <f t="shared" si="5"/>
        <v>4.9024368413252792E-2</v>
      </c>
      <c r="N16" s="22">
        <f t="shared" si="6"/>
        <v>4.0056478305305648E-2</v>
      </c>
      <c r="O16" s="22">
        <f t="shared" si="7"/>
        <v>3.2729059162946203E-2</v>
      </c>
      <c r="P16" s="309">
        <f t="shared" si="18"/>
        <v>1.8717238356292234</v>
      </c>
      <c r="Q16" s="22">
        <f t="shared" si="8"/>
        <v>1.8319178261595419</v>
      </c>
      <c r="R16" s="22">
        <f t="shared" si="9"/>
        <v>1.7961096296417542</v>
      </c>
      <c r="S16" s="22">
        <v>0</v>
      </c>
      <c r="T16" s="22">
        <v>0</v>
      </c>
      <c r="U16" s="22">
        <v>0</v>
      </c>
      <c r="V16" s="22">
        <v>0</v>
      </c>
      <c r="W16" s="23">
        <v>0.48750000000000004</v>
      </c>
      <c r="X16" s="24">
        <v>6.5000000000000002E-2</v>
      </c>
      <c r="Y16" s="25">
        <v>0.1</v>
      </c>
      <c r="Z16" s="26">
        <f t="shared" si="0"/>
        <v>4.7250000000000236E-2</v>
      </c>
      <c r="AA16" s="27">
        <f t="shared" si="13"/>
        <v>97027</v>
      </c>
      <c r="AB16" s="27">
        <f t="shared" si="14"/>
        <v>116250</v>
      </c>
      <c r="AC16" s="27">
        <f t="shared" si="15"/>
        <v>113778</v>
      </c>
      <c r="AD16" s="27">
        <f t="shared" si="16"/>
        <v>111554</v>
      </c>
      <c r="AE16" s="28">
        <f t="shared" si="1"/>
        <v>27191.000000000004</v>
      </c>
      <c r="AF16" s="295">
        <f t="shared" si="17"/>
        <v>118006</v>
      </c>
    </row>
    <row r="17" spans="1:32" x14ac:dyDescent="0.2">
      <c r="A17" t="s">
        <v>38</v>
      </c>
      <c r="B17" s="16" t="s">
        <v>22</v>
      </c>
      <c r="C17" s="17">
        <v>1.1499999999999999</v>
      </c>
      <c r="D17" s="18">
        <v>10000</v>
      </c>
      <c r="E17" s="19" t="s">
        <v>23</v>
      </c>
      <c r="F17" s="20">
        <v>3</v>
      </c>
      <c r="G17" s="21">
        <v>0.25</v>
      </c>
      <c r="H17" s="21">
        <v>0.06</v>
      </c>
      <c r="I17" s="22">
        <v>0.83999999999999986</v>
      </c>
      <c r="J17" s="22">
        <f t="shared" si="2"/>
        <v>0.21493261056478577</v>
      </c>
      <c r="K17" s="22">
        <f t="shared" si="3"/>
        <v>0.18478410833677544</v>
      </c>
      <c r="L17" s="22">
        <f t="shared" si="4"/>
        <v>0.15886452318283736</v>
      </c>
      <c r="M17" s="22">
        <f t="shared" si="5"/>
        <v>4.9024368413252792E-2</v>
      </c>
      <c r="N17" s="22">
        <f t="shared" si="6"/>
        <v>4.0056478305305648E-2</v>
      </c>
      <c r="O17" s="22">
        <f t="shared" si="7"/>
        <v>3.2729059162946203E-2</v>
      </c>
      <c r="P17" s="309">
        <f t="shared" si="18"/>
        <v>1.1217238356292234</v>
      </c>
      <c r="Q17" s="22">
        <f t="shared" si="8"/>
        <v>1.0819178261595419</v>
      </c>
      <c r="R17" s="22">
        <f t="shared" si="9"/>
        <v>1.0461096296417542</v>
      </c>
      <c r="S17" s="22">
        <v>0</v>
      </c>
      <c r="T17" s="22">
        <v>0</v>
      </c>
      <c r="U17" s="22">
        <v>0</v>
      </c>
      <c r="V17" s="22">
        <v>0</v>
      </c>
      <c r="W17" s="23">
        <v>0.48750000000000004</v>
      </c>
      <c r="X17" s="24">
        <v>6.5000000000000002E-2</v>
      </c>
      <c r="Y17" s="25">
        <v>0.1</v>
      </c>
      <c r="Z17" s="26">
        <f t="shared" si="0"/>
        <v>4.7250000000000236E-2</v>
      </c>
      <c r="AA17" s="27">
        <f t="shared" si="13"/>
        <v>58727</v>
      </c>
      <c r="AB17" s="27">
        <f t="shared" si="14"/>
        <v>69669</v>
      </c>
      <c r="AC17" s="27">
        <f t="shared" si="15"/>
        <v>67196</v>
      </c>
      <c r="AD17" s="27">
        <f t="shared" si="16"/>
        <v>64972</v>
      </c>
      <c r="AE17" s="28">
        <f t="shared" si="1"/>
        <v>21533.7</v>
      </c>
      <c r="AF17" s="295">
        <f t="shared" si="17"/>
        <v>71425</v>
      </c>
    </row>
    <row r="18" spans="1:32" x14ac:dyDescent="0.2">
      <c r="A18" t="s">
        <v>39</v>
      </c>
      <c r="B18" s="16" t="s">
        <v>22</v>
      </c>
      <c r="C18" s="17">
        <v>1.65</v>
      </c>
      <c r="D18" s="18">
        <v>2000</v>
      </c>
      <c r="E18" s="19" t="s">
        <v>23</v>
      </c>
      <c r="F18" s="20">
        <v>3</v>
      </c>
      <c r="G18" s="21">
        <v>0.25</v>
      </c>
      <c r="H18" s="21">
        <v>0.06</v>
      </c>
      <c r="I18" s="22">
        <v>1.3399999999999999</v>
      </c>
      <c r="J18" s="22">
        <f t="shared" si="2"/>
        <v>0.21493261056478577</v>
      </c>
      <c r="K18" s="22">
        <f t="shared" si="3"/>
        <v>0.18478410833677544</v>
      </c>
      <c r="L18" s="22">
        <f t="shared" si="4"/>
        <v>0.15886452318283736</v>
      </c>
      <c r="M18" s="22">
        <f t="shared" si="5"/>
        <v>4.9024368413252792E-2</v>
      </c>
      <c r="N18" s="22">
        <f t="shared" si="6"/>
        <v>4.0056478305305648E-2</v>
      </c>
      <c r="O18" s="22">
        <f t="shared" si="7"/>
        <v>3.2729059162946203E-2</v>
      </c>
      <c r="P18" s="309">
        <f t="shared" si="18"/>
        <v>1.6217238356292234</v>
      </c>
      <c r="Q18" s="22">
        <f t="shared" si="8"/>
        <v>1.5819178261595419</v>
      </c>
      <c r="R18" s="22">
        <f t="shared" si="9"/>
        <v>1.5461096296417542</v>
      </c>
      <c r="S18" s="22">
        <v>0</v>
      </c>
      <c r="T18" s="22">
        <v>0</v>
      </c>
      <c r="U18" s="22">
        <v>0</v>
      </c>
      <c r="V18" s="22">
        <v>0</v>
      </c>
      <c r="W18" s="23">
        <v>0.48750000000000004</v>
      </c>
      <c r="X18" s="24">
        <v>6.5000000000000002E-2</v>
      </c>
      <c r="Y18" s="25">
        <v>0.1</v>
      </c>
      <c r="Z18" s="26">
        <f t="shared" si="0"/>
        <v>4.7250000000000236E-2</v>
      </c>
      <c r="AA18" s="27">
        <f t="shared" si="13"/>
        <v>84261</v>
      </c>
      <c r="AB18" s="27">
        <f t="shared" si="14"/>
        <v>100723</v>
      </c>
      <c r="AC18" s="27">
        <f t="shared" si="15"/>
        <v>98251</v>
      </c>
      <c r="AD18" s="27">
        <f t="shared" si="16"/>
        <v>96027</v>
      </c>
      <c r="AE18" s="28">
        <f t="shared" si="1"/>
        <v>42000</v>
      </c>
      <c r="AF18" s="295">
        <f t="shared" si="17"/>
        <v>102479</v>
      </c>
    </row>
    <row r="19" spans="1:32" x14ac:dyDescent="0.2">
      <c r="A19" t="s">
        <v>40</v>
      </c>
      <c r="B19" s="16" t="s">
        <v>22</v>
      </c>
      <c r="C19" s="17">
        <v>3.45</v>
      </c>
      <c r="D19" s="18">
        <v>8</v>
      </c>
      <c r="E19" s="19" t="s">
        <v>3</v>
      </c>
      <c r="F19" s="20">
        <v>1</v>
      </c>
      <c r="G19" s="21">
        <v>0.35</v>
      </c>
      <c r="H19" s="21">
        <v>0.15</v>
      </c>
      <c r="I19" s="22">
        <v>2.95</v>
      </c>
      <c r="J19" s="22">
        <f t="shared" si="2"/>
        <v>0.30090565479070008</v>
      </c>
      <c r="K19" s="22">
        <f t="shared" si="3"/>
        <v>0.25869775167148562</v>
      </c>
      <c r="L19" s="22">
        <f t="shared" si="4"/>
        <v>0.2224103324559723</v>
      </c>
      <c r="M19" s="22">
        <f t="shared" si="5"/>
        <v>0.12256092103313199</v>
      </c>
      <c r="N19" s="22">
        <f t="shared" si="6"/>
        <v>0.10014119576326412</v>
      </c>
      <c r="O19" s="22">
        <f t="shared" si="7"/>
        <v>8.1822647907365501E-2</v>
      </c>
      <c r="P19" s="309">
        <f t="shared" si="18"/>
        <v>3.4029585412726546</v>
      </c>
      <c r="Q19" s="22">
        <f t="shared" si="8"/>
        <v>3.337021884305194</v>
      </c>
      <c r="R19" s="22">
        <f t="shared" si="9"/>
        <v>3.2780482706757739</v>
      </c>
      <c r="S19" s="22">
        <f t="shared" ref="S19" si="19">+$H19*(1+$C$28)^14*(1-(1+$C$28)^9)/(1-(1+$C$28))/9</f>
        <v>0.10441221610231753</v>
      </c>
      <c r="T19" s="22">
        <f>+$H19*(1+$C$28)^23*(1-(1+$C$28)^10)/(1-(1+$C$28))/10</f>
        <v>8.6206353467944558E-2</v>
      </c>
      <c r="U19" s="22">
        <f t="shared" ref="U19" si="20">+$H19*(1+$C$28)^33*(1-(1+$C$28)^10)/(1-(1+$C$28))/10</f>
        <v>7.0436867199593467E-2</v>
      </c>
      <c r="V19" s="22">
        <v>0.02</v>
      </c>
      <c r="W19" s="23">
        <v>0.4375</v>
      </c>
      <c r="X19" s="24">
        <v>0.06</v>
      </c>
      <c r="Y19" s="25">
        <v>0.1</v>
      </c>
      <c r="Z19" s="26">
        <f t="shared" si="0"/>
        <v>4.8414634146341395E-2</v>
      </c>
      <c r="AA19" s="27">
        <f t="shared" si="13"/>
        <v>181509</v>
      </c>
      <c r="AB19" s="27">
        <f>ROUND(-PMT($Z19,$C$34,((S19/((1+Z19)^13)+V19/((1+Z19)^25)+P19)*1000000))*$C$33,0)</f>
        <v>241998</v>
      </c>
      <c r="AC19" s="27">
        <f>ROUND(-PMT($Z19,$C$34,((T19/((1+Z19)^13)+V19/((1+Z19)^25)+Q19)*1000000))*$C$33,0)</f>
        <v>236706</v>
      </c>
      <c r="AD19" s="27">
        <f>ROUND(-PMT($Z19,$C$34,((U19/((1+Z19)^13)+V19/((1+Z19)^25)+R19)*1000000))*$C$33,0)</f>
        <v>231992</v>
      </c>
      <c r="AE19" s="28">
        <f t="shared" si="1"/>
        <v>37125</v>
      </c>
      <c r="AF19" s="295">
        <f>ROUND(-PMT($Z19,$C$34,((C19)*1000000))*$C$33,0)</f>
        <v>240911</v>
      </c>
    </row>
    <row r="20" spans="1:32" x14ac:dyDescent="0.2">
      <c r="A20" t="s">
        <v>41</v>
      </c>
      <c r="B20" s="16" t="s">
        <v>22</v>
      </c>
      <c r="C20" s="17">
        <v>3.45</v>
      </c>
      <c r="D20" s="18">
        <v>8</v>
      </c>
      <c r="E20" s="19" t="s">
        <v>3</v>
      </c>
      <c r="F20" s="20">
        <v>1</v>
      </c>
      <c r="G20" s="21">
        <v>0.35</v>
      </c>
      <c r="H20" s="21">
        <v>0.15</v>
      </c>
      <c r="I20" s="22">
        <v>2.95</v>
      </c>
      <c r="J20" s="22">
        <f t="shared" si="2"/>
        <v>0.30090565479070008</v>
      </c>
      <c r="K20" s="22">
        <f t="shared" si="3"/>
        <v>0.25869775167148562</v>
      </c>
      <c r="L20" s="22">
        <f t="shared" si="4"/>
        <v>0.2224103324559723</v>
      </c>
      <c r="M20" s="22">
        <f t="shared" si="5"/>
        <v>0.12256092103313199</v>
      </c>
      <c r="N20" s="22">
        <f t="shared" si="6"/>
        <v>0.10014119576326412</v>
      </c>
      <c r="O20" s="22">
        <f t="shared" si="7"/>
        <v>8.1822647907365501E-2</v>
      </c>
      <c r="P20" s="309">
        <f t="shared" si="18"/>
        <v>3.4029585412726546</v>
      </c>
      <c r="Q20" s="22">
        <f t="shared" si="8"/>
        <v>3.337021884305194</v>
      </c>
      <c r="R20" s="22">
        <f t="shared" si="9"/>
        <v>3.2780482706757739</v>
      </c>
      <c r="S20" s="22">
        <v>0</v>
      </c>
      <c r="T20" s="22">
        <v>0</v>
      </c>
      <c r="U20" s="22">
        <v>0</v>
      </c>
      <c r="V20" s="22">
        <v>0</v>
      </c>
      <c r="W20" s="23">
        <v>0.4375</v>
      </c>
      <c r="X20" s="24">
        <v>7.0000000000000007E-2</v>
      </c>
      <c r="Y20" s="25">
        <v>0.1</v>
      </c>
      <c r="Z20" s="26">
        <f t="shared" si="0"/>
        <v>5.1402439024390345E-2</v>
      </c>
      <c r="AA20" s="27">
        <f t="shared" si="13"/>
        <v>183696</v>
      </c>
      <c r="AB20" s="27">
        <f>ROUND(-PMT($Z20,$C$34,((S20/((1+Z20)^13)+V20/((1+Z20)^25)+P20)*1000000))*$C$33,0)</f>
        <v>244853</v>
      </c>
      <c r="AC20" s="27">
        <f>ROUND(-PMT($Z20,$C$34,(T20/((1+Z20)^13)+V20/((1+Z20)^25)+Q20*1000000))*$C$33,0)</f>
        <v>240109</v>
      </c>
      <c r="AD20" s="27">
        <f>ROUND(-PMT($Z20,$C$34,((U20/((1+Z20)^13)+V20/((1+Z20)^25)+R20)*1000000))*$C$33,0)</f>
        <v>235866</v>
      </c>
      <c r="AE20" s="28">
        <f t="shared" si="1"/>
        <v>37125</v>
      </c>
      <c r="AF20" s="295">
        <f>ROUND(-PMT($Z20,$C$34,((C20)*1000000))*$C$33,0)</f>
        <v>248238</v>
      </c>
    </row>
    <row r="21" spans="1:32" x14ac:dyDescent="0.2">
      <c r="S21" s="44"/>
    </row>
    <row r="22" spans="1:32" x14ac:dyDescent="0.2">
      <c r="S22" s="29"/>
    </row>
    <row r="23" spans="1:32" x14ac:dyDescent="0.2">
      <c r="S23" s="29"/>
    </row>
    <row r="24" spans="1:32" x14ac:dyDescent="0.2">
      <c r="S24" s="29"/>
    </row>
    <row r="25" spans="1:32" x14ac:dyDescent="0.2">
      <c r="S25" s="29"/>
    </row>
    <row r="26" spans="1:32" ht="17" thickBot="1" x14ac:dyDescent="0.25">
      <c r="A26" s="30" t="s">
        <v>42</v>
      </c>
      <c r="H26" s="26"/>
      <c r="S26" s="29"/>
    </row>
    <row r="27" spans="1:32" x14ac:dyDescent="0.2">
      <c r="A27" t="s">
        <v>43</v>
      </c>
      <c r="B27" s="16" t="s">
        <v>44</v>
      </c>
      <c r="C27" s="31">
        <v>-1.4999999999999999E-2</v>
      </c>
      <c r="D27" t="s">
        <v>45</v>
      </c>
      <c r="H27" s="32"/>
      <c r="S27" s="29"/>
    </row>
    <row r="28" spans="1:32" x14ac:dyDescent="0.2">
      <c r="A28" t="s">
        <v>46</v>
      </c>
      <c r="B28" s="16" t="s">
        <v>44</v>
      </c>
      <c r="C28" s="31">
        <v>-0.02</v>
      </c>
      <c r="D28" t="s">
        <v>47</v>
      </c>
    </row>
    <row r="29" spans="1:32" x14ac:dyDescent="0.2">
      <c r="A29" t="s">
        <v>48</v>
      </c>
      <c r="B29" s="16" t="s">
        <v>44</v>
      </c>
      <c r="C29" s="31">
        <v>0</v>
      </c>
      <c r="D29" t="s">
        <v>49</v>
      </c>
    </row>
    <row r="30" spans="1:32" x14ac:dyDescent="0.2">
      <c r="A30" t="s">
        <v>50</v>
      </c>
      <c r="B30" s="33" t="s">
        <v>51</v>
      </c>
      <c r="C30" s="31">
        <v>0.21</v>
      </c>
      <c r="S30" s="29"/>
    </row>
    <row r="31" spans="1:32" x14ac:dyDescent="0.2">
      <c r="A31" t="s">
        <v>52</v>
      </c>
      <c r="B31" s="33" t="s">
        <v>51</v>
      </c>
      <c r="C31" s="31">
        <v>0.09</v>
      </c>
      <c r="S31" s="29"/>
    </row>
    <row r="32" spans="1:32" x14ac:dyDescent="0.2">
      <c r="A32" t="s">
        <v>53</v>
      </c>
      <c r="B32" s="33" t="s">
        <v>51</v>
      </c>
      <c r="C32" s="31">
        <v>2.5000000000000001E-2</v>
      </c>
      <c r="S32" s="29"/>
    </row>
    <row r="33" spans="1:19" x14ac:dyDescent="0.2">
      <c r="A33" t="s">
        <v>54</v>
      </c>
      <c r="B33" s="33" t="s">
        <v>51</v>
      </c>
      <c r="C33" s="31">
        <v>1</v>
      </c>
      <c r="S33" s="29"/>
    </row>
    <row r="34" spans="1:19" x14ac:dyDescent="0.2">
      <c r="A34" t="s">
        <v>55</v>
      </c>
      <c r="B34" s="33" t="s">
        <v>56</v>
      </c>
      <c r="C34" s="34">
        <v>25</v>
      </c>
      <c r="S34" s="29"/>
    </row>
    <row r="35" spans="1:19" x14ac:dyDescent="0.2">
      <c r="S35" s="29"/>
    </row>
    <row r="36" spans="1:19" x14ac:dyDescent="0.2">
      <c r="B36" s="25"/>
      <c r="S36" s="29"/>
    </row>
    <row r="37" spans="1:19" x14ac:dyDescent="0.2">
      <c r="S37" s="29"/>
    </row>
    <row r="38" spans="1:19" x14ac:dyDescent="0.2">
      <c r="F38" s="35" t="s">
        <v>57</v>
      </c>
      <c r="G38" s="35"/>
      <c r="H38" s="35"/>
      <c r="I38" s="35"/>
      <c r="S38" s="29"/>
    </row>
    <row r="39" spans="1:19" ht="30" x14ac:dyDescent="0.2">
      <c r="F39" s="35" t="s">
        <v>58</v>
      </c>
      <c r="G39" s="35" t="s">
        <v>59</v>
      </c>
      <c r="H39" s="35" t="s">
        <v>60</v>
      </c>
      <c r="I39" s="35" t="s">
        <v>7</v>
      </c>
      <c r="J39" s="35" t="s">
        <v>61</v>
      </c>
      <c r="K39" s="35" t="s">
        <v>62</v>
      </c>
      <c r="L39" s="35"/>
      <c r="S39" s="29"/>
    </row>
    <row r="40" spans="1:19" x14ac:dyDescent="0.2">
      <c r="A40" s="15" t="s">
        <v>21</v>
      </c>
      <c r="D40" s="16" t="s">
        <v>63</v>
      </c>
      <c r="E40" s="36"/>
      <c r="F40" s="37">
        <v>5000</v>
      </c>
      <c r="G40" s="37" t="s">
        <v>64</v>
      </c>
      <c r="H40" s="37" t="s">
        <v>65</v>
      </c>
      <c r="I40" s="36">
        <f>ROUND(SUM(F40:H40),0)</f>
        <v>5000</v>
      </c>
      <c r="J40" s="37">
        <v>12</v>
      </c>
      <c r="K40" s="38">
        <v>4.4999999999999997E-3</v>
      </c>
      <c r="L40" s="38"/>
      <c r="S40" s="29"/>
    </row>
    <row r="41" spans="1:19" x14ac:dyDescent="0.2">
      <c r="A41" s="15" t="s">
        <v>24</v>
      </c>
      <c r="D41" s="16" t="s">
        <v>63</v>
      </c>
      <c r="E41" s="36"/>
      <c r="F41" s="39">
        <v>3000</v>
      </c>
      <c r="G41" s="39" t="s">
        <v>64</v>
      </c>
      <c r="H41" s="39" t="s">
        <v>65</v>
      </c>
      <c r="I41" s="36">
        <f t="shared" ref="I41:I58" si="21">ROUND(SUM(F41:H41),0)</f>
        <v>3000</v>
      </c>
      <c r="J41" s="39">
        <v>14</v>
      </c>
      <c r="K41" s="40">
        <v>4.4999999999999997E-3</v>
      </c>
      <c r="L41" s="40"/>
    </row>
    <row r="42" spans="1:19" x14ac:dyDescent="0.2">
      <c r="A42" t="s">
        <v>25</v>
      </c>
      <c r="D42" s="16" t="s">
        <v>63</v>
      </c>
      <c r="E42" s="36"/>
      <c r="F42" s="39">
        <v>5000</v>
      </c>
      <c r="G42" s="39" t="s">
        <v>64</v>
      </c>
      <c r="H42" s="39" t="s">
        <v>65</v>
      </c>
      <c r="I42" s="36">
        <f t="shared" si="21"/>
        <v>5000</v>
      </c>
      <c r="J42" s="39">
        <v>12</v>
      </c>
      <c r="K42" s="40">
        <v>4.4999999999999997E-3</v>
      </c>
      <c r="L42" s="40"/>
    </row>
    <row r="43" spans="1:19" x14ac:dyDescent="0.2">
      <c r="A43" t="s">
        <v>26</v>
      </c>
      <c r="D43" s="16" t="s">
        <v>63</v>
      </c>
      <c r="E43" s="36"/>
      <c r="F43" s="39">
        <v>3000</v>
      </c>
      <c r="G43" s="39" t="s">
        <v>64</v>
      </c>
      <c r="H43" s="39" t="s">
        <v>65</v>
      </c>
      <c r="I43" s="36">
        <f t="shared" si="21"/>
        <v>3000</v>
      </c>
      <c r="J43" s="39">
        <v>14</v>
      </c>
      <c r="K43" s="40">
        <v>4.4999999999999997E-3</v>
      </c>
      <c r="L43" s="40"/>
    </row>
    <row r="44" spans="1:19" x14ac:dyDescent="0.2">
      <c r="A44" t="s">
        <v>27</v>
      </c>
      <c r="D44" s="16" t="s">
        <v>63</v>
      </c>
      <c r="E44" s="36"/>
      <c r="F44" s="39">
        <v>16.5</v>
      </c>
      <c r="G44" s="39" t="s">
        <v>64</v>
      </c>
      <c r="H44" s="39" t="s">
        <v>65</v>
      </c>
      <c r="I44" s="36">
        <f t="shared" si="21"/>
        <v>17</v>
      </c>
      <c r="J44" s="39">
        <v>14</v>
      </c>
      <c r="K44" s="40">
        <v>2.7000000000000001E-3</v>
      </c>
      <c r="L44" s="40"/>
    </row>
    <row r="45" spans="1:19" x14ac:dyDescent="0.2">
      <c r="A45" t="s">
        <v>28</v>
      </c>
      <c r="D45" s="16" t="s">
        <v>63</v>
      </c>
      <c r="E45" s="36"/>
      <c r="F45" s="39">
        <v>5000</v>
      </c>
      <c r="G45" s="39" t="s">
        <v>64</v>
      </c>
      <c r="H45" s="39">
        <v>34650</v>
      </c>
      <c r="I45" s="36">
        <f t="shared" si="21"/>
        <v>39650</v>
      </c>
      <c r="J45" s="39">
        <v>12</v>
      </c>
      <c r="K45" s="40">
        <v>4.4999999999999997E-3</v>
      </c>
      <c r="L45" s="40"/>
    </row>
    <row r="46" spans="1:19" x14ac:dyDescent="0.2">
      <c r="A46" t="s">
        <v>29</v>
      </c>
      <c r="D46" s="16" t="s">
        <v>63</v>
      </c>
      <c r="E46" s="36"/>
      <c r="F46" s="39">
        <v>5000</v>
      </c>
      <c r="G46" s="39" t="s">
        <v>64</v>
      </c>
      <c r="H46" s="39">
        <v>55000</v>
      </c>
      <c r="I46" s="36">
        <f t="shared" si="21"/>
        <v>60000</v>
      </c>
      <c r="J46" s="39">
        <v>12</v>
      </c>
      <c r="K46" s="40">
        <v>4.4999999999999997E-3</v>
      </c>
      <c r="L46" s="40"/>
    </row>
    <row r="47" spans="1:19" x14ac:dyDescent="0.2">
      <c r="A47" t="s">
        <v>30</v>
      </c>
      <c r="D47" s="16" t="s">
        <v>63</v>
      </c>
      <c r="E47" s="36"/>
      <c r="F47" s="39">
        <v>3000</v>
      </c>
      <c r="G47" s="39" t="s">
        <v>64</v>
      </c>
      <c r="H47" s="39">
        <v>15000</v>
      </c>
      <c r="I47" s="36">
        <f t="shared" si="21"/>
        <v>18000</v>
      </c>
      <c r="J47" s="39">
        <v>14</v>
      </c>
      <c r="K47" s="40">
        <v>4.4999999999999997E-3</v>
      </c>
      <c r="L47" s="40"/>
    </row>
    <row r="48" spans="1:19" x14ac:dyDescent="0.2">
      <c r="A48" t="s">
        <v>31</v>
      </c>
      <c r="D48" s="16" t="s">
        <v>63</v>
      </c>
      <c r="E48" s="36"/>
      <c r="F48" s="39">
        <v>5000</v>
      </c>
      <c r="G48" s="39" t="s">
        <v>64</v>
      </c>
      <c r="H48" s="39">
        <v>55000</v>
      </c>
      <c r="I48" s="36">
        <f t="shared" si="21"/>
        <v>60000</v>
      </c>
      <c r="J48" s="39">
        <v>12</v>
      </c>
      <c r="K48" s="40">
        <v>4.4999999999999997E-3</v>
      </c>
      <c r="L48" s="40"/>
    </row>
    <row r="49" spans="1:12" x14ac:dyDescent="0.2">
      <c r="A49" t="s">
        <v>32</v>
      </c>
      <c r="D49" s="16" t="s">
        <v>63</v>
      </c>
      <c r="E49" s="36"/>
      <c r="F49" s="39">
        <v>1625</v>
      </c>
      <c r="G49" s="39" t="s">
        <v>64</v>
      </c>
      <c r="H49" s="39">
        <v>10000</v>
      </c>
      <c r="I49" s="36">
        <f t="shared" si="21"/>
        <v>11625</v>
      </c>
      <c r="J49" s="39">
        <v>14</v>
      </c>
      <c r="K49" s="40">
        <v>2.7000000000000001E-3</v>
      </c>
      <c r="L49" s="40"/>
    </row>
    <row r="50" spans="1:12" x14ac:dyDescent="0.2">
      <c r="A50" t="s">
        <v>33</v>
      </c>
      <c r="D50" s="16" t="s">
        <v>63</v>
      </c>
      <c r="E50" s="36"/>
      <c r="F50" s="39">
        <v>16.5</v>
      </c>
      <c r="G50" s="39" t="s">
        <v>64</v>
      </c>
      <c r="H50" s="39">
        <v>1000</v>
      </c>
      <c r="I50" s="36">
        <f t="shared" si="21"/>
        <v>1017</v>
      </c>
      <c r="J50" s="39">
        <v>14</v>
      </c>
      <c r="K50" s="40">
        <v>2.7000000000000001E-3</v>
      </c>
      <c r="L50" s="40"/>
    </row>
    <row r="51" spans="1:12" x14ac:dyDescent="0.2">
      <c r="A51" t="s">
        <v>34</v>
      </c>
      <c r="D51" s="16" t="s">
        <v>63</v>
      </c>
      <c r="E51" s="36"/>
      <c r="F51" s="39">
        <v>5000</v>
      </c>
      <c r="G51" s="39">
        <v>17500</v>
      </c>
      <c r="H51" s="39">
        <v>55000</v>
      </c>
      <c r="I51" s="36">
        <f t="shared" si="21"/>
        <v>77500</v>
      </c>
      <c r="J51" s="39">
        <v>37</v>
      </c>
      <c r="K51" s="40">
        <v>4.4999999999999997E-3</v>
      </c>
      <c r="L51" s="40"/>
    </row>
    <row r="52" spans="1:12" x14ac:dyDescent="0.2">
      <c r="A52" t="s">
        <v>35</v>
      </c>
      <c r="D52" s="16" t="s">
        <v>63</v>
      </c>
      <c r="E52" s="36"/>
      <c r="F52" s="39">
        <v>5000</v>
      </c>
      <c r="G52" s="39" t="s">
        <v>64</v>
      </c>
      <c r="H52" s="39">
        <v>55000</v>
      </c>
      <c r="I52" s="36">
        <f t="shared" si="21"/>
        <v>60000</v>
      </c>
      <c r="J52" s="39">
        <v>37</v>
      </c>
      <c r="K52" s="40">
        <v>4.4999999999999997E-3</v>
      </c>
      <c r="L52" s="40"/>
    </row>
    <row r="53" spans="1:12" x14ac:dyDescent="0.2">
      <c r="A53" t="s">
        <v>36</v>
      </c>
      <c r="D53" s="16" t="s">
        <v>63</v>
      </c>
      <c r="E53" s="36"/>
      <c r="F53" s="39">
        <v>3000</v>
      </c>
      <c r="G53" s="39" t="s">
        <v>64</v>
      </c>
      <c r="H53" s="39">
        <v>20000</v>
      </c>
      <c r="I53" s="36">
        <f t="shared" si="21"/>
        <v>23000</v>
      </c>
      <c r="J53" s="39">
        <v>37</v>
      </c>
      <c r="K53" s="40">
        <v>4.4999999999999997E-3</v>
      </c>
      <c r="L53" s="40"/>
    </row>
    <row r="54" spans="1:12" x14ac:dyDescent="0.2">
      <c r="A54" t="s">
        <v>37</v>
      </c>
      <c r="D54" s="16" t="s">
        <v>63</v>
      </c>
      <c r="E54" s="36"/>
      <c r="F54" s="39">
        <v>6337.333333333333</v>
      </c>
      <c r="G54" s="39">
        <v>35000</v>
      </c>
      <c r="H54" s="39">
        <v>65000</v>
      </c>
      <c r="I54" s="36">
        <f t="shared" si="21"/>
        <v>106337</v>
      </c>
      <c r="J54" s="39">
        <v>12</v>
      </c>
      <c r="K54" s="40">
        <v>4.4999999999999997E-3</v>
      </c>
      <c r="L54" s="40"/>
    </row>
    <row r="55" spans="1:12" x14ac:dyDescent="0.2">
      <c r="A55" t="s">
        <v>38</v>
      </c>
      <c r="D55" s="16" t="s">
        <v>63</v>
      </c>
      <c r="E55" s="36"/>
      <c r="F55" s="39">
        <v>6337.333333333333</v>
      </c>
      <c r="G55" s="37">
        <v>50000</v>
      </c>
      <c r="H55" s="37">
        <v>39000</v>
      </c>
      <c r="I55" s="36">
        <f t="shared" si="21"/>
        <v>95337</v>
      </c>
      <c r="J55" s="39">
        <v>12</v>
      </c>
      <c r="K55" s="40">
        <v>4.4999999999999997E-3</v>
      </c>
      <c r="L55" s="40"/>
    </row>
    <row r="56" spans="1:12" x14ac:dyDescent="0.2">
      <c r="A56" t="s">
        <v>39</v>
      </c>
      <c r="D56" s="16" t="s">
        <v>63</v>
      </c>
      <c r="E56" s="36"/>
      <c r="F56" s="39">
        <v>5000</v>
      </c>
      <c r="G56" s="39" t="s">
        <v>64</v>
      </c>
      <c r="H56" s="39">
        <v>55000</v>
      </c>
      <c r="I56" s="36">
        <f t="shared" si="21"/>
        <v>60000</v>
      </c>
      <c r="J56" s="39">
        <v>12</v>
      </c>
      <c r="K56" s="40">
        <v>4.4999999999999997E-3</v>
      </c>
      <c r="L56" s="40"/>
    </row>
    <row r="57" spans="1:12" x14ac:dyDescent="0.2">
      <c r="A57" t="s">
        <v>40</v>
      </c>
      <c r="D57" s="16" t="s">
        <v>63</v>
      </c>
      <c r="E57" s="36"/>
      <c r="F57" s="39">
        <v>16.5</v>
      </c>
      <c r="G57" s="39" t="s">
        <v>64</v>
      </c>
      <c r="H57" s="39" t="s">
        <v>65</v>
      </c>
      <c r="I57" s="36">
        <f t="shared" si="21"/>
        <v>17</v>
      </c>
      <c r="J57" s="39">
        <v>35</v>
      </c>
      <c r="K57" s="40">
        <v>0</v>
      </c>
      <c r="L57" s="40"/>
    </row>
    <row r="58" spans="1:12" x14ac:dyDescent="0.2">
      <c r="A58" t="s">
        <v>41</v>
      </c>
      <c r="D58" s="16" t="s">
        <v>63</v>
      </c>
      <c r="E58" s="36"/>
      <c r="F58" s="39">
        <v>16.5</v>
      </c>
      <c r="G58" s="39" t="s">
        <v>64</v>
      </c>
      <c r="H58" s="39" t="s">
        <v>65</v>
      </c>
      <c r="I58" s="36">
        <f t="shared" si="21"/>
        <v>17</v>
      </c>
      <c r="J58" s="39">
        <v>35</v>
      </c>
      <c r="K58" s="40">
        <v>0</v>
      </c>
      <c r="L58" s="40"/>
    </row>
  </sheetData>
  <dataValidations disablePrompts="1" count="1">
    <dataValidation type="list" showInputMessage="1" showErrorMessage="1" sqref="E2:E20" xr:uid="{2407E0DD-0817-8640-BDF0-EAB82BB8A064}">
      <formula1>$A$56:$A$58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88174-CC8F-EC4F-AFC6-33DD0645406E}">
  <dimension ref="A1:AL64"/>
  <sheetViews>
    <sheetView topLeftCell="Q13" zoomScale="90" zoomScaleNormal="90" workbookViewId="0">
      <selection activeCell="AJ29" sqref="AJ29"/>
    </sheetView>
  </sheetViews>
  <sheetFormatPr baseColWidth="10" defaultRowHeight="16" x14ac:dyDescent="0.2"/>
  <cols>
    <col min="33" max="33" width="35.6640625" bestFit="1" customWidth="1"/>
    <col min="34" max="34" width="19.1640625" bestFit="1" customWidth="1"/>
    <col min="35" max="35" width="34.33203125" bestFit="1" customWidth="1"/>
    <col min="36" max="36" width="23.83203125" bestFit="1" customWidth="1"/>
    <col min="37" max="37" width="39.1640625" bestFit="1" customWidth="1"/>
    <col min="38" max="38" width="17.83203125" bestFit="1" customWidth="1"/>
  </cols>
  <sheetData>
    <row r="1" spans="1:32" ht="20" x14ac:dyDescent="0.2">
      <c r="A1" s="50"/>
      <c r="B1" s="331" t="s">
        <v>95</v>
      </c>
      <c r="C1" s="331"/>
      <c r="D1" s="331"/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51">
        <v>44377</v>
      </c>
      <c r="R1" s="52" t="s">
        <v>96</v>
      </c>
      <c r="S1" s="52"/>
      <c r="T1" s="52"/>
      <c r="U1" s="54"/>
      <c r="V1" s="54"/>
      <c r="W1" s="55"/>
      <c r="X1" s="55"/>
      <c r="Y1" s="56"/>
      <c r="Z1" s="56"/>
      <c r="AA1" s="55"/>
      <c r="AB1" s="55"/>
      <c r="AC1" s="55"/>
      <c r="AD1" s="55"/>
      <c r="AE1" s="55"/>
      <c r="AF1" s="55"/>
    </row>
    <row r="2" spans="1:32" ht="26" customHeight="1" x14ac:dyDescent="0.2">
      <c r="A2" s="57"/>
      <c r="B2" s="53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9"/>
      <c r="X2" s="59"/>
      <c r="Y2" s="332" t="s">
        <v>97</v>
      </c>
      <c r="Z2" s="332"/>
      <c r="AA2" s="58"/>
      <c r="AB2" s="334" t="s">
        <v>98</v>
      </c>
      <c r="AC2" s="334"/>
      <c r="AD2" s="58"/>
      <c r="AE2" s="58"/>
      <c r="AF2" s="58"/>
    </row>
    <row r="3" spans="1:32" x14ac:dyDescent="0.2">
      <c r="A3" s="57"/>
      <c r="B3" s="61"/>
      <c r="C3" s="62"/>
      <c r="D3" s="336" t="s">
        <v>99</v>
      </c>
      <c r="E3" s="337"/>
      <c r="F3" s="62"/>
      <c r="G3" s="340" t="s">
        <v>100</v>
      </c>
      <c r="H3" s="341"/>
      <c r="I3" s="342" t="s">
        <v>100</v>
      </c>
      <c r="J3" s="343"/>
      <c r="K3" s="344" t="s">
        <v>100</v>
      </c>
      <c r="L3" s="343"/>
      <c r="M3" s="345" t="s">
        <v>100</v>
      </c>
      <c r="N3" s="346"/>
      <c r="O3" s="62"/>
      <c r="P3" s="336" t="s">
        <v>101</v>
      </c>
      <c r="Q3" s="337"/>
      <c r="R3" s="62"/>
      <c r="S3" s="336" t="s">
        <v>102</v>
      </c>
      <c r="T3" s="337"/>
      <c r="U3" s="62"/>
      <c r="V3" s="320" t="s">
        <v>103</v>
      </c>
      <c r="W3" s="321"/>
      <c r="X3" s="59"/>
      <c r="Y3" s="333"/>
      <c r="Z3" s="333"/>
      <c r="AA3" s="58"/>
      <c r="AB3" s="335"/>
      <c r="AC3" s="335"/>
      <c r="AD3" s="58"/>
      <c r="AE3" s="58"/>
      <c r="AF3" s="58"/>
    </row>
    <row r="4" spans="1:32" x14ac:dyDescent="0.2">
      <c r="A4" s="63"/>
      <c r="B4" s="64"/>
      <c r="C4" s="62"/>
      <c r="D4" s="338"/>
      <c r="E4" s="339"/>
      <c r="F4" s="62"/>
      <c r="G4" s="324" t="s">
        <v>104</v>
      </c>
      <c r="H4" s="325"/>
      <c r="I4" s="326" t="s">
        <v>105</v>
      </c>
      <c r="J4" s="327"/>
      <c r="K4" s="328" t="s">
        <v>106</v>
      </c>
      <c r="L4" s="327"/>
      <c r="M4" s="329" t="s">
        <v>107</v>
      </c>
      <c r="N4" s="330"/>
      <c r="O4" s="62"/>
      <c r="P4" s="338"/>
      <c r="Q4" s="339"/>
      <c r="R4" s="62"/>
      <c r="S4" s="338"/>
      <c r="T4" s="339"/>
      <c r="U4" s="62"/>
      <c r="V4" s="322"/>
      <c r="W4" s="323"/>
      <c r="X4" s="65"/>
      <c r="Y4" s="347" t="s">
        <v>108</v>
      </c>
      <c r="Z4" s="347" t="s">
        <v>109</v>
      </c>
      <c r="AA4" s="66"/>
      <c r="AB4" s="349" t="s">
        <v>108</v>
      </c>
      <c r="AC4" s="349" t="s">
        <v>109</v>
      </c>
      <c r="AD4" s="66"/>
      <c r="AE4" s="66"/>
      <c r="AF4" s="66"/>
    </row>
    <row r="5" spans="1:32" ht="30" x14ac:dyDescent="0.2">
      <c r="A5" s="67"/>
      <c r="B5" s="68"/>
      <c r="C5" s="69"/>
      <c r="D5" s="70" t="s">
        <v>110</v>
      </c>
      <c r="E5" s="71" t="s">
        <v>111</v>
      </c>
      <c r="F5" s="69"/>
      <c r="G5" s="72" t="s">
        <v>110</v>
      </c>
      <c r="H5" s="73" t="s">
        <v>111</v>
      </c>
      <c r="I5" s="73" t="s">
        <v>110</v>
      </c>
      <c r="J5" s="73" t="s">
        <v>111</v>
      </c>
      <c r="K5" s="73" t="s">
        <v>110</v>
      </c>
      <c r="L5" s="73" t="s">
        <v>111</v>
      </c>
      <c r="M5" s="71" t="s">
        <v>110</v>
      </c>
      <c r="N5" s="71" t="s">
        <v>111</v>
      </c>
      <c r="O5" s="69"/>
      <c r="P5" s="70" t="s">
        <v>110</v>
      </c>
      <c r="Q5" s="71" t="s">
        <v>111</v>
      </c>
      <c r="R5" s="69"/>
      <c r="S5" s="70" t="s">
        <v>110</v>
      </c>
      <c r="T5" s="71" t="s">
        <v>111</v>
      </c>
      <c r="U5" s="69"/>
      <c r="V5" s="74" t="s">
        <v>108</v>
      </c>
      <c r="W5" s="75" t="s">
        <v>112</v>
      </c>
      <c r="X5" s="76"/>
      <c r="Y5" s="348"/>
      <c r="Z5" s="348"/>
      <c r="AA5" s="77"/>
      <c r="AB5" s="350"/>
      <c r="AC5" s="350"/>
      <c r="AD5" s="77"/>
      <c r="AE5" s="77"/>
      <c r="AF5" s="77"/>
    </row>
    <row r="6" spans="1:32" x14ac:dyDescent="0.2">
      <c r="A6" s="78"/>
      <c r="B6" s="68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79"/>
      <c r="Y6" s="80"/>
      <c r="Z6" s="80"/>
      <c r="AA6" s="81"/>
      <c r="AB6" s="69"/>
      <c r="AC6" s="69"/>
      <c r="AD6" s="81"/>
      <c r="AE6" s="81"/>
      <c r="AF6" s="81"/>
    </row>
    <row r="7" spans="1:32" x14ac:dyDescent="0.2">
      <c r="A7" s="67"/>
      <c r="B7" s="82" t="s">
        <v>113</v>
      </c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79"/>
      <c r="Y7" s="80"/>
      <c r="Z7" s="80"/>
      <c r="AA7" s="81"/>
      <c r="AB7" s="69"/>
      <c r="AC7" s="69"/>
      <c r="AD7" s="77"/>
      <c r="AE7" s="77"/>
      <c r="AF7" s="77"/>
    </row>
    <row r="8" spans="1:32" x14ac:dyDescent="0.2">
      <c r="A8" s="67"/>
      <c r="B8" s="83">
        <v>2000</v>
      </c>
      <c r="C8" s="84"/>
      <c r="D8" s="85">
        <v>4</v>
      </c>
      <c r="E8" s="86">
        <v>12</v>
      </c>
      <c r="F8" s="84"/>
      <c r="G8" s="87">
        <v>2</v>
      </c>
      <c r="H8" s="88">
        <v>11</v>
      </c>
      <c r="I8" s="88">
        <v>0</v>
      </c>
      <c r="J8" s="88">
        <v>0</v>
      </c>
      <c r="K8" s="88">
        <v>0</v>
      </c>
      <c r="L8" s="88">
        <v>0</v>
      </c>
      <c r="M8" s="88">
        <v>2</v>
      </c>
      <c r="N8" s="88">
        <v>11</v>
      </c>
      <c r="O8" s="84"/>
      <c r="P8" s="85">
        <v>0</v>
      </c>
      <c r="Q8" s="86">
        <v>0</v>
      </c>
      <c r="R8" s="84"/>
      <c r="S8" s="89"/>
      <c r="T8" s="90"/>
      <c r="U8" s="84"/>
      <c r="V8" s="91">
        <v>6</v>
      </c>
      <c r="W8" s="92">
        <v>23</v>
      </c>
      <c r="X8" s="93"/>
      <c r="Y8" s="94">
        <v>6</v>
      </c>
      <c r="Z8" s="95">
        <v>23</v>
      </c>
      <c r="AA8" s="96"/>
      <c r="AB8" s="97">
        <v>0</v>
      </c>
      <c r="AC8" s="98">
        <v>0</v>
      </c>
      <c r="AD8" s="77"/>
      <c r="AE8" s="77"/>
      <c r="AF8" s="77"/>
    </row>
    <row r="9" spans="1:32" x14ac:dyDescent="0.2">
      <c r="A9" s="67"/>
      <c r="B9" s="83">
        <v>2001</v>
      </c>
      <c r="C9" s="84"/>
      <c r="D9" s="99">
        <v>2</v>
      </c>
      <c r="E9" s="100">
        <v>5</v>
      </c>
      <c r="F9" s="84"/>
      <c r="G9" s="101">
        <v>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84"/>
      <c r="P9" s="99">
        <v>0</v>
      </c>
      <c r="Q9" s="100">
        <v>0</v>
      </c>
      <c r="R9" s="84"/>
      <c r="S9" s="103"/>
      <c r="T9" s="104"/>
      <c r="U9" s="84"/>
      <c r="V9" s="105">
        <v>2</v>
      </c>
      <c r="W9" s="106">
        <v>5</v>
      </c>
      <c r="X9" s="93"/>
      <c r="Y9" s="107">
        <v>2</v>
      </c>
      <c r="Z9" s="108">
        <v>5</v>
      </c>
      <c r="AA9" s="96"/>
      <c r="AB9" s="109">
        <v>0</v>
      </c>
      <c r="AC9" s="110">
        <v>0</v>
      </c>
      <c r="AD9" s="77"/>
      <c r="AE9" s="77"/>
      <c r="AF9" s="77"/>
    </row>
    <row r="10" spans="1:32" x14ac:dyDescent="0.2">
      <c r="A10" s="67"/>
      <c r="B10" s="83">
        <v>2002</v>
      </c>
      <c r="C10" s="84"/>
      <c r="D10" s="99">
        <v>25</v>
      </c>
      <c r="E10" s="100">
        <v>73</v>
      </c>
      <c r="F10" s="84"/>
      <c r="G10" s="101">
        <v>9</v>
      </c>
      <c r="H10" s="102">
        <v>324</v>
      </c>
      <c r="I10" s="102">
        <v>1</v>
      </c>
      <c r="J10" s="102">
        <v>262</v>
      </c>
      <c r="K10" s="102">
        <v>0</v>
      </c>
      <c r="L10" s="102">
        <v>0</v>
      </c>
      <c r="M10" s="102">
        <v>10</v>
      </c>
      <c r="N10" s="102">
        <v>586</v>
      </c>
      <c r="O10" s="84"/>
      <c r="P10" s="99">
        <v>0</v>
      </c>
      <c r="Q10" s="100">
        <v>0</v>
      </c>
      <c r="R10" s="84"/>
      <c r="S10" s="103"/>
      <c r="T10" s="104"/>
      <c r="U10" s="84"/>
      <c r="V10" s="105">
        <v>35</v>
      </c>
      <c r="W10" s="106">
        <v>659</v>
      </c>
      <c r="X10" s="93"/>
      <c r="Y10" s="107">
        <v>35</v>
      </c>
      <c r="Z10" s="108">
        <v>659</v>
      </c>
      <c r="AA10" s="96"/>
      <c r="AB10" s="109">
        <v>0</v>
      </c>
      <c r="AC10" s="110">
        <v>0</v>
      </c>
      <c r="AD10" s="77"/>
      <c r="AE10" s="77"/>
      <c r="AF10" s="77"/>
    </row>
    <row r="11" spans="1:32" x14ac:dyDescent="0.2">
      <c r="A11" s="67"/>
      <c r="B11" s="111">
        <v>2003</v>
      </c>
      <c r="C11" s="112"/>
      <c r="D11" s="101">
        <v>62</v>
      </c>
      <c r="E11" s="102">
        <v>347</v>
      </c>
      <c r="F11" s="112"/>
      <c r="G11" s="101">
        <v>16</v>
      </c>
      <c r="H11" s="102">
        <v>193</v>
      </c>
      <c r="I11" s="102">
        <v>1</v>
      </c>
      <c r="J11" s="102">
        <v>480</v>
      </c>
      <c r="K11" s="102">
        <v>0</v>
      </c>
      <c r="L11" s="102">
        <v>0</v>
      </c>
      <c r="M11" s="102">
        <v>17</v>
      </c>
      <c r="N11" s="102">
        <v>673</v>
      </c>
      <c r="O11" s="84"/>
      <c r="P11" s="99">
        <v>0</v>
      </c>
      <c r="Q11" s="100">
        <v>0</v>
      </c>
      <c r="R11" s="84"/>
      <c r="S11" s="103"/>
      <c r="T11" s="104"/>
      <c r="U11" s="84"/>
      <c r="V11" s="105">
        <v>79</v>
      </c>
      <c r="W11" s="106">
        <v>1020</v>
      </c>
      <c r="X11" s="93"/>
      <c r="Y11" s="107">
        <v>79</v>
      </c>
      <c r="Z11" s="108">
        <v>1020</v>
      </c>
      <c r="AA11" s="96"/>
      <c r="AB11" s="109">
        <v>0</v>
      </c>
      <c r="AC11" s="110">
        <v>0</v>
      </c>
      <c r="AD11" s="77"/>
      <c r="AE11" s="77"/>
      <c r="AF11" s="77"/>
    </row>
    <row r="12" spans="1:32" x14ac:dyDescent="0.2">
      <c r="A12" s="67"/>
      <c r="B12" s="83">
        <v>2004</v>
      </c>
      <c r="C12" s="84"/>
      <c r="D12" s="99">
        <v>247</v>
      </c>
      <c r="E12" s="100">
        <v>1497</v>
      </c>
      <c r="F12" s="84"/>
      <c r="G12" s="101">
        <v>42</v>
      </c>
      <c r="H12" s="102">
        <v>382</v>
      </c>
      <c r="I12" s="102">
        <v>2</v>
      </c>
      <c r="J12" s="102">
        <v>623</v>
      </c>
      <c r="K12" s="102">
        <v>0</v>
      </c>
      <c r="L12" s="102">
        <v>0</v>
      </c>
      <c r="M12" s="102">
        <v>44</v>
      </c>
      <c r="N12" s="102">
        <v>1005</v>
      </c>
      <c r="O12" s="84"/>
      <c r="P12" s="99">
        <v>0</v>
      </c>
      <c r="Q12" s="100">
        <v>0</v>
      </c>
      <c r="R12" s="84"/>
      <c r="S12" s="103"/>
      <c r="T12" s="104"/>
      <c r="U12" s="84"/>
      <c r="V12" s="105">
        <v>291</v>
      </c>
      <c r="W12" s="106">
        <v>2502</v>
      </c>
      <c r="X12" s="93"/>
      <c r="Y12" s="107">
        <v>293</v>
      </c>
      <c r="Z12" s="108">
        <v>2510</v>
      </c>
      <c r="AA12" s="96"/>
      <c r="AB12" s="109">
        <v>-2</v>
      </c>
      <c r="AC12" s="110">
        <v>-8</v>
      </c>
      <c r="AD12" s="77"/>
      <c r="AE12" s="77"/>
      <c r="AF12" s="77"/>
    </row>
    <row r="13" spans="1:32" x14ac:dyDescent="0.2">
      <c r="A13" s="78"/>
      <c r="B13" s="111">
        <v>2005</v>
      </c>
      <c r="C13" s="112"/>
      <c r="D13" s="101">
        <v>620</v>
      </c>
      <c r="E13" s="102">
        <v>4586</v>
      </c>
      <c r="F13" s="112"/>
      <c r="G13" s="101">
        <v>76</v>
      </c>
      <c r="H13" s="102">
        <v>1017</v>
      </c>
      <c r="I13" s="102">
        <v>16</v>
      </c>
      <c r="J13" s="102">
        <v>3923</v>
      </c>
      <c r="K13" s="102">
        <v>0</v>
      </c>
      <c r="L13" s="102">
        <v>0</v>
      </c>
      <c r="M13" s="102">
        <v>92</v>
      </c>
      <c r="N13" s="102">
        <v>4940</v>
      </c>
      <c r="O13" s="112"/>
      <c r="P13" s="101">
        <v>0</v>
      </c>
      <c r="Q13" s="102">
        <v>0</v>
      </c>
      <c r="R13" s="112"/>
      <c r="S13" s="103"/>
      <c r="T13" s="104"/>
      <c r="U13" s="112"/>
      <c r="V13" s="105">
        <v>712</v>
      </c>
      <c r="W13" s="106">
        <v>9526</v>
      </c>
      <c r="X13" s="113"/>
      <c r="Y13" s="107">
        <v>712</v>
      </c>
      <c r="Z13" s="108">
        <v>9526</v>
      </c>
      <c r="AA13" s="114"/>
      <c r="AB13" s="115">
        <v>0</v>
      </c>
      <c r="AC13" s="116">
        <v>0</v>
      </c>
      <c r="AD13" s="81"/>
      <c r="AE13" s="81"/>
      <c r="AF13" s="81"/>
    </row>
    <row r="14" spans="1:32" x14ac:dyDescent="0.2">
      <c r="A14" s="67"/>
      <c r="B14" s="111">
        <v>2006</v>
      </c>
      <c r="C14" s="112"/>
      <c r="D14" s="101">
        <v>736</v>
      </c>
      <c r="E14" s="102">
        <v>5255</v>
      </c>
      <c r="F14" s="112"/>
      <c r="G14" s="101">
        <v>105</v>
      </c>
      <c r="H14" s="102">
        <v>1882</v>
      </c>
      <c r="I14" s="102">
        <v>36</v>
      </c>
      <c r="J14" s="102">
        <v>11097</v>
      </c>
      <c r="K14" s="102">
        <v>0</v>
      </c>
      <c r="L14" s="102">
        <v>0</v>
      </c>
      <c r="M14" s="102">
        <v>141</v>
      </c>
      <c r="N14" s="102">
        <v>12979</v>
      </c>
      <c r="O14" s="112"/>
      <c r="P14" s="101">
        <v>0</v>
      </c>
      <c r="Q14" s="102">
        <v>0</v>
      </c>
      <c r="R14" s="112"/>
      <c r="S14" s="103"/>
      <c r="T14" s="104"/>
      <c r="U14" s="84"/>
      <c r="V14" s="105">
        <v>877</v>
      </c>
      <c r="W14" s="106">
        <v>18234</v>
      </c>
      <c r="X14" s="93"/>
      <c r="Y14" s="107">
        <v>877</v>
      </c>
      <c r="Z14" s="108">
        <v>18234</v>
      </c>
      <c r="AA14" s="96"/>
      <c r="AB14" s="109">
        <v>0</v>
      </c>
      <c r="AC14" s="110">
        <v>0</v>
      </c>
      <c r="AD14" s="77"/>
      <c r="AE14" s="77"/>
      <c r="AF14" s="77"/>
    </row>
    <row r="15" spans="1:32" x14ac:dyDescent="0.2">
      <c r="A15" s="67"/>
      <c r="B15" s="83">
        <v>2007</v>
      </c>
      <c r="C15" s="84"/>
      <c r="D15" s="99">
        <v>521</v>
      </c>
      <c r="E15" s="100">
        <v>3779</v>
      </c>
      <c r="F15" s="84"/>
      <c r="G15" s="101">
        <v>93</v>
      </c>
      <c r="H15" s="102">
        <v>2103</v>
      </c>
      <c r="I15" s="102">
        <v>26</v>
      </c>
      <c r="J15" s="102">
        <v>8353</v>
      </c>
      <c r="K15" s="102">
        <v>0</v>
      </c>
      <c r="L15" s="102">
        <v>0</v>
      </c>
      <c r="M15" s="102">
        <v>119</v>
      </c>
      <c r="N15" s="102">
        <v>10456</v>
      </c>
      <c r="O15" s="84"/>
      <c r="P15" s="99">
        <v>0</v>
      </c>
      <c r="Q15" s="100">
        <v>0</v>
      </c>
      <c r="R15" s="84"/>
      <c r="S15" s="103"/>
      <c r="T15" s="104"/>
      <c r="U15" s="84"/>
      <c r="V15" s="105">
        <v>640</v>
      </c>
      <c r="W15" s="106">
        <v>14236</v>
      </c>
      <c r="X15" s="93"/>
      <c r="Y15" s="107">
        <v>640</v>
      </c>
      <c r="Z15" s="108">
        <v>14236</v>
      </c>
      <c r="AA15" s="96"/>
      <c r="AB15" s="109">
        <v>0</v>
      </c>
      <c r="AC15" s="110">
        <v>0</v>
      </c>
      <c r="AD15" s="77"/>
      <c r="AE15" s="77"/>
      <c r="AF15" s="77"/>
    </row>
    <row r="16" spans="1:32" x14ac:dyDescent="0.2">
      <c r="A16" s="67"/>
      <c r="B16" s="83">
        <v>2008</v>
      </c>
      <c r="C16" s="84"/>
      <c r="D16" s="99">
        <v>653</v>
      </c>
      <c r="E16" s="100">
        <v>4938</v>
      </c>
      <c r="F16" s="84"/>
      <c r="G16" s="101">
        <v>170</v>
      </c>
      <c r="H16" s="102">
        <v>3874</v>
      </c>
      <c r="I16" s="102">
        <v>44</v>
      </c>
      <c r="J16" s="102">
        <v>13247</v>
      </c>
      <c r="K16" s="102">
        <v>4</v>
      </c>
      <c r="L16" s="102">
        <v>6134</v>
      </c>
      <c r="M16" s="102">
        <v>218</v>
      </c>
      <c r="N16" s="102">
        <v>23256</v>
      </c>
      <c r="O16" s="84"/>
      <c r="P16" s="99">
        <v>0</v>
      </c>
      <c r="Q16" s="100">
        <v>0</v>
      </c>
      <c r="R16" s="84"/>
      <c r="S16" s="103"/>
      <c r="T16" s="104"/>
      <c r="U16" s="84"/>
      <c r="V16" s="105">
        <v>871</v>
      </c>
      <c r="W16" s="106">
        <v>28193</v>
      </c>
      <c r="X16" s="93"/>
      <c r="Y16" s="107">
        <v>871</v>
      </c>
      <c r="Z16" s="108">
        <v>28193</v>
      </c>
      <c r="AA16" s="96"/>
      <c r="AB16" s="109">
        <v>0</v>
      </c>
      <c r="AC16" s="110">
        <v>0</v>
      </c>
      <c r="AD16" s="77"/>
      <c r="AE16" s="77"/>
      <c r="AF16" s="77"/>
    </row>
    <row r="17" spans="1:38" x14ac:dyDescent="0.2">
      <c r="A17" s="78"/>
      <c r="B17" s="111">
        <v>2009</v>
      </c>
      <c r="C17" s="112"/>
      <c r="D17" s="101">
        <v>1056</v>
      </c>
      <c r="E17" s="102">
        <v>8000</v>
      </c>
      <c r="F17" s="112"/>
      <c r="G17" s="101">
        <v>242</v>
      </c>
      <c r="H17" s="102">
        <v>6798</v>
      </c>
      <c r="I17" s="102">
        <v>88</v>
      </c>
      <c r="J17" s="102">
        <v>24236</v>
      </c>
      <c r="K17" s="102">
        <v>8</v>
      </c>
      <c r="L17" s="102">
        <v>14086</v>
      </c>
      <c r="M17" s="102">
        <v>338</v>
      </c>
      <c r="N17" s="102">
        <v>45120</v>
      </c>
      <c r="O17" s="112"/>
      <c r="P17" s="101">
        <v>5</v>
      </c>
      <c r="Q17" s="102">
        <v>3371</v>
      </c>
      <c r="R17" s="112"/>
      <c r="S17" s="103"/>
      <c r="T17" s="104"/>
      <c r="U17" s="112"/>
      <c r="V17" s="105">
        <v>1399</v>
      </c>
      <c r="W17" s="106">
        <v>56490</v>
      </c>
      <c r="X17" s="113"/>
      <c r="Y17" s="107">
        <v>1399</v>
      </c>
      <c r="Z17" s="108">
        <v>56490</v>
      </c>
      <c r="AA17" s="114"/>
      <c r="AB17" s="115">
        <v>0</v>
      </c>
      <c r="AC17" s="116">
        <v>0</v>
      </c>
      <c r="AD17" s="81"/>
      <c r="AE17" s="81"/>
      <c r="AF17" s="81"/>
    </row>
    <row r="18" spans="1:38" x14ac:dyDescent="0.2">
      <c r="A18" s="67"/>
      <c r="B18" s="83">
        <v>2010</v>
      </c>
      <c r="C18" s="84"/>
      <c r="D18" s="99">
        <v>2128</v>
      </c>
      <c r="E18" s="100">
        <v>16436</v>
      </c>
      <c r="F18" s="84"/>
      <c r="G18" s="101">
        <v>378</v>
      </c>
      <c r="H18" s="102">
        <v>12677</v>
      </c>
      <c r="I18" s="102">
        <v>154</v>
      </c>
      <c r="J18" s="102">
        <v>45625</v>
      </c>
      <c r="K18" s="102">
        <v>12</v>
      </c>
      <c r="L18" s="102">
        <v>20987</v>
      </c>
      <c r="M18" s="102">
        <v>544</v>
      </c>
      <c r="N18" s="102">
        <v>79289</v>
      </c>
      <c r="O18" s="84"/>
      <c r="P18" s="99">
        <v>19</v>
      </c>
      <c r="Q18" s="100">
        <v>25187</v>
      </c>
      <c r="R18" s="84"/>
      <c r="S18" s="103"/>
      <c r="T18" s="104"/>
      <c r="U18" s="84"/>
      <c r="V18" s="105">
        <v>2691</v>
      </c>
      <c r="W18" s="106">
        <v>120912</v>
      </c>
      <c r="X18" s="93"/>
      <c r="Y18" s="107">
        <v>2691</v>
      </c>
      <c r="Z18" s="108">
        <v>120912</v>
      </c>
      <c r="AA18" s="96"/>
      <c r="AB18" s="109">
        <v>0</v>
      </c>
      <c r="AC18" s="110">
        <v>0</v>
      </c>
      <c r="AD18" s="77"/>
      <c r="AE18" s="77"/>
      <c r="AF18" s="77"/>
    </row>
    <row r="19" spans="1:38" x14ac:dyDescent="0.2">
      <c r="A19" s="67"/>
      <c r="B19" s="111">
        <v>2011</v>
      </c>
      <c r="C19" s="112"/>
      <c r="D19" s="101">
        <v>5092</v>
      </c>
      <c r="E19" s="102">
        <v>40487</v>
      </c>
      <c r="F19" s="112"/>
      <c r="G19" s="101">
        <v>826</v>
      </c>
      <c r="H19" s="102">
        <v>26579</v>
      </c>
      <c r="I19" s="102">
        <v>442</v>
      </c>
      <c r="J19" s="102">
        <v>135562</v>
      </c>
      <c r="K19" s="102">
        <v>50</v>
      </c>
      <c r="L19" s="102">
        <v>106496</v>
      </c>
      <c r="M19" s="102">
        <v>1318</v>
      </c>
      <c r="N19" s="102">
        <v>268637</v>
      </c>
      <c r="O19" s="112"/>
      <c r="P19" s="101">
        <v>51</v>
      </c>
      <c r="Q19" s="102">
        <v>137619</v>
      </c>
      <c r="R19" s="112"/>
      <c r="S19" s="103"/>
      <c r="T19" s="104"/>
      <c r="U19" s="112"/>
      <c r="V19" s="105">
        <v>6461</v>
      </c>
      <c r="W19" s="106">
        <v>446743</v>
      </c>
      <c r="X19" s="113"/>
      <c r="Y19" s="107">
        <v>6461</v>
      </c>
      <c r="Z19" s="108">
        <v>446743</v>
      </c>
      <c r="AA19" s="114"/>
      <c r="AB19" s="115">
        <v>0</v>
      </c>
      <c r="AC19" s="116">
        <v>0</v>
      </c>
      <c r="AD19" s="77"/>
      <c r="AE19" s="77"/>
      <c r="AF19" s="77"/>
    </row>
    <row r="20" spans="1:38" x14ac:dyDescent="0.2">
      <c r="A20" s="67"/>
      <c r="B20" s="83">
        <v>2012</v>
      </c>
      <c r="C20" s="84"/>
      <c r="D20" s="99">
        <v>5286</v>
      </c>
      <c r="E20" s="100">
        <v>42074</v>
      </c>
      <c r="F20" s="84"/>
      <c r="G20" s="101">
        <v>639</v>
      </c>
      <c r="H20" s="102">
        <v>22886</v>
      </c>
      <c r="I20" s="102">
        <v>425</v>
      </c>
      <c r="J20" s="102">
        <v>123615</v>
      </c>
      <c r="K20" s="102">
        <v>47</v>
      </c>
      <c r="L20" s="102">
        <v>87882</v>
      </c>
      <c r="M20" s="102">
        <v>1111</v>
      </c>
      <c r="N20" s="102">
        <v>234384</v>
      </c>
      <c r="O20" s="84"/>
      <c r="P20" s="99">
        <v>23</v>
      </c>
      <c r="Q20" s="100">
        <v>56794</v>
      </c>
      <c r="R20" s="84"/>
      <c r="S20" s="103"/>
      <c r="T20" s="104"/>
      <c r="U20" s="84"/>
      <c r="V20" s="105">
        <v>6420</v>
      </c>
      <c r="W20" s="106">
        <v>333251</v>
      </c>
      <c r="X20" s="93"/>
      <c r="Y20" s="107">
        <v>6420</v>
      </c>
      <c r="Z20" s="108">
        <v>333251</v>
      </c>
      <c r="AA20" s="96"/>
      <c r="AB20" s="109">
        <v>0</v>
      </c>
      <c r="AC20" s="110">
        <v>0</v>
      </c>
      <c r="AD20" s="77"/>
      <c r="AE20" s="77"/>
      <c r="AF20" s="77"/>
    </row>
    <row r="21" spans="1:38" x14ac:dyDescent="0.2">
      <c r="A21" s="117"/>
      <c r="B21" s="83">
        <v>2013</v>
      </c>
      <c r="C21" s="84"/>
      <c r="D21" s="99">
        <v>5946</v>
      </c>
      <c r="E21" s="100">
        <v>46545</v>
      </c>
      <c r="F21" s="84"/>
      <c r="G21" s="101">
        <v>281</v>
      </c>
      <c r="H21" s="102">
        <v>11454</v>
      </c>
      <c r="I21" s="102">
        <v>232</v>
      </c>
      <c r="J21" s="102">
        <v>74781</v>
      </c>
      <c r="K21" s="102">
        <v>26</v>
      </c>
      <c r="L21" s="102">
        <v>64412</v>
      </c>
      <c r="M21" s="102">
        <v>539</v>
      </c>
      <c r="N21" s="102">
        <v>150647</v>
      </c>
      <c r="O21" s="84"/>
      <c r="P21" s="99">
        <v>18</v>
      </c>
      <c r="Q21" s="100">
        <v>23162</v>
      </c>
      <c r="R21" s="84"/>
      <c r="S21" s="103"/>
      <c r="T21" s="104"/>
      <c r="U21" s="84"/>
      <c r="V21" s="105">
        <v>6503</v>
      </c>
      <c r="W21" s="106">
        <v>220355</v>
      </c>
      <c r="X21" s="93"/>
      <c r="Y21" s="107">
        <v>6504</v>
      </c>
      <c r="Z21" s="108">
        <v>220566</v>
      </c>
      <c r="AA21" s="93"/>
      <c r="AB21" s="109">
        <v>-1</v>
      </c>
      <c r="AC21" s="110">
        <v>-211</v>
      </c>
      <c r="AD21" s="76"/>
      <c r="AE21" s="76"/>
      <c r="AF21" s="76"/>
    </row>
    <row r="22" spans="1:38" x14ac:dyDescent="0.2">
      <c r="A22" s="117"/>
      <c r="B22" s="83">
        <v>2014</v>
      </c>
      <c r="C22" s="84"/>
      <c r="D22" s="99">
        <v>6825</v>
      </c>
      <c r="E22" s="100">
        <v>54732</v>
      </c>
      <c r="F22" s="84"/>
      <c r="G22" s="101">
        <v>117</v>
      </c>
      <c r="H22" s="102">
        <v>4343</v>
      </c>
      <c r="I22" s="102">
        <v>104</v>
      </c>
      <c r="J22" s="102">
        <v>36124</v>
      </c>
      <c r="K22" s="102">
        <v>10</v>
      </c>
      <c r="L22" s="102">
        <v>45163</v>
      </c>
      <c r="M22" s="102">
        <v>231</v>
      </c>
      <c r="N22" s="102">
        <v>85630</v>
      </c>
      <c r="O22" s="84"/>
      <c r="P22" s="99">
        <v>8</v>
      </c>
      <c r="Q22" s="100">
        <v>63371</v>
      </c>
      <c r="R22" s="84"/>
      <c r="S22" s="103"/>
      <c r="T22" s="104"/>
      <c r="U22" s="84"/>
      <c r="V22" s="105">
        <v>7064</v>
      </c>
      <c r="W22" s="106">
        <v>203732</v>
      </c>
      <c r="X22" s="93"/>
      <c r="Y22" s="107">
        <v>7064</v>
      </c>
      <c r="Z22" s="108">
        <v>203732</v>
      </c>
      <c r="AA22" s="93"/>
      <c r="AB22" s="109">
        <v>0</v>
      </c>
      <c r="AC22" s="110">
        <v>0</v>
      </c>
      <c r="AD22" s="76"/>
      <c r="AE22" s="76"/>
      <c r="AF22" s="76"/>
    </row>
    <row r="23" spans="1:38" x14ac:dyDescent="0.2">
      <c r="A23" s="78"/>
      <c r="B23" s="111">
        <v>2015</v>
      </c>
      <c r="C23" s="118"/>
      <c r="D23" s="119">
        <v>12886</v>
      </c>
      <c r="E23" s="120">
        <v>101917</v>
      </c>
      <c r="F23" s="118"/>
      <c r="G23" s="121">
        <v>110</v>
      </c>
      <c r="H23" s="120">
        <v>3689</v>
      </c>
      <c r="I23" s="122">
        <v>86</v>
      </c>
      <c r="J23" s="120">
        <v>27254</v>
      </c>
      <c r="K23" s="122">
        <v>7</v>
      </c>
      <c r="L23" s="120">
        <v>21630</v>
      </c>
      <c r="M23" s="102">
        <v>203</v>
      </c>
      <c r="N23" s="102">
        <v>52573</v>
      </c>
      <c r="O23" s="118"/>
      <c r="P23" s="121">
        <v>8</v>
      </c>
      <c r="Q23" s="120">
        <v>41684</v>
      </c>
      <c r="R23" s="118"/>
      <c r="S23" s="103"/>
      <c r="T23" s="104"/>
      <c r="U23" s="118"/>
      <c r="V23" s="105">
        <v>13097</v>
      </c>
      <c r="W23" s="106">
        <v>196173</v>
      </c>
      <c r="X23" s="113"/>
      <c r="Y23" s="107">
        <v>13097</v>
      </c>
      <c r="Z23" s="108">
        <v>196173</v>
      </c>
      <c r="AA23" s="114"/>
      <c r="AB23" s="115">
        <v>0</v>
      </c>
      <c r="AC23" s="116">
        <v>0</v>
      </c>
      <c r="AD23" s="81"/>
      <c r="AE23" s="81"/>
      <c r="AF23" s="81"/>
    </row>
    <row r="24" spans="1:38" x14ac:dyDescent="0.2">
      <c r="A24" s="67"/>
      <c r="B24" s="111">
        <v>2016</v>
      </c>
      <c r="C24" s="118"/>
      <c r="D24" s="119">
        <v>21909</v>
      </c>
      <c r="E24" s="120">
        <v>180252</v>
      </c>
      <c r="F24" s="118"/>
      <c r="G24" s="121">
        <v>211</v>
      </c>
      <c r="H24" s="120">
        <v>6519</v>
      </c>
      <c r="I24" s="122">
        <v>123</v>
      </c>
      <c r="J24" s="120">
        <v>42753</v>
      </c>
      <c r="K24" s="122">
        <v>18</v>
      </c>
      <c r="L24" s="120">
        <v>42480</v>
      </c>
      <c r="M24" s="102">
        <v>352</v>
      </c>
      <c r="N24" s="102">
        <v>91751</v>
      </c>
      <c r="O24" s="118"/>
      <c r="P24" s="121">
        <v>22</v>
      </c>
      <c r="Q24" s="120">
        <v>136223</v>
      </c>
      <c r="R24" s="118"/>
      <c r="S24" s="103"/>
      <c r="T24" s="104"/>
      <c r="U24" s="118"/>
      <c r="V24" s="105">
        <v>22283</v>
      </c>
      <c r="W24" s="106">
        <v>408227</v>
      </c>
      <c r="X24" s="93"/>
      <c r="Y24" s="107">
        <v>22283</v>
      </c>
      <c r="Z24" s="108">
        <v>408227</v>
      </c>
      <c r="AA24" s="96"/>
      <c r="AB24" s="109">
        <v>0</v>
      </c>
      <c r="AC24" s="110">
        <v>0</v>
      </c>
      <c r="AD24" s="123"/>
      <c r="AE24" s="77"/>
      <c r="AF24" s="77"/>
      <c r="AH24" t="s">
        <v>155</v>
      </c>
      <c r="AI24" t="s">
        <v>189</v>
      </c>
      <c r="AJ24" t="s">
        <v>154</v>
      </c>
    </row>
    <row r="25" spans="1:38" x14ac:dyDescent="0.2">
      <c r="A25" s="67"/>
      <c r="B25" s="83">
        <v>2017</v>
      </c>
      <c r="C25" s="118"/>
      <c r="D25" s="119">
        <v>18560</v>
      </c>
      <c r="E25" s="120">
        <v>158934</v>
      </c>
      <c r="F25" s="118"/>
      <c r="G25" s="121">
        <v>282</v>
      </c>
      <c r="H25" s="120">
        <v>9750</v>
      </c>
      <c r="I25" s="122">
        <v>174</v>
      </c>
      <c r="J25" s="120">
        <v>65124</v>
      </c>
      <c r="K25" s="122">
        <v>22</v>
      </c>
      <c r="L25" s="120">
        <v>57718</v>
      </c>
      <c r="M25" s="102">
        <v>478</v>
      </c>
      <c r="N25" s="102">
        <v>132592</v>
      </c>
      <c r="O25" s="118"/>
      <c r="P25" s="121">
        <v>8</v>
      </c>
      <c r="Q25" s="120">
        <v>60130</v>
      </c>
      <c r="R25" s="118"/>
      <c r="S25" s="103"/>
      <c r="T25" s="104"/>
      <c r="U25" s="118"/>
      <c r="V25" s="105">
        <v>19046</v>
      </c>
      <c r="W25" s="106">
        <v>351656</v>
      </c>
      <c r="X25" s="93"/>
      <c r="Y25" s="107">
        <v>19046</v>
      </c>
      <c r="Z25" s="108">
        <v>351656</v>
      </c>
      <c r="AA25" s="96"/>
      <c r="AB25" s="109">
        <v>0</v>
      </c>
      <c r="AC25" s="110">
        <v>0</v>
      </c>
      <c r="AD25" s="77"/>
      <c r="AE25" s="77"/>
      <c r="AF25" s="77"/>
      <c r="AH25">
        <v>0.2047764</v>
      </c>
      <c r="AI25">
        <f>80%*158</f>
        <v>126.4</v>
      </c>
      <c r="AJ25" s="43">
        <f>AI25/(1+0.025)^10</f>
        <v>98.743477978131907</v>
      </c>
    </row>
    <row r="26" spans="1:38" x14ac:dyDescent="0.2">
      <c r="A26" s="67"/>
      <c r="B26" s="83">
        <v>2018</v>
      </c>
      <c r="C26" s="118"/>
      <c r="D26" s="119">
        <v>17184</v>
      </c>
      <c r="E26" s="120">
        <v>149475</v>
      </c>
      <c r="F26" s="118"/>
      <c r="G26" s="121">
        <v>329</v>
      </c>
      <c r="H26" s="120">
        <v>10830</v>
      </c>
      <c r="I26" s="122">
        <v>203</v>
      </c>
      <c r="J26" s="120">
        <v>70259</v>
      </c>
      <c r="K26" s="122">
        <v>26</v>
      </c>
      <c r="L26" s="120">
        <v>56309</v>
      </c>
      <c r="M26" s="102">
        <v>558</v>
      </c>
      <c r="N26" s="102">
        <v>137398</v>
      </c>
      <c r="O26" s="118"/>
      <c r="P26" s="121">
        <v>4</v>
      </c>
      <c r="Q26" s="120">
        <v>43687</v>
      </c>
      <c r="R26" s="118"/>
      <c r="S26" s="103"/>
      <c r="T26" s="104"/>
      <c r="U26" s="118"/>
      <c r="V26" s="105">
        <v>17746</v>
      </c>
      <c r="W26" s="106">
        <v>330560</v>
      </c>
      <c r="X26" s="93"/>
      <c r="Y26" s="107">
        <v>17746</v>
      </c>
      <c r="Z26" s="108">
        <v>330560</v>
      </c>
      <c r="AA26" s="96"/>
      <c r="AB26" s="109">
        <v>0</v>
      </c>
      <c r="AC26" s="110">
        <v>0</v>
      </c>
      <c r="AD26" s="77"/>
      <c r="AE26" s="77"/>
      <c r="AF26" s="77"/>
    </row>
    <row r="27" spans="1:38" x14ac:dyDescent="0.2">
      <c r="A27" s="67"/>
      <c r="B27" s="111">
        <v>2019</v>
      </c>
      <c r="C27" s="118"/>
      <c r="D27" s="119">
        <v>15864</v>
      </c>
      <c r="E27" s="120">
        <v>144163</v>
      </c>
      <c r="F27" s="118"/>
      <c r="G27" s="121">
        <v>332</v>
      </c>
      <c r="H27" s="120">
        <v>11123</v>
      </c>
      <c r="I27" s="122">
        <v>212</v>
      </c>
      <c r="J27" s="120">
        <v>79444</v>
      </c>
      <c r="K27" s="122">
        <v>40</v>
      </c>
      <c r="L27" s="120">
        <v>137164</v>
      </c>
      <c r="M27" s="102">
        <v>584</v>
      </c>
      <c r="N27" s="102">
        <v>227731</v>
      </c>
      <c r="O27" s="118"/>
      <c r="P27" s="121">
        <v>7</v>
      </c>
      <c r="Q27" s="120">
        <v>77950</v>
      </c>
      <c r="R27" s="118"/>
      <c r="S27" s="103"/>
      <c r="T27" s="104"/>
      <c r="U27" s="118"/>
      <c r="V27" s="105">
        <v>16455</v>
      </c>
      <c r="W27" s="106">
        <v>449844</v>
      </c>
      <c r="X27" s="93"/>
      <c r="Y27" s="107">
        <v>16455</v>
      </c>
      <c r="Z27" s="108">
        <v>449844</v>
      </c>
      <c r="AA27" s="96"/>
      <c r="AB27" s="109">
        <v>0</v>
      </c>
      <c r="AC27" s="110">
        <v>0</v>
      </c>
      <c r="AD27" s="77"/>
      <c r="AE27" s="77"/>
      <c r="AF27" s="77"/>
    </row>
    <row r="28" spans="1:38" x14ac:dyDescent="0.2">
      <c r="A28" s="67"/>
      <c r="B28" s="83">
        <v>2020</v>
      </c>
      <c r="C28" s="118"/>
      <c r="D28" s="119">
        <v>6482</v>
      </c>
      <c r="E28" s="120">
        <v>59360</v>
      </c>
      <c r="F28" s="118"/>
      <c r="G28" s="121">
        <v>126</v>
      </c>
      <c r="H28" s="120">
        <v>3950</v>
      </c>
      <c r="I28" s="122">
        <v>57</v>
      </c>
      <c r="J28" s="120">
        <v>17747</v>
      </c>
      <c r="K28" s="122">
        <v>5</v>
      </c>
      <c r="L28" s="120">
        <v>13814</v>
      </c>
      <c r="M28" s="102">
        <v>188</v>
      </c>
      <c r="N28" s="102">
        <v>35511</v>
      </c>
      <c r="O28" s="118"/>
      <c r="P28" s="121">
        <v>6</v>
      </c>
      <c r="Q28" s="120">
        <v>45568</v>
      </c>
      <c r="R28" s="118"/>
      <c r="S28" s="103"/>
      <c r="T28" s="104"/>
      <c r="U28" s="118"/>
      <c r="V28" s="105">
        <v>6676</v>
      </c>
      <c r="W28" s="106">
        <v>140439</v>
      </c>
      <c r="X28" s="93"/>
      <c r="Y28" s="107">
        <v>6676</v>
      </c>
      <c r="Z28" s="108">
        <v>140439</v>
      </c>
      <c r="AA28" s="96"/>
      <c r="AB28" s="109">
        <v>0</v>
      </c>
      <c r="AC28" s="110">
        <v>0</v>
      </c>
      <c r="AD28" s="77"/>
      <c r="AE28" s="77"/>
      <c r="AF28" s="77"/>
      <c r="AG28" t="s">
        <v>157</v>
      </c>
      <c r="AJ28" t="s">
        <v>153</v>
      </c>
      <c r="AK28" t="s">
        <v>188</v>
      </c>
    </row>
    <row r="29" spans="1:38" x14ac:dyDescent="0.2">
      <c r="A29" s="67"/>
      <c r="B29" s="83">
        <v>2021</v>
      </c>
      <c r="C29" s="118"/>
      <c r="D29" s="119">
        <v>11</v>
      </c>
      <c r="E29" s="120">
        <v>80</v>
      </c>
      <c r="F29" s="118"/>
      <c r="G29" s="121">
        <v>0</v>
      </c>
      <c r="H29" s="120">
        <v>0</v>
      </c>
      <c r="I29" s="122">
        <v>1</v>
      </c>
      <c r="J29" s="120">
        <v>193</v>
      </c>
      <c r="K29" s="122">
        <v>0</v>
      </c>
      <c r="L29" s="120">
        <v>0</v>
      </c>
      <c r="M29" s="102">
        <v>1</v>
      </c>
      <c r="N29" s="102">
        <v>193</v>
      </c>
      <c r="O29" s="118"/>
      <c r="P29" s="121">
        <v>0</v>
      </c>
      <c r="Q29" s="120">
        <v>0</v>
      </c>
      <c r="R29" s="118"/>
      <c r="S29" s="103"/>
      <c r="T29" s="104"/>
      <c r="U29" s="118"/>
      <c r="V29" s="105">
        <v>12</v>
      </c>
      <c r="W29" s="106">
        <v>273</v>
      </c>
      <c r="X29" s="93"/>
      <c r="Y29" s="124">
        <v>10</v>
      </c>
      <c r="Z29" s="125">
        <v>249</v>
      </c>
      <c r="AA29" s="96"/>
      <c r="AB29" s="109">
        <v>2</v>
      </c>
      <c r="AC29" s="110">
        <v>24</v>
      </c>
      <c r="AD29" s="77"/>
      <c r="AE29" s="77"/>
      <c r="AF29" s="77"/>
      <c r="AG29" s="49">
        <f>SUM(Z24:Z27)</f>
        <v>1540287</v>
      </c>
      <c r="AH29" s="49"/>
      <c r="AI29" s="49"/>
      <c r="AJ29" s="229">
        <f>AG29/1.2*AH25*8760/1000</f>
        <v>2302525.3158356398</v>
      </c>
      <c r="AK29" s="229">
        <f>AJ29*AJ25</f>
        <v>227359357.81830773</v>
      </c>
      <c r="AL29" s="10">
        <f>AJ29*AI25</f>
        <v>291039199.9216249</v>
      </c>
    </row>
    <row r="30" spans="1:38" x14ac:dyDescent="0.2">
      <c r="A30" s="78"/>
      <c r="B30" s="68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79"/>
      <c r="Y30" s="80"/>
      <c r="Z30" s="80"/>
      <c r="AA30" s="81"/>
      <c r="AB30" s="69"/>
      <c r="AC30" s="69"/>
      <c r="AD30" s="81"/>
      <c r="AE30" s="81"/>
      <c r="AF30" s="81"/>
      <c r="AK30" s="10"/>
      <c r="AL30" s="10"/>
    </row>
    <row r="31" spans="1:38" x14ac:dyDescent="0.2">
      <c r="A31" s="126"/>
      <c r="B31" s="127" t="s">
        <v>114</v>
      </c>
      <c r="C31" s="128"/>
      <c r="D31" s="129">
        <v>122099</v>
      </c>
      <c r="E31" s="130">
        <v>1022945</v>
      </c>
      <c r="F31" s="128"/>
      <c r="G31" s="131">
        <v>4386</v>
      </c>
      <c r="H31" s="132">
        <v>140385</v>
      </c>
      <c r="I31" s="132">
        <v>2427</v>
      </c>
      <c r="J31" s="132">
        <v>780702</v>
      </c>
      <c r="K31" s="132">
        <v>275</v>
      </c>
      <c r="L31" s="132">
        <v>674274</v>
      </c>
      <c r="M31" s="130">
        <v>7088</v>
      </c>
      <c r="N31" s="130">
        <v>1595361</v>
      </c>
      <c r="O31" s="128"/>
      <c r="P31" s="129">
        <v>179</v>
      </c>
      <c r="Q31" s="130">
        <v>714745</v>
      </c>
      <c r="R31" s="128"/>
      <c r="S31" s="133"/>
      <c r="T31" s="134"/>
      <c r="U31" s="128"/>
      <c r="V31" s="129">
        <v>129366</v>
      </c>
      <c r="W31" s="130">
        <v>3333051</v>
      </c>
      <c r="X31" s="135"/>
      <c r="Y31" s="131">
        <v>129367</v>
      </c>
      <c r="Z31" s="132">
        <v>3333247</v>
      </c>
      <c r="AA31" s="136"/>
      <c r="AB31" s="131">
        <v>-1</v>
      </c>
      <c r="AC31" s="132">
        <v>-195</v>
      </c>
      <c r="AD31" s="136"/>
      <c r="AE31" s="136"/>
      <c r="AF31" s="136"/>
    </row>
    <row r="32" spans="1:38" x14ac:dyDescent="0.2">
      <c r="A32" s="78"/>
      <c r="B32" s="68"/>
      <c r="C32" s="69"/>
      <c r="D32" s="69"/>
      <c r="E32" s="137"/>
      <c r="F32" s="69"/>
      <c r="G32" s="137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81"/>
      <c r="Y32" s="138"/>
      <c r="Z32" s="138"/>
      <c r="AA32" s="81"/>
      <c r="AB32" s="69"/>
      <c r="AC32" s="69"/>
      <c r="AD32" s="81"/>
      <c r="AE32" s="81"/>
      <c r="AF32" s="81"/>
    </row>
    <row r="33" spans="1:37" x14ac:dyDescent="0.2">
      <c r="A33" s="67"/>
      <c r="B33" s="82" t="s">
        <v>115</v>
      </c>
      <c r="C33" s="69"/>
      <c r="D33" s="69"/>
      <c r="E33" s="13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81"/>
      <c r="Y33" s="138"/>
      <c r="Z33" s="138"/>
      <c r="AA33" s="81"/>
      <c r="AB33" s="69"/>
      <c r="AC33" s="69"/>
      <c r="AD33" s="77"/>
      <c r="AE33" s="77"/>
      <c r="AF33" s="77"/>
    </row>
    <row r="34" spans="1:37" ht="30" x14ac:dyDescent="0.2">
      <c r="A34" s="67"/>
      <c r="B34" s="140">
        <v>2015</v>
      </c>
      <c r="C34" s="84"/>
      <c r="D34" s="85">
        <v>0</v>
      </c>
      <c r="E34" s="86">
        <v>0</v>
      </c>
      <c r="F34" s="84"/>
      <c r="G34" s="85">
        <v>0</v>
      </c>
      <c r="H34" s="86">
        <v>0</v>
      </c>
      <c r="I34" s="86">
        <v>0</v>
      </c>
      <c r="J34" s="86">
        <v>0</v>
      </c>
      <c r="K34" s="86">
        <v>0</v>
      </c>
      <c r="L34" s="86">
        <v>0</v>
      </c>
      <c r="M34" s="88">
        <v>0</v>
      </c>
      <c r="N34" s="88">
        <v>0</v>
      </c>
      <c r="O34" s="84"/>
      <c r="P34" s="85">
        <v>0</v>
      </c>
      <c r="Q34" s="86">
        <v>0</v>
      </c>
      <c r="R34" s="84"/>
      <c r="S34" s="85">
        <v>0</v>
      </c>
      <c r="T34" s="86">
        <v>0</v>
      </c>
      <c r="U34" s="84"/>
      <c r="V34" s="141">
        <v>0</v>
      </c>
      <c r="W34" s="142">
        <v>0</v>
      </c>
      <c r="X34" s="96"/>
      <c r="Y34" s="143" t="s">
        <v>116</v>
      </c>
      <c r="Z34" s="144" t="s">
        <v>117</v>
      </c>
      <c r="AA34" s="96"/>
      <c r="AB34" s="97">
        <v>0</v>
      </c>
      <c r="AC34" s="98">
        <v>0</v>
      </c>
      <c r="AD34" s="77"/>
      <c r="AE34" s="77"/>
      <c r="AF34" s="77"/>
    </row>
    <row r="35" spans="1:37" x14ac:dyDescent="0.2">
      <c r="A35" s="67"/>
      <c r="B35" s="140">
        <v>2016</v>
      </c>
      <c r="C35" s="84"/>
      <c r="D35" s="99">
        <v>6</v>
      </c>
      <c r="E35" s="100">
        <v>45</v>
      </c>
      <c r="F35" s="84"/>
      <c r="G35" s="99">
        <v>0</v>
      </c>
      <c r="H35" s="100">
        <v>0</v>
      </c>
      <c r="I35" s="100">
        <v>0</v>
      </c>
      <c r="J35" s="100">
        <v>0</v>
      </c>
      <c r="K35" s="100">
        <v>0</v>
      </c>
      <c r="L35" s="100">
        <v>0</v>
      </c>
      <c r="M35" s="102">
        <v>0</v>
      </c>
      <c r="N35" s="102">
        <v>0</v>
      </c>
      <c r="O35" s="84"/>
      <c r="P35" s="99">
        <v>0</v>
      </c>
      <c r="Q35" s="100">
        <v>0</v>
      </c>
      <c r="R35" s="84"/>
      <c r="S35" s="99">
        <v>0</v>
      </c>
      <c r="T35" s="100">
        <v>0</v>
      </c>
      <c r="U35" s="84"/>
      <c r="V35" s="145">
        <v>6</v>
      </c>
      <c r="W35" s="146">
        <v>45</v>
      </c>
      <c r="X35" s="96"/>
      <c r="Y35" s="147">
        <v>6</v>
      </c>
      <c r="Z35" s="148">
        <v>45</v>
      </c>
      <c r="AA35" s="96"/>
      <c r="AB35" s="109">
        <v>0</v>
      </c>
      <c r="AC35" s="110">
        <v>0</v>
      </c>
      <c r="AD35" s="77"/>
      <c r="AE35" s="77"/>
      <c r="AF35" s="77"/>
    </row>
    <row r="36" spans="1:37" x14ac:dyDescent="0.2">
      <c r="A36" s="67"/>
      <c r="B36" s="140">
        <v>2017</v>
      </c>
      <c r="C36" s="84"/>
      <c r="D36" s="99">
        <v>5</v>
      </c>
      <c r="E36" s="100">
        <v>68</v>
      </c>
      <c r="F36" s="84"/>
      <c r="G36" s="99">
        <v>0</v>
      </c>
      <c r="H36" s="100">
        <v>0</v>
      </c>
      <c r="I36" s="100">
        <v>0</v>
      </c>
      <c r="J36" s="100">
        <v>0</v>
      </c>
      <c r="K36" s="100">
        <v>0</v>
      </c>
      <c r="L36" s="100">
        <v>0</v>
      </c>
      <c r="M36" s="102">
        <v>0</v>
      </c>
      <c r="N36" s="102">
        <v>0</v>
      </c>
      <c r="O36" s="84"/>
      <c r="P36" s="99">
        <v>0</v>
      </c>
      <c r="Q36" s="100">
        <v>0</v>
      </c>
      <c r="R36" s="84"/>
      <c r="S36" s="99">
        <v>0</v>
      </c>
      <c r="T36" s="100">
        <v>0</v>
      </c>
      <c r="U36" s="84"/>
      <c r="V36" s="145">
        <v>5</v>
      </c>
      <c r="W36" s="146">
        <v>68</v>
      </c>
      <c r="X36" s="96"/>
      <c r="Y36" s="147">
        <v>5</v>
      </c>
      <c r="Z36" s="148">
        <v>68</v>
      </c>
      <c r="AA36" s="96"/>
      <c r="AB36" s="109">
        <v>0</v>
      </c>
      <c r="AC36" s="110">
        <v>0</v>
      </c>
      <c r="AD36" s="77"/>
      <c r="AE36" s="77"/>
      <c r="AF36" s="77"/>
    </row>
    <row r="37" spans="1:37" x14ac:dyDescent="0.2">
      <c r="A37" s="67"/>
      <c r="B37" s="140">
        <v>2018</v>
      </c>
      <c r="C37" s="84"/>
      <c r="D37" s="99">
        <v>71</v>
      </c>
      <c r="E37" s="100">
        <v>904</v>
      </c>
      <c r="F37" s="84"/>
      <c r="G37" s="99">
        <v>0</v>
      </c>
      <c r="H37" s="100">
        <v>0</v>
      </c>
      <c r="I37" s="100">
        <v>0</v>
      </c>
      <c r="J37" s="100">
        <v>0</v>
      </c>
      <c r="K37" s="100">
        <v>0</v>
      </c>
      <c r="L37" s="100">
        <v>0</v>
      </c>
      <c r="M37" s="102">
        <v>0</v>
      </c>
      <c r="N37" s="102">
        <v>0</v>
      </c>
      <c r="O37" s="84"/>
      <c r="P37" s="99">
        <v>1</v>
      </c>
      <c r="Q37" s="100">
        <v>233</v>
      </c>
      <c r="R37" s="84"/>
      <c r="S37" s="99">
        <v>0</v>
      </c>
      <c r="T37" s="100">
        <v>0</v>
      </c>
      <c r="U37" s="84"/>
      <c r="V37" s="145">
        <v>72</v>
      </c>
      <c r="W37" s="146">
        <v>1137</v>
      </c>
      <c r="X37" s="96"/>
      <c r="Y37" s="147">
        <v>72</v>
      </c>
      <c r="Z37" s="148">
        <v>1137</v>
      </c>
      <c r="AA37" s="96"/>
      <c r="AB37" s="109">
        <v>0</v>
      </c>
      <c r="AC37" s="110">
        <v>0</v>
      </c>
      <c r="AD37" s="77"/>
      <c r="AE37" s="77"/>
      <c r="AF37" s="77"/>
      <c r="AG37" s="230"/>
      <c r="AH37" s="49"/>
      <c r="AI37" s="230"/>
      <c r="AK37" s="229"/>
    </row>
    <row r="38" spans="1:37" x14ac:dyDescent="0.2">
      <c r="A38" s="67"/>
      <c r="B38" s="140">
        <v>2019</v>
      </c>
      <c r="C38" s="84"/>
      <c r="D38" s="99">
        <v>31</v>
      </c>
      <c r="E38" s="100">
        <v>284</v>
      </c>
      <c r="F38" s="84"/>
      <c r="G38" s="99">
        <v>1</v>
      </c>
      <c r="H38" s="100">
        <v>24</v>
      </c>
      <c r="I38" s="100">
        <v>7</v>
      </c>
      <c r="J38" s="100">
        <v>2918</v>
      </c>
      <c r="K38" s="100">
        <v>0</v>
      </c>
      <c r="L38" s="100">
        <v>0</v>
      </c>
      <c r="M38" s="102">
        <v>8</v>
      </c>
      <c r="N38" s="102">
        <v>2942</v>
      </c>
      <c r="O38" s="84"/>
      <c r="P38" s="99">
        <v>0</v>
      </c>
      <c r="Q38" s="100">
        <v>0</v>
      </c>
      <c r="R38" s="84"/>
      <c r="S38" s="99">
        <v>0</v>
      </c>
      <c r="T38" s="100">
        <v>0</v>
      </c>
      <c r="U38" s="84"/>
      <c r="V38" s="145">
        <v>39</v>
      </c>
      <c r="W38" s="146">
        <v>3226</v>
      </c>
      <c r="X38" s="96"/>
      <c r="Y38" s="147">
        <v>39</v>
      </c>
      <c r="Z38" s="148">
        <v>3226</v>
      </c>
      <c r="AA38" s="96"/>
      <c r="AB38" s="109">
        <v>0</v>
      </c>
      <c r="AC38" s="110">
        <v>0</v>
      </c>
      <c r="AD38" s="77"/>
      <c r="AE38" s="77"/>
      <c r="AF38" s="77"/>
    </row>
    <row r="39" spans="1:37" x14ac:dyDescent="0.2">
      <c r="A39" s="67"/>
      <c r="B39" s="140">
        <v>2020</v>
      </c>
      <c r="C39" s="84"/>
      <c r="D39" s="99">
        <v>7369</v>
      </c>
      <c r="E39" s="100">
        <v>63816</v>
      </c>
      <c r="F39" s="84"/>
      <c r="G39" s="99">
        <v>152</v>
      </c>
      <c r="H39" s="100">
        <v>5014</v>
      </c>
      <c r="I39" s="100">
        <v>128</v>
      </c>
      <c r="J39" s="100">
        <v>48013</v>
      </c>
      <c r="K39" s="100">
        <v>17</v>
      </c>
      <c r="L39" s="100">
        <v>43007</v>
      </c>
      <c r="M39" s="102">
        <v>297</v>
      </c>
      <c r="N39" s="102">
        <v>96034</v>
      </c>
      <c r="O39" s="84"/>
      <c r="P39" s="99">
        <v>4</v>
      </c>
      <c r="Q39" s="100">
        <v>21016</v>
      </c>
      <c r="R39" s="84"/>
      <c r="S39" s="99">
        <v>0</v>
      </c>
      <c r="T39" s="100">
        <v>0</v>
      </c>
      <c r="U39" s="84"/>
      <c r="V39" s="145">
        <v>7670</v>
      </c>
      <c r="W39" s="146">
        <v>180866</v>
      </c>
      <c r="X39" s="96"/>
      <c r="Y39" s="149">
        <v>7631</v>
      </c>
      <c r="Z39" s="150">
        <v>180545</v>
      </c>
      <c r="AA39" s="96"/>
      <c r="AB39" s="109">
        <v>39</v>
      </c>
      <c r="AC39" s="110">
        <v>322</v>
      </c>
      <c r="AD39" s="77"/>
      <c r="AE39" s="77"/>
      <c r="AF39" s="77"/>
    </row>
    <row r="40" spans="1:37" x14ac:dyDescent="0.2">
      <c r="A40" s="151"/>
      <c r="B40" s="83">
        <v>2021</v>
      </c>
      <c r="C40" s="118"/>
      <c r="D40" s="119">
        <v>6225</v>
      </c>
      <c r="E40" s="120">
        <v>56030</v>
      </c>
      <c r="F40" s="118"/>
      <c r="G40" s="121">
        <v>90</v>
      </c>
      <c r="H40" s="120">
        <v>3415</v>
      </c>
      <c r="I40" s="122">
        <v>67</v>
      </c>
      <c r="J40" s="120">
        <v>19078</v>
      </c>
      <c r="K40" s="122">
        <v>7</v>
      </c>
      <c r="L40" s="120">
        <v>15228</v>
      </c>
      <c r="M40" s="102">
        <v>164</v>
      </c>
      <c r="N40" s="102">
        <v>37721</v>
      </c>
      <c r="O40" s="118"/>
      <c r="P40" s="121">
        <v>1</v>
      </c>
      <c r="Q40" s="120">
        <v>28000</v>
      </c>
      <c r="R40" s="118"/>
      <c r="S40" s="99">
        <v>7</v>
      </c>
      <c r="T40" s="100">
        <v>14831</v>
      </c>
      <c r="U40" s="118"/>
      <c r="V40" s="105">
        <v>6397</v>
      </c>
      <c r="W40" s="106">
        <v>136582</v>
      </c>
      <c r="X40" s="93"/>
      <c r="Y40" s="152">
        <v>5463</v>
      </c>
      <c r="Z40" s="153">
        <v>94314</v>
      </c>
      <c r="AA40" s="96"/>
      <c r="AB40" s="109">
        <v>934</v>
      </c>
      <c r="AC40" s="110">
        <v>42267</v>
      </c>
      <c r="AD40" s="96"/>
      <c r="AE40" s="96"/>
      <c r="AF40" s="96"/>
    </row>
    <row r="41" spans="1:37" x14ac:dyDescent="0.2">
      <c r="A41" s="78"/>
      <c r="B41" s="68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81"/>
      <c r="Y41" s="138"/>
      <c r="Z41" s="138"/>
      <c r="AA41" s="81"/>
      <c r="AB41" s="69"/>
      <c r="AC41" s="69"/>
      <c r="AD41" s="81"/>
      <c r="AE41" s="81"/>
      <c r="AF41" s="81"/>
    </row>
    <row r="42" spans="1:37" x14ac:dyDescent="0.2">
      <c r="A42" s="126"/>
      <c r="B42" s="127" t="s">
        <v>118</v>
      </c>
      <c r="C42" s="128"/>
      <c r="D42" s="129">
        <v>13707</v>
      </c>
      <c r="E42" s="130">
        <v>121147</v>
      </c>
      <c r="F42" s="128"/>
      <c r="G42" s="131">
        <v>243</v>
      </c>
      <c r="H42" s="132">
        <v>8452</v>
      </c>
      <c r="I42" s="132">
        <v>202</v>
      </c>
      <c r="J42" s="132">
        <v>70009</v>
      </c>
      <c r="K42" s="132">
        <v>24</v>
      </c>
      <c r="L42" s="132">
        <v>58235</v>
      </c>
      <c r="M42" s="130">
        <v>469</v>
      </c>
      <c r="N42" s="130">
        <v>136697</v>
      </c>
      <c r="O42" s="128"/>
      <c r="P42" s="129">
        <v>6</v>
      </c>
      <c r="Q42" s="130">
        <v>49249</v>
      </c>
      <c r="R42" s="128"/>
      <c r="S42" s="129">
        <v>7</v>
      </c>
      <c r="T42" s="130">
        <v>14831</v>
      </c>
      <c r="U42" s="128"/>
      <c r="V42" s="129">
        <v>14189</v>
      </c>
      <c r="W42" s="130">
        <v>321923</v>
      </c>
      <c r="X42" s="136"/>
      <c r="Y42" s="129">
        <v>13216</v>
      </c>
      <c r="Z42" s="130">
        <v>279334</v>
      </c>
      <c r="AA42" s="136"/>
      <c r="AB42" s="129">
        <v>973</v>
      </c>
      <c r="AC42" s="130">
        <v>42589</v>
      </c>
      <c r="AD42" s="136"/>
      <c r="AE42" s="136"/>
      <c r="AF42" s="136"/>
    </row>
    <row r="43" spans="1:37" x14ac:dyDescent="0.2">
      <c r="A43" s="78"/>
      <c r="B43" s="68"/>
      <c r="C43" s="69"/>
      <c r="D43" s="154"/>
      <c r="E43" s="155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81"/>
      <c r="Y43" s="138"/>
      <c r="Z43" s="138"/>
      <c r="AA43" s="81"/>
      <c r="AB43" s="69"/>
      <c r="AC43" s="69"/>
      <c r="AD43" s="81"/>
      <c r="AE43" s="81"/>
      <c r="AF43" s="81"/>
    </row>
    <row r="44" spans="1:37" ht="31" x14ac:dyDescent="0.2">
      <c r="A44" s="126"/>
      <c r="B44" s="156" t="s">
        <v>119</v>
      </c>
      <c r="C44" s="128"/>
      <c r="D44" s="157"/>
      <c r="E44" s="157"/>
      <c r="F44" s="128"/>
      <c r="G44" s="157"/>
      <c r="H44" s="157"/>
      <c r="I44" s="157"/>
      <c r="J44" s="157"/>
      <c r="K44" s="157"/>
      <c r="L44" s="157"/>
      <c r="M44" s="157"/>
      <c r="N44" s="157"/>
      <c r="O44" s="128"/>
      <c r="P44" s="157"/>
      <c r="Q44" s="157"/>
      <c r="R44" s="128"/>
      <c r="S44" s="157"/>
      <c r="T44" s="157"/>
      <c r="U44" s="128"/>
      <c r="V44" s="157"/>
      <c r="W44" s="157"/>
      <c r="X44" s="58"/>
      <c r="Y44" s="158"/>
      <c r="Z44" s="158"/>
      <c r="AA44" s="58"/>
      <c r="AB44" s="128"/>
      <c r="AC44" s="128"/>
      <c r="AD44" s="136"/>
      <c r="AE44" s="136"/>
      <c r="AF44" s="136"/>
    </row>
    <row r="45" spans="1:37" x14ac:dyDescent="0.2">
      <c r="A45" s="126"/>
      <c r="B45" s="159" t="s">
        <v>120</v>
      </c>
      <c r="C45" s="128"/>
      <c r="D45" s="160">
        <v>29203</v>
      </c>
      <c r="E45" s="161">
        <v>228765</v>
      </c>
      <c r="F45" s="162"/>
      <c r="G45" s="163">
        <v>2996</v>
      </c>
      <c r="H45" s="164">
        <v>94523</v>
      </c>
      <c r="I45" s="164">
        <v>1571</v>
      </c>
      <c r="J45" s="164">
        <v>477929</v>
      </c>
      <c r="K45" s="164">
        <v>157</v>
      </c>
      <c r="L45" s="164">
        <v>345160</v>
      </c>
      <c r="M45" s="161">
        <v>4724</v>
      </c>
      <c r="N45" s="161">
        <v>917612</v>
      </c>
      <c r="O45" s="165"/>
      <c r="P45" s="160">
        <v>124</v>
      </c>
      <c r="Q45" s="161">
        <v>309503</v>
      </c>
      <c r="R45" s="128"/>
      <c r="S45" s="160">
        <v>0</v>
      </c>
      <c r="T45" s="161">
        <v>0</v>
      </c>
      <c r="U45" s="128"/>
      <c r="V45" s="166">
        <v>34051</v>
      </c>
      <c r="W45" s="167">
        <v>1455880</v>
      </c>
      <c r="X45" s="168"/>
      <c r="Y45" s="169">
        <v>34054</v>
      </c>
      <c r="Z45" s="170">
        <v>1456099</v>
      </c>
      <c r="AA45" s="61"/>
      <c r="AB45" s="171">
        <v>-3</v>
      </c>
      <c r="AC45" s="172">
        <v>-219</v>
      </c>
      <c r="AD45" s="136"/>
      <c r="AE45" s="136"/>
      <c r="AF45" s="136"/>
    </row>
    <row r="46" spans="1:37" x14ac:dyDescent="0.2">
      <c r="A46" s="126"/>
      <c r="B46" s="159">
        <v>2015</v>
      </c>
      <c r="C46" s="128"/>
      <c r="D46" s="173">
        <v>12886</v>
      </c>
      <c r="E46" s="174">
        <v>101917</v>
      </c>
      <c r="F46" s="162"/>
      <c r="G46" s="175">
        <v>110</v>
      </c>
      <c r="H46" s="176">
        <v>3689</v>
      </c>
      <c r="I46" s="176">
        <v>86</v>
      </c>
      <c r="J46" s="176">
        <v>27254</v>
      </c>
      <c r="K46" s="176">
        <v>7</v>
      </c>
      <c r="L46" s="176">
        <v>21630</v>
      </c>
      <c r="M46" s="174">
        <v>203</v>
      </c>
      <c r="N46" s="174">
        <v>52573</v>
      </c>
      <c r="O46" s="165"/>
      <c r="P46" s="173">
        <v>8</v>
      </c>
      <c r="Q46" s="174">
        <v>41684</v>
      </c>
      <c r="R46" s="128"/>
      <c r="S46" s="173">
        <v>0</v>
      </c>
      <c r="T46" s="174">
        <v>0</v>
      </c>
      <c r="U46" s="128"/>
      <c r="V46" s="177">
        <v>13097</v>
      </c>
      <c r="W46" s="178">
        <v>196173</v>
      </c>
      <c r="X46" s="168"/>
      <c r="Y46" s="179">
        <v>13097</v>
      </c>
      <c r="Z46" s="180">
        <v>196173</v>
      </c>
      <c r="AA46" s="61"/>
      <c r="AB46" s="115">
        <v>0</v>
      </c>
      <c r="AC46" s="181">
        <v>0</v>
      </c>
      <c r="AD46" s="136"/>
      <c r="AE46" s="136"/>
      <c r="AF46" s="136"/>
    </row>
    <row r="47" spans="1:37" x14ac:dyDescent="0.2">
      <c r="A47" s="126"/>
      <c r="B47" s="159">
        <v>2016</v>
      </c>
      <c r="C47" s="128"/>
      <c r="D47" s="173">
        <v>21915</v>
      </c>
      <c r="E47" s="174">
        <v>180297</v>
      </c>
      <c r="F47" s="162"/>
      <c r="G47" s="175">
        <v>211</v>
      </c>
      <c r="H47" s="176">
        <v>6519</v>
      </c>
      <c r="I47" s="176">
        <v>123</v>
      </c>
      <c r="J47" s="176">
        <v>42753</v>
      </c>
      <c r="K47" s="176">
        <v>18</v>
      </c>
      <c r="L47" s="176">
        <v>42480</v>
      </c>
      <c r="M47" s="174">
        <v>352</v>
      </c>
      <c r="N47" s="174">
        <v>91751</v>
      </c>
      <c r="O47" s="165"/>
      <c r="P47" s="173">
        <v>22</v>
      </c>
      <c r="Q47" s="174">
        <v>136223</v>
      </c>
      <c r="R47" s="128"/>
      <c r="S47" s="173">
        <v>0</v>
      </c>
      <c r="T47" s="174">
        <v>0</v>
      </c>
      <c r="U47" s="128"/>
      <c r="V47" s="177">
        <v>22289</v>
      </c>
      <c r="W47" s="178">
        <v>408272</v>
      </c>
      <c r="X47" s="168"/>
      <c r="Y47" s="179">
        <v>22289</v>
      </c>
      <c r="Z47" s="180">
        <v>408272</v>
      </c>
      <c r="AA47" s="61"/>
      <c r="AB47" s="115">
        <v>0</v>
      </c>
      <c r="AC47" s="181">
        <v>0</v>
      </c>
      <c r="AD47" s="136"/>
      <c r="AE47" s="136"/>
      <c r="AF47" s="136"/>
    </row>
    <row r="48" spans="1:37" x14ac:dyDescent="0.2">
      <c r="A48" s="126"/>
      <c r="B48" s="159">
        <v>2017</v>
      </c>
      <c r="C48" s="128"/>
      <c r="D48" s="173">
        <v>18565</v>
      </c>
      <c r="E48" s="174">
        <v>159002</v>
      </c>
      <c r="F48" s="162"/>
      <c r="G48" s="175">
        <v>282</v>
      </c>
      <c r="H48" s="176">
        <v>9750</v>
      </c>
      <c r="I48" s="176">
        <v>174</v>
      </c>
      <c r="J48" s="176">
        <v>65124</v>
      </c>
      <c r="K48" s="176">
        <v>22</v>
      </c>
      <c r="L48" s="176">
        <v>57718</v>
      </c>
      <c r="M48" s="174">
        <v>478</v>
      </c>
      <c r="N48" s="174">
        <v>132592</v>
      </c>
      <c r="O48" s="165"/>
      <c r="P48" s="173">
        <v>8</v>
      </c>
      <c r="Q48" s="174">
        <v>60130</v>
      </c>
      <c r="R48" s="128"/>
      <c r="S48" s="173">
        <v>0</v>
      </c>
      <c r="T48" s="174">
        <v>0</v>
      </c>
      <c r="U48" s="128"/>
      <c r="V48" s="177">
        <v>19051</v>
      </c>
      <c r="W48" s="178">
        <v>351724</v>
      </c>
      <c r="X48" s="168"/>
      <c r="Y48" s="179">
        <v>19051</v>
      </c>
      <c r="Z48" s="180">
        <v>351724</v>
      </c>
      <c r="AA48" s="61"/>
      <c r="AB48" s="115">
        <v>0</v>
      </c>
      <c r="AC48" s="181">
        <v>0</v>
      </c>
      <c r="AD48" s="136"/>
      <c r="AE48" s="136"/>
      <c r="AF48" s="136"/>
    </row>
    <row r="49" spans="1:37" x14ac:dyDescent="0.2">
      <c r="A49" s="126"/>
      <c r="B49" s="159">
        <v>2018</v>
      </c>
      <c r="C49" s="128"/>
      <c r="D49" s="173">
        <v>17255</v>
      </c>
      <c r="E49" s="174">
        <v>150379</v>
      </c>
      <c r="F49" s="162"/>
      <c r="G49" s="175">
        <v>329</v>
      </c>
      <c r="H49" s="176">
        <v>10830</v>
      </c>
      <c r="I49" s="176">
        <v>203</v>
      </c>
      <c r="J49" s="176">
        <v>70259</v>
      </c>
      <c r="K49" s="176">
        <v>26</v>
      </c>
      <c r="L49" s="176">
        <v>56309</v>
      </c>
      <c r="M49" s="174">
        <v>558</v>
      </c>
      <c r="N49" s="174">
        <v>137398</v>
      </c>
      <c r="O49" s="165"/>
      <c r="P49" s="173">
        <v>5</v>
      </c>
      <c r="Q49" s="174">
        <v>43920</v>
      </c>
      <c r="R49" s="128"/>
      <c r="S49" s="173">
        <v>0</v>
      </c>
      <c r="T49" s="174">
        <v>0</v>
      </c>
      <c r="U49" s="128"/>
      <c r="V49" s="177">
        <v>17818</v>
      </c>
      <c r="W49" s="178">
        <v>331696</v>
      </c>
      <c r="X49" s="168"/>
      <c r="Y49" s="179">
        <v>17818</v>
      </c>
      <c r="Z49" s="180">
        <v>331696</v>
      </c>
      <c r="AA49" s="61"/>
      <c r="AB49" s="115">
        <v>0</v>
      </c>
      <c r="AC49" s="181">
        <v>0</v>
      </c>
      <c r="AD49" s="136"/>
      <c r="AE49" s="136"/>
      <c r="AF49" s="136"/>
    </row>
    <row r="50" spans="1:37" x14ac:dyDescent="0.2">
      <c r="A50" s="126"/>
      <c r="B50" s="159">
        <v>2019</v>
      </c>
      <c r="C50" s="128"/>
      <c r="D50" s="173">
        <v>15895</v>
      </c>
      <c r="E50" s="174">
        <v>144446</v>
      </c>
      <c r="F50" s="162"/>
      <c r="G50" s="175">
        <v>333</v>
      </c>
      <c r="H50" s="176">
        <v>11147</v>
      </c>
      <c r="I50" s="176">
        <v>219</v>
      </c>
      <c r="J50" s="176">
        <v>82363</v>
      </c>
      <c r="K50" s="176">
        <v>40</v>
      </c>
      <c r="L50" s="176">
        <v>137164</v>
      </c>
      <c r="M50" s="174">
        <v>592</v>
      </c>
      <c r="N50" s="174">
        <v>230674</v>
      </c>
      <c r="O50" s="165"/>
      <c r="P50" s="173">
        <v>7</v>
      </c>
      <c r="Q50" s="174">
        <v>77950</v>
      </c>
      <c r="R50" s="128"/>
      <c r="S50" s="173">
        <v>0</v>
      </c>
      <c r="T50" s="174">
        <v>0</v>
      </c>
      <c r="U50" s="128"/>
      <c r="V50" s="177">
        <v>16494</v>
      </c>
      <c r="W50" s="178">
        <v>453070</v>
      </c>
      <c r="X50" s="168"/>
      <c r="Y50" s="179">
        <v>16494</v>
      </c>
      <c r="Z50" s="180">
        <v>453070</v>
      </c>
      <c r="AA50" s="61"/>
      <c r="AB50" s="115">
        <v>0</v>
      </c>
      <c r="AC50" s="181">
        <v>0</v>
      </c>
      <c r="AD50" s="136"/>
      <c r="AE50" s="136"/>
      <c r="AF50" s="136"/>
      <c r="AJ50" s="49"/>
      <c r="AK50" s="49"/>
    </row>
    <row r="51" spans="1:37" x14ac:dyDescent="0.2">
      <c r="A51" s="126"/>
      <c r="B51" s="159">
        <v>2020</v>
      </c>
      <c r="C51" s="128"/>
      <c r="D51" s="173">
        <v>13851</v>
      </c>
      <c r="E51" s="174">
        <v>123176</v>
      </c>
      <c r="F51" s="162"/>
      <c r="G51" s="175">
        <v>278</v>
      </c>
      <c r="H51" s="176">
        <v>8964</v>
      </c>
      <c r="I51" s="176">
        <v>185</v>
      </c>
      <c r="J51" s="176">
        <v>65760</v>
      </c>
      <c r="K51" s="176">
        <v>22</v>
      </c>
      <c r="L51" s="176">
        <v>56821</v>
      </c>
      <c r="M51" s="174">
        <v>485</v>
      </c>
      <c r="N51" s="174">
        <v>131545</v>
      </c>
      <c r="O51" s="165"/>
      <c r="P51" s="173">
        <v>10</v>
      </c>
      <c r="Q51" s="174">
        <v>66584</v>
      </c>
      <c r="R51" s="128"/>
      <c r="S51" s="173">
        <v>0</v>
      </c>
      <c r="T51" s="174">
        <v>0</v>
      </c>
      <c r="U51" s="128"/>
      <c r="V51" s="177">
        <v>14346</v>
      </c>
      <c r="W51" s="178">
        <v>321305</v>
      </c>
      <c r="X51" s="168"/>
      <c r="Y51" s="179">
        <v>14307</v>
      </c>
      <c r="Z51" s="180">
        <v>320984</v>
      </c>
      <c r="AA51" s="61"/>
      <c r="AB51" s="115">
        <v>39</v>
      </c>
      <c r="AC51" s="181">
        <v>322</v>
      </c>
      <c r="AD51" s="136"/>
      <c r="AE51" s="136"/>
      <c r="AF51" s="136"/>
    </row>
    <row r="52" spans="1:37" x14ac:dyDescent="0.2">
      <c r="A52" s="182"/>
      <c r="B52" s="159">
        <v>2021</v>
      </c>
      <c r="C52" s="128"/>
      <c r="D52" s="173">
        <v>6236</v>
      </c>
      <c r="E52" s="174">
        <v>56110</v>
      </c>
      <c r="F52" s="162"/>
      <c r="G52" s="175">
        <v>90</v>
      </c>
      <c r="H52" s="176">
        <v>3415</v>
      </c>
      <c r="I52" s="176">
        <v>68</v>
      </c>
      <c r="J52" s="176">
        <v>19270</v>
      </c>
      <c r="K52" s="176">
        <v>7</v>
      </c>
      <c r="L52" s="176">
        <v>15228</v>
      </c>
      <c r="M52" s="174">
        <v>165</v>
      </c>
      <c r="N52" s="174">
        <v>37913</v>
      </c>
      <c r="O52" s="165"/>
      <c r="P52" s="173">
        <v>1</v>
      </c>
      <c r="Q52" s="174">
        <v>28000</v>
      </c>
      <c r="R52" s="128"/>
      <c r="S52" s="173">
        <v>7</v>
      </c>
      <c r="T52" s="174">
        <v>14831</v>
      </c>
      <c r="U52" s="128"/>
      <c r="V52" s="177">
        <v>6409</v>
      </c>
      <c r="W52" s="178">
        <v>136854</v>
      </c>
      <c r="X52" s="183"/>
      <c r="Y52" s="179">
        <v>5473</v>
      </c>
      <c r="Z52" s="180">
        <v>94563</v>
      </c>
      <c r="AA52" s="184"/>
      <c r="AB52" s="115">
        <v>936</v>
      </c>
      <c r="AC52" s="181">
        <v>42291</v>
      </c>
      <c r="AD52" s="185"/>
      <c r="AE52" s="185"/>
      <c r="AF52" s="185"/>
    </row>
    <row r="53" spans="1:37" ht="17" thickBot="1" x14ac:dyDescent="0.25">
      <c r="A53" s="78"/>
      <c r="B53" s="186"/>
      <c r="C53" s="69"/>
      <c r="D53" s="187"/>
      <c r="E53" s="187"/>
      <c r="F53" s="69"/>
      <c r="G53" s="187"/>
      <c r="H53" s="187"/>
      <c r="I53" s="187"/>
      <c r="J53" s="187"/>
      <c r="K53" s="187"/>
      <c r="L53" s="187"/>
      <c r="M53" s="187"/>
      <c r="N53" s="187"/>
      <c r="O53" s="69"/>
      <c r="P53" s="187"/>
      <c r="Q53" s="187"/>
      <c r="R53" s="69"/>
      <c r="S53" s="187"/>
      <c r="T53" s="187"/>
      <c r="U53" s="69"/>
      <c r="V53" s="187"/>
      <c r="W53" s="187"/>
      <c r="X53" s="79"/>
      <c r="Y53" s="188"/>
      <c r="Z53" s="188"/>
      <c r="AA53" s="81"/>
      <c r="AB53" s="187"/>
      <c r="AC53" s="187"/>
      <c r="AD53" s="81"/>
      <c r="AE53" s="81"/>
      <c r="AF53" s="81"/>
    </row>
    <row r="54" spans="1:37" ht="47" thickTop="1" thickBot="1" x14ac:dyDescent="0.25">
      <c r="A54" s="57"/>
      <c r="B54" s="189" t="s">
        <v>121</v>
      </c>
      <c r="C54" s="190"/>
      <c r="D54" s="191">
        <v>135806</v>
      </c>
      <c r="E54" s="192">
        <v>1144092</v>
      </c>
      <c r="F54" s="193"/>
      <c r="G54" s="194">
        <v>4629</v>
      </c>
      <c r="H54" s="195">
        <v>148837</v>
      </c>
      <c r="I54" s="195">
        <v>2629</v>
      </c>
      <c r="J54" s="195">
        <v>850711</v>
      </c>
      <c r="K54" s="195">
        <v>299</v>
      </c>
      <c r="L54" s="195">
        <v>732509</v>
      </c>
      <c r="M54" s="192">
        <v>7557</v>
      </c>
      <c r="N54" s="192">
        <v>1732058</v>
      </c>
      <c r="O54" s="193"/>
      <c r="P54" s="191">
        <v>185</v>
      </c>
      <c r="Q54" s="192">
        <v>763994</v>
      </c>
      <c r="R54" s="193"/>
      <c r="S54" s="191">
        <v>7</v>
      </c>
      <c r="T54" s="192">
        <v>14831</v>
      </c>
      <c r="U54" s="193"/>
      <c r="V54" s="191">
        <v>143555</v>
      </c>
      <c r="W54" s="192">
        <v>3654975</v>
      </c>
      <c r="X54" s="196"/>
      <c r="Y54" s="197">
        <v>142583</v>
      </c>
      <c r="Z54" s="198">
        <v>3612581</v>
      </c>
      <c r="AA54" s="199"/>
      <c r="AB54" s="200">
        <v>972</v>
      </c>
      <c r="AC54" s="201">
        <v>42394</v>
      </c>
      <c r="AD54" s="58"/>
      <c r="AE54" s="58"/>
      <c r="AF54" s="58"/>
    </row>
    <row r="55" spans="1:37" ht="19" thickTop="1" x14ac:dyDescent="0.2">
      <c r="A55" s="57"/>
      <c r="B55" s="58"/>
      <c r="C55" s="60"/>
      <c r="D55" s="58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19"/>
      <c r="R55" s="319"/>
      <c r="S55" s="319"/>
      <c r="T55" s="319"/>
      <c r="U55" s="58"/>
      <c r="V55" s="58"/>
      <c r="W55" s="202"/>
      <c r="X55" s="58"/>
      <c r="Y55" s="203"/>
      <c r="Z55" s="203"/>
      <c r="AA55" s="58"/>
      <c r="AB55" s="58"/>
      <c r="AC55" s="58"/>
      <c r="AD55" s="58"/>
      <c r="AE55" s="58"/>
      <c r="AF55" s="58"/>
    </row>
    <row r="56" spans="1:37" x14ac:dyDescent="0.2">
      <c r="A56" s="57"/>
      <c r="B56" s="58"/>
      <c r="C56" s="58"/>
      <c r="D56" s="58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203"/>
      <c r="Z56" s="203"/>
      <c r="AA56" s="58"/>
      <c r="AB56" s="58"/>
      <c r="AC56" s="58"/>
      <c r="AD56" s="58"/>
      <c r="AE56" s="58"/>
      <c r="AF56" s="58"/>
    </row>
    <row r="57" spans="1:37" x14ac:dyDescent="0.2">
      <c r="A57" s="57"/>
      <c r="B57" s="58"/>
      <c r="C57" s="58"/>
      <c r="D57" s="58"/>
      <c r="E57" s="204"/>
      <c r="F57" s="204"/>
      <c r="G57" s="204"/>
      <c r="H57" s="204"/>
      <c r="I57" s="204"/>
      <c r="J57" s="204"/>
      <c r="K57" s="204"/>
      <c r="L57" s="204"/>
      <c r="M57" s="205"/>
      <c r="N57" s="204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203"/>
      <c r="Z57" s="203"/>
      <c r="AA57" s="58"/>
      <c r="AB57" s="58"/>
      <c r="AC57" s="58"/>
      <c r="AD57" s="58"/>
      <c r="AE57" s="58"/>
      <c r="AF57" s="58"/>
    </row>
    <row r="58" spans="1:37" x14ac:dyDescent="0.2">
      <c r="A58" s="57"/>
      <c r="B58" s="58"/>
      <c r="C58" s="58"/>
      <c r="D58" s="58"/>
      <c r="E58" s="58"/>
      <c r="F58" s="58"/>
      <c r="G58" s="202"/>
      <c r="H58" s="202"/>
      <c r="I58" s="202"/>
      <c r="J58" s="202"/>
      <c r="K58" s="202"/>
      <c r="L58" s="202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203"/>
      <c r="Z58" s="203"/>
      <c r="AA58" s="58"/>
      <c r="AB58" s="58"/>
      <c r="AC58" s="58"/>
      <c r="AD58" s="58"/>
      <c r="AE58" s="58"/>
      <c r="AF58" s="58"/>
    </row>
    <row r="59" spans="1:37" x14ac:dyDescent="0.2">
      <c r="A59" s="57"/>
      <c r="B59" s="58"/>
      <c r="C59" s="58"/>
      <c r="D59" s="58"/>
      <c r="E59" s="58"/>
      <c r="F59" s="58"/>
      <c r="G59" s="202"/>
      <c r="H59" s="202"/>
      <c r="I59" s="202"/>
      <c r="J59" s="202"/>
      <c r="K59" s="202"/>
      <c r="L59" s="202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203"/>
      <c r="Z59" s="203"/>
      <c r="AA59" s="58"/>
      <c r="AB59" s="58"/>
      <c r="AC59" s="58"/>
      <c r="AD59" s="58"/>
      <c r="AE59" s="58"/>
      <c r="AF59" s="58"/>
    </row>
    <row r="60" spans="1:37" x14ac:dyDescent="0.2">
      <c r="A60" s="57"/>
      <c r="B60" s="58"/>
      <c r="C60" s="58"/>
      <c r="D60" s="58"/>
      <c r="E60" s="58"/>
      <c r="F60" s="58"/>
      <c r="G60" s="202"/>
      <c r="H60" s="202"/>
      <c r="I60" s="202"/>
      <c r="J60" s="202"/>
      <c r="K60" s="202"/>
      <c r="L60" s="202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203"/>
      <c r="Z60" s="203"/>
      <c r="AA60" s="58"/>
      <c r="AB60" s="58"/>
      <c r="AC60" s="58"/>
      <c r="AD60" s="58"/>
      <c r="AE60" s="58"/>
      <c r="AF60" s="58"/>
    </row>
    <row r="61" spans="1:37" x14ac:dyDescent="0.2">
      <c r="A61" s="57"/>
      <c r="B61" s="58"/>
      <c r="C61" s="58"/>
      <c r="D61" s="58"/>
      <c r="E61" s="58"/>
      <c r="F61" s="58"/>
      <c r="G61" s="202"/>
      <c r="H61" s="202"/>
      <c r="I61" s="202"/>
      <c r="J61" s="202"/>
      <c r="K61" s="202"/>
      <c r="L61" s="202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203"/>
      <c r="Z61" s="203"/>
      <c r="AA61" s="58"/>
      <c r="AB61" s="58"/>
      <c r="AC61" s="58"/>
      <c r="AD61" s="58"/>
      <c r="AE61" s="58"/>
      <c r="AF61" s="58"/>
    </row>
    <row r="62" spans="1:37" x14ac:dyDescent="0.2">
      <c r="A62" s="57"/>
      <c r="B62" s="58"/>
      <c r="C62" s="58"/>
      <c r="D62" s="58"/>
      <c r="E62" s="58"/>
      <c r="F62" s="58"/>
      <c r="G62" s="202"/>
      <c r="H62" s="202"/>
      <c r="I62" s="202"/>
      <c r="J62" s="202"/>
      <c r="K62" s="202"/>
      <c r="L62" s="202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203"/>
      <c r="Z62" s="203"/>
      <c r="AA62" s="58"/>
      <c r="AB62" s="58"/>
      <c r="AC62" s="58"/>
      <c r="AD62" s="58"/>
      <c r="AE62" s="58"/>
      <c r="AF62" s="58"/>
    </row>
    <row r="63" spans="1:37" x14ac:dyDescent="0.2">
      <c r="A63" s="57"/>
      <c r="B63" s="58"/>
      <c r="C63" s="58"/>
      <c r="D63" s="58"/>
      <c r="E63" s="58"/>
      <c r="F63" s="58"/>
      <c r="G63" s="202"/>
      <c r="H63" s="202"/>
      <c r="I63" s="202"/>
      <c r="J63" s="202"/>
      <c r="K63" s="202"/>
      <c r="L63" s="202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203"/>
      <c r="Z63" s="203"/>
      <c r="AA63" s="58"/>
      <c r="AB63" s="58"/>
      <c r="AC63" s="58"/>
      <c r="AD63" s="58"/>
      <c r="AE63" s="58"/>
      <c r="AF63" s="58"/>
    </row>
    <row r="64" spans="1:37" x14ac:dyDescent="0.2">
      <c r="A64" s="57"/>
      <c r="B64" s="58"/>
      <c r="C64" s="58"/>
      <c r="D64" s="58"/>
      <c r="E64" s="58"/>
      <c r="F64" s="58"/>
      <c r="G64" s="202"/>
      <c r="H64" s="202"/>
      <c r="I64" s="202"/>
      <c r="J64" s="202"/>
      <c r="K64" s="202"/>
      <c r="L64" s="202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203"/>
      <c r="Z64" s="203"/>
      <c r="AA64" s="58"/>
      <c r="AB64" s="58"/>
      <c r="AC64" s="58"/>
      <c r="AD64" s="58"/>
      <c r="AE64" s="58"/>
      <c r="AF64" s="58"/>
    </row>
  </sheetData>
  <mergeCells count="20">
    <mergeCell ref="B1:P1"/>
    <mergeCell ref="Y2:Z3"/>
    <mergeCell ref="AB2:AC3"/>
    <mergeCell ref="D3:E4"/>
    <mergeCell ref="G3:H3"/>
    <mergeCell ref="I3:J3"/>
    <mergeCell ref="K3:L3"/>
    <mergeCell ref="M3:N3"/>
    <mergeCell ref="P3:Q4"/>
    <mergeCell ref="S3:T4"/>
    <mergeCell ref="Z4:Z5"/>
    <mergeCell ref="AB4:AB5"/>
    <mergeCell ref="AC4:AC5"/>
    <mergeCell ref="Y4:Y5"/>
    <mergeCell ref="E55:T55"/>
    <mergeCell ref="V3:W4"/>
    <mergeCell ref="G4:H4"/>
    <mergeCell ref="I4:J4"/>
    <mergeCell ref="K4:L4"/>
    <mergeCell ref="M4:N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150A-AB5F-5347-8800-807EEF85AF10}">
  <dimension ref="A1:T31"/>
  <sheetViews>
    <sheetView workbookViewId="0">
      <selection activeCell="F37" sqref="F37"/>
    </sheetView>
  </sheetViews>
  <sheetFormatPr baseColWidth="10" defaultColWidth="8.83203125" defaultRowHeight="16" x14ac:dyDescent="0.2"/>
  <cols>
    <col min="1" max="1" width="23.1640625" customWidth="1"/>
    <col min="2" max="2" width="16.5" customWidth="1"/>
    <col min="3" max="3" width="17.5" customWidth="1"/>
    <col min="4" max="4" width="17.1640625" bestFit="1" customWidth="1"/>
    <col min="5" max="5" width="0.5" customWidth="1"/>
    <col min="6" max="6" width="16.6640625" style="228" customWidth="1"/>
    <col min="7" max="7" width="17.6640625" style="228" customWidth="1"/>
    <col min="8" max="8" width="3" customWidth="1"/>
    <col min="9" max="9" width="24.1640625" customWidth="1"/>
    <col min="10" max="10" width="16.33203125" customWidth="1"/>
    <col min="11" max="11" width="17.5" customWidth="1"/>
    <col min="12" max="12" width="17.1640625" bestFit="1" customWidth="1"/>
    <col min="13" max="13" width="0.5" customWidth="1"/>
    <col min="14" max="14" width="16.6640625" style="228" customWidth="1"/>
    <col min="15" max="15" width="17.6640625" style="228" customWidth="1"/>
    <col min="16" max="16" width="3" customWidth="1"/>
    <col min="17" max="17" width="22.83203125" customWidth="1"/>
    <col min="18" max="18" width="16.83203125" customWidth="1"/>
    <col min="19" max="19" width="17" customWidth="1"/>
    <col min="20" max="20" width="17.1640625" bestFit="1" customWidth="1"/>
  </cols>
  <sheetData>
    <row r="1" spans="1:20" ht="21" x14ac:dyDescent="0.2">
      <c r="A1" s="403" t="s">
        <v>122</v>
      </c>
      <c r="B1" s="403"/>
      <c r="C1" s="403"/>
      <c r="D1" s="403"/>
      <c r="F1" s="404" t="s">
        <v>123</v>
      </c>
      <c r="G1" s="404"/>
      <c r="I1" s="406" t="s">
        <v>124</v>
      </c>
      <c r="J1" s="406"/>
      <c r="K1" s="406"/>
      <c r="L1" s="406"/>
      <c r="N1" s="404" t="s">
        <v>125</v>
      </c>
      <c r="O1" s="404"/>
      <c r="Q1" s="406" t="s">
        <v>126</v>
      </c>
      <c r="R1" s="406"/>
      <c r="S1" s="406"/>
      <c r="T1" s="406"/>
    </row>
    <row r="2" spans="1:20" ht="21" x14ac:dyDescent="0.2">
      <c r="A2" s="408" t="s">
        <v>127</v>
      </c>
      <c r="B2" s="408"/>
      <c r="C2" s="408"/>
      <c r="D2" s="408"/>
      <c r="F2" s="405"/>
      <c r="G2" s="405"/>
      <c r="I2" s="407"/>
      <c r="J2" s="407"/>
      <c r="K2" s="407"/>
      <c r="L2" s="407"/>
      <c r="N2" s="405"/>
      <c r="O2" s="405"/>
      <c r="Q2" s="407"/>
      <c r="R2" s="407"/>
      <c r="S2" s="407"/>
      <c r="T2" s="407"/>
    </row>
    <row r="3" spans="1:20" ht="17" x14ac:dyDescent="0.2">
      <c r="A3" s="409" t="s">
        <v>128</v>
      </c>
      <c r="B3" s="411" t="s">
        <v>129</v>
      </c>
      <c r="C3" s="413" t="s">
        <v>130</v>
      </c>
      <c r="D3" s="206" t="s">
        <v>131</v>
      </c>
      <c r="E3" s="207"/>
      <c r="F3" s="208" t="s">
        <v>132</v>
      </c>
      <c r="G3" s="209" t="s">
        <v>133</v>
      </c>
      <c r="H3" s="207"/>
      <c r="I3" s="409" t="s">
        <v>128</v>
      </c>
      <c r="J3" s="411" t="s">
        <v>129</v>
      </c>
      <c r="K3" s="413" t="s">
        <v>134</v>
      </c>
      <c r="L3" s="206" t="s">
        <v>131</v>
      </c>
      <c r="M3" s="207"/>
      <c r="N3" s="208" t="s">
        <v>132</v>
      </c>
      <c r="O3" s="209" t="s">
        <v>133</v>
      </c>
      <c r="P3" s="207"/>
      <c r="Q3" s="397" t="s">
        <v>128</v>
      </c>
      <c r="R3" s="399" t="s">
        <v>129</v>
      </c>
      <c r="S3" s="401" t="s">
        <v>135</v>
      </c>
      <c r="T3" s="210" t="s">
        <v>131</v>
      </c>
    </row>
    <row r="4" spans="1:20" ht="17" x14ac:dyDescent="0.2">
      <c r="A4" s="410"/>
      <c r="B4" s="412"/>
      <c r="C4" s="414"/>
      <c r="D4" s="211" t="s">
        <v>136</v>
      </c>
      <c r="E4" s="207"/>
      <c r="F4" s="212" t="s">
        <v>137</v>
      </c>
      <c r="G4" s="213" t="s">
        <v>138</v>
      </c>
      <c r="H4" s="207"/>
      <c r="I4" s="410"/>
      <c r="J4" s="412"/>
      <c r="K4" s="414"/>
      <c r="L4" s="211" t="s">
        <v>136</v>
      </c>
      <c r="M4" s="207"/>
      <c r="N4" s="212" t="s">
        <v>137</v>
      </c>
      <c r="O4" s="213" t="s">
        <v>138</v>
      </c>
      <c r="P4" s="207"/>
      <c r="Q4" s="398"/>
      <c r="R4" s="400"/>
      <c r="S4" s="402"/>
      <c r="T4" s="214" t="s">
        <v>136</v>
      </c>
    </row>
    <row r="5" spans="1:20" ht="17" x14ac:dyDescent="0.2">
      <c r="A5" s="215" t="s">
        <v>139</v>
      </c>
      <c r="B5" s="385">
        <v>8</v>
      </c>
      <c r="C5" s="386">
        <v>46.64</v>
      </c>
      <c r="D5" s="395">
        <f>C5/$C$28</f>
        <v>1.8058914498164296E-3</v>
      </c>
      <c r="F5" s="382">
        <v>10</v>
      </c>
      <c r="G5" s="382">
        <v>70.239999999999995</v>
      </c>
      <c r="I5" s="215" t="s">
        <v>139</v>
      </c>
      <c r="J5" s="385">
        <v>12633</v>
      </c>
      <c r="K5" s="386">
        <v>115258.9</v>
      </c>
      <c r="L5" s="392">
        <f>K5/$K$28</f>
        <v>0.15487679236056415</v>
      </c>
      <c r="N5" s="388">
        <v>12169</v>
      </c>
      <c r="O5" s="389">
        <v>110377.12</v>
      </c>
      <c r="Q5" s="215" t="s">
        <v>139</v>
      </c>
      <c r="R5" s="385">
        <f>SUM(B5+J5)</f>
        <v>12641</v>
      </c>
      <c r="S5" s="386">
        <f>SUM(C5+K5)</f>
        <v>115305.54</v>
      </c>
      <c r="T5" s="392">
        <f>S5/$K$28</f>
        <v>0.15493946390779995</v>
      </c>
    </row>
    <row r="6" spans="1:20" ht="17" x14ac:dyDescent="0.2">
      <c r="A6" s="216" t="s">
        <v>140</v>
      </c>
      <c r="B6" s="387"/>
      <c r="C6" s="387"/>
      <c r="D6" s="396"/>
      <c r="F6" s="384"/>
      <c r="G6" s="384"/>
      <c r="I6" s="216" t="s">
        <v>140</v>
      </c>
      <c r="J6" s="387"/>
      <c r="K6" s="387"/>
      <c r="L6" s="393"/>
      <c r="N6" s="390"/>
      <c r="O6" s="390"/>
      <c r="Q6" s="216" t="s">
        <v>140</v>
      </c>
      <c r="R6" s="387"/>
      <c r="S6" s="387"/>
      <c r="T6" s="393"/>
    </row>
    <row r="7" spans="1:20" ht="17" x14ac:dyDescent="0.2">
      <c r="A7" s="217" t="s">
        <v>141</v>
      </c>
      <c r="B7" s="385">
        <v>1</v>
      </c>
      <c r="C7" s="385">
        <v>40.119999999999997</v>
      </c>
      <c r="D7" s="394">
        <f t="shared" ref="D7:D13" si="0">C7/$C$28</f>
        <v>1.5534383569175633E-3</v>
      </c>
      <c r="F7" s="382">
        <v>1</v>
      </c>
      <c r="G7" s="382">
        <v>40.119999999999997</v>
      </c>
      <c r="I7" s="217" t="s">
        <v>141</v>
      </c>
      <c r="J7" s="385">
        <v>574</v>
      </c>
      <c r="K7" s="385">
        <v>23922.68</v>
      </c>
      <c r="L7" s="391">
        <f>K7/$K$28</f>
        <v>3.2145612556325115E-2</v>
      </c>
      <c r="N7" s="388">
        <v>485</v>
      </c>
      <c r="O7" s="388">
        <v>19982.919999999998</v>
      </c>
      <c r="Q7" s="217" t="s">
        <v>141</v>
      </c>
      <c r="R7" s="385">
        <f>SUM(B7+J7)</f>
        <v>575</v>
      </c>
      <c r="S7" s="385">
        <f>SUM(C7+K7)</f>
        <v>23962.799999999999</v>
      </c>
      <c r="T7" s="391">
        <f>S7/$K$28</f>
        <v>3.2199522986751793E-2</v>
      </c>
    </row>
    <row r="8" spans="1:20" ht="17" x14ac:dyDescent="0.2">
      <c r="A8" s="218" t="s">
        <v>142</v>
      </c>
      <c r="B8" s="386"/>
      <c r="C8" s="386"/>
      <c r="D8" s="395"/>
      <c r="F8" s="383"/>
      <c r="G8" s="383"/>
      <c r="I8" s="218" t="s">
        <v>142</v>
      </c>
      <c r="J8" s="386"/>
      <c r="K8" s="386"/>
      <c r="L8" s="392"/>
      <c r="N8" s="389"/>
      <c r="O8" s="389"/>
      <c r="Q8" s="218" t="s">
        <v>142</v>
      </c>
      <c r="R8" s="386"/>
      <c r="S8" s="386"/>
      <c r="T8" s="392"/>
    </row>
    <row r="9" spans="1:20" ht="17" x14ac:dyDescent="0.2">
      <c r="A9" s="218" t="s">
        <v>143</v>
      </c>
      <c r="B9" s="387"/>
      <c r="C9" s="387"/>
      <c r="D9" s="396"/>
      <c r="F9" s="384"/>
      <c r="G9" s="384"/>
      <c r="I9" s="218" t="s">
        <v>143</v>
      </c>
      <c r="J9" s="387"/>
      <c r="K9" s="387"/>
      <c r="L9" s="393"/>
      <c r="N9" s="390"/>
      <c r="O9" s="390"/>
      <c r="Q9" s="218" t="s">
        <v>143</v>
      </c>
      <c r="R9" s="387"/>
      <c r="S9" s="387"/>
      <c r="T9" s="393"/>
    </row>
    <row r="10" spans="1:20" ht="17" x14ac:dyDescent="0.2">
      <c r="A10" s="217" t="s">
        <v>141</v>
      </c>
      <c r="B10" s="385">
        <v>0</v>
      </c>
      <c r="C10" s="385">
        <v>0</v>
      </c>
      <c r="D10" s="394">
        <f t="shared" si="0"/>
        <v>0</v>
      </c>
      <c r="F10" s="382">
        <v>0</v>
      </c>
      <c r="G10" s="382">
        <v>0</v>
      </c>
      <c r="I10" s="217" t="s">
        <v>141</v>
      </c>
      <c r="J10" s="385">
        <v>671</v>
      </c>
      <c r="K10" s="385">
        <v>248564.15</v>
      </c>
      <c r="L10" s="391">
        <f>K10/$K$28</f>
        <v>0.33400299888190949</v>
      </c>
      <c r="N10" s="388">
        <v>545</v>
      </c>
      <c r="O10" s="388">
        <v>196425.7</v>
      </c>
      <c r="Q10" s="217" t="s">
        <v>141</v>
      </c>
      <c r="R10" s="385">
        <f>SUM(B10+J10)</f>
        <v>671</v>
      </c>
      <c r="S10" s="385">
        <f>SUM(C10+K10)</f>
        <v>248564.15</v>
      </c>
      <c r="T10" s="391">
        <f>S10/$K$28</f>
        <v>0.33400299888190949</v>
      </c>
    </row>
    <row r="11" spans="1:20" ht="17" x14ac:dyDescent="0.2">
      <c r="A11" s="218" t="s">
        <v>142</v>
      </c>
      <c r="B11" s="386"/>
      <c r="C11" s="386"/>
      <c r="D11" s="395"/>
      <c r="F11" s="383"/>
      <c r="G11" s="383"/>
      <c r="I11" s="218" t="s">
        <v>142</v>
      </c>
      <c r="J11" s="386"/>
      <c r="K11" s="386"/>
      <c r="L11" s="392"/>
      <c r="N11" s="389"/>
      <c r="O11" s="389"/>
      <c r="Q11" s="218" t="s">
        <v>142</v>
      </c>
      <c r="R11" s="386"/>
      <c r="S11" s="386"/>
      <c r="T11" s="392"/>
    </row>
    <row r="12" spans="1:20" ht="17" x14ac:dyDescent="0.2">
      <c r="A12" s="218" t="s">
        <v>144</v>
      </c>
      <c r="B12" s="387"/>
      <c r="C12" s="387"/>
      <c r="D12" s="396"/>
      <c r="F12" s="384"/>
      <c r="G12" s="384"/>
      <c r="I12" s="218" t="s">
        <v>144</v>
      </c>
      <c r="J12" s="387"/>
      <c r="K12" s="387"/>
      <c r="L12" s="393"/>
      <c r="N12" s="390"/>
      <c r="O12" s="390"/>
      <c r="Q12" s="218" t="s">
        <v>144</v>
      </c>
      <c r="R12" s="387"/>
      <c r="S12" s="387"/>
      <c r="T12" s="393"/>
    </row>
    <row r="13" spans="1:20" ht="17" x14ac:dyDescent="0.2">
      <c r="A13" s="217" t="s">
        <v>141</v>
      </c>
      <c r="B13" s="385">
        <v>0</v>
      </c>
      <c r="C13" s="385">
        <v>0</v>
      </c>
      <c r="D13" s="394">
        <f t="shared" si="0"/>
        <v>0</v>
      </c>
      <c r="F13" s="385">
        <v>0</v>
      </c>
      <c r="G13" s="385">
        <v>0</v>
      </c>
      <c r="I13" s="217" t="s">
        <v>141</v>
      </c>
      <c r="J13" s="385">
        <v>91</v>
      </c>
      <c r="K13" s="385">
        <v>211083.99</v>
      </c>
      <c r="L13" s="391">
        <f>K13/$K$28</f>
        <v>0.28363979952844764</v>
      </c>
      <c r="N13" s="388">
        <v>55</v>
      </c>
      <c r="O13" s="388">
        <v>131214.65</v>
      </c>
      <c r="Q13" s="217" t="s">
        <v>141</v>
      </c>
      <c r="R13" s="385">
        <f>SUM(B13+J13)</f>
        <v>91</v>
      </c>
      <c r="S13" s="385">
        <f>SUM(C13+K13)</f>
        <v>211083.99</v>
      </c>
      <c r="T13" s="391">
        <f>S13/$K$28</f>
        <v>0.28363979952844764</v>
      </c>
    </row>
    <row r="14" spans="1:20" ht="17" x14ac:dyDescent="0.2">
      <c r="A14" s="218" t="s">
        <v>142</v>
      </c>
      <c r="B14" s="386"/>
      <c r="C14" s="386"/>
      <c r="D14" s="395"/>
      <c r="F14" s="386"/>
      <c r="G14" s="386"/>
      <c r="I14" s="218" t="s">
        <v>142</v>
      </c>
      <c r="J14" s="386"/>
      <c r="K14" s="386"/>
      <c r="L14" s="392"/>
      <c r="N14" s="389"/>
      <c r="O14" s="389"/>
      <c r="Q14" s="218" t="s">
        <v>142</v>
      </c>
      <c r="R14" s="386"/>
      <c r="S14" s="386"/>
      <c r="T14" s="392"/>
    </row>
    <row r="15" spans="1:20" ht="17" x14ac:dyDescent="0.2">
      <c r="A15" s="219" t="s">
        <v>145</v>
      </c>
      <c r="B15" s="387"/>
      <c r="C15" s="387"/>
      <c r="D15" s="396"/>
      <c r="F15" s="387"/>
      <c r="G15" s="387"/>
      <c r="I15" s="219" t="s">
        <v>145</v>
      </c>
      <c r="J15" s="387"/>
      <c r="K15" s="387"/>
      <c r="L15" s="393"/>
      <c r="N15" s="390"/>
      <c r="O15" s="390"/>
      <c r="Q15" s="219" t="s">
        <v>145</v>
      </c>
      <c r="R15" s="387"/>
      <c r="S15" s="387"/>
      <c r="T15" s="393"/>
    </row>
    <row r="16" spans="1:20" ht="14.5" customHeight="1" x14ac:dyDescent="0.2">
      <c r="A16" s="370" t="s">
        <v>146</v>
      </c>
      <c r="B16" s="374">
        <f>SUM(B5:B13)</f>
        <v>9</v>
      </c>
      <c r="C16" s="374">
        <f>SUM(C5:C13)</f>
        <v>86.759999999999991</v>
      </c>
      <c r="D16" s="375">
        <f>SUM(D5:D15)</f>
        <v>3.3593298067339929E-3</v>
      </c>
      <c r="F16" s="369">
        <f>SUM(F5:F13)</f>
        <v>11</v>
      </c>
      <c r="G16" s="369">
        <f>SUM(G5:G13)</f>
        <v>110.35999999999999</v>
      </c>
      <c r="I16" s="370" t="s">
        <v>146</v>
      </c>
      <c r="J16" s="374">
        <f>SUM(J5:J13)</f>
        <v>13969</v>
      </c>
      <c r="K16" s="374">
        <f>SUM(K5:K13)</f>
        <v>598829.72</v>
      </c>
      <c r="L16" s="368">
        <f>K16/$K$28</f>
        <v>0.80466520332724645</v>
      </c>
      <c r="N16" s="369">
        <f>SUM(N5:N15)</f>
        <v>13254</v>
      </c>
      <c r="O16" s="369">
        <f>SUM(O5:O15)</f>
        <v>458000.39</v>
      </c>
      <c r="Q16" s="370" t="s">
        <v>147</v>
      </c>
      <c r="R16" s="371">
        <f>SUM(R5:R13)</f>
        <v>13978</v>
      </c>
      <c r="S16" s="371">
        <f>SUM(S5:S13)</f>
        <v>598916.48</v>
      </c>
      <c r="T16" s="362">
        <f>S16/$S$28</f>
        <v>0.77778942820920605</v>
      </c>
    </row>
    <row r="17" spans="1:20" ht="14.5" customHeight="1" x14ac:dyDescent="0.2">
      <c r="A17" s="370"/>
      <c r="B17" s="374"/>
      <c r="C17" s="374"/>
      <c r="D17" s="375"/>
      <c r="F17" s="369"/>
      <c r="G17" s="369"/>
      <c r="I17" s="370"/>
      <c r="J17" s="374"/>
      <c r="K17" s="374"/>
      <c r="L17" s="368"/>
      <c r="N17" s="369"/>
      <c r="O17" s="369"/>
      <c r="Q17" s="370"/>
      <c r="R17" s="372"/>
      <c r="S17" s="372"/>
      <c r="T17" s="362"/>
    </row>
    <row r="18" spans="1:20" ht="14.5" customHeight="1" x14ac:dyDescent="0.2">
      <c r="A18" s="370"/>
      <c r="B18" s="374"/>
      <c r="C18" s="374"/>
      <c r="D18" s="375"/>
      <c r="F18" s="369"/>
      <c r="G18" s="369"/>
      <c r="I18" s="370"/>
      <c r="J18" s="374"/>
      <c r="K18" s="374"/>
      <c r="L18" s="368"/>
      <c r="N18" s="369"/>
      <c r="O18" s="369"/>
      <c r="Q18" s="370"/>
      <c r="R18" s="373"/>
      <c r="S18" s="373"/>
      <c r="T18" s="362"/>
    </row>
    <row r="19" spans="1:20" ht="3" customHeight="1" x14ac:dyDescent="0.2">
      <c r="A19" s="220"/>
      <c r="B19" s="221"/>
      <c r="C19" s="221"/>
      <c r="D19" s="222"/>
      <c r="F19" s="223"/>
      <c r="G19" s="223"/>
      <c r="I19" s="220"/>
      <c r="J19" s="221"/>
      <c r="K19" s="221"/>
      <c r="L19" s="224"/>
      <c r="N19" s="225"/>
      <c r="O19" s="225"/>
      <c r="Q19" s="220"/>
      <c r="R19" s="221"/>
      <c r="S19" s="221"/>
      <c r="T19" s="224"/>
    </row>
    <row r="20" spans="1:20" ht="15.5" customHeight="1" x14ac:dyDescent="0.2">
      <c r="A20" s="370" t="s">
        <v>148</v>
      </c>
      <c r="B20" s="374">
        <v>3</v>
      </c>
      <c r="C20" s="374">
        <v>25739.82</v>
      </c>
      <c r="D20" s="375">
        <f>C20/$C$28</f>
        <v>0.99664067019326608</v>
      </c>
      <c r="E20" s="226"/>
      <c r="F20" s="369">
        <v>3</v>
      </c>
      <c r="G20" s="369">
        <v>25739.82</v>
      </c>
      <c r="I20" s="370" t="s">
        <v>148</v>
      </c>
      <c r="J20" s="374">
        <v>8</v>
      </c>
      <c r="K20" s="376">
        <v>87561.91</v>
      </c>
      <c r="L20" s="368">
        <f>K20/$K$28</f>
        <v>0.11765952784352797</v>
      </c>
      <c r="M20" s="226"/>
      <c r="N20" s="369">
        <v>7</v>
      </c>
      <c r="O20" s="379">
        <v>80424.03</v>
      </c>
      <c r="Q20" s="370" t="s">
        <v>148</v>
      </c>
      <c r="R20" s="371">
        <f>SUM(B20+J20)</f>
        <v>11</v>
      </c>
      <c r="S20" s="371">
        <f>SUM(C20+K20)</f>
        <v>113301.73000000001</v>
      </c>
      <c r="T20" s="362">
        <f>S20/$S$28</f>
        <v>0.14714052916328813</v>
      </c>
    </row>
    <row r="21" spans="1:20" ht="15.5" customHeight="1" x14ac:dyDescent="0.2">
      <c r="A21" s="370"/>
      <c r="B21" s="374"/>
      <c r="C21" s="374"/>
      <c r="D21" s="375"/>
      <c r="E21" s="226"/>
      <c r="F21" s="369"/>
      <c r="G21" s="369"/>
      <c r="I21" s="370"/>
      <c r="J21" s="374"/>
      <c r="K21" s="377"/>
      <c r="L21" s="368"/>
      <c r="M21" s="226"/>
      <c r="N21" s="369"/>
      <c r="O21" s="380"/>
      <c r="Q21" s="370"/>
      <c r="R21" s="372"/>
      <c r="S21" s="372"/>
      <c r="T21" s="362"/>
    </row>
    <row r="22" spans="1:20" ht="15.5" customHeight="1" x14ac:dyDescent="0.2">
      <c r="A22" s="370"/>
      <c r="B22" s="374"/>
      <c r="C22" s="374"/>
      <c r="D22" s="375"/>
      <c r="E22" s="226"/>
      <c r="F22" s="369"/>
      <c r="G22" s="369"/>
      <c r="I22" s="370"/>
      <c r="J22" s="374"/>
      <c r="K22" s="378"/>
      <c r="L22" s="368"/>
      <c r="M22" s="226"/>
      <c r="N22" s="369"/>
      <c r="O22" s="381"/>
      <c r="Q22" s="370"/>
      <c r="R22" s="373"/>
      <c r="S22" s="373"/>
      <c r="T22" s="362"/>
    </row>
    <row r="23" spans="1:20" ht="3" customHeight="1" x14ac:dyDescent="0.2">
      <c r="A23" s="220"/>
      <c r="B23" s="221"/>
      <c r="C23" s="221"/>
      <c r="D23" s="222"/>
      <c r="F23" s="225"/>
      <c r="G23" s="225"/>
      <c r="I23" s="220"/>
      <c r="J23" s="221"/>
      <c r="K23" s="221"/>
      <c r="L23" s="224"/>
      <c r="N23" s="223"/>
      <c r="O23" s="223"/>
      <c r="Q23" s="220"/>
      <c r="R23" s="221"/>
      <c r="S23" s="221"/>
      <c r="T23" s="224"/>
    </row>
    <row r="24" spans="1:20" ht="15.5" customHeight="1" x14ac:dyDescent="0.2">
      <c r="A24" s="370" t="s">
        <v>149</v>
      </c>
      <c r="B24" s="374">
        <v>0</v>
      </c>
      <c r="C24" s="374">
        <v>0</v>
      </c>
      <c r="D24" s="375">
        <f>C24/$C$28</f>
        <v>0</v>
      </c>
      <c r="E24" s="226"/>
      <c r="F24" s="369">
        <v>0</v>
      </c>
      <c r="G24" s="369">
        <v>0</v>
      </c>
      <c r="I24" s="370" t="s">
        <v>149</v>
      </c>
      <c r="J24" s="376">
        <v>35</v>
      </c>
      <c r="K24" s="376">
        <v>57805.73</v>
      </c>
      <c r="L24" s="368">
        <f>K24/$K$28</f>
        <v>7.7675268829225624E-2</v>
      </c>
      <c r="N24" s="369">
        <v>36</v>
      </c>
      <c r="O24" s="369">
        <v>59461.01</v>
      </c>
      <c r="Q24" s="370" t="s">
        <v>149</v>
      </c>
      <c r="R24" s="371">
        <f>J24+B24</f>
        <v>35</v>
      </c>
      <c r="S24" s="371">
        <f>K24+C24</f>
        <v>57805.73</v>
      </c>
      <c r="T24" s="362">
        <f>S24/$S$28</f>
        <v>7.5070042627505856E-2</v>
      </c>
    </row>
    <row r="25" spans="1:20" ht="15.5" customHeight="1" x14ac:dyDescent="0.2">
      <c r="A25" s="370"/>
      <c r="B25" s="374"/>
      <c r="C25" s="374"/>
      <c r="D25" s="375"/>
      <c r="E25" s="226"/>
      <c r="F25" s="369"/>
      <c r="G25" s="369"/>
      <c r="I25" s="370"/>
      <c r="J25" s="377"/>
      <c r="K25" s="377"/>
      <c r="L25" s="368"/>
      <c r="N25" s="369"/>
      <c r="O25" s="369"/>
      <c r="Q25" s="370"/>
      <c r="R25" s="372"/>
      <c r="S25" s="372"/>
      <c r="T25" s="362"/>
    </row>
    <row r="26" spans="1:20" ht="15.5" customHeight="1" x14ac:dyDescent="0.2">
      <c r="A26" s="370"/>
      <c r="B26" s="374"/>
      <c r="C26" s="374"/>
      <c r="D26" s="375"/>
      <c r="E26" s="226"/>
      <c r="F26" s="369"/>
      <c r="G26" s="369"/>
      <c r="I26" s="370"/>
      <c r="J26" s="378"/>
      <c r="K26" s="378"/>
      <c r="L26" s="368"/>
      <c r="N26" s="369"/>
      <c r="O26" s="369"/>
      <c r="Q26" s="370"/>
      <c r="R26" s="373"/>
      <c r="S26" s="373"/>
      <c r="T26" s="362"/>
    </row>
    <row r="27" spans="1:20" ht="3" customHeight="1" x14ac:dyDescent="0.2">
      <c r="A27" s="220"/>
      <c r="B27" s="221"/>
      <c r="C27" s="221"/>
      <c r="D27" s="222"/>
      <c r="F27" s="225"/>
      <c r="G27" s="225"/>
      <c r="I27" s="220"/>
      <c r="J27" s="221"/>
      <c r="K27" s="221"/>
      <c r="L27" s="224"/>
      <c r="N27" s="225"/>
      <c r="O27" s="225"/>
      <c r="Q27" s="220"/>
      <c r="R27" s="221"/>
      <c r="S27" s="221"/>
      <c r="T27" s="224"/>
    </row>
    <row r="28" spans="1:20" s="227" customFormat="1" ht="15.5" customHeight="1" x14ac:dyDescent="0.2">
      <c r="A28" s="363" t="s">
        <v>150</v>
      </c>
      <c r="B28" s="364">
        <f>SUM(B16+B20+B24)</f>
        <v>12</v>
      </c>
      <c r="C28" s="364">
        <f>SUM(C16+C20+C24)</f>
        <v>25826.579999999998</v>
      </c>
      <c r="D28" s="354">
        <f>SUM(D16+D20)</f>
        <v>1</v>
      </c>
      <c r="F28" s="357">
        <f>SUM(F16+F20+F24)</f>
        <v>14</v>
      </c>
      <c r="G28" s="357">
        <f>SUM(G16+G20+G24)</f>
        <v>25850.18</v>
      </c>
      <c r="I28" s="363" t="s">
        <v>151</v>
      </c>
      <c r="J28" s="365">
        <f>SUM(J16+J20+J24)</f>
        <v>14012</v>
      </c>
      <c r="K28" s="365">
        <f>SUM(K16+K20+K24)</f>
        <v>744197.36</v>
      </c>
      <c r="L28" s="354">
        <f>SUM(L16+L20+L24)</f>
        <v>1</v>
      </c>
      <c r="N28" s="357">
        <f>SUM(N16+N20+N24)</f>
        <v>13297</v>
      </c>
      <c r="O28" s="357">
        <f>SUM(O16+O20+O24)</f>
        <v>597885.43000000005</v>
      </c>
      <c r="Q28" s="358" t="s">
        <v>152</v>
      </c>
      <c r="R28" s="359">
        <f>SUM(R16+R20+R24)</f>
        <v>14024</v>
      </c>
      <c r="S28" s="359">
        <f>SUM(S16+S20+S24)</f>
        <v>770023.94</v>
      </c>
      <c r="T28" s="351">
        <f>SUM(T16+T20+T24)</f>
        <v>1</v>
      </c>
    </row>
    <row r="29" spans="1:20" ht="14.5" customHeight="1" x14ac:dyDescent="0.2">
      <c r="A29" s="363"/>
      <c r="B29" s="364"/>
      <c r="C29" s="364"/>
      <c r="D29" s="355"/>
      <c r="F29" s="357"/>
      <c r="G29" s="357"/>
      <c r="I29" s="363"/>
      <c r="J29" s="366"/>
      <c r="K29" s="366"/>
      <c r="L29" s="355"/>
      <c r="N29" s="357"/>
      <c r="O29" s="357"/>
      <c r="Q29" s="358"/>
      <c r="R29" s="360"/>
      <c r="S29" s="360"/>
      <c r="T29" s="352"/>
    </row>
    <row r="30" spans="1:20" ht="21" customHeight="1" x14ac:dyDescent="0.2">
      <c r="A30" s="363"/>
      <c r="B30" s="364"/>
      <c r="C30" s="364"/>
      <c r="D30" s="356"/>
      <c r="F30" s="357"/>
      <c r="G30" s="357"/>
      <c r="I30" s="363"/>
      <c r="J30" s="367"/>
      <c r="K30" s="367"/>
      <c r="L30" s="356"/>
      <c r="N30" s="357"/>
      <c r="O30" s="357"/>
      <c r="Q30" s="358"/>
      <c r="R30" s="361"/>
      <c r="S30" s="361"/>
      <c r="T30" s="353"/>
    </row>
    <row r="31" spans="1:20" ht="8.5" customHeight="1" x14ac:dyDescent="0.2"/>
  </sheetData>
  <mergeCells count="131">
    <mergeCell ref="A1:D1"/>
    <mergeCell ref="F1:G2"/>
    <mergeCell ref="I1:L2"/>
    <mergeCell ref="N1:O2"/>
    <mergeCell ref="Q1:T2"/>
    <mergeCell ref="A2:D2"/>
    <mergeCell ref="B5:B6"/>
    <mergeCell ref="C5:C6"/>
    <mergeCell ref="D5:D6"/>
    <mergeCell ref="F5:F6"/>
    <mergeCell ref="G5:G6"/>
    <mergeCell ref="J5:J6"/>
    <mergeCell ref="K5:K6"/>
    <mergeCell ref="A3:A4"/>
    <mergeCell ref="B3:B4"/>
    <mergeCell ref="C3:C4"/>
    <mergeCell ref="I3:I4"/>
    <mergeCell ref="J3:J4"/>
    <mergeCell ref="K3:K4"/>
    <mergeCell ref="L5:L6"/>
    <mergeCell ref="N5:N6"/>
    <mergeCell ref="O5:O6"/>
    <mergeCell ref="R5:R6"/>
    <mergeCell ref="S5:S6"/>
    <mergeCell ref="T5:T6"/>
    <mergeCell ref="Q3:Q4"/>
    <mergeCell ref="R3:R4"/>
    <mergeCell ref="S3:S4"/>
    <mergeCell ref="T7:T9"/>
    <mergeCell ref="B10:B12"/>
    <mergeCell ref="C10:C12"/>
    <mergeCell ref="D10:D12"/>
    <mergeCell ref="F10:F12"/>
    <mergeCell ref="G10:G12"/>
    <mergeCell ref="J10:J12"/>
    <mergeCell ref="K10:K12"/>
    <mergeCell ref="L10:L12"/>
    <mergeCell ref="N10:N12"/>
    <mergeCell ref="K7:K9"/>
    <mergeCell ref="L7:L9"/>
    <mergeCell ref="N7:N9"/>
    <mergeCell ref="O7:O9"/>
    <mergeCell ref="R7:R9"/>
    <mergeCell ref="S7:S9"/>
    <mergeCell ref="B7:B9"/>
    <mergeCell ref="C7:C9"/>
    <mergeCell ref="D7:D9"/>
    <mergeCell ref="F7:F9"/>
    <mergeCell ref="G7:G9"/>
    <mergeCell ref="J7:J9"/>
    <mergeCell ref="O10:O12"/>
    <mergeCell ref="R10:R12"/>
    <mergeCell ref="S10:S12"/>
    <mergeCell ref="T10:T12"/>
    <mergeCell ref="B13:B15"/>
    <mergeCell ref="C13:C15"/>
    <mergeCell ref="D13:D15"/>
    <mergeCell ref="F13:F15"/>
    <mergeCell ref="G13:G15"/>
    <mergeCell ref="J13:J15"/>
    <mergeCell ref="T13:T15"/>
    <mergeCell ref="K13:K15"/>
    <mergeCell ref="L13:L15"/>
    <mergeCell ref="N13:N15"/>
    <mergeCell ref="O13:O15"/>
    <mergeCell ref="R13:R15"/>
    <mergeCell ref="S13:S15"/>
    <mergeCell ref="A16:A18"/>
    <mergeCell ref="B16:B18"/>
    <mergeCell ref="C16:C18"/>
    <mergeCell ref="D16:D18"/>
    <mergeCell ref="F16:F18"/>
    <mergeCell ref="G16:G18"/>
    <mergeCell ref="I16:I18"/>
    <mergeCell ref="J16:J18"/>
    <mergeCell ref="K16:K18"/>
    <mergeCell ref="A20:A22"/>
    <mergeCell ref="B20:B22"/>
    <mergeCell ref="C20:C22"/>
    <mergeCell ref="D20:D22"/>
    <mergeCell ref="F20:F22"/>
    <mergeCell ref="G20:G22"/>
    <mergeCell ref="I20:I22"/>
    <mergeCell ref="J20:J22"/>
    <mergeCell ref="K20:K22"/>
    <mergeCell ref="B24:B26"/>
    <mergeCell ref="C24:C26"/>
    <mergeCell ref="D24:D26"/>
    <mergeCell ref="F24:F26"/>
    <mergeCell ref="G24:G26"/>
    <mergeCell ref="I24:I26"/>
    <mergeCell ref="J24:J26"/>
    <mergeCell ref="K24:K26"/>
    <mergeCell ref="T16:T18"/>
    <mergeCell ref="L16:L18"/>
    <mergeCell ref="N16:N18"/>
    <mergeCell ref="O16:O18"/>
    <mergeCell ref="Q16:Q18"/>
    <mergeCell ref="R16:R18"/>
    <mergeCell ref="S16:S18"/>
    <mergeCell ref="T20:T22"/>
    <mergeCell ref="L20:L22"/>
    <mergeCell ref="N20:N22"/>
    <mergeCell ref="O20:O22"/>
    <mergeCell ref="Q20:Q22"/>
    <mergeCell ref="R20:R22"/>
    <mergeCell ref="S20:S22"/>
    <mergeCell ref="T28:T30"/>
    <mergeCell ref="L28:L30"/>
    <mergeCell ref="N28:N30"/>
    <mergeCell ref="O28:O30"/>
    <mergeCell ref="Q28:Q30"/>
    <mergeCell ref="R28:R30"/>
    <mergeCell ref="S28:S30"/>
    <mergeCell ref="T24:T26"/>
    <mergeCell ref="A28:A30"/>
    <mergeCell ref="B28:B30"/>
    <mergeCell ref="C28:C30"/>
    <mergeCell ref="D28:D30"/>
    <mergeCell ref="F28:F30"/>
    <mergeCell ref="G28:G30"/>
    <mergeCell ref="I28:I30"/>
    <mergeCell ref="J28:J30"/>
    <mergeCell ref="K28:K30"/>
    <mergeCell ref="L24:L26"/>
    <mergeCell ref="N24:N26"/>
    <mergeCell ref="O24:O26"/>
    <mergeCell ref="Q24:Q26"/>
    <mergeCell ref="R24:R26"/>
    <mergeCell ref="S24:S26"/>
    <mergeCell ref="A24:A2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5E9F-12F9-5A4E-BA3F-A8F60E5C9FCA}">
  <sheetPr>
    <tabColor rgb="FFDCD8D4"/>
  </sheetPr>
  <dimension ref="A1:N25"/>
  <sheetViews>
    <sheetView showGridLines="0" zoomScale="75" zoomScaleNormal="75" workbookViewId="0">
      <selection activeCell="N4" sqref="N4"/>
    </sheetView>
  </sheetViews>
  <sheetFormatPr baseColWidth="10" defaultColWidth="8.83203125" defaultRowHeight="13" x14ac:dyDescent="0.15"/>
  <cols>
    <col min="1" max="1" width="40.1640625" style="271" customWidth="1"/>
    <col min="2" max="2" width="8.83203125" style="271"/>
    <col min="3" max="3" width="15" style="271" customWidth="1"/>
    <col min="4" max="4" width="17.5" style="271" customWidth="1"/>
    <col min="5" max="5" width="17.1640625" style="271" customWidth="1"/>
    <col min="6" max="7" width="8.83203125" style="271"/>
    <col min="8" max="8" width="17.5" style="271" bestFit="1" customWidth="1"/>
    <col min="9" max="9" width="12.6640625" style="271" bestFit="1" customWidth="1"/>
    <col min="10" max="11" width="8.83203125" style="271"/>
    <col min="12" max="12" width="25" style="271" bestFit="1" customWidth="1"/>
    <col min="13" max="13" width="12.1640625" style="271" customWidth="1"/>
    <col min="14" max="14" width="11.6640625" style="271" customWidth="1"/>
    <col min="15" max="15" width="17.1640625" style="271" customWidth="1"/>
    <col min="16" max="16" width="17" style="271" customWidth="1"/>
    <col min="17" max="16384" width="8.83203125" style="271"/>
  </cols>
  <sheetData>
    <row r="1" spans="1:14" ht="26.5" customHeight="1" x14ac:dyDescent="0.2">
      <c r="A1" s="415" t="s">
        <v>176</v>
      </c>
      <c r="B1" s="415"/>
      <c r="C1" s="415"/>
      <c r="D1" s="270">
        <f>'[1]Annual Capacity'!Q1</f>
        <v>44377</v>
      </c>
      <c r="G1" s="271" t="s">
        <v>184</v>
      </c>
      <c r="H1">
        <v>0.2047764</v>
      </c>
    </row>
    <row r="3" spans="1:14" ht="30" x14ac:dyDescent="0.15">
      <c r="A3" s="272" t="s">
        <v>159</v>
      </c>
      <c r="B3" s="273" t="s">
        <v>160</v>
      </c>
      <c r="C3" s="238" t="s">
        <v>161</v>
      </c>
      <c r="D3" s="239" t="s">
        <v>177</v>
      </c>
      <c r="E3" s="239" t="s">
        <v>178</v>
      </c>
      <c r="H3" s="271" t="s">
        <v>186</v>
      </c>
      <c r="I3" s="271" t="s">
        <v>185</v>
      </c>
      <c r="L3" s="271" t="s">
        <v>187</v>
      </c>
    </row>
    <row r="4" spans="1:14" ht="27.5" customHeight="1" x14ac:dyDescent="0.15">
      <c r="A4" s="274" t="s">
        <v>179</v>
      </c>
      <c r="B4" s="273">
        <v>1</v>
      </c>
      <c r="C4" s="275">
        <v>5</v>
      </c>
      <c r="D4" s="276">
        <v>44469.56</v>
      </c>
      <c r="E4" s="243">
        <f>D4/$D$13</f>
        <v>0.1381670037711856</v>
      </c>
      <c r="H4" s="287">
        <f>D4*$H$1/1.2/1000*8760</f>
        <v>66476.1097666032</v>
      </c>
      <c r="I4" s="288">
        <f>152*B4*H4/(1+0.025)^10</f>
        <v>7893516.6667973911</v>
      </c>
      <c r="L4" s="288">
        <f>SUM(I4:I12)</f>
        <v>47385092.038033925</v>
      </c>
      <c r="N4" s="288">
        <f>L4+'Pipeline TI Project Type'!N5</f>
        <v>177599852.84105942</v>
      </c>
    </row>
    <row r="5" spans="1:14" ht="27.5" customHeight="1" x14ac:dyDescent="0.15">
      <c r="A5" s="274" t="s">
        <v>180</v>
      </c>
      <c r="B5" s="273">
        <v>1</v>
      </c>
      <c r="C5" s="275">
        <v>1</v>
      </c>
      <c r="D5" s="276">
        <v>4779</v>
      </c>
      <c r="E5" s="243">
        <f t="shared" ref="E5:E12" si="0">D5/$D$13</f>
        <v>1.4848361688815809E-2</v>
      </c>
      <c r="H5" s="287">
        <f t="shared" ref="H5:H12" si="1">D5*$H$1/1.2/1000*8760</f>
        <v>7143.9728338800005</v>
      </c>
      <c r="I5" s="288">
        <f t="shared" ref="I5:I11" si="2">152*B5*H5/(1+0.025)^10</f>
        <v>848290.74428945861</v>
      </c>
    </row>
    <row r="6" spans="1:14" ht="27.5" customHeight="1" x14ac:dyDescent="0.15">
      <c r="A6" s="274" t="s">
        <v>166</v>
      </c>
      <c r="B6" s="273">
        <v>1</v>
      </c>
      <c r="C6" s="277">
        <v>434</v>
      </c>
      <c r="D6" s="278">
        <v>126082.87</v>
      </c>
      <c r="E6" s="243">
        <f t="shared" si="0"/>
        <v>0.39173970632432392</v>
      </c>
      <c r="H6" s="287">
        <f t="shared" si="1"/>
        <v>188477.21240795639</v>
      </c>
      <c r="I6" s="288">
        <f t="shared" si="2"/>
        <v>22380190.758412018</v>
      </c>
    </row>
    <row r="7" spans="1:14" ht="27.5" customHeight="1" x14ac:dyDescent="0.15">
      <c r="A7" s="274" t="s">
        <v>149</v>
      </c>
      <c r="B7" s="273">
        <v>0.85</v>
      </c>
      <c r="C7" s="275">
        <v>7</v>
      </c>
      <c r="D7" s="276">
        <v>14830.95</v>
      </c>
      <c r="E7" s="243">
        <f t="shared" si="0"/>
        <v>4.6079788614509905E-2</v>
      </c>
      <c r="H7" s="287">
        <f t="shared" si="1"/>
        <v>22170.308411934002</v>
      </c>
      <c r="I7" s="288">
        <f t="shared" si="2"/>
        <v>2237667.7070342717</v>
      </c>
    </row>
    <row r="8" spans="1:14" ht="27.5" customHeight="1" x14ac:dyDescent="0.15">
      <c r="A8" s="274" t="s">
        <v>167</v>
      </c>
      <c r="B8" s="273">
        <v>0.6</v>
      </c>
      <c r="C8" s="279"/>
      <c r="D8" s="280"/>
      <c r="E8" s="243">
        <f t="shared" si="0"/>
        <v>0</v>
      </c>
      <c r="H8" s="287">
        <f t="shared" si="1"/>
        <v>0</v>
      </c>
      <c r="I8" s="288">
        <f t="shared" si="2"/>
        <v>0</v>
      </c>
    </row>
    <row r="9" spans="1:14" ht="27.5" customHeight="1" x14ac:dyDescent="0.15">
      <c r="A9" s="274" t="s">
        <v>181</v>
      </c>
      <c r="B9" s="273">
        <v>0.6</v>
      </c>
      <c r="C9" s="279"/>
      <c r="D9" s="280"/>
      <c r="E9" s="243">
        <f t="shared" si="0"/>
        <v>0</v>
      </c>
      <c r="H9" s="287">
        <f t="shared" si="1"/>
        <v>0</v>
      </c>
      <c r="I9" s="288">
        <f t="shared" si="2"/>
        <v>0</v>
      </c>
    </row>
    <row r="10" spans="1:14" ht="27.5" customHeight="1" x14ac:dyDescent="0.15">
      <c r="A10" s="274" t="s">
        <v>169</v>
      </c>
      <c r="B10" s="273">
        <v>0.6</v>
      </c>
      <c r="C10" s="277">
        <v>153</v>
      </c>
      <c r="D10" s="278">
        <v>2330.42</v>
      </c>
      <c r="E10" s="243">
        <f t="shared" si="0"/>
        <v>7.2406191769931244E-3</v>
      </c>
      <c r="H10" s="287">
        <f t="shared" si="1"/>
        <v>3483.6696320424003</v>
      </c>
      <c r="I10" s="288">
        <f t="shared" si="2"/>
        <v>248195.06796070811</v>
      </c>
    </row>
    <row r="11" spans="1:14" ht="27.5" customHeight="1" x14ac:dyDescent="0.15">
      <c r="A11" s="274" t="s">
        <v>170</v>
      </c>
      <c r="B11" s="273">
        <v>0.6</v>
      </c>
      <c r="C11" s="277">
        <v>13564</v>
      </c>
      <c r="D11" s="278">
        <v>118977.62999999999</v>
      </c>
      <c r="E11" s="243">
        <f t="shared" si="0"/>
        <v>0.36966371272611476</v>
      </c>
      <c r="H11" s="287">
        <f t="shared" si="1"/>
        <v>177855.81848910358</v>
      </c>
      <c r="I11" s="288">
        <f t="shared" si="2"/>
        <v>12671390.120087357</v>
      </c>
    </row>
    <row r="12" spans="1:14" ht="27.5" customHeight="1" x14ac:dyDescent="0.15">
      <c r="A12" s="274" t="s">
        <v>171</v>
      </c>
      <c r="B12" s="273">
        <v>0.6</v>
      </c>
      <c r="C12" s="277">
        <v>16</v>
      </c>
      <c r="D12" s="278">
        <v>10383.26</v>
      </c>
      <c r="E12" s="243">
        <f t="shared" si="0"/>
        <v>3.2260807698056844E-2</v>
      </c>
      <c r="H12" s="287">
        <f t="shared" si="1"/>
        <v>15521.600202367199</v>
      </c>
      <c r="I12" s="288">
        <f>152*B12*H12/(1+0.025)^10</f>
        <v>1105840.9734527259</v>
      </c>
    </row>
    <row r="13" spans="1:14" ht="27" customHeight="1" x14ac:dyDescent="0.15">
      <c r="B13" s="282"/>
      <c r="C13" s="252">
        <f>SUM(C4:C12)</f>
        <v>14180</v>
      </c>
      <c r="D13" s="253">
        <f>SUM(D4:D12)</f>
        <v>321853.69</v>
      </c>
      <c r="E13" s="254">
        <f>SUM(E4:E12)</f>
        <v>1</v>
      </c>
      <c r="H13" s="288"/>
      <c r="M13" s="283"/>
    </row>
    <row r="14" spans="1:14" x14ac:dyDescent="0.15">
      <c r="M14" s="283"/>
    </row>
    <row r="15" spans="1:14" ht="45.5" customHeight="1" x14ac:dyDescent="0.15">
      <c r="A15" s="416" t="s">
        <v>182</v>
      </c>
      <c r="B15" s="416"/>
      <c r="C15" s="416"/>
      <c r="D15" s="416"/>
      <c r="M15" s="283"/>
    </row>
    <row r="16" spans="1:14" ht="6" customHeight="1" x14ac:dyDescent="0.15">
      <c r="A16" s="284"/>
      <c r="B16" s="284"/>
      <c r="C16" s="284"/>
      <c r="D16" s="284"/>
      <c r="M16" s="283"/>
    </row>
    <row r="17" spans="1:13" ht="19.25" customHeight="1" x14ac:dyDescent="0.15">
      <c r="A17" s="417" t="s">
        <v>183</v>
      </c>
      <c r="B17" s="417"/>
      <c r="C17" s="285">
        <v>9</v>
      </c>
      <c r="D17" s="286">
        <v>69.739999999999995</v>
      </c>
      <c r="M17" s="283"/>
    </row>
    <row r="19" spans="1:13" x14ac:dyDescent="0.15">
      <c r="C19" s="281"/>
      <c r="D19" s="281"/>
    </row>
    <row r="20" spans="1:13" x14ac:dyDescent="0.15">
      <c r="C20" s="281"/>
      <c r="D20" s="281"/>
    </row>
    <row r="25" spans="1:13" x14ac:dyDescent="0.15">
      <c r="D25" s="281">
        <f>SUM(D22,D14,78000,'Installed TI Project Type'!D13)</f>
        <v>399853.69</v>
      </c>
    </row>
  </sheetData>
  <mergeCells count="3">
    <mergeCell ref="A1:C1"/>
    <mergeCell ref="A15:D15"/>
    <mergeCell ref="A17:B17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3A82-BE58-4140-B7E8-0F482A476673}">
  <dimension ref="A1:O27"/>
  <sheetViews>
    <sheetView showGridLines="0" zoomScaleNormal="100" workbookViewId="0">
      <selection activeCell="N4" sqref="N4"/>
    </sheetView>
  </sheetViews>
  <sheetFormatPr baseColWidth="10" defaultColWidth="8.83203125" defaultRowHeight="15" x14ac:dyDescent="0.2"/>
  <cols>
    <col min="1" max="1" width="45.1640625" style="234" customWidth="1"/>
    <col min="2" max="2" width="12.1640625" style="234" customWidth="1"/>
    <col min="3" max="3" width="15.5" style="234" customWidth="1"/>
    <col min="4" max="4" width="14.5" style="234" bestFit="1" customWidth="1"/>
    <col min="5" max="5" width="1.1640625" style="234" customWidth="1"/>
    <col min="6" max="6" width="14" style="234" customWidth="1"/>
    <col min="7" max="7" width="15.5" style="234" customWidth="1"/>
    <col min="8" max="8" width="1.1640625" style="234" customWidth="1"/>
    <col min="9" max="9" width="10.6640625" style="234" bestFit="1" customWidth="1"/>
    <col min="10" max="10" width="18" style="234" customWidth="1"/>
    <col min="11" max="11" width="10.1640625" style="234" bestFit="1" customWidth="1"/>
    <col min="12" max="12" width="15.1640625" style="234" bestFit="1" customWidth="1"/>
    <col min="13" max="13" width="12.6640625" style="234" bestFit="1" customWidth="1"/>
    <col min="14" max="14" width="25" style="234" bestFit="1" customWidth="1"/>
    <col min="15" max="15" width="12.1640625" style="234" customWidth="1"/>
    <col min="16" max="16" width="11.6640625" style="234" customWidth="1"/>
    <col min="17" max="17" width="17.1640625" style="234" customWidth="1"/>
    <col min="18" max="18" width="17" style="234" customWidth="1"/>
    <col min="19" max="16384" width="8.83203125" style="234"/>
  </cols>
  <sheetData>
    <row r="1" spans="1:14" ht="21.5" customHeight="1" x14ac:dyDescent="0.2">
      <c r="A1" s="232" t="s">
        <v>158</v>
      </c>
      <c r="B1" s="233"/>
      <c r="C1" s="233"/>
      <c r="D1" s="233"/>
      <c r="E1" s="233"/>
      <c r="F1" s="233"/>
      <c r="G1" s="233"/>
      <c r="H1" s="233"/>
      <c r="I1" s="233"/>
      <c r="J1" s="233"/>
      <c r="K1" s="233"/>
      <c r="L1" s="233"/>
    </row>
    <row r="2" spans="1:14" ht="21" x14ac:dyDescent="0.25">
      <c r="A2" s="235" t="str">
        <f>'[2]Pipeline - Solar Summary'!A2</f>
        <v>as of 06/30/2021</v>
      </c>
      <c r="H2" s="271" t="s">
        <v>184</v>
      </c>
      <c r="I2">
        <v>0.2047764</v>
      </c>
      <c r="J2" s="271"/>
    </row>
    <row r="3" spans="1:14" ht="5.5" customHeight="1" x14ac:dyDescent="0.2">
      <c r="H3" s="271"/>
      <c r="I3" s="271"/>
      <c r="J3" s="271"/>
    </row>
    <row r="4" spans="1:14" ht="30" x14ac:dyDescent="0.2">
      <c r="A4" s="236" t="s">
        <v>159</v>
      </c>
      <c r="B4" s="237" t="s">
        <v>160</v>
      </c>
      <c r="C4" s="238" t="s">
        <v>161</v>
      </c>
      <c r="D4" s="239" t="s">
        <v>162</v>
      </c>
      <c r="F4" s="240" t="s">
        <v>163</v>
      </c>
      <c r="H4" s="271"/>
      <c r="I4" s="271" t="s">
        <v>186</v>
      </c>
      <c r="J4" s="271" t="s">
        <v>185</v>
      </c>
      <c r="N4" s="290">
        <f>L4+'Pipeline TI Project Type'!N5</f>
        <v>130214760.80302548</v>
      </c>
    </row>
    <row r="5" spans="1:14" ht="28.75" customHeight="1" x14ac:dyDescent="0.2">
      <c r="A5" s="241" t="s">
        <v>164</v>
      </c>
      <c r="B5" s="237">
        <v>1</v>
      </c>
      <c r="C5" s="242">
        <v>8</v>
      </c>
      <c r="D5" s="242">
        <v>87561.91</v>
      </c>
      <c r="F5" s="243">
        <f>D5/D14</f>
        <v>0.12014867099477858</v>
      </c>
      <c r="H5" s="271"/>
      <c r="I5" s="287">
        <f>D5*$I$2/1.2/1000*8760</f>
        <v>130893.47276054521</v>
      </c>
      <c r="J5" s="288">
        <f>152*B5*I5/(1+0.025)^10</f>
        <v>15542573.300963923</v>
      </c>
      <c r="L5" s="289">
        <f>D22/1000/1.2*I2*8760</f>
        <v>23047.392149289601</v>
      </c>
      <c r="M5" s="289">
        <f>L5*152/(1+0.025)^10</f>
        <v>2736697.0584676079</v>
      </c>
      <c r="N5" s="290">
        <f>M5+SUM(J5:J13)+M7</f>
        <v>130214760.80302548</v>
      </c>
    </row>
    <row r="6" spans="1:14" ht="32.5" customHeight="1" x14ac:dyDescent="0.2">
      <c r="A6" s="241" t="s">
        <v>165</v>
      </c>
      <c r="B6" s="237">
        <v>1</v>
      </c>
      <c r="C6" s="244"/>
      <c r="D6" s="245"/>
      <c r="F6" s="243">
        <f>D6/D14</f>
        <v>0</v>
      </c>
      <c r="G6" s="246"/>
      <c r="H6" s="271"/>
      <c r="I6" s="287">
        <f t="shared" ref="I6:I13" si="0">D6*$I$2/1.2/1000*8760</f>
        <v>0</v>
      </c>
      <c r="J6" s="288">
        <f t="shared" ref="J6:J13" si="1">152*B6*I6/(1+0.025)^10</f>
        <v>0</v>
      </c>
      <c r="N6" s="307"/>
    </row>
    <row r="7" spans="1:14" ht="29.5" customHeight="1" x14ac:dyDescent="0.2">
      <c r="A7" s="241" t="s">
        <v>166</v>
      </c>
      <c r="B7" s="237">
        <v>1</v>
      </c>
      <c r="C7" s="247">
        <v>1224</v>
      </c>
      <c r="D7" s="248">
        <v>412817.06</v>
      </c>
      <c r="F7" s="243">
        <f>D7/D14</f>
        <v>0.56644973965245582</v>
      </c>
      <c r="H7" s="271"/>
      <c r="I7" s="287">
        <f t="shared" si="0"/>
        <v>617106.89725930325</v>
      </c>
      <c r="J7" s="288">
        <f t="shared" si="1"/>
        <v>73276604.118599296</v>
      </c>
      <c r="L7" s="289">
        <f>78000/1000/1.2*I2*8760</f>
        <v>116599.68216</v>
      </c>
      <c r="M7" s="289">
        <f>L7*152/(1+0.025)^10*B8</f>
        <v>11768503.106589474</v>
      </c>
    </row>
    <row r="8" spans="1:14" ht="28.75" customHeight="1" x14ac:dyDescent="0.2">
      <c r="A8" s="241" t="s">
        <v>149</v>
      </c>
      <c r="B8" s="237">
        <v>0.85</v>
      </c>
      <c r="C8" s="247">
        <v>35</v>
      </c>
      <c r="D8" s="248">
        <v>57805.73</v>
      </c>
      <c r="F8" s="243">
        <f>D8/D14</f>
        <v>7.9318526005006079E-2</v>
      </c>
      <c r="H8" s="271"/>
      <c r="I8" s="287">
        <f t="shared" si="0"/>
        <v>86411.9198080356</v>
      </c>
      <c r="J8" s="288">
        <f t="shared" si="1"/>
        <v>8721627.0908163134</v>
      </c>
      <c r="L8" s="234" t="s">
        <v>391</v>
      </c>
    </row>
    <row r="9" spans="1:14" ht="28.75" customHeight="1" x14ac:dyDescent="0.2">
      <c r="A9" s="241" t="s">
        <v>167</v>
      </c>
      <c r="B9" s="237">
        <v>0.6</v>
      </c>
      <c r="C9" s="247">
        <v>3</v>
      </c>
      <c r="D9" s="248">
        <v>21733.84</v>
      </c>
      <c r="F9" s="243">
        <f>D9/D14</f>
        <v>2.9822236536562054E-2</v>
      </c>
      <c r="H9" s="271"/>
      <c r="I9" s="287">
        <f t="shared" si="0"/>
        <v>32489.215847644798</v>
      </c>
      <c r="J9" s="288">
        <f t="shared" si="1"/>
        <v>2314703.7426074082</v>
      </c>
    </row>
    <row r="10" spans="1:14" ht="28.75" customHeight="1" x14ac:dyDescent="0.2">
      <c r="A10" s="241" t="s">
        <v>168</v>
      </c>
      <c r="B10" s="237">
        <v>0.6</v>
      </c>
      <c r="C10" s="244"/>
      <c r="D10" s="245"/>
      <c r="F10" s="243">
        <f>D10/D14</f>
        <v>0</v>
      </c>
      <c r="H10" s="271"/>
      <c r="I10" s="287">
        <f t="shared" si="0"/>
        <v>0</v>
      </c>
      <c r="J10" s="288">
        <f t="shared" si="1"/>
        <v>0</v>
      </c>
    </row>
    <row r="11" spans="1:14" ht="28.75" customHeight="1" x14ac:dyDescent="0.2">
      <c r="A11" s="241" t="s">
        <v>169</v>
      </c>
      <c r="B11" s="237">
        <v>0.6</v>
      </c>
      <c r="C11" s="247">
        <v>138</v>
      </c>
      <c r="D11" s="248">
        <v>2123.4699999999998</v>
      </c>
      <c r="F11" s="243">
        <f>D11/D14</f>
        <v>2.913733818703617E-3</v>
      </c>
      <c r="H11" s="271"/>
      <c r="I11" s="287">
        <f t="shared" si="0"/>
        <v>3174.3067573883995</v>
      </c>
      <c r="J11" s="288">
        <f t="shared" si="1"/>
        <v>226154.41892986017</v>
      </c>
    </row>
    <row r="12" spans="1:14" ht="28.25" customHeight="1" x14ac:dyDescent="0.2">
      <c r="A12" s="241" t="s">
        <v>170</v>
      </c>
      <c r="B12" s="237">
        <v>0.6</v>
      </c>
      <c r="C12" s="247">
        <v>11580</v>
      </c>
      <c r="D12" s="248">
        <v>105960.44</v>
      </c>
      <c r="F12" s="243">
        <f>D12/D14</f>
        <v>0.14539433920550585</v>
      </c>
      <c r="H12" s="271"/>
      <c r="I12" s="287">
        <f>D12*$I$2/1.2/1000*8760</f>
        <v>158396.84135299677</v>
      </c>
      <c r="J12" s="288">
        <f t="shared" si="1"/>
        <v>11285029.568466853</v>
      </c>
    </row>
    <row r="13" spans="1:14" ht="30" customHeight="1" x14ac:dyDescent="0.2">
      <c r="A13" s="241" t="s">
        <v>171</v>
      </c>
      <c r="B13" s="237">
        <v>0.6</v>
      </c>
      <c r="C13" s="247">
        <v>40</v>
      </c>
      <c r="D13" s="248">
        <v>40777.229999999996</v>
      </c>
      <c r="F13" s="243">
        <f>D13/D14</f>
        <v>5.5952753786988135E-2</v>
      </c>
      <c r="H13" s="271"/>
      <c r="I13" s="287">
        <f t="shared" si="0"/>
        <v>60956.564838015591</v>
      </c>
      <c r="J13" s="288">
        <f t="shared" si="1"/>
        <v>4342868.3975847373</v>
      </c>
      <c r="L13" s="250"/>
    </row>
    <row r="14" spans="1:14" x14ac:dyDescent="0.2">
      <c r="B14" s="251"/>
      <c r="C14" s="252">
        <f>SUM(C5:C13)</f>
        <v>13028</v>
      </c>
      <c r="D14" s="253">
        <f>SUM(D5:D13)</f>
        <v>728779.67999999993</v>
      </c>
      <c r="F14" s="254">
        <f>SUM(F5:F13)</f>
        <v>1</v>
      </c>
      <c r="L14" s="250"/>
    </row>
    <row r="15" spans="1:14" ht="6.5" customHeight="1" x14ac:dyDescent="0.2">
      <c r="L15" s="250"/>
    </row>
    <row r="16" spans="1:14" ht="6.5" customHeight="1" x14ac:dyDescent="0.2">
      <c r="L16" s="250"/>
    </row>
    <row r="17" spans="1:15" ht="37.25" customHeight="1" x14ac:dyDescent="0.2">
      <c r="C17" s="420" t="s">
        <v>172</v>
      </c>
      <c r="D17" s="420"/>
      <c r="E17" s="420"/>
      <c r="F17" s="420"/>
      <c r="G17" s="420"/>
      <c r="H17" s="420"/>
      <c r="I17" s="420"/>
      <c r="J17" s="420"/>
      <c r="O17" s="250"/>
    </row>
    <row r="18" spans="1:15" ht="16.75" customHeight="1" x14ac:dyDescent="0.2">
      <c r="A18" s="255"/>
      <c r="B18" s="255"/>
      <c r="C18" s="255"/>
      <c r="D18" s="255"/>
      <c r="E18" s="256"/>
      <c r="F18" s="421" t="s">
        <v>173</v>
      </c>
      <c r="G18" s="421"/>
      <c r="H18" s="256"/>
      <c r="I18" s="423" t="s">
        <v>174</v>
      </c>
      <c r="J18" s="423"/>
      <c r="O18" s="250"/>
    </row>
    <row r="19" spans="1:15" ht="4.75" customHeight="1" x14ac:dyDescent="0.2">
      <c r="E19" s="256"/>
      <c r="F19" s="421"/>
      <c r="G19" s="421"/>
      <c r="H19" s="256"/>
      <c r="I19" s="423"/>
      <c r="J19" s="423"/>
      <c r="O19" s="250"/>
    </row>
    <row r="20" spans="1:15" ht="14.5" customHeight="1" x14ac:dyDescent="0.2">
      <c r="C20" s="425" t="s">
        <v>175</v>
      </c>
      <c r="D20" s="425"/>
      <c r="E20" s="256"/>
      <c r="F20" s="422"/>
      <c r="G20" s="422"/>
      <c r="H20" s="256"/>
      <c r="I20" s="424"/>
      <c r="J20" s="424"/>
      <c r="O20" s="250"/>
    </row>
    <row r="21" spans="1:15" ht="31" x14ac:dyDescent="0.2">
      <c r="C21" s="257" t="s">
        <v>161</v>
      </c>
      <c r="D21" s="258" t="s">
        <v>162</v>
      </c>
      <c r="E21" s="259"/>
      <c r="F21" s="260" t="s">
        <v>161</v>
      </c>
      <c r="G21" s="261" t="s">
        <v>162</v>
      </c>
      <c r="H21" s="259"/>
      <c r="I21" s="260" t="s">
        <v>161</v>
      </c>
      <c r="J21" s="261" t="s">
        <v>162</v>
      </c>
      <c r="O21" s="250"/>
    </row>
    <row r="22" spans="1:15" ht="20.5" customHeight="1" x14ac:dyDescent="0.2">
      <c r="A22" s="426"/>
      <c r="B22" s="426"/>
      <c r="C22" s="262">
        <v>984</v>
      </c>
      <c r="D22" s="263">
        <v>15417.68</v>
      </c>
      <c r="E22" s="264"/>
      <c r="F22" s="265">
        <v>996</v>
      </c>
      <c r="G22" s="266">
        <v>15611.1</v>
      </c>
      <c r="H22" s="264"/>
      <c r="I22" s="267">
        <f>SUM(F22-C22)</f>
        <v>12</v>
      </c>
      <c r="J22" s="268">
        <f>G22-D22</f>
        <v>193.42000000000007</v>
      </c>
    </row>
    <row r="23" spans="1:15" ht="7.25" customHeight="1" x14ac:dyDescent="0.2">
      <c r="C23" s="269"/>
      <c r="D23" s="269"/>
    </row>
    <row r="24" spans="1:15" x14ac:dyDescent="0.2">
      <c r="C24" s="418"/>
      <c r="D24" s="419"/>
      <c r="E24" s="419"/>
      <c r="F24" s="419"/>
      <c r="G24" s="419"/>
      <c r="H24" s="419"/>
      <c r="I24" s="419"/>
      <c r="J24" s="419"/>
    </row>
    <row r="25" spans="1:15" x14ac:dyDescent="0.2">
      <c r="C25" s="249"/>
      <c r="D25" s="249">
        <f>SUM(D22,D14,78000,'Installed TI Project Type'!D13)</f>
        <v>1144051.05</v>
      </c>
    </row>
    <row r="26" spans="1:15" x14ac:dyDescent="0.2">
      <c r="C26" s="249"/>
      <c r="D26" s="249"/>
    </row>
    <row r="27" spans="1:15" x14ac:dyDescent="0.2">
      <c r="C27" s="249"/>
      <c r="D27" s="249"/>
    </row>
  </sheetData>
  <mergeCells count="6">
    <mergeCell ref="A22:B22"/>
    <mergeCell ref="C24:J24"/>
    <mergeCell ref="C17:J17"/>
    <mergeCell ref="F18:G20"/>
    <mergeCell ref="I18:J20"/>
    <mergeCell ref="C20:D20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E2A3-474C-0746-86A0-A6F57DD8F3DB}">
  <dimension ref="A1:AJ409"/>
  <sheetViews>
    <sheetView tabSelected="1" topLeftCell="S1" zoomScale="90" zoomScaleNormal="90" workbookViewId="0">
      <selection activeCell="AI2" sqref="AI2"/>
    </sheetView>
  </sheetViews>
  <sheetFormatPr baseColWidth="10" defaultRowHeight="16" x14ac:dyDescent="0.2"/>
  <cols>
    <col min="3" max="3" width="34.5" bestFit="1" customWidth="1"/>
    <col min="5" max="5" width="16.33203125" bestFit="1" customWidth="1"/>
    <col min="6" max="6" width="14" bestFit="1" customWidth="1"/>
    <col min="7" max="7" width="16.33203125" bestFit="1" customWidth="1"/>
    <col min="12" max="12" width="23.83203125" bestFit="1" customWidth="1"/>
    <col min="13" max="13" width="11.1640625" bestFit="1" customWidth="1"/>
    <col min="14" max="14" width="16.5" bestFit="1" customWidth="1"/>
    <col min="15" max="15" width="12.5" bestFit="1" customWidth="1"/>
    <col min="16" max="16" width="20.83203125" bestFit="1" customWidth="1"/>
    <col min="17" max="17" width="22.6640625" customWidth="1"/>
    <col min="18" max="18" width="18.1640625" style="43" bestFit="1" customWidth="1"/>
    <col min="19" max="19" width="17.33203125" customWidth="1"/>
    <col min="20" max="20" width="15.83203125" customWidth="1"/>
    <col min="21" max="21" width="9.6640625" customWidth="1"/>
    <col min="22" max="22" width="11.33203125" customWidth="1"/>
    <col min="25" max="25" width="14.6640625" bestFit="1" customWidth="1"/>
    <col min="34" max="34" width="16.6640625" bestFit="1" customWidth="1"/>
    <col min="35" max="35" width="26.1640625" bestFit="1" customWidth="1"/>
    <col min="36" max="36" width="25.83203125" bestFit="1" customWidth="1"/>
  </cols>
  <sheetData>
    <row r="1" spans="1:36" ht="32" customHeight="1" x14ac:dyDescent="0.2">
      <c r="A1" t="s">
        <v>207</v>
      </c>
      <c r="B1" t="s">
        <v>0</v>
      </c>
      <c r="C1" t="s">
        <v>208</v>
      </c>
      <c r="D1" t="s">
        <v>73</v>
      </c>
      <c r="E1" t="s">
        <v>371</v>
      </c>
      <c r="F1" t="s">
        <v>209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381</v>
      </c>
      <c r="N1" t="s">
        <v>382</v>
      </c>
      <c r="O1" t="s">
        <v>383</v>
      </c>
      <c r="P1" t="s">
        <v>389</v>
      </c>
      <c r="Q1" t="s">
        <v>388</v>
      </c>
      <c r="R1" s="43" t="s">
        <v>390</v>
      </c>
      <c r="S1" t="s">
        <v>386</v>
      </c>
      <c r="T1" t="s">
        <v>387</v>
      </c>
      <c r="W1" t="s">
        <v>400</v>
      </c>
      <c r="AE1" t="s">
        <v>378</v>
      </c>
      <c r="AF1" t="s">
        <v>73</v>
      </c>
      <c r="AG1" t="s">
        <v>0</v>
      </c>
      <c r="AH1" t="s">
        <v>385</v>
      </c>
      <c r="AI1" t="s">
        <v>402</v>
      </c>
      <c r="AJ1" t="s">
        <v>401</v>
      </c>
    </row>
    <row r="2" spans="1:36" x14ac:dyDescent="0.2">
      <c r="A2" t="s">
        <v>210</v>
      </c>
      <c r="B2">
        <v>2030</v>
      </c>
      <c r="C2" t="s">
        <v>211</v>
      </c>
      <c r="D2" t="s">
        <v>212</v>
      </c>
      <c r="E2">
        <v>76130637.876702294</v>
      </c>
      <c r="F2">
        <v>2509403.6703572301</v>
      </c>
      <c r="G2">
        <v>14565679</v>
      </c>
      <c r="H2">
        <v>93205720.547059596</v>
      </c>
      <c r="I2">
        <v>1960.4601499999901</v>
      </c>
      <c r="J2">
        <v>3516754.18802818</v>
      </c>
      <c r="K2">
        <v>0.204776392694063</v>
      </c>
      <c r="L2">
        <v>26.503336759888601</v>
      </c>
      <c r="M2" t="str">
        <f>IF(ISNUMBER(SEARCH("High Solar",C2)),"High Solar","Normal")</f>
        <v>Normal</v>
      </c>
      <c r="N2" t="str">
        <f>IF(ISNUMBER(SEARCH("High RE/BESS Cost",D2)),"High RE Cost",IF(ISNUMBER(SEARCH("Low RE/BESS Cost",D2)),"Low RE Cost","Medium RE Cost"))</f>
        <v>Medium RE Cost</v>
      </c>
      <c r="O2">
        <f t="shared" ref="O2:O65" si="0">SUMIFS($AH$2:$AH$19,$AE$2:$AE$19,M2,$AF$2:$AF$19,N2,$AG$2:$AG$19,B2)</f>
        <v>340002960.96679091</v>
      </c>
      <c r="P2">
        <f>O2/J2</f>
        <v>96.68090028135525</v>
      </c>
      <c r="Q2">
        <f>ROUND((O2-E2-G2)/J2,2)</f>
        <v>70.89</v>
      </c>
      <c r="R2" s="229">
        <f>Q2*J2</f>
        <v>249302704.38931769</v>
      </c>
      <c r="S2" s="297">
        <f>IFERROR(SUMIFS($AJ$2:$AJ$19,$AE$2:$AE$19,M2,$AF$2:$AF$19,N2,$AG$2:$AG$19,B2)/8760/K2/1.0453,"")</f>
        <v>96.706681854764057</v>
      </c>
      <c r="T2" s="297">
        <f>IFERROR(S2-E2/J2-G2/J2,"")</f>
        <v>70.916901839586174</v>
      </c>
      <c r="V2" s="296">
        <f>ROUND(Q2+G2/J2,2)</f>
        <v>75.03</v>
      </c>
      <c r="W2">
        <f>G2/J2</f>
        <v>4.1417961623774664</v>
      </c>
      <c r="X2" s="297">
        <f>IFERROR(ROUND(W2+T2,2),"")</f>
        <v>75.06</v>
      </c>
      <c r="AE2" t="s">
        <v>379</v>
      </c>
      <c r="AF2" t="s">
        <v>74</v>
      </c>
      <c r="AG2">
        <v>2030</v>
      </c>
      <c r="AH2" s="229">
        <f>HighDG!BF21</f>
        <v>796677109.68726099</v>
      </c>
      <c r="AI2">
        <f>HighDG!BJ21</f>
        <v>150174.76148675985</v>
      </c>
      <c r="AJ2">
        <f>AI2*1.2</f>
        <v>180209.71378411181</v>
      </c>
    </row>
    <row r="3" spans="1:36" x14ac:dyDescent="0.2">
      <c r="A3" t="s">
        <v>210</v>
      </c>
      <c r="B3">
        <v>2040</v>
      </c>
      <c r="C3" t="s">
        <v>211</v>
      </c>
      <c r="D3" t="s">
        <v>212</v>
      </c>
      <c r="E3">
        <v>68350249.926705703</v>
      </c>
      <c r="F3">
        <v>1487078.8867329</v>
      </c>
      <c r="G3">
        <v>0</v>
      </c>
      <c r="H3">
        <v>69837328.813438594</v>
      </c>
      <c r="I3">
        <v>1960.4601499999901</v>
      </c>
      <c r="J3">
        <v>3516754.18802818</v>
      </c>
      <c r="K3">
        <v>0.204776392694063</v>
      </c>
      <c r="L3">
        <v>19.858461831418399</v>
      </c>
      <c r="M3" t="str">
        <f t="shared" ref="M3:M66" si="1">IF(ISNUMBER(SEARCH("High Solar",C3)),"High Solar","Normal")</f>
        <v>Normal</v>
      </c>
      <c r="N3" t="str">
        <f t="shared" ref="N3:N66" si="2">IF(ISNUMBER(SEARCH("High RE/BESS Cost",D3)),"High RE Cost",IF(ISNUMBER(SEARCH("Low RE/BESS Cost",D3)),"Low RE Cost","Medium RE Cost"))</f>
        <v>Medium RE Cost</v>
      </c>
      <c r="O3">
        <f t="shared" si="0"/>
        <v>317964169.10794711</v>
      </c>
      <c r="P3">
        <f t="shared" ref="P3:P66" si="3">O3/J3</f>
        <v>90.414101215936114</v>
      </c>
      <c r="Q3">
        <f t="shared" ref="Q3:Q66" si="4">ROUND((O3-E3-G3)/J3,2)</f>
        <v>70.98</v>
      </c>
      <c r="R3" s="229">
        <f t="shared" ref="R3:R66" si="5">Q3*J3</f>
        <v>249619212.26624024</v>
      </c>
      <c r="S3" s="297" t="str">
        <f t="shared" ref="S3:S66" si="6">IFERROR(SUMIFS($AJ$2:$AJ$19,$AE$2:$AE$19,M3,$AF$2:$AF$19,N3,$AG$2:$AG$19,B3)/8760/K3/1.0453,"")</f>
        <v/>
      </c>
      <c r="T3" s="297" t="str">
        <f t="shared" ref="T3:T66" si="7">IFERROR(S3-E3/J3-G3/J3,"")</f>
        <v/>
      </c>
      <c r="V3" s="296">
        <f t="shared" ref="V3:V66" si="8">ROUND(Q3+G3/J3,2)</f>
        <v>70.98</v>
      </c>
      <c r="W3">
        <f t="shared" ref="W3:W66" si="9">G3/J3</f>
        <v>0</v>
      </c>
      <c r="X3" s="297" t="str">
        <f t="shared" ref="X3:X66" si="10">IFERROR(ROUND(W3+T3,2),"")</f>
        <v/>
      </c>
      <c r="AE3" t="s">
        <v>379</v>
      </c>
      <c r="AF3" t="s">
        <v>74</v>
      </c>
      <c r="AG3">
        <v>2040</v>
      </c>
      <c r="AH3" s="229">
        <f>HighDG!BG21</f>
        <v>1475131307.2772543</v>
      </c>
      <c r="AI3">
        <f>HighDG!BK21</f>
        <v>103890.94899127234</v>
      </c>
      <c r="AJ3">
        <f t="shared" ref="AJ3:AJ19" si="11">AI3*1.2</f>
        <v>124669.1387895268</v>
      </c>
    </row>
    <row r="4" spans="1:36" x14ac:dyDescent="0.2">
      <c r="A4" t="s">
        <v>210</v>
      </c>
      <c r="B4">
        <v>2050</v>
      </c>
      <c r="C4" t="s">
        <v>211</v>
      </c>
      <c r="D4" t="s">
        <v>212</v>
      </c>
      <c r="E4">
        <v>65191813.734153099</v>
      </c>
      <c r="F4">
        <v>2115246.7715889299</v>
      </c>
      <c r="G4">
        <v>476684</v>
      </c>
      <c r="H4">
        <v>67783744.505741999</v>
      </c>
      <c r="I4">
        <v>1960.4601499999901</v>
      </c>
      <c r="J4">
        <v>3516754.18802818</v>
      </c>
      <c r="K4">
        <v>0.204776392694063</v>
      </c>
      <c r="L4">
        <v>19.2745187413135</v>
      </c>
      <c r="M4" t="str">
        <f t="shared" si="1"/>
        <v>Normal</v>
      </c>
      <c r="N4" t="str">
        <f t="shared" si="2"/>
        <v>Medium RE Cost</v>
      </c>
      <c r="O4">
        <f t="shared" si="0"/>
        <v>311640347.21392971</v>
      </c>
      <c r="P4">
        <f t="shared" si="3"/>
        <v>88.615902776151756</v>
      </c>
      <c r="Q4">
        <f t="shared" si="4"/>
        <v>69.94</v>
      </c>
      <c r="R4" s="229">
        <f t="shared" si="5"/>
        <v>245961787.9106909</v>
      </c>
      <c r="S4" s="297" t="str">
        <f t="shared" si="6"/>
        <v/>
      </c>
      <c r="T4" s="297" t="str">
        <f t="shared" si="7"/>
        <v/>
      </c>
      <c r="V4" s="296">
        <f t="shared" si="8"/>
        <v>70.08</v>
      </c>
      <c r="W4">
        <f t="shared" si="9"/>
        <v>0.13554657917881757</v>
      </c>
      <c r="X4" s="297" t="str">
        <f t="shared" si="10"/>
        <v/>
      </c>
      <c r="AE4" t="s">
        <v>379</v>
      </c>
      <c r="AF4" t="s">
        <v>74</v>
      </c>
      <c r="AG4">
        <v>2050</v>
      </c>
      <c r="AH4" s="229">
        <f>HighDG!BH21</f>
        <v>1857774234.0994</v>
      </c>
      <c r="AI4">
        <f>HighDG!BL21</f>
        <v>91601.702754013837</v>
      </c>
      <c r="AJ4">
        <f t="shared" si="11"/>
        <v>109922.0433048166</v>
      </c>
    </row>
    <row r="5" spans="1:36" x14ac:dyDescent="0.2">
      <c r="A5" t="s">
        <v>213</v>
      </c>
      <c r="B5">
        <v>2030</v>
      </c>
      <c r="C5" t="s">
        <v>211</v>
      </c>
      <c r="D5" t="s">
        <v>214</v>
      </c>
      <c r="E5">
        <v>94073838.277752906</v>
      </c>
      <c r="F5">
        <v>1191774.9366645</v>
      </c>
      <c r="G5">
        <v>1563971</v>
      </c>
      <c r="H5">
        <v>96829584.214417398</v>
      </c>
      <c r="I5">
        <v>1960.4601499999901</v>
      </c>
      <c r="J5">
        <v>3516754.18802818</v>
      </c>
      <c r="K5">
        <v>0.204776392694063</v>
      </c>
      <c r="L5">
        <v>27.5337936737367</v>
      </c>
      <c r="M5" t="str">
        <f t="shared" si="1"/>
        <v>Normal</v>
      </c>
      <c r="N5" t="str">
        <f t="shared" si="2"/>
        <v>Medium RE Cost</v>
      </c>
      <c r="O5">
        <f t="shared" si="0"/>
        <v>340002960.96679091</v>
      </c>
      <c r="P5">
        <f t="shared" si="3"/>
        <v>96.68090028135525</v>
      </c>
      <c r="Q5">
        <f t="shared" si="4"/>
        <v>69.489999999999995</v>
      </c>
      <c r="R5" s="229">
        <f t="shared" si="5"/>
        <v>244379248.52607822</v>
      </c>
      <c r="S5" s="297">
        <f t="shared" si="6"/>
        <v>96.706681854764057</v>
      </c>
      <c r="T5" s="297">
        <f t="shared" si="7"/>
        <v>69.511773093917057</v>
      </c>
      <c r="V5" s="296">
        <f t="shared" si="8"/>
        <v>69.930000000000007</v>
      </c>
      <c r="W5">
        <f t="shared" si="9"/>
        <v>0.44472002203739686</v>
      </c>
      <c r="X5" s="297">
        <f t="shared" si="10"/>
        <v>69.959999999999994</v>
      </c>
      <c r="AE5" t="s">
        <v>379</v>
      </c>
      <c r="AF5" t="s">
        <v>75</v>
      </c>
      <c r="AG5">
        <v>2030</v>
      </c>
      <c r="AH5" s="229">
        <f>HighDG!BF28</f>
        <v>722146827.94767082</v>
      </c>
      <c r="AI5">
        <f>HighDG!BJ28</f>
        <v>136125.69801087104</v>
      </c>
      <c r="AJ5">
        <f t="shared" si="11"/>
        <v>163350.83761304524</v>
      </c>
    </row>
    <row r="6" spans="1:36" x14ac:dyDescent="0.2">
      <c r="A6" t="s">
        <v>213</v>
      </c>
      <c r="B6">
        <v>2040</v>
      </c>
      <c r="C6" t="s">
        <v>211</v>
      </c>
      <c r="D6" t="s">
        <v>214</v>
      </c>
      <c r="E6">
        <v>75715014.721832901</v>
      </c>
      <c r="F6">
        <v>859529.19142342301</v>
      </c>
      <c r="G6">
        <v>0</v>
      </c>
      <c r="H6">
        <v>76574543.913256302</v>
      </c>
      <c r="I6">
        <v>1960.4601499999901</v>
      </c>
      <c r="J6">
        <v>3516754.18802818</v>
      </c>
      <c r="K6">
        <v>0.204776392694063</v>
      </c>
      <c r="L6">
        <v>21.774209916045098</v>
      </c>
      <c r="M6" t="str">
        <f t="shared" si="1"/>
        <v>Normal</v>
      </c>
      <c r="N6" t="str">
        <f t="shared" si="2"/>
        <v>Medium RE Cost</v>
      </c>
      <c r="O6">
        <f t="shared" si="0"/>
        <v>317964169.10794711</v>
      </c>
      <c r="P6">
        <f t="shared" si="3"/>
        <v>90.414101215936114</v>
      </c>
      <c r="Q6">
        <f t="shared" si="4"/>
        <v>68.88</v>
      </c>
      <c r="R6" s="229">
        <f t="shared" si="5"/>
        <v>242234028.47138104</v>
      </c>
      <c r="S6" s="297" t="str">
        <f t="shared" si="6"/>
        <v/>
      </c>
      <c r="T6" s="297" t="str">
        <f t="shared" si="7"/>
        <v/>
      </c>
      <c r="V6" s="296">
        <f t="shared" si="8"/>
        <v>68.88</v>
      </c>
      <c r="W6">
        <f t="shared" si="9"/>
        <v>0</v>
      </c>
      <c r="X6" s="297" t="str">
        <f t="shared" si="10"/>
        <v/>
      </c>
      <c r="AE6" t="s">
        <v>379</v>
      </c>
      <c r="AF6" t="s">
        <v>75</v>
      </c>
      <c r="AG6">
        <v>2040</v>
      </c>
      <c r="AH6" s="229">
        <f>HighDG!BG28</f>
        <v>1227981040.1559095</v>
      </c>
      <c r="AI6">
        <f>HighDG!BK28</f>
        <v>80774.609316456757</v>
      </c>
      <c r="AJ6">
        <f t="shared" si="11"/>
        <v>96929.531179748112</v>
      </c>
    </row>
    <row r="7" spans="1:36" x14ac:dyDescent="0.2">
      <c r="A7" t="s">
        <v>213</v>
      </c>
      <c r="B7">
        <v>2050</v>
      </c>
      <c r="C7" t="s">
        <v>211</v>
      </c>
      <c r="D7" t="s">
        <v>214</v>
      </c>
      <c r="E7">
        <v>74897103.379840404</v>
      </c>
      <c r="F7">
        <v>1568541.1039459701</v>
      </c>
      <c r="G7">
        <v>0</v>
      </c>
      <c r="H7">
        <v>76465644.483786404</v>
      </c>
      <c r="I7">
        <v>1960.4601499999901</v>
      </c>
      <c r="J7">
        <v>3516754.18802818</v>
      </c>
      <c r="K7">
        <v>0.204776392694063</v>
      </c>
      <c r="L7">
        <v>21.743244024302999</v>
      </c>
      <c r="M7" t="str">
        <f t="shared" si="1"/>
        <v>Normal</v>
      </c>
      <c r="N7" t="str">
        <f t="shared" si="2"/>
        <v>Medium RE Cost</v>
      </c>
      <c r="O7">
        <f t="shared" si="0"/>
        <v>311640347.21392971</v>
      </c>
      <c r="P7">
        <f t="shared" si="3"/>
        <v>88.615902776151756</v>
      </c>
      <c r="Q7">
        <f t="shared" si="4"/>
        <v>67.319999999999993</v>
      </c>
      <c r="R7" s="229">
        <f t="shared" si="5"/>
        <v>236747891.93805707</v>
      </c>
      <c r="S7" s="297" t="str">
        <f t="shared" si="6"/>
        <v/>
      </c>
      <c r="T7" s="297" t="str">
        <f t="shared" si="7"/>
        <v/>
      </c>
      <c r="V7" s="296">
        <f t="shared" si="8"/>
        <v>67.319999999999993</v>
      </c>
      <c r="W7">
        <f t="shared" si="9"/>
        <v>0</v>
      </c>
      <c r="X7" s="297" t="str">
        <f t="shared" si="10"/>
        <v/>
      </c>
      <c r="AE7" t="s">
        <v>379</v>
      </c>
      <c r="AF7" t="s">
        <v>75</v>
      </c>
      <c r="AG7">
        <v>2050</v>
      </c>
      <c r="AH7" s="229">
        <f>HighDG!BH28</f>
        <v>1496035802.9716711</v>
      </c>
      <c r="AI7">
        <f>HighDG!BL28</f>
        <v>69067.510975562749</v>
      </c>
      <c r="AJ7">
        <f t="shared" si="11"/>
        <v>82881.013170675302</v>
      </c>
    </row>
    <row r="8" spans="1:36" x14ac:dyDescent="0.2">
      <c r="A8" t="s">
        <v>215</v>
      </c>
      <c r="B8">
        <v>2030</v>
      </c>
      <c r="C8" t="s">
        <v>211</v>
      </c>
      <c r="D8" t="s">
        <v>216</v>
      </c>
      <c r="E8">
        <v>75980833.9055776</v>
      </c>
      <c r="F8">
        <v>11035173.4024953</v>
      </c>
      <c r="G8">
        <v>26394220</v>
      </c>
      <c r="H8">
        <v>113410227.308072</v>
      </c>
      <c r="I8">
        <v>1960.4601499999901</v>
      </c>
      <c r="J8">
        <v>3516754.18802818</v>
      </c>
      <c r="K8">
        <v>0.204776392694063</v>
      </c>
      <c r="L8">
        <v>32.248551148143001</v>
      </c>
      <c r="M8" t="str">
        <f t="shared" si="1"/>
        <v>Normal</v>
      </c>
      <c r="N8" t="str">
        <f t="shared" si="2"/>
        <v>High RE Cost</v>
      </c>
      <c r="O8">
        <f t="shared" si="0"/>
        <v>438930410.85372549</v>
      </c>
      <c r="P8">
        <f t="shared" si="3"/>
        <v>124.81122858911864</v>
      </c>
      <c r="Q8">
        <f t="shared" si="4"/>
        <v>95.7</v>
      </c>
      <c r="R8" s="229">
        <f t="shared" si="5"/>
        <v>336553375.79429686</v>
      </c>
      <c r="S8" s="297">
        <f t="shared" si="6"/>
        <v>124.84451158340961</v>
      </c>
      <c r="T8" s="297">
        <f t="shared" si="7"/>
        <v>95.733846341555278</v>
      </c>
      <c r="V8" s="296">
        <f t="shared" si="8"/>
        <v>103.21</v>
      </c>
      <c r="W8">
        <f t="shared" si="9"/>
        <v>7.5052786145394652</v>
      </c>
      <c r="X8" s="297">
        <f t="shared" si="10"/>
        <v>103.24</v>
      </c>
      <c r="AE8" t="s">
        <v>379</v>
      </c>
      <c r="AF8" t="s">
        <v>76</v>
      </c>
      <c r="AG8">
        <v>2030</v>
      </c>
      <c r="AH8" s="229">
        <f>HighDG!BF35</f>
        <v>1037037209.9623756</v>
      </c>
      <c r="AI8">
        <f>HighDG!BJ35</f>
        <v>195482.98020025931</v>
      </c>
      <c r="AJ8">
        <f t="shared" si="11"/>
        <v>234579.57624031117</v>
      </c>
    </row>
    <row r="9" spans="1:36" x14ac:dyDescent="0.2">
      <c r="A9" t="s">
        <v>215</v>
      </c>
      <c r="B9">
        <v>2040</v>
      </c>
      <c r="C9" t="s">
        <v>211</v>
      </c>
      <c r="D9" t="s">
        <v>216</v>
      </c>
      <c r="E9">
        <v>74239256.258899093</v>
      </c>
      <c r="F9">
        <v>3036108.3981134999</v>
      </c>
      <c r="G9">
        <v>16144774</v>
      </c>
      <c r="H9">
        <v>93420138.657012597</v>
      </c>
      <c r="I9">
        <v>1960.4601499999901</v>
      </c>
      <c r="J9">
        <v>3516754.18802818</v>
      </c>
      <c r="K9">
        <v>0.204776392694063</v>
      </c>
      <c r="L9">
        <v>26.564307216875001</v>
      </c>
      <c r="M9" t="str">
        <f t="shared" si="1"/>
        <v>Normal</v>
      </c>
      <c r="N9" t="str">
        <f t="shared" si="2"/>
        <v>High RE Cost</v>
      </c>
      <c r="O9">
        <f t="shared" si="0"/>
        <v>424159287.62446445</v>
      </c>
      <c r="P9">
        <f t="shared" si="3"/>
        <v>120.6110137206626</v>
      </c>
      <c r="Q9">
        <f t="shared" si="4"/>
        <v>94.91</v>
      </c>
      <c r="R9" s="229">
        <f t="shared" si="5"/>
        <v>333775139.98575455</v>
      </c>
      <c r="S9" s="297" t="str">
        <f t="shared" si="6"/>
        <v/>
      </c>
      <c r="T9" s="297" t="str">
        <f t="shared" si="7"/>
        <v/>
      </c>
      <c r="V9" s="296">
        <f t="shared" si="8"/>
        <v>99.5</v>
      </c>
      <c r="W9">
        <f t="shared" si="9"/>
        <v>4.5908167408914817</v>
      </c>
      <c r="X9" s="297" t="str">
        <f t="shared" si="10"/>
        <v/>
      </c>
      <c r="AE9" t="s">
        <v>379</v>
      </c>
      <c r="AF9" t="s">
        <v>76</v>
      </c>
      <c r="AG9">
        <v>2040</v>
      </c>
      <c r="AH9" s="229">
        <f>HighDG!BG35</f>
        <v>2156969266.5728054</v>
      </c>
      <c r="AI9">
        <f>HighDG!BK35</f>
        <v>164548.68352180641</v>
      </c>
      <c r="AJ9">
        <f t="shared" si="11"/>
        <v>197458.42022616768</v>
      </c>
    </row>
    <row r="10" spans="1:36" x14ac:dyDescent="0.2">
      <c r="A10" t="s">
        <v>215</v>
      </c>
      <c r="B10">
        <v>2050</v>
      </c>
      <c r="C10" t="s">
        <v>211</v>
      </c>
      <c r="D10" t="s">
        <v>216</v>
      </c>
      <c r="E10">
        <v>74438401.602263898</v>
      </c>
      <c r="F10">
        <v>2400997.4777647899</v>
      </c>
      <c r="G10">
        <v>5569816</v>
      </c>
      <c r="H10">
        <v>82409215.080028698</v>
      </c>
      <c r="I10">
        <v>1960.4601499999901</v>
      </c>
      <c r="J10">
        <v>3516754.18802818</v>
      </c>
      <c r="K10">
        <v>0.204776392694063</v>
      </c>
      <c r="L10">
        <v>23.433316823953199</v>
      </c>
      <c r="M10" t="str">
        <f t="shared" si="1"/>
        <v>Normal</v>
      </c>
      <c r="N10" t="str">
        <f t="shared" si="2"/>
        <v>High RE Cost</v>
      </c>
      <c r="O10">
        <f t="shared" si="0"/>
        <v>406117526.52104861</v>
      </c>
      <c r="P10">
        <f t="shared" si="3"/>
        <v>115.48078279214502</v>
      </c>
      <c r="Q10">
        <f t="shared" si="4"/>
        <v>92.73</v>
      </c>
      <c r="R10" s="229">
        <f t="shared" si="5"/>
        <v>326108615.85585314</v>
      </c>
      <c r="S10" s="297" t="str">
        <f t="shared" si="6"/>
        <v/>
      </c>
      <c r="T10" s="297" t="str">
        <f t="shared" si="7"/>
        <v/>
      </c>
      <c r="V10" s="296">
        <f t="shared" si="8"/>
        <v>94.31</v>
      </c>
      <c r="W10">
        <f t="shared" si="9"/>
        <v>1.5837945168192029</v>
      </c>
      <c r="X10" s="297" t="str">
        <f t="shared" si="10"/>
        <v/>
      </c>
      <c r="AE10" t="s">
        <v>379</v>
      </c>
      <c r="AF10" t="s">
        <v>76</v>
      </c>
      <c r="AG10">
        <v>2050</v>
      </c>
      <c r="AH10" s="229">
        <f>HighDG!BH35</f>
        <v>2481229862.8834763</v>
      </c>
      <c r="AI10">
        <f>HighDG!BL35</f>
        <v>123590.49697682926</v>
      </c>
      <c r="AJ10">
        <f t="shared" si="11"/>
        <v>148308.59637219511</v>
      </c>
    </row>
    <row r="11" spans="1:36" x14ac:dyDescent="0.2">
      <c r="A11" t="s">
        <v>217</v>
      </c>
      <c r="B11">
        <v>2030</v>
      </c>
      <c r="C11" t="s">
        <v>211</v>
      </c>
      <c r="D11" t="s">
        <v>218</v>
      </c>
      <c r="E11">
        <v>66110503.269744299</v>
      </c>
      <c r="F11">
        <v>10137636.0322266</v>
      </c>
      <c r="G11">
        <v>21838608</v>
      </c>
      <c r="H11">
        <v>98086747.301971003</v>
      </c>
      <c r="I11">
        <v>1960.4601499999901</v>
      </c>
      <c r="J11">
        <v>3516754.18802818</v>
      </c>
      <c r="K11">
        <v>0.204776392694063</v>
      </c>
      <c r="L11">
        <v>27.891271910865999</v>
      </c>
      <c r="M11" t="str">
        <f t="shared" si="1"/>
        <v>Normal</v>
      </c>
      <c r="N11" t="str">
        <f t="shared" si="2"/>
        <v>Medium RE Cost</v>
      </c>
      <c r="O11">
        <f t="shared" si="0"/>
        <v>340002960.96679091</v>
      </c>
      <c r="P11">
        <f t="shared" si="3"/>
        <v>96.68090028135525</v>
      </c>
      <c r="Q11">
        <f t="shared" si="4"/>
        <v>71.67</v>
      </c>
      <c r="R11" s="229">
        <f t="shared" si="5"/>
        <v>252045772.65597966</v>
      </c>
      <c r="S11" s="297">
        <f t="shared" si="6"/>
        <v>96.706681854764057</v>
      </c>
      <c r="T11" s="297">
        <f t="shared" si="7"/>
        <v>71.698078305177688</v>
      </c>
      <c r="V11" s="296">
        <f t="shared" si="8"/>
        <v>77.88</v>
      </c>
      <c r="W11">
        <f t="shared" si="9"/>
        <v>6.2098761620426925</v>
      </c>
      <c r="X11" s="297">
        <f t="shared" si="10"/>
        <v>77.91</v>
      </c>
      <c r="AE11" t="s">
        <v>380</v>
      </c>
      <c r="AF11" t="s">
        <v>74</v>
      </c>
      <c r="AG11">
        <v>2030</v>
      </c>
      <c r="AH11" s="229">
        <f>NormalCase!BF21</f>
        <v>340002960.96679091</v>
      </c>
      <c r="AI11">
        <f>NormalCase!BJ21</f>
        <v>151112.42709635152</v>
      </c>
      <c r="AJ11">
        <f t="shared" si="11"/>
        <v>181334.91251562181</v>
      </c>
    </row>
    <row r="12" spans="1:36" x14ac:dyDescent="0.2">
      <c r="A12" t="s">
        <v>217</v>
      </c>
      <c r="B12">
        <v>2040</v>
      </c>
      <c r="C12" t="s">
        <v>211</v>
      </c>
      <c r="D12" t="s">
        <v>218</v>
      </c>
      <c r="E12">
        <v>56868156.596595101</v>
      </c>
      <c r="F12">
        <v>2557541.0637401501</v>
      </c>
      <c r="G12">
        <v>9311062</v>
      </c>
      <c r="H12">
        <v>68736759.660335198</v>
      </c>
      <c r="I12">
        <v>1960.4601499999901</v>
      </c>
      <c r="J12">
        <v>3516754.18802818</v>
      </c>
      <c r="K12">
        <v>0.204776392694063</v>
      </c>
      <c r="L12">
        <v>19.5455115669814</v>
      </c>
      <c r="M12" t="str">
        <f t="shared" si="1"/>
        <v>Normal</v>
      </c>
      <c r="N12" t="str">
        <f t="shared" si="2"/>
        <v>Medium RE Cost</v>
      </c>
      <c r="O12">
        <f t="shared" si="0"/>
        <v>317964169.10794711</v>
      </c>
      <c r="P12">
        <f t="shared" si="3"/>
        <v>90.414101215936114</v>
      </c>
      <c r="Q12">
        <f t="shared" si="4"/>
        <v>71.599999999999994</v>
      </c>
      <c r="R12" s="229">
        <f t="shared" si="5"/>
        <v>251799599.86281767</v>
      </c>
      <c r="S12" s="297" t="str">
        <f t="shared" si="6"/>
        <v/>
      </c>
      <c r="T12" s="297" t="str">
        <f t="shared" si="7"/>
        <v/>
      </c>
      <c r="V12" s="296">
        <f t="shared" si="8"/>
        <v>74.25</v>
      </c>
      <c r="W12">
        <f t="shared" si="9"/>
        <v>2.6476294623311869</v>
      </c>
      <c r="X12" s="297" t="str">
        <f t="shared" si="10"/>
        <v/>
      </c>
      <c r="AE12" t="s">
        <v>380</v>
      </c>
      <c r="AF12" t="s">
        <v>74</v>
      </c>
      <c r="AG12">
        <v>2040</v>
      </c>
      <c r="AH12" s="229">
        <f>NormalCase!BG21</f>
        <v>317964169.10794711</v>
      </c>
      <c r="AI12" t="e">
        <f>NormalCase!BK21</f>
        <v>#DIV/0!</v>
      </c>
      <c r="AJ12" t="e">
        <f t="shared" si="11"/>
        <v>#DIV/0!</v>
      </c>
    </row>
    <row r="13" spans="1:36" x14ac:dyDescent="0.2">
      <c r="A13" t="s">
        <v>217</v>
      </c>
      <c r="B13">
        <v>2050</v>
      </c>
      <c r="C13" t="s">
        <v>211</v>
      </c>
      <c r="D13" t="s">
        <v>218</v>
      </c>
      <c r="E13">
        <v>54023740.719351701</v>
      </c>
      <c r="F13">
        <v>2879805.1629841598</v>
      </c>
      <c r="G13">
        <v>9428862</v>
      </c>
      <c r="H13">
        <v>66332407.882335901</v>
      </c>
      <c r="I13">
        <v>1960.4601499999901</v>
      </c>
      <c r="J13">
        <v>3516754.18802818</v>
      </c>
      <c r="K13">
        <v>0.204776392694063</v>
      </c>
      <c r="L13">
        <v>18.861826654858699</v>
      </c>
      <c r="M13" t="str">
        <f t="shared" si="1"/>
        <v>Normal</v>
      </c>
      <c r="N13" t="str">
        <f t="shared" si="2"/>
        <v>Medium RE Cost</v>
      </c>
      <c r="O13">
        <f t="shared" si="0"/>
        <v>311640347.21392971</v>
      </c>
      <c r="P13">
        <f t="shared" si="3"/>
        <v>88.615902776151756</v>
      </c>
      <c r="Q13">
        <f t="shared" si="4"/>
        <v>70.569999999999993</v>
      </c>
      <c r="R13" s="229">
        <f t="shared" si="5"/>
        <v>248177343.04914865</v>
      </c>
      <c r="S13" s="297" t="str">
        <f t="shared" si="6"/>
        <v/>
      </c>
      <c r="T13" s="297" t="str">
        <f t="shared" si="7"/>
        <v/>
      </c>
      <c r="V13" s="296">
        <f t="shared" si="8"/>
        <v>73.25</v>
      </c>
      <c r="W13">
        <f t="shared" si="9"/>
        <v>2.6811262590083667</v>
      </c>
      <c r="X13" s="297" t="str">
        <f t="shared" si="10"/>
        <v/>
      </c>
      <c r="AE13" t="s">
        <v>380</v>
      </c>
      <c r="AF13" t="s">
        <v>74</v>
      </c>
      <c r="AG13">
        <v>2050</v>
      </c>
      <c r="AH13" s="229">
        <f>NormalCase!BH21</f>
        <v>311640347.21392971</v>
      </c>
      <c r="AI13" t="e">
        <f>NormalCase!BL21</f>
        <v>#DIV/0!</v>
      </c>
      <c r="AJ13" t="e">
        <f t="shared" si="11"/>
        <v>#DIV/0!</v>
      </c>
    </row>
    <row r="14" spans="1:36" x14ac:dyDescent="0.2">
      <c r="A14" t="s">
        <v>219</v>
      </c>
      <c r="B14">
        <v>2030</v>
      </c>
      <c r="C14" t="s">
        <v>211</v>
      </c>
      <c r="D14" t="s">
        <v>220</v>
      </c>
      <c r="E14">
        <v>76031858.059315205</v>
      </c>
      <c r="F14">
        <v>1127485.3270052299</v>
      </c>
      <c r="G14">
        <v>9778241</v>
      </c>
      <c r="H14">
        <v>86937584.386320502</v>
      </c>
      <c r="I14">
        <v>1960.4601499999901</v>
      </c>
      <c r="J14">
        <v>3516754.18802818</v>
      </c>
      <c r="K14">
        <v>0.204776392694063</v>
      </c>
      <c r="L14">
        <v>24.720972731695401</v>
      </c>
      <c r="M14" t="str">
        <f t="shared" si="1"/>
        <v>Normal</v>
      </c>
      <c r="N14" t="str">
        <f t="shared" si="2"/>
        <v>Low RE Cost</v>
      </c>
      <c r="O14">
        <f t="shared" si="0"/>
        <v>308653204.24954498</v>
      </c>
      <c r="P14">
        <f t="shared" si="3"/>
        <v>87.766499376120663</v>
      </c>
      <c r="Q14">
        <f t="shared" si="4"/>
        <v>63.37</v>
      </c>
      <c r="R14" s="229">
        <f t="shared" si="5"/>
        <v>222856712.89534575</v>
      </c>
      <c r="S14" s="297">
        <f t="shared" si="6"/>
        <v>87.789903775954699</v>
      </c>
      <c r="T14" s="297">
        <f t="shared" si="7"/>
        <v>63.389535006527481</v>
      </c>
      <c r="V14" s="296">
        <f t="shared" si="8"/>
        <v>66.150000000000006</v>
      </c>
      <c r="W14">
        <f t="shared" si="9"/>
        <v>2.7804732651737005</v>
      </c>
      <c r="X14" s="297">
        <f t="shared" si="10"/>
        <v>66.17</v>
      </c>
      <c r="AE14" t="s">
        <v>380</v>
      </c>
      <c r="AF14" t="s">
        <v>75</v>
      </c>
      <c r="AG14">
        <v>2030</v>
      </c>
      <c r="AH14" s="229">
        <f>NormalCase!BF28</f>
        <v>308653204.24954498</v>
      </c>
      <c r="AI14">
        <f>NormalCase!BJ28</f>
        <v>137179.20188868666</v>
      </c>
      <c r="AJ14">
        <f t="shared" si="11"/>
        <v>164615.04226642399</v>
      </c>
    </row>
    <row r="15" spans="1:36" x14ac:dyDescent="0.2">
      <c r="A15" t="s">
        <v>219</v>
      </c>
      <c r="B15">
        <v>2040</v>
      </c>
      <c r="C15" t="s">
        <v>211</v>
      </c>
      <c r="D15" t="s">
        <v>220</v>
      </c>
      <c r="E15">
        <v>60102280.3913479</v>
      </c>
      <c r="F15">
        <v>633151.54550945398</v>
      </c>
      <c r="G15">
        <v>0</v>
      </c>
      <c r="H15">
        <v>60735431.936857298</v>
      </c>
      <c r="I15">
        <v>1960.4601499999901</v>
      </c>
      <c r="J15">
        <v>3516754.18802818</v>
      </c>
      <c r="K15">
        <v>0.204776392694063</v>
      </c>
      <c r="L15">
        <v>17.270309123001599</v>
      </c>
      <c r="M15" t="str">
        <f t="shared" si="1"/>
        <v>Normal</v>
      </c>
      <c r="N15" t="str">
        <f t="shared" si="2"/>
        <v>Low RE Cost</v>
      </c>
      <c r="O15">
        <f t="shared" si="0"/>
        <v>281756933.38277984</v>
      </c>
      <c r="P15">
        <f t="shared" si="3"/>
        <v>80.118461034878024</v>
      </c>
      <c r="Q15">
        <f t="shared" si="4"/>
        <v>63.03</v>
      </c>
      <c r="R15" s="229">
        <f t="shared" si="5"/>
        <v>221661016.47141621</v>
      </c>
      <c r="S15" s="297" t="str">
        <f t="shared" si="6"/>
        <v/>
      </c>
      <c r="T15" s="297" t="str">
        <f t="shared" si="7"/>
        <v/>
      </c>
      <c r="V15" s="296">
        <f t="shared" si="8"/>
        <v>63.03</v>
      </c>
      <c r="W15">
        <f t="shared" si="9"/>
        <v>0</v>
      </c>
      <c r="X15" s="297" t="str">
        <f t="shared" si="10"/>
        <v/>
      </c>
      <c r="AE15" t="s">
        <v>380</v>
      </c>
      <c r="AF15" t="s">
        <v>75</v>
      </c>
      <c r="AG15">
        <v>2040</v>
      </c>
      <c r="AH15" s="229">
        <f>NormalCase!BG28</f>
        <v>281756933.38277984</v>
      </c>
      <c r="AI15" t="e">
        <f>NormalCase!BK28</f>
        <v>#DIV/0!</v>
      </c>
      <c r="AJ15" t="e">
        <f t="shared" si="11"/>
        <v>#DIV/0!</v>
      </c>
    </row>
    <row r="16" spans="1:36" x14ac:dyDescent="0.2">
      <c r="A16" t="s">
        <v>219</v>
      </c>
      <c r="B16">
        <v>2050</v>
      </c>
      <c r="C16" t="s">
        <v>211</v>
      </c>
      <c r="D16" t="s">
        <v>220</v>
      </c>
      <c r="E16">
        <v>57234926.385815501</v>
      </c>
      <c r="F16">
        <v>860232.03991271998</v>
      </c>
      <c r="G16">
        <v>0</v>
      </c>
      <c r="H16">
        <v>58095158.425728299</v>
      </c>
      <c r="I16">
        <v>1960.4601499999901</v>
      </c>
      <c r="J16">
        <v>3516754.18802818</v>
      </c>
      <c r="K16">
        <v>0.204776392694063</v>
      </c>
      <c r="L16">
        <v>16.519539131707599</v>
      </c>
      <c r="M16" t="str">
        <f t="shared" si="1"/>
        <v>Normal</v>
      </c>
      <c r="N16" t="str">
        <f t="shared" si="2"/>
        <v>Low RE Cost</v>
      </c>
      <c r="O16">
        <f t="shared" si="0"/>
        <v>275418236.05994487</v>
      </c>
      <c r="P16">
        <f t="shared" si="3"/>
        <v>78.316032720606486</v>
      </c>
      <c r="Q16">
        <f t="shared" si="4"/>
        <v>62.04</v>
      </c>
      <c r="R16" s="229">
        <f t="shared" si="5"/>
        <v>218179429.8252683</v>
      </c>
      <c r="S16" s="297" t="str">
        <f t="shared" si="6"/>
        <v/>
      </c>
      <c r="T16" s="297" t="str">
        <f t="shared" si="7"/>
        <v/>
      </c>
      <c r="V16" s="296">
        <f t="shared" si="8"/>
        <v>62.04</v>
      </c>
      <c r="W16">
        <f t="shared" si="9"/>
        <v>0</v>
      </c>
      <c r="X16" s="297" t="str">
        <f t="shared" si="10"/>
        <v/>
      </c>
      <c r="AE16" t="s">
        <v>380</v>
      </c>
      <c r="AF16" t="s">
        <v>75</v>
      </c>
      <c r="AG16">
        <v>2050</v>
      </c>
      <c r="AH16" s="229">
        <f>NormalCase!BH28</f>
        <v>275418236.05994487</v>
      </c>
      <c r="AI16" t="e">
        <f>NormalCase!BL28</f>
        <v>#DIV/0!</v>
      </c>
      <c r="AJ16" t="e">
        <f t="shared" si="11"/>
        <v>#DIV/0!</v>
      </c>
    </row>
    <row r="17" spans="1:36" x14ac:dyDescent="0.2">
      <c r="A17" t="s">
        <v>221</v>
      </c>
      <c r="B17">
        <v>2030</v>
      </c>
      <c r="C17" t="s">
        <v>211</v>
      </c>
      <c r="D17" t="s">
        <v>222</v>
      </c>
      <c r="E17">
        <v>76130533.764257103</v>
      </c>
      <c r="F17">
        <v>2509352.9187490498</v>
      </c>
      <c r="G17">
        <v>14565687</v>
      </c>
      <c r="H17">
        <v>93205573.683006197</v>
      </c>
      <c r="I17">
        <v>1960.4601499999901</v>
      </c>
      <c r="J17">
        <v>3516754.18802818</v>
      </c>
      <c r="K17">
        <v>0.204776392694063</v>
      </c>
      <c r="L17">
        <v>26.503294998637902</v>
      </c>
      <c r="M17" t="str">
        <f t="shared" si="1"/>
        <v>Normal</v>
      </c>
      <c r="N17" t="str">
        <f t="shared" si="2"/>
        <v>Medium RE Cost</v>
      </c>
      <c r="O17">
        <f t="shared" si="0"/>
        <v>340002960.96679091</v>
      </c>
      <c r="P17">
        <f t="shared" si="3"/>
        <v>96.68090028135525</v>
      </c>
      <c r="Q17">
        <f t="shared" si="4"/>
        <v>70.89</v>
      </c>
      <c r="R17" s="229">
        <f t="shared" si="5"/>
        <v>249302704.38931769</v>
      </c>
      <c r="S17" s="297">
        <f t="shared" si="6"/>
        <v>96.706681854764057</v>
      </c>
      <c r="T17" s="297">
        <f t="shared" si="7"/>
        <v>70.916929169459138</v>
      </c>
      <c r="V17" s="296">
        <f t="shared" si="8"/>
        <v>75.03</v>
      </c>
      <c r="W17">
        <f t="shared" si="9"/>
        <v>4.1417984372023682</v>
      </c>
      <c r="X17" s="297">
        <f t="shared" si="10"/>
        <v>75.06</v>
      </c>
      <c r="AE17" t="s">
        <v>380</v>
      </c>
      <c r="AF17" t="s">
        <v>76</v>
      </c>
      <c r="AG17">
        <v>2030</v>
      </c>
      <c r="AH17" s="229">
        <f>NormalCase!BF35</f>
        <v>438930410.85372549</v>
      </c>
      <c r="AI17">
        <f>NormalCase!BJ35</f>
        <v>195080.18260165575</v>
      </c>
      <c r="AJ17">
        <f t="shared" si="11"/>
        <v>234096.21912198688</v>
      </c>
    </row>
    <row r="18" spans="1:36" x14ac:dyDescent="0.2">
      <c r="A18" t="s">
        <v>221</v>
      </c>
      <c r="B18">
        <v>2040</v>
      </c>
      <c r="C18" t="s">
        <v>211</v>
      </c>
      <c r="D18" t="s">
        <v>222</v>
      </c>
      <c r="E18">
        <v>68390106.995754495</v>
      </c>
      <c r="F18">
        <v>1591512.25388241</v>
      </c>
      <c r="G18">
        <v>0</v>
      </c>
      <c r="H18">
        <v>69981619.249636903</v>
      </c>
      <c r="I18">
        <v>1960.4601499999901</v>
      </c>
      <c r="J18">
        <v>3516754.18802818</v>
      </c>
      <c r="K18">
        <v>0.204776392694063</v>
      </c>
      <c r="L18">
        <v>19.899491266085601</v>
      </c>
      <c r="M18" t="str">
        <f t="shared" si="1"/>
        <v>Normal</v>
      </c>
      <c r="N18" t="str">
        <f t="shared" si="2"/>
        <v>Medium RE Cost</v>
      </c>
      <c r="O18">
        <f t="shared" si="0"/>
        <v>317964169.10794711</v>
      </c>
      <c r="P18">
        <f t="shared" si="3"/>
        <v>90.414101215936114</v>
      </c>
      <c r="Q18">
        <f t="shared" si="4"/>
        <v>70.97</v>
      </c>
      <c r="R18" s="229">
        <f t="shared" si="5"/>
        <v>249584044.72435993</v>
      </c>
      <c r="S18" s="297" t="str">
        <f t="shared" si="6"/>
        <v/>
      </c>
      <c r="T18" s="297" t="str">
        <f t="shared" si="7"/>
        <v/>
      </c>
      <c r="V18" s="296">
        <f t="shared" si="8"/>
        <v>70.97</v>
      </c>
      <c r="W18">
        <f t="shared" si="9"/>
        <v>0</v>
      </c>
      <c r="X18" s="297" t="str">
        <f t="shared" si="10"/>
        <v/>
      </c>
      <c r="AE18" t="s">
        <v>380</v>
      </c>
      <c r="AF18" t="s">
        <v>76</v>
      </c>
      <c r="AG18">
        <v>2040</v>
      </c>
      <c r="AH18" s="229">
        <f>NormalCase!BG35</f>
        <v>424159287.62446445</v>
      </c>
      <c r="AI18" t="e">
        <f>NormalCase!BK35</f>
        <v>#DIV/0!</v>
      </c>
      <c r="AJ18" t="e">
        <f t="shared" si="11"/>
        <v>#DIV/0!</v>
      </c>
    </row>
    <row r="19" spans="1:36" x14ac:dyDescent="0.2">
      <c r="A19" t="s">
        <v>221</v>
      </c>
      <c r="B19">
        <v>2050</v>
      </c>
      <c r="C19" t="s">
        <v>211</v>
      </c>
      <c r="D19" t="s">
        <v>222</v>
      </c>
      <c r="E19">
        <v>64537228.263094097</v>
      </c>
      <c r="F19">
        <v>1644592.5993558399</v>
      </c>
      <c r="G19">
        <v>658557</v>
      </c>
      <c r="H19">
        <v>66840377.862449899</v>
      </c>
      <c r="I19">
        <v>1960.4601499999901</v>
      </c>
      <c r="J19">
        <v>3516754.18802818</v>
      </c>
      <c r="K19">
        <v>0.204776392694063</v>
      </c>
      <c r="L19">
        <v>19.006269499867098</v>
      </c>
      <c r="M19" t="str">
        <f t="shared" si="1"/>
        <v>Normal</v>
      </c>
      <c r="N19" t="str">
        <f t="shared" si="2"/>
        <v>Medium RE Cost</v>
      </c>
      <c r="O19">
        <f t="shared" si="0"/>
        <v>311640347.21392971</v>
      </c>
      <c r="P19">
        <f t="shared" si="3"/>
        <v>88.615902776151756</v>
      </c>
      <c r="Q19">
        <f t="shared" si="4"/>
        <v>70.08</v>
      </c>
      <c r="R19" s="229">
        <f t="shared" si="5"/>
        <v>246454133.49701485</v>
      </c>
      <c r="S19" s="297" t="str">
        <f t="shared" si="6"/>
        <v/>
      </c>
      <c r="T19" s="297" t="str">
        <f t="shared" si="7"/>
        <v/>
      </c>
      <c r="V19" s="296">
        <f t="shared" si="8"/>
        <v>70.27</v>
      </c>
      <c r="W19">
        <f t="shared" si="9"/>
        <v>0.18726273284663333</v>
      </c>
      <c r="X19" s="297" t="str">
        <f t="shared" si="10"/>
        <v/>
      </c>
      <c r="AE19" t="s">
        <v>380</v>
      </c>
      <c r="AF19" t="s">
        <v>76</v>
      </c>
      <c r="AG19">
        <v>2050</v>
      </c>
      <c r="AH19" s="229">
        <f>NormalCase!BH35</f>
        <v>406117526.52104861</v>
      </c>
      <c r="AI19" t="e">
        <f>NormalCase!BL35</f>
        <v>#DIV/0!</v>
      </c>
      <c r="AJ19" t="e">
        <f t="shared" si="11"/>
        <v>#DIV/0!</v>
      </c>
    </row>
    <row r="20" spans="1:36" x14ac:dyDescent="0.2">
      <c r="A20" t="s">
        <v>223</v>
      </c>
      <c r="B20">
        <v>2030</v>
      </c>
      <c r="C20" t="s">
        <v>211</v>
      </c>
      <c r="D20" t="s">
        <v>224</v>
      </c>
      <c r="E20">
        <v>75264089.552092195</v>
      </c>
      <c r="F20">
        <v>1414009.23239077</v>
      </c>
      <c r="G20">
        <v>16104645</v>
      </c>
      <c r="H20">
        <v>92782743.784483001</v>
      </c>
      <c r="I20">
        <v>1960.4601499999901</v>
      </c>
      <c r="J20">
        <v>3516754.18802818</v>
      </c>
      <c r="K20">
        <v>0.204776392694063</v>
      </c>
      <c r="L20">
        <v>26.383062000846198</v>
      </c>
      <c r="M20" t="str">
        <f t="shared" si="1"/>
        <v>Normal</v>
      </c>
      <c r="N20" t="str">
        <f t="shared" si="2"/>
        <v>Medium RE Cost</v>
      </c>
      <c r="O20">
        <f t="shared" si="0"/>
        <v>340002960.96679091</v>
      </c>
      <c r="P20">
        <f t="shared" si="3"/>
        <v>96.68090028135525</v>
      </c>
      <c r="Q20">
        <f t="shared" si="4"/>
        <v>70.7</v>
      </c>
      <c r="R20" s="229">
        <f t="shared" si="5"/>
        <v>248634521.09359235</v>
      </c>
      <c r="S20" s="297">
        <f t="shared" si="6"/>
        <v>96.706681854764057</v>
      </c>
      <c r="T20" s="297">
        <f t="shared" si="7"/>
        <v>70.72569778054816</v>
      </c>
      <c r="V20" s="296">
        <f t="shared" si="8"/>
        <v>75.28</v>
      </c>
      <c r="W20">
        <f t="shared" si="9"/>
        <v>4.5794059348315628</v>
      </c>
      <c r="X20" s="297">
        <f t="shared" si="10"/>
        <v>75.31</v>
      </c>
    </row>
    <row r="21" spans="1:36" x14ac:dyDescent="0.2">
      <c r="A21" t="s">
        <v>223</v>
      </c>
      <c r="B21">
        <v>2040</v>
      </c>
      <c r="C21" t="s">
        <v>211</v>
      </c>
      <c r="D21" t="s">
        <v>224</v>
      </c>
      <c r="E21">
        <v>67064335.572274797</v>
      </c>
      <c r="F21">
        <v>930336.50925655104</v>
      </c>
      <c r="G21">
        <v>785292</v>
      </c>
      <c r="H21">
        <v>68779964.081531301</v>
      </c>
      <c r="I21">
        <v>1960.4601499999901</v>
      </c>
      <c r="J21">
        <v>3516754.18802818</v>
      </c>
      <c r="K21">
        <v>0.204776392694063</v>
      </c>
      <c r="L21">
        <v>19.557796878631301</v>
      </c>
      <c r="M21" t="str">
        <f t="shared" si="1"/>
        <v>Normal</v>
      </c>
      <c r="N21" t="str">
        <f t="shared" si="2"/>
        <v>Medium RE Cost</v>
      </c>
      <c r="O21">
        <f t="shared" si="0"/>
        <v>317964169.10794711</v>
      </c>
      <c r="P21">
        <f t="shared" si="3"/>
        <v>90.414101215936114</v>
      </c>
      <c r="Q21">
        <f t="shared" si="4"/>
        <v>71.12</v>
      </c>
      <c r="R21" s="229">
        <f t="shared" si="5"/>
        <v>250111557.85256419</v>
      </c>
      <c r="S21" s="297" t="str">
        <f t="shared" si="6"/>
        <v/>
      </c>
      <c r="T21" s="297" t="str">
        <f t="shared" si="7"/>
        <v/>
      </c>
      <c r="V21" s="296">
        <f t="shared" si="8"/>
        <v>71.34</v>
      </c>
      <c r="W21">
        <f t="shared" si="9"/>
        <v>0.22330022458587243</v>
      </c>
      <c r="X21" s="297" t="str">
        <f t="shared" si="10"/>
        <v/>
      </c>
    </row>
    <row r="22" spans="1:36" x14ac:dyDescent="0.2">
      <c r="A22" t="s">
        <v>223</v>
      </c>
      <c r="B22">
        <v>2050</v>
      </c>
      <c r="C22" t="s">
        <v>211</v>
      </c>
      <c r="D22" t="s">
        <v>224</v>
      </c>
      <c r="E22">
        <v>62583976.9221242</v>
      </c>
      <c r="F22">
        <v>4488152.9389812704</v>
      </c>
      <c r="G22">
        <v>1471679</v>
      </c>
      <c r="H22">
        <v>68543808.861105397</v>
      </c>
      <c r="I22">
        <v>1960.4601499999901</v>
      </c>
      <c r="J22">
        <v>3516754.18802818</v>
      </c>
      <c r="K22">
        <v>0.204776392694063</v>
      </c>
      <c r="L22">
        <v>19.490645406620601</v>
      </c>
      <c r="M22" t="str">
        <f t="shared" si="1"/>
        <v>Normal</v>
      </c>
      <c r="N22" t="str">
        <f t="shared" si="2"/>
        <v>Medium RE Cost</v>
      </c>
      <c r="O22">
        <f t="shared" si="0"/>
        <v>311640347.21392971</v>
      </c>
      <c r="P22">
        <f t="shared" si="3"/>
        <v>88.615902776151756</v>
      </c>
      <c r="Q22">
        <f t="shared" si="4"/>
        <v>70.400000000000006</v>
      </c>
      <c r="R22" s="229">
        <f t="shared" si="5"/>
        <v>247579494.83718389</v>
      </c>
      <c r="S22" s="297" t="str">
        <f t="shared" si="6"/>
        <v/>
      </c>
      <c r="T22" s="297" t="str">
        <f t="shared" si="7"/>
        <v/>
      </c>
      <c r="V22" s="296">
        <f t="shared" si="8"/>
        <v>70.819999999999993</v>
      </c>
      <c r="W22">
        <f t="shared" si="9"/>
        <v>0.41847650455921126</v>
      </c>
      <c r="X22" s="297" t="str">
        <f t="shared" si="10"/>
        <v/>
      </c>
    </row>
    <row r="23" spans="1:36" x14ac:dyDescent="0.2">
      <c r="A23" t="s">
        <v>225</v>
      </c>
      <c r="B23">
        <v>2030</v>
      </c>
      <c r="C23" t="s">
        <v>211</v>
      </c>
      <c r="D23" t="s">
        <v>226</v>
      </c>
      <c r="E23">
        <v>76556002.221596807</v>
      </c>
      <c r="F23">
        <v>4522052.4936615499</v>
      </c>
      <c r="G23">
        <v>13324633</v>
      </c>
      <c r="H23">
        <v>94402687.7152583</v>
      </c>
      <c r="I23">
        <v>1960.4601499999901</v>
      </c>
      <c r="J23">
        <v>3516754.18802818</v>
      </c>
      <c r="K23">
        <v>0.204776392694063</v>
      </c>
      <c r="L23">
        <v>26.843698099977001</v>
      </c>
      <c r="M23" t="str">
        <f t="shared" si="1"/>
        <v>Normal</v>
      </c>
      <c r="N23" t="str">
        <f t="shared" si="2"/>
        <v>Medium RE Cost</v>
      </c>
      <c r="O23">
        <f t="shared" si="0"/>
        <v>340002960.96679091</v>
      </c>
      <c r="P23">
        <f t="shared" si="3"/>
        <v>96.68090028135525</v>
      </c>
      <c r="Q23">
        <f t="shared" si="4"/>
        <v>71.12</v>
      </c>
      <c r="R23" s="229">
        <f t="shared" si="5"/>
        <v>250111557.85256419</v>
      </c>
      <c r="S23" s="297">
        <f t="shared" si="6"/>
        <v>96.706681854764057</v>
      </c>
      <c r="T23" s="297">
        <f t="shared" si="7"/>
        <v>71.148843457195468</v>
      </c>
      <c r="V23" s="296">
        <f t="shared" si="8"/>
        <v>74.91</v>
      </c>
      <c r="W23">
        <f t="shared" si="9"/>
        <v>3.7889008692617865</v>
      </c>
      <c r="X23" s="297">
        <f t="shared" si="10"/>
        <v>74.94</v>
      </c>
    </row>
    <row r="24" spans="1:36" x14ac:dyDescent="0.2">
      <c r="A24" t="s">
        <v>225</v>
      </c>
      <c r="B24">
        <v>2040</v>
      </c>
      <c r="C24" t="s">
        <v>211</v>
      </c>
      <c r="D24" t="s">
        <v>226</v>
      </c>
      <c r="E24">
        <v>72884848.059002802</v>
      </c>
      <c r="F24">
        <v>1251372.52215389</v>
      </c>
      <c r="G24">
        <v>0</v>
      </c>
      <c r="H24">
        <v>74136220.581156701</v>
      </c>
      <c r="I24">
        <v>1960.4601499999901</v>
      </c>
      <c r="J24">
        <v>3516754.18802818</v>
      </c>
      <c r="K24">
        <v>0.204776392694063</v>
      </c>
      <c r="L24">
        <v>21.080865086770299</v>
      </c>
      <c r="M24" t="str">
        <f t="shared" si="1"/>
        <v>Normal</v>
      </c>
      <c r="N24" t="str">
        <f t="shared" si="2"/>
        <v>Medium RE Cost</v>
      </c>
      <c r="O24">
        <f t="shared" si="0"/>
        <v>317964169.10794711</v>
      </c>
      <c r="P24">
        <f t="shared" si="3"/>
        <v>90.414101215936114</v>
      </c>
      <c r="Q24">
        <f t="shared" si="4"/>
        <v>69.69</v>
      </c>
      <c r="R24" s="229">
        <f t="shared" si="5"/>
        <v>245082599.36368385</v>
      </c>
      <c r="S24" s="297" t="str">
        <f t="shared" si="6"/>
        <v/>
      </c>
      <c r="T24" s="297" t="str">
        <f t="shared" si="7"/>
        <v/>
      </c>
      <c r="V24" s="296">
        <f t="shared" si="8"/>
        <v>69.69</v>
      </c>
      <c r="W24">
        <f t="shared" si="9"/>
        <v>0</v>
      </c>
      <c r="X24" s="297" t="str">
        <f t="shared" si="10"/>
        <v/>
      </c>
    </row>
    <row r="25" spans="1:36" x14ac:dyDescent="0.2">
      <c r="A25" t="s">
        <v>225</v>
      </c>
      <c r="B25">
        <v>2050</v>
      </c>
      <c r="C25" t="s">
        <v>211</v>
      </c>
      <c r="D25" t="s">
        <v>226</v>
      </c>
      <c r="E25">
        <v>76117014.441323996</v>
      </c>
      <c r="F25">
        <v>4355384.6805591397</v>
      </c>
      <c r="G25">
        <v>0</v>
      </c>
      <c r="H25">
        <v>80472399.121883094</v>
      </c>
      <c r="I25">
        <v>1960.4601499999901</v>
      </c>
      <c r="J25">
        <v>3516754.18802818</v>
      </c>
      <c r="K25">
        <v>0.204776392694063</v>
      </c>
      <c r="L25">
        <v>22.882577177508999</v>
      </c>
      <c r="M25" t="str">
        <f t="shared" si="1"/>
        <v>Normal</v>
      </c>
      <c r="N25" t="str">
        <f t="shared" si="2"/>
        <v>Medium RE Cost</v>
      </c>
      <c r="O25">
        <f t="shared" si="0"/>
        <v>311640347.21392971</v>
      </c>
      <c r="P25">
        <f t="shared" si="3"/>
        <v>88.615902776151756</v>
      </c>
      <c r="Q25">
        <f t="shared" si="4"/>
        <v>66.97</v>
      </c>
      <c r="R25" s="229">
        <f t="shared" si="5"/>
        <v>235517027.97224721</v>
      </c>
      <c r="S25" s="297" t="str">
        <f t="shared" si="6"/>
        <v/>
      </c>
      <c r="T25" s="297" t="str">
        <f t="shared" si="7"/>
        <v/>
      </c>
      <c r="V25" s="296">
        <f t="shared" si="8"/>
        <v>66.97</v>
      </c>
      <c r="W25">
        <f t="shared" si="9"/>
        <v>0</v>
      </c>
      <c r="X25" s="297" t="str">
        <f t="shared" si="10"/>
        <v/>
      </c>
    </row>
    <row r="26" spans="1:36" x14ac:dyDescent="0.2">
      <c r="A26" t="s">
        <v>227</v>
      </c>
      <c r="B26">
        <v>2030</v>
      </c>
      <c r="C26" t="s">
        <v>228</v>
      </c>
      <c r="D26" t="s">
        <v>212</v>
      </c>
      <c r="E26">
        <v>214416129.253324</v>
      </c>
      <c r="F26">
        <v>1128010.4769967599</v>
      </c>
      <c r="G26">
        <v>0</v>
      </c>
      <c r="H26">
        <v>215544139.73032099</v>
      </c>
      <c r="I26">
        <v>4370.2250833333301</v>
      </c>
      <c r="J26">
        <v>7839489.8077567602</v>
      </c>
      <c r="K26">
        <v>0.204776392694063</v>
      </c>
      <c r="L26">
        <v>27.4946641957556</v>
      </c>
      <c r="M26" t="str">
        <f t="shared" si="1"/>
        <v>High Solar</v>
      </c>
      <c r="N26" t="str">
        <f t="shared" si="2"/>
        <v>Medium RE Cost</v>
      </c>
      <c r="O26">
        <f t="shared" si="0"/>
        <v>796677109.68726099</v>
      </c>
      <c r="P26">
        <f t="shared" si="3"/>
        <v>101.62359148665404</v>
      </c>
      <c r="Q26">
        <f t="shared" si="4"/>
        <v>74.27</v>
      </c>
      <c r="R26" s="229">
        <f t="shared" si="5"/>
        <v>582238908.02209449</v>
      </c>
      <c r="S26" s="297">
        <f t="shared" si="6"/>
        <v>96.106608574655084</v>
      </c>
      <c r="T26" s="297">
        <f t="shared" si="7"/>
        <v>68.755832629877318</v>
      </c>
      <c r="V26" s="296">
        <f t="shared" si="8"/>
        <v>74.27</v>
      </c>
      <c r="W26">
        <f t="shared" si="9"/>
        <v>0</v>
      </c>
      <c r="X26" s="297">
        <f t="shared" si="10"/>
        <v>68.760000000000005</v>
      </c>
    </row>
    <row r="27" spans="1:36" x14ac:dyDescent="0.2">
      <c r="A27" t="s">
        <v>227</v>
      </c>
      <c r="B27">
        <v>2040</v>
      </c>
      <c r="C27" t="s">
        <v>228</v>
      </c>
      <c r="D27" t="s">
        <v>212</v>
      </c>
      <c r="E27">
        <v>415258892.931943</v>
      </c>
      <c r="F27">
        <v>2658775.1005191798</v>
      </c>
      <c r="G27">
        <v>-27</v>
      </c>
      <c r="H27">
        <v>417917641.032462</v>
      </c>
      <c r="I27">
        <v>10473.906000000001</v>
      </c>
      <c r="J27">
        <v>18764823.185694199</v>
      </c>
      <c r="K27">
        <v>0.20451807600619601</v>
      </c>
      <c r="L27">
        <v>22.2713338088403</v>
      </c>
      <c r="M27" t="str">
        <f t="shared" si="1"/>
        <v>High Solar</v>
      </c>
      <c r="N27" t="str">
        <f t="shared" si="2"/>
        <v>Medium RE Cost</v>
      </c>
      <c r="O27">
        <f t="shared" si="0"/>
        <v>1475131307.2772543</v>
      </c>
      <c r="P27">
        <f t="shared" si="3"/>
        <v>78.611521818220766</v>
      </c>
      <c r="Q27">
        <f t="shared" si="4"/>
        <v>56.48</v>
      </c>
      <c r="R27" s="229">
        <f t="shared" si="5"/>
        <v>1059837213.5280083</v>
      </c>
      <c r="S27" s="297">
        <f t="shared" si="6"/>
        <v>66.57055908863569</v>
      </c>
      <c r="T27" s="297">
        <f t="shared" si="7"/>
        <v>44.440914603174974</v>
      </c>
      <c r="V27" s="296">
        <f t="shared" si="8"/>
        <v>56.48</v>
      </c>
      <c r="W27">
        <f t="shared" si="9"/>
        <v>-1.4388624786288463E-6</v>
      </c>
      <c r="X27" s="297">
        <f t="shared" si="10"/>
        <v>44.44</v>
      </c>
    </row>
    <row r="28" spans="1:36" x14ac:dyDescent="0.2">
      <c r="A28" t="s">
        <v>227</v>
      </c>
      <c r="B28">
        <v>2050</v>
      </c>
      <c r="C28" t="s">
        <v>228</v>
      </c>
      <c r="D28" t="s">
        <v>212</v>
      </c>
      <c r="E28">
        <v>587247099.71976495</v>
      </c>
      <c r="F28">
        <v>4619483.4212726904</v>
      </c>
      <c r="G28">
        <v>-51</v>
      </c>
      <c r="H28">
        <v>591866532.14103699</v>
      </c>
      <c r="I28">
        <v>15730.8939166666</v>
      </c>
      <c r="J28">
        <v>27918570.2642227</v>
      </c>
      <c r="K28">
        <v>0.202598238657549</v>
      </c>
      <c r="L28">
        <v>21.199743630837201</v>
      </c>
      <c r="M28" t="str">
        <f t="shared" si="1"/>
        <v>High Solar</v>
      </c>
      <c r="N28" t="str">
        <f t="shared" si="2"/>
        <v>Medium RE Cost</v>
      </c>
      <c r="O28">
        <f t="shared" si="0"/>
        <v>1857774234.0994</v>
      </c>
      <c r="P28">
        <f t="shared" si="3"/>
        <v>66.542599299223951</v>
      </c>
      <c r="Q28">
        <f t="shared" si="4"/>
        <v>45.51</v>
      </c>
      <c r="R28" s="229">
        <f t="shared" si="5"/>
        <v>1270574132.7247751</v>
      </c>
      <c r="S28" s="297">
        <f t="shared" si="6"/>
        <v>59.252144159925678</v>
      </c>
      <c r="T28" s="297">
        <f t="shared" si="7"/>
        <v>38.217863279421039</v>
      </c>
      <c r="V28" s="296">
        <f t="shared" si="8"/>
        <v>45.51</v>
      </c>
      <c r="W28">
        <f t="shared" si="9"/>
        <v>-1.8267411087793369E-6</v>
      </c>
      <c r="X28" s="297">
        <f t="shared" si="10"/>
        <v>38.22</v>
      </c>
    </row>
    <row r="29" spans="1:36" x14ac:dyDescent="0.2">
      <c r="A29" t="s">
        <v>229</v>
      </c>
      <c r="B29">
        <v>2030</v>
      </c>
      <c r="C29" t="s">
        <v>228</v>
      </c>
      <c r="D29" t="s">
        <v>214</v>
      </c>
      <c r="E29">
        <v>216476373.56470799</v>
      </c>
      <c r="F29">
        <v>792195.85946952098</v>
      </c>
      <c r="G29">
        <v>-2</v>
      </c>
      <c r="H29">
        <v>217268567.42417699</v>
      </c>
      <c r="I29">
        <v>4370.2250833333301</v>
      </c>
      <c r="J29">
        <v>7839489.8077567602</v>
      </c>
      <c r="K29">
        <v>0.204776392694063</v>
      </c>
      <c r="L29">
        <v>27.714631022187401</v>
      </c>
      <c r="M29" t="str">
        <f t="shared" si="1"/>
        <v>High Solar</v>
      </c>
      <c r="N29" t="str">
        <f t="shared" si="2"/>
        <v>Medium RE Cost</v>
      </c>
      <c r="O29">
        <f t="shared" si="0"/>
        <v>796677109.68726099</v>
      </c>
      <c r="P29">
        <f t="shared" si="3"/>
        <v>101.62359148665404</v>
      </c>
      <c r="Q29">
        <f t="shared" si="4"/>
        <v>74.010000000000005</v>
      </c>
      <c r="R29" s="229">
        <f t="shared" si="5"/>
        <v>580200640.67207789</v>
      </c>
      <c r="S29" s="297">
        <f t="shared" si="6"/>
        <v>96.106608574655084</v>
      </c>
      <c r="T29" s="297">
        <f t="shared" si="7"/>
        <v>68.493029518717535</v>
      </c>
      <c r="V29" s="296">
        <f t="shared" si="8"/>
        <v>74.010000000000005</v>
      </c>
      <c r="W29">
        <f t="shared" si="9"/>
        <v>-2.5511864280008453E-7</v>
      </c>
      <c r="X29" s="297">
        <f t="shared" si="10"/>
        <v>68.489999999999995</v>
      </c>
    </row>
    <row r="30" spans="1:36" x14ac:dyDescent="0.2">
      <c r="A30" t="s">
        <v>229</v>
      </c>
      <c r="B30">
        <v>2040</v>
      </c>
      <c r="C30" t="s">
        <v>228</v>
      </c>
      <c r="D30" t="s">
        <v>214</v>
      </c>
      <c r="E30">
        <v>420299086.15317303</v>
      </c>
      <c r="F30">
        <v>2730506.89843933</v>
      </c>
      <c r="G30">
        <v>0</v>
      </c>
      <c r="H30">
        <v>423029593.05161297</v>
      </c>
      <c r="I30">
        <v>10473.906000000001</v>
      </c>
      <c r="J30">
        <v>18764823.185694199</v>
      </c>
      <c r="K30">
        <v>0.20451807600619601</v>
      </c>
      <c r="L30">
        <v>22.5437558811701</v>
      </c>
      <c r="M30" t="str">
        <f t="shared" si="1"/>
        <v>High Solar</v>
      </c>
      <c r="N30" t="str">
        <f t="shared" si="2"/>
        <v>Medium RE Cost</v>
      </c>
      <c r="O30">
        <f t="shared" si="0"/>
        <v>1475131307.2772543</v>
      </c>
      <c r="P30">
        <f t="shared" si="3"/>
        <v>78.611521818220766</v>
      </c>
      <c r="Q30">
        <f t="shared" si="4"/>
        <v>56.21</v>
      </c>
      <c r="R30" s="229">
        <f t="shared" si="5"/>
        <v>1054770711.2678709</v>
      </c>
      <c r="S30" s="297">
        <f t="shared" si="6"/>
        <v>66.57055908863569</v>
      </c>
      <c r="T30" s="297">
        <f t="shared" si="7"/>
        <v>44.17231520464334</v>
      </c>
      <c r="V30" s="296">
        <f t="shared" si="8"/>
        <v>56.21</v>
      </c>
      <c r="W30">
        <f t="shared" si="9"/>
        <v>0</v>
      </c>
      <c r="X30" s="297">
        <f t="shared" si="10"/>
        <v>44.17</v>
      </c>
    </row>
    <row r="31" spans="1:36" x14ac:dyDescent="0.2">
      <c r="A31" t="s">
        <v>229</v>
      </c>
      <c r="B31">
        <v>2050</v>
      </c>
      <c r="C31" t="s">
        <v>228</v>
      </c>
      <c r="D31" t="s">
        <v>214</v>
      </c>
      <c r="E31">
        <v>616990993.88215601</v>
      </c>
      <c r="F31">
        <v>3412111.4389942102</v>
      </c>
      <c r="G31">
        <v>-3</v>
      </c>
      <c r="H31">
        <v>620403102.32114995</v>
      </c>
      <c r="I31">
        <v>15730.8939166666</v>
      </c>
      <c r="J31">
        <v>27918570.2642227</v>
      </c>
      <c r="K31">
        <v>0.202598238657549</v>
      </c>
      <c r="L31">
        <v>22.2218794318485</v>
      </c>
      <c r="M31" t="str">
        <f t="shared" si="1"/>
        <v>High Solar</v>
      </c>
      <c r="N31" t="str">
        <f t="shared" si="2"/>
        <v>Medium RE Cost</v>
      </c>
      <c r="O31">
        <f t="shared" si="0"/>
        <v>1857774234.0994</v>
      </c>
      <c r="P31">
        <f t="shared" si="3"/>
        <v>66.542599299223951</v>
      </c>
      <c r="Q31">
        <f t="shared" si="4"/>
        <v>44.44</v>
      </c>
      <c r="R31" s="229">
        <f t="shared" si="5"/>
        <v>1240701262.5420568</v>
      </c>
      <c r="S31" s="297">
        <f t="shared" si="6"/>
        <v>59.252144159925678</v>
      </c>
      <c r="T31" s="297">
        <f t="shared" si="7"/>
        <v>37.152481281672117</v>
      </c>
      <c r="V31" s="296">
        <f t="shared" si="8"/>
        <v>44.44</v>
      </c>
      <c r="W31">
        <f t="shared" si="9"/>
        <v>-1.07455359339961E-7</v>
      </c>
      <c r="X31" s="297">
        <f t="shared" si="10"/>
        <v>37.15</v>
      </c>
    </row>
    <row r="32" spans="1:36" x14ac:dyDescent="0.2">
      <c r="A32" t="s">
        <v>230</v>
      </c>
      <c r="B32">
        <v>2030</v>
      </c>
      <c r="C32" t="s">
        <v>228</v>
      </c>
      <c r="D32" t="s">
        <v>216</v>
      </c>
      <c r="E32">
        <v>244059509.35515499</v>
      </c>
      <c r="F32">
        <v>2428469.13201932</v>
      </c>
      <c r="G32">
        <v>0</v>
      </c>
      <c r="H32">
        <v>246487978.487174</v>
      </c>
      <c r="I32">
        <v>4370.2250833333301</v>
      </c>
      <c r="J32">
        <v>7839489.8077567602</v>
      </c>
      <c r="K32">
        <v>0.204776392694063</v>
      </c>
      <c r="L32">
        <v>31.4418392690921</v>
      </c>
      <c r="M32" t="str">
        <f t="shared" si="1"/>
        <v>High Solar</v>
      </c>
      <c r="N32" t="str">
        <f t="shared" si="2"/>
        <v>High RE Cost</v>
      </c>
      <c r="O32">
        <f t="shared" si="0"/>
        <v>1037037209.9623756</v>
      </c>
      <c r="P32">
        <f t="shared" si="3"/>
        <v>132.28376276939377</v>
      </c>
      <c r="Q32">
        <f t="shared" si="4"/>
        <v>101.15</v>
      </c>
      <c r="R32" s="229">
        <f t="shared" si="5"/>
        <v>792964394.0545963</v>
      </c>
      <c r="S32" s="297">
        <f t="shared" si="6"/>
        <v>125.10228799510858</v>
      </c>
      <c r="T32" s="297">
        <f t="shared" si="7"/>
        <v>93.970222600537753</v>
      </c>
      <c r="V32" s="296">
        <f t="shared" si="8"/>
        <v>101.15</v>
      </c>
      <c r="W32">
        <f t="shared" si="9"/>
        <v>0</v>
      </c>
      <c r="X32" s="297">
        <f t="shared" si="10"/>
        <v>93.97</v>
      </c>
    </row>
    <row r="33" spans="1:24" x14ac:dyDescent="0.2">
      <c r="A33" t="s">
        <v>230</v>
      </c>
      <c r="B33">
        <v>2040</v>
      </c>
      <c r="C33" t="s">
        <v>228</v>
      </c>
      <c r="D33" t="s">
        <v>216</v>
      </c>
      <c r="E33">
        <v>553366316.17906797</v>
      </c>
      <c r="F33">
        <v>669239.65876452404</v>
      </c>
      <c r="G33">
        <v>-2</v>
      </c>
      <c r="H33">
        <v>554035553.83783305</v>
      </c>
      <c r="I33">
        <v>10473.906000000001</v>
      </c>
      <c r="J33">
        <v>18764823.185694199</v>
      </c>
      <c r="K33">
        <v>0.20451807600619601</v>
      </c>
      <c r="L33">
        <v>29.525221120133601</v>
      </c>
      <c r="M33" t="str">
        <f t="shared" si="1"/>
        <v>High Solar</v>
      </c>
      <c r="N33" t="str">
        <f t="shared" si="2"/>
        <v>High RE Cost</v>
      </c>
      <c r="O33">
        <f t="shared" si="0"/>
        <v>2156969266.5728054</v>
      </c>
      <c r="P33">
        <f t="shared" si="3"/>
        <v>114.94748686026635</v>
      </c>
      <c r="Q33">
        <f t="shared" si="4"/>
        <v>85.46</v>
      </c>
      <c r="R33" s="229">
        <f t="shared" si="5"/>
        <v>1603641789.4494262</v>
      </c>
      <c r="S33" s="297">
        <f t="shared" si="6"/>
        <v>105.43842332469075</v>
      </c>
      <c r="T33" s="297">
        <f t="shared" si="7"/>
        <v>75.948866791009166</v>
      </c>
      <c r="V33" s="296">
        <f t="shared" si="8"/>
        <v>85.46</v>
      </c>
      <c r="W33">
        <f t="shared" si="9"/>
        <v>-1.0658240582435899E-7</v>
      </c>
      <c r="X33" s="297">
        <f t="shared" si="10"/>
        <v>75.95</v>
      </c>
    </row>
    <row r="34" spans="1:24" x14ac:dyDescent="0.2">
      <c r="A34" t="s">
        <v>230</v>
      </c>
      <c r="B34">
        <v>2050</v>
      </c>
      <c r="C34" t="s">
        <v>228</v>
      </c>
      <c r="D34" t="s">
        <v>216</v>
      </c>
      <c r="E34">
        <v>659112883.28683496</v>
      </c>
      <c r="F34">
        <v>595028.56918049301</v>
      </c>
      <c r="G34">
        <v>-5</v>
      </c>
      <c r="H34">
        <v>659707906.85601497</v>
      </c>
      <c r="I34">
        <v>15730.8939166666</v>
      </c>
      <c r="J34">
        <v>27918570.2642227</v>
      </c>
      <c r="K34">
        <v>0.202598238657549</v>
      </c>
      <c r="L34">
        <v>23.629716730208798</v>
      </c>
      <c r="M34" t="str">
        <f t="shared" si="1"/>
        <v>High Solar</v>
      </c>
      <c r="N34" t="str">
        <f t="shared" si="2"/>
        <v>High RE Cost</v>
      </c>
      <c r="O34">
        <f t="shared" si="0"/>
        <v>2481229862.8834763</v>
      </c>
      <c r="P34">
        <f t="shared" si="3"/>
        <v>88.873815507062034</v>
      </c>
      <c r="Q34">
        <f t="shared" si="4"/>
        <v>65.27</v>
      </c>
      <c r="R34" s="229">
        <f t="shared" si="5"/>
        <v>1822245081.1458156</v>
      </c>
      <c r="S34" s="297">
        <f t="shared" si="6"/>
        <v>79.943949986749161</v>
      </c>
      <c r="T34" s="297">
        <f t="shared" si="7"/>
        <v>56.335546259446559</v>
      </c>
      <c r="V34" s="296">
        <f t="shared" si="8"/>
        <v>65.27</v>
      </c>
      <c r="W34">
        <f t="shared" si="9"/>
        <v>-1.7909226556660165E-7</v>
      </c>
      <c r="X34" s="297">
        <f t="shared" si="10"/>
        <v>56.34</v>
      </c>
    </row>
    <row r="35" spans="1:24" x14ac:dyDescent="0.2">
      <c r="A35" t="s">
        <v>231</v>
      </c>
      <c r="B35">
        <v>2030</v>
      </c>
      <c r="C35" t="s">
        <v>232</v>
      </c>
      <c r="D35" t="s">
        <v>212</v>
      </c>
      <c r="E35">
        <v>214415907.97752601</v>
      </c>
      <c r="F35">
        <v>1128022.11403212</v>
      </c>
      <c r="G35">
        <v>-3</v>
      </c>
      <c r="H35">
        <v>215543927.09155801</v>
      </c>
      <c r="I35">
        <v>4370.2250833333301</v>
      </c>
      <c r="J35">
        <v>7839489.8077567602</v>
      </c>
      <c r="K35">
        <v>0.204776392694063</v>
      </c>
      <c r="L35">
        <v>27.494637071699302</v>
      </c>
      <c r="M35" t="str">
        <f t="shared" si="1"/>
        <v>High Solar</v>
      </c>
      <c r="N35" t="str">
        <f t="shared" si="2"/>
        <v>Medium RE Cost</v>
      </c>
      <c r="O35">
        <f t="shared" si="0"/>
        <v>796677109.68726099</v>
      </c>
      <c r="P35">
        <f t="shared" si="3"/>
        <v>101.62359148665404</v>
      </c>
      <c r="Q35">
        <f t="shared" si="4"/>
        <v>74.27</v>
      </c>
      <c r="R35" s="229">
        <f t="shared" si="5"/>
        <v>582238908.02209449</v>
      </c>
      <c r="S35" s="297">
        <f t="shared" si="6"/>
        <v>96.106608574655084</v>
      </c>
      <c r="T35" s="297">
        <f t="shared" si="7"/>
        <v>68.755861238345929</v>
      </c>
      <c r="V35" s="296">
        <f t="shared" si="8"/>
        <v>74.27</v>
      </c>
      <c r="W35">
        <f t="shared" si="9"/>
        <v>-3.8267796420012674E-7</v>
      </c>
      <c r="X35" s="297">
        <f t="shared" si="10"/>
        <v>68.760000000000005</v>
      </c>
    </row>
    <row r="36" spans="1:24" x14ac:dyDescent="0.2">
      <c r="A36" t="s">
        <v>231</v>
      </c>
      <c r="B36">
        <v>2040</v>
      </c>
      <c r="C36" t="s">
        <v>232</v>
      </c>
      <c r="D36" t="s">
        <v>212</v>
      </c>
      <c r="E36">
        <v>415259230.74077702</v>
      </c>
      <c r="F36">
        <v>2658781.8624728899</v>
      </c>
      <c r="G36">
        <v>-11</v>
      </c>
      <c r="H36">
        <v>417918001.60325003</v>
      </c>
      <c r="I36">
        <v>10473.906000000001</v>
      </c>
      <c r="J36">
        <v>18764823.185694199</v>
      </c>
      <c r="K36">
        <v>0.20451807600619601</v>
      </c>
      <c r="L36">
        <v>22.271353024091301</v>
      </c>
      <c r="M36" t="str">
        <f t="shared" si="1"/>
        <v>High Solar</v>
      </c>
      <c r="N36" t="str">
        <f t="shared" si="2"/>
        <v>Medium RE Cost</v>
      </c>
      <c r="O36">
        <f t="shared" si="0"/>
        <v>1475131307.2772543</v>
      </c>
      <c r="P36">
        <f t="shared" si="3"/>
        <v>78.611521818220766</v>
      </c>
      <c r="Q36">
        <f t="shared" si="4"/>
        <v>56.48</v>
      </c>
      <c r="R36" s="229">
        <f t="shared" si="5"/>
        <v>1059837213.5280083</v>
      </c>
      <c r="S36" s="297">
        <f t="shared" si="6"/>
        <v>66.57055908863569</v>
      </c>
      <c r="T36" s="297">
        <f t="shared" si="7"/>
        <v>44.44089574827661</v>
      </c>
      <c r="V36" s="296">
        <f t="shared" si="8"/>
        <v>56.48</v>
      </c>
      <c r="W36">
        <f t="shared" si="9"/>
        <v>-5.8620323203397446E-7</v>
      </c>
      <c r="X36" s="297">
        <f t="shared" si="10"/>
        <v>44.44</v>
      </c>
    </row>
    <row r="37" spans="1:24" x14ac:dyDescent="0.2">
      <c r="A37" t="s">
        <v>231</v>
      </c>
      <c r="B37">
        <v>2050</v>
      </c>
      <c r="C37" t="s">
        <v>232</v>
      </c>
      <c r="D37" t="s">
        <v>212</v>
      </c>
      <c r="E37">
        <v>587246150.90250599</v>
      </c>
      <c r="F37">
        <v>4620503.8780687004</v>
      </c>
      <c r="G37">
        <v>1871</v>
      </c>
      <c r="H37">
        <v>591868525.78057504</v>
      </c>
      <c r="I37">
        <v>15730.8939166666</v>
      </c>
      <c r="J37">
        <v>27918570.2642227</v>
      </c>
      <c r="K37">
        <v>0.202598238657549</v>
      </c>
      <c r="L37">
        <v>21.1998150399215</v>
      </c>
      <c r="M37" t="str">
        <f t="shared" si="1"/>
        <v>High Solar</v>
      </c>
      <c r="N37" t="str">
        <f t="shared" si="2"/>
        <v>Medium RE Cost</v>
      </c>
      <c r="O37">
        <f t="shared" si="0"/>
        <v>1857774234.0994</v>
      </c>
      <c r="P37">
        <f t="shared" si="3"/>
        <v>66.542599299223951</v>
      </c>
      <c r="Q37">
        <f t="shared" si="4"/>
        <v>45.51</v>
      </c>
      <c r="R37" s="229">
        <f t="shared" si="5"/>
        <v>1270574132.7247751</v>
      </c>
      <c r="S37" s="297">
        <f t="shared" si="6"/>
        <v>59.252144159925678</v>
      </c>
      <c r="T37" s="297">
        <f t="shared" si="7"/>
        <v>38.217828421520657</v>
      </c>
      <c r="V37" s="296">
        <f t="shared" si="8"/>
        <v>45.51</v>
      </c>
      <c r="W37">
        <f t="shared" si="9"/>
        <v>6.7016325775022339E-5</v>
      </c>
      <c r="X37" s="297">
        <f t="shared" si="10"/>
        <v>38.22</v>
      </c>
    </row>
    <row r="38" spans="1:24" x14ac:dyDescent="0.2">
      <c r="A38" t="s">
        <v>233</v>
      </c>
      <c r="B38">
        <v>2030</v>
      </c>
      <c r="C38" t="s">
        <v>232</v>
      </c>
      <c r="D38" t="s">
        <v>214</v>
      </c>
      <c r="E38">
        <v>216477625.96912</v>
      </c>
      <c r="F38">
        <v>792144.06705801398</v>
      </c>
      <c r="G38">
        <v>0</v>
      </c>
      <c r="H38">
        <v>217269770.03617799</v>
      </c>
      <c r="I38">
        <v>4370.2250833333301</v>
      </c>
      <c r="J38">
        <v>7839489.8077567602</v>
      </c>
      <c r="K38">
        <v>0.204776392694063</v>
      </c>
      <c r="L38">
        <v>27.714784426558101</v>
      </c>
      <c r="M38" t="str">
        <f t="shared" si="1"/>
        <v>High Solar</v>
      </c>
      <c r="N38" t="str">
        <f t="shared" si="2"/>
        <v>Medium RE Cost</v>
      </c>
      <c r="O38">
        <f t="shared" si="0"/>
        <v>796677109.68726099</v>
      </c>
      <c r="P38">
        <f t="shared" si="3"/>
        <v>101.62359148665404</v>
      </c>
      <c r="Q38">
        <f t="shared" si="4"/>
        <v>74.010000000000005</v>
      </c>
      <c r="R38" s="229">
        <f t="shared" si="5"/>
        <v>580200640.67207789</v>
      </c>
      <c r="S38" s="297">
        <f t="shared" si="6"/>
        <v>96.106608574655084</v>
      </c>
      <c r="T38" s="297">
        <f t="shared" si="7"/>
        <v>68.492869507741972</v>
      </c>
      <c r="V38" s="296">
        <f t="shared" si="8"/>
        <v>74.010000000000005</v>
      </c>
      <c r="W38">
        <f t="shared" si="9"/>
        <v>0</v>
      </c>
      <c r="X38" s="297">
        <f t="shared" si="10"/>
        <v>68.489999999999995</v>
      </c>
    </row>
    <row r="39" spans="1:24" x14ac:dyDescent="0.2">
      <c r="A39" t="s">
        <v>233</v>
      </c>
      <c r="B39">
        <v>2040</v>
      </c>
      <c r="C39" t="s">
        <v>232</v>
      </c>
      <c r="D39" t="s">
        <v>214</v>
      </c>
      <c r="E39">
        <v>420295888.618815</v>
      </c>
      <c r="F39">
        <v>2730507.0618322701</v>
      </c>
      <c r="G39">
        <v>-2</v>
      </c>
      <c r="H39">
        <v>423026393.68064702</v>
      </c>
      <c r="I39">
        <v>10473.906000000001</v>
      </c>
      <c r="J39">
        <v>18764823.185694199</v>
      </c>
      <c r="K39">
        <v>0.20451807600619601</v>
      </c>
      <c r="L39">
        <v>22.543585382842799</v>
      </c>
      <c r="M39" t="str">
        <f t="shared" si="1"/>
        <v>High Solar</v>
      </c>
      <c r="N39" t="str">
        <f t="shared" si="2"/>
        <v>Medium RE Cost</v>
      </c>
      <c r="O39">
        <f t="shared" si="0"/>
        <v>1475131307.2772543</v>
      </c>
      <c r="P39">
        <f t="shared" si="3"/>
        <v>78.611521818220766</v>
      </c>
      <c r="Q39">
        <f t="shared" si="4"/>
        <v>56.21</v>
      </c>
      <c r="R39" s="229">
        <f t="shared" si="5"/>
        <v>1054770711.2678709</v>
      </c>
      <c r="S39" s="297">
        <f t="shared" si="6"/>
        <v>66.57055908863569</v>
      </c>
      <c r="T39" s="297">
        <f t="shared" si="7"/>
        <v>44.172485711678036</v>
      </c>
      <c r="V39" s="296">
        <f t="shared" si="8"/>
        <v>56.21</v>
      </c>
      <c r="W39">
        <f t="shared" si="9"/>
        <v>-1.0658240582435899E-7</v>
      </c>
      <c r="X39" s="297">
        <f t="shared" si="10"/>
        <v>44.17</v>
      </c>
    </row>
    <row r="40" spans="1:24" x14ac:dyDescent="0.2">
      <c r="A40" t="s">
        <v>233</v>
      </c>
      <c r="B40">
        <v>2050</v>
      </c>
      <c r="C40" t="s">
        <v>232</v>
      </c>
      <c r="D40" t="s">
        <v>214</v>
      </c>
      <c r="E40">
        <v>616469091.53693902</v>
      </c>
      <c r="F40">
        <v>3441419.1703540999</v>
      </c>
      <c r="G40">
        <v>5190391</v>
      </c>
      <c r="H40">
        <v>625100901.70729399</v>
      </c>
      <c r="I40">
        <v>15730.8939166666</v>
      </c>
      <c r="J40">
        <v>27918570.2642227</v>
      </c>
      <c r="K40">
        <v>0.202598238657549</v>
      </c>
      <c r="L40">
        <v>22.390147338896899</v>
      </c>
      <c r="M40" t="str">
        <f t="shared" si="1"/>
        <v>High Solar</v>
      </c>
      <c r="N40" t="str">
        <f t="shared" si="2"/>
        <v>Medium RE Cost</v>
      </c>
      <c r="O40">
        <f t="shared" si="0"/>
        <v>1857774234.0994</v>
      </c>
      <c r="P40">
        <f t="shared" si="3"/>
        <v>66.542599299223951</v>
      </c>
      <c r="Q40">
        <f t="shared" si="4"/>
        <v>44.28</v>
      </c>
      <c r="R40" s="229">
        <f t="shared" si="5"/>
        <v>1236234291.2997811</v>
      </c>
      <c r="S40" s="297">
        <f t="shared" si="6"/>
        <v>59.252144159925678</v>
      </c>
      <c r="T40" s="297">
        <f t="shared" si="7"/>
        <v>36.985263132225349</v>
      </c>
      <c r="V40" s="296">
        <f t="shared" si="8"/>
        <v>44.47</v>
      </c>
      <c r="W40">
        <f t="shared" si="9"/>
        <v>0.18591177667329983</v>
      </c>
      <c r="X40" s="297">
        <f t="shared" si="10"/>
        <v>37.17</v>
      </c>
    </row>
    <row r="41" spans="1:24" x14ac:dyDescent="0.2">
      <c r="A41" t="s">
        <v>234</v>
      </c>
      <c r="B41">
        <v>2030</v>
      </c>
      <c r="C41" t="s">
        <v>232</v>
      </c>
      <c r="D41" t="s">
        <v>216</v>
      </c>
      <c r="E41">
        <v>244060361.70799199</v>
      </c>
      <c r="F41">
        <v>2428479.2587048798</v>
      </c>
      <c r="G41">
        <v>-1</v>
      </c>
      <c r="H41">
        <v>246488839.96669701</v>
      </c>
      <c r="I41">
        <v>4370.2250833333301</v>
      </c>
      <c r="J41">
        <v>7839489.8077567602</v>
      </c>
      <c r="K41">
        <v>0.204776392694063</v>
      </c>
      <c r="L41">
        <v>31.441949158835499</v>
      </c>
      <c r="M41" t="str">
        <f t="shared" si="1"/>
        <v>High Solar</v>
      </c>
      <c r="N41" t="str">
        <f t="shared" si="2"/>
        <v>High RE Cost</v>
      </c>
      <c r="O41">
        <f t="shared" si="0"/>
        <v>1037037209.9623756</v>
      </c>
      <c r="P41">
        <f t="shared" si="3"/>
        <v>132.28376276939377</v>
      </c>
      <c r="Q41">
        <f t="shared" si="4"/>
        <v>101.15</v>
      </c>
      <c r="R41" s="229">
        <f t="shared" si="5"/>
        <v>792964394.0545963</v>
      </c>
      <c r="S41" s="297">
        <f t="shared" si="6"/>
        <v>125.10228799510858</v>
      </c>
      <c r="T41" s="297">
        <f t="shared" si="7"/>
        <v>93.970114002547589</v>
      </c>
      <c r="V41" s="296">
        <f t="shared" si="8"/>
        <v>101.15</v>
      </c>
      <c r="W41">
        <f t="shared" si="9"/>
        <v>-1.2755932140004226E-7</v>
      </c>
      <c r="X41" s="297">
        <f t="shared" si="10"/>
        <v>93.97</v>
      </c>
    </row>
    <row r="42" spans="1:24" x14ac:dyDescent="0.2">
      <c r="A42" t="s">
        <v>234</v>
      </c>
      <c r="B42">
        <v>2040</v>
      </c>
      <c r="C42" t="s">
        <v>232</v>
      </c>
      <c r="D42" t="s">
        <v>216</v>
      </c>
      <c r="E42">
        <v>553367185.80714095</v>
      </c>
      <c r="F42">
        <v>669224.9534005</v>
      </c>
      <c r="G42">
        <v>-22</v>
      </c>
      <c r="H42">
        <v>554036388.76054204</v>
      </c>
      <c r="I42">
        <v>10473.906000000001</v>
      </c>
      <c r="J42">
        <v>18764823.185694199</v>
      </c>
      <c r="K42">
        <v>0.20451807600619601</v>
      </c>
      <c r="L42">
        <v>29.525265614169101</v>
      </c>
      <c r="M42" t="str">
        <f t="shared" si="1"/>
        <v>High Solar</v>
      </c>
      <c r="N42" t="str">
        <f t="shared" si="2"/>
        <v>High RE Cost</v>
      </c>
      <c r="O42">
        <f t="shared" si="0"/>
        <v>2156969266.5728054</v>
      </c>
      <c r="P42">
        <f t="shared" si="3"/>
        <v>114.94748686026635</v>
      </c>
      <c r="Q42">
        <f t="shared" si="4"/>
        <v>85.46</v>
      </c>
      <c r="R42" s="229">
        <f t="shared" si="5"/>
        <v>1603641789.4494262</v>
      </c>
      <c r="S42" s="297">
        <f t="shared" si="6"/>
        <v>105.43842332469075</v>
      </c>
      <c r="T42" s="297">
        <f t="shared" si="7"/>
        <v>75.948821513307138</v>
      </c>
      <c r="V42" s="296">
        <f t="shared" si="8"/>
        <v>85.46</v>
      </c>
      <c r="W42">
        <f t="shared" si="9"/>
        <v>-1.1724064640679489E-6</v>
      </c>
      <c r="X42" s="297">
        <f t="shared" si="10"/>
        <v>75.95</v>
      </c>
    </row>
    <row r="43" spans="1:24" x14ac:dyDescent="0.2">
      <c r="A43" t="s">
        <v>234</v>
      </c>
      <c r="B43">
        <v>2050</v>
      </c>
      <c r="C43" t="s">
        <v>232</v>
      </c>
      <c r="D43" t="s">
        <v>216</v>
      </c>
      <c r="E43">
        <v>640687501.13205004</v>
      </c>
      <c r="F43">
        <v>599158.30637507199</v>
      </c>
      <c r="G43">
        <v>130200860</v>
      </c>
      <c r="H43">
        <v>771487519.43842494</v>
      </c>
      <c r="I43">
        <v>15730.8939166666</v>
      </c>
      <c r="J43">
        <v>27918570.2642227</v>
      </c>
      <c r="K43">
        <v>0.202598238657549</v>
      </c>
      <c r="L43">
        <v>27.633489542517001</v>
      </c>
      <c r="M43" t="str">
        <f t="shared" si="1"/>
        <v>High Solar</v>
      </c>
      <c r="N43" t="str">
        <f t="shared" si="2"/>
        <v>High RE Cost</v>
      </c>
      <c r="O43">
        <f t="shared" si="0"/>
        <v>2481229862.8834763</v>
      </c>
      <c r="P43">
        <f t="shared" si="3"/>
        <v>88.873815507062034</v>
      </c>
      <c r="Q43">
        <f t="shared" si="4"/>
        <v>61.26</v>
      </c>
      <c r="R43" s="229">
        <f t="shared" si="5"/>
        <v>1710291614.3862824</v>
      </c>
      <c r="S43" s="297">
        <f t="shared" si="6"/>
        <v>79.943949986749161</v>
      </c>
      <c r="T43" s="297">
        <f t="shared" si="7"/>
        <v>52.331921367936474</v>
      </c>
      <c r="V43" s="296">
        <f t="shared" si="8"/>
        <v>65.92</v>
      </c>
      <c r="W43">
        <f t="shared" si="9"/>
        <v>4.6635933992239842</v>
      </c>
      <c r="X43" s="297">
        <f t="shared" si="10"/>
        <v>57</v>
      </c>
    </row>
    <row r="44" spans="1:24" x14ac:dyDescent="0.2">
      <c r="A44" t="s">
        <v>235</v>
      </c>
      <c r="B44">
        <v>2030</v>
      </c>
      <c r="C44" t="s">
        <v>232</v>
      </c>
      <c r="D44" t="s">
        <v>218</v>
      </c>
      <c r="E44">
        <v>216830113.00834799</v>
      </c>
      <c r="F44">
        <v>1140377.4255939899</v>
      </c>
      <c r="G44">
        <v>-1</v>
      </c>
      <c r="H44">
        <v>217970489.43394199</v>
      </c>
      <c r="I44">
        <v>4370.2250833333301</v>
      </c>
      <c r="J44">
        <v>7839489.8077567602</v>
      </c>
      <c r="K44">
        <v>0.204776392694063</v>
      </c>
      <c r="L44">
        <v>27.804167717428701</v>
      </c>
      <c r="M44" t="str">
        <f t="shared" si="1"/>
        <v>High Solar</v>
      </c>
      <c r="N44" t="str">
        <f t="shared" si="2"/>
        <v>Medium RE Cost</v>
      </c>
      <c r="O44">
        <f t="shared" si="0"/>
        <v>796677109.68726099</v>
      </c>
      <c r="P44">
        <f t="shared" si="3"/>
        <v>101.62359148665404</v>
      </c>
      <c r="Q44">
        <f t="shared" si="4"/>
        <v>73.959999999999994</v>
      </c>
      <c r="R44" s="229">
        <f t="shared" si="5"/>
        <v>579808666.18168998</v>
      </c>
      <c r="S44" s="297">
        <f t="shared" si="6"/>
        <v>96.106608574655084</v>
      </c>
      <c r="T44" s="297">
        <f t="shared" si="7"/>
        <v>68.447906627775055</v>
      </c>
      <c r="V44" s="296">
        <f t="shared" si="8"/>
        <v>73.959999999999994</v>
      </c>
      <c r="W44">
        <f t="shared" si="9"/>
        <v>-1.2755932140004226E-7</v>
      </c>
      <c r="X44" s="297">
        <f t="shared" si="10"/>
        <v>68.45</v>
      </c>
    </row>
    <row r="45" spans="1:24" x14ac:dyDescent="0.2">
      <c r="A45" t="s">
        <v>235</v>
      </c>
      <c r="B45">
        <v>2040</v>
      </c>
      <c r="C45" t="s">
        <v>232</v>
      </c>
      <c r="D45" t="s">
        <v>218</v>
      </c>
      <c r="E45">
        <v>418187153.144665</v>
      </c>
      <c r="F45">
        <v>936296.67349612003</v>
      </c>
      <c r="G45">
        <v>-11</v>
      </c>
      <c r="H45">
        <v>419123438.81816101</v>
      </c>
      <c r="I45">
        <v>10473.906000000001</v>
      </c>
      <c r="J45">
        <v>18764823.185694199</v>
      </c>
      <c r="K45">
        <v>0.20451807600619601</v>
      </c>
      <c r="L45">
        <v>22.335592223309</v>
      </c>
      <c r="M45" t="str">
        <f t="shared" si="1"/>
        <v>High Solar</v>
      </c>
      <c r="N45" t="str">
        <f t="shared" si="2"/>
        <v>Medium RE Cost</v>
      </c>
      <c r="O45">
        <f t="shared" si="0"/>
        <v>1475131307.2772543</v>
      </c>
      <c r="P45">
        <f t="shared" si="3"/>
        <v>78.611521818220766</v>
      </c>
      <c r="Q45">
        <f t="shared" si="4"/>
        <v>56.33</v>
      </c>
      <c r="R45" s="229">
        <f t="shared" si="5"/>
        <v>1057022490.0501542</v>
      </c>
      <c r="S45" s="297">
        <f t="shared" si="6"/>
        <v>66.57055908863569</v>
      </c>
      <c r="T45" s="297">
        <f t="shared" si="7"/>
        <v>44.284863241339899</v>
      </c>
      <c r="V45" s="296">
        <f t="shared" si="8"/>
        <v>56.33</v>
      </c>
      <c r="W45">
        <f t="shared" si="9"/>
        <v>-5.8620323203397446E-7</v>
      </c>
      <c r="X45" s="297">
        <f t="shared" si="10"/>
        <v>44.28</v>
      </c>
    </row>
    <row r="46" spans="1:24" x14ac:dyDescent="0.2">
      <c r="A46" t="s">
        <v>235</v>
      </c>
      <c r="B46">
        <v>2050</v>
      </c>
      <c r="C46" t="s">
        <v>232</v>
      </c>
      <c r="D46" t="s">
        <v>218</v>
      </c>
      <c r="E46">
        <v>593968312.13179898</v>
      </c>
      <c r="F46">
        <v>2273023.62393294</v>
      </c>
      <c r="G46">
        <v>4988683</v>
      </c>
      <c r="H46">
        <v>601230018.75573206</v>
      </c>
      <c r="I46">
        <v>15730.8939166666</v>
      </c>
      <c r="J46">
        <v>27918570.2642227</v>
      </c>
      <c r="K46">
        <v>0.202598238657549</v>
      </c>
      <c r="L46">
        <v>21.535129237122799</v>
      </c>
      <c r="M46" t="str">
        <f t="shared" si="1"/>
        <v>High Solar</v>
      </c>
      <c r="N46" t="str">
        <f t="shared" si="2"/>
        <v>Medium RE Cost</v>
      </c>
      <c r="O46">
        <f t="shared" si="0"/>
        <v>1857774234.0994</v>
      </c>
      <c r="P46">
        <f t="shared" si="3"/>
        <v>66.542599299223951</v>
      </c>
      <c r="Q46">
        <f t="shared" si="4"/>
        <v>45.09</v>
      </c>
      <c r="R46" s="229">
        <f t="shared" si="5"/>
        <v>1258848333.2138016</v>
      </c>
      <c r="S46" s="297">
        <f t="shared" si="6"/>
        <v>59.252144159925678</v>
      </c>
      <c r="T46" s="297">
        <f t="shared" si="7"/>
        <v>37.798431112902101</v>
      </c>
      <c r="V46" s="296">
        <f t="shared" si="8"/>
        <v>45.27</v>
      </c>
      <c r="W46">
        <f t="shared" si="9"/>
        <v>0.1786869081327182</v>
      </c>
      <c r="X46" s="297">
        <f t="shared" si="10"/>
        <v>37.979999999999997</v>
      </c>
    </row>
    <row r="47" spans="1:24" x14ac:dyDescent="0.2">
      <c r="A47" t="s">
        <v>236</v>
      </c>
      <c r="B47">
        <v>2030</v>
      </c>
      <c r="C47" t="s">
        <v>232</v>
      </c>
      <c r="D47" t="s">
        <v>220</v>
      </c>
      <c r="E47">
        <v>196196324.63954499</v>
      </c>
      <c r="F47">
        <v>1462001.72998575</v>
      </c>
      <c r="G47">
        <v>-2</v>
      </c>
      <c r="H47">
        <v>197658324.36953101</v>
      </c>
      <c r="I47">
        <v>4370.2250833333301</v>
      </c>
      <c r="J47">
        <v>7839489.8077567602</v>
      </c>
      <c r="K47">
        <v>0.204776392694063</v>
      </c>
      <c r="L47">
        <v>25.2131617256467</v>
      </c>
      <c r="M47" t="str">
        <f t="shared" si="1"/>
        <v>High Solar</v>
      </c>
      <c r="N47" t="str">
        <f t="shared" si="2"/>
        <v>Low RE Cost</v>
      </c>
      <c r="O47">
        <f t="shared" si="0"/>
        <v>722146827.94767082</v>
      </c>
      <c r="P47">
        <f t="shared" si="3"/>
        <v>92.116559324197951</v>
      </c>
      <c r="Q47">
        <f t="shared" si="4"/>
        <v>67.09</v>
      </c>
      <c r="R47" s="229">
        <f t="shared" si="5"/>
        <v>525951371.20240104</v>
      </c>
      <c r="S47" s="297">
        <f t="shared" si="6"/>
        <v>87.11569804514663</v>
      </c>
      <c r="T47" s="297">
        <f t="shared" si="7"/>
        <v>62.089028268062528</v>
      </c>
      <c r="V47" s="296">
        <f t="shared" si="8"/>
        <v>67.09</v>
      </c>
      <c r="W47">
        <f t="shared" si="9"/>
        <v>-2.5511864280008453E-7</v>
      </c>
      <c r="X47" s="297">
        <f t="shared" si="10"/>
        <v>62.09</v>
      </c>
    </row>
    <row r="48" spans="1:24" x14ac:dyDescent="0.2">
      <c r="A48" t="s">
        <v>236</v>
      </c>
      <c r="B48">
        <v>2040</v>
      </c>
      <c r="C48" t="s">
        <v>232</v>
      </c>
      <c r="D48" t="s">
        <v>220</v>
      </c>
      <c r="E48">
        <v>363515126.65573198</v>
      </c>
      <c r="F48">
        <v>3643007.1633415101</v>
      </c>
      <c r="G48">
        <v>-5</v>
      </c>
      <c r="H48">
        <v>367158128.81907302</v>
      </c>
      <c r="I48">
        <v>10473.906000000001</v>
      </c>
      <c r="J48">
        <v>18764823.185694199</v>
      </c>
      <c r="K48">
        <v>0.20451807600619601</v>
      </c>
      <c r="L48">
        <v>19.566298343753299</v>
      </c>
      <c r="M48" t="str">
        <f t="shared" si="1"/>
        <v>High Solar</v>
      </c>
      <c r="N48" t="str">
        <f t="shared" si="2"/>
        <v>Low RE Cost</v>
      </c>
      <c r="O48">
        <f t="shared" si="0"/>
        <v>1227981040.1559095</v>
      </c>
      <c r="P48">
        <f t="shared" si="3"/>
        <v>65.440586783257814</v>
      </c>
      <c r="Q48">
        <f t="shared" si="4"/>
        <v>46.07</v>
      </c>
      <c r="R48" s="229">
        <f t="shared" si="5"/>
        <v>864495404.16493177</v>
      </c>
      <c r="S48" s="297">
        <f t="shared" si="6"/>
        <v>51.758222969109426</v>
      </c>
      <c r="T48" s="297">
        <f t="shared" si="7"/>
        <v>32.386064859308192</v>
      </c>
      <c r="V48" s="296">
        <f t="shared" si="8"/>
        <v>46.07</v>
      </c>
      <c r="W48">
        <f t="shared" si="9"/>
        <v>-2.6645601456089745E-7</v>
      </c>
      <c r="X48" s="297">
        <f t="shared" si="10"/>
        <v>32.39</v>
      </c>
    </row>
    <row r="49" spans="1:24" x14ac:dyDescent="0.2">
      <c r="A49" t="s">
        <v>236</v>
      </c>
      <c r="B49">
        <v>2050</v>
      </c>
      <c r="C49" t="s">
        <v>232</v>
      </c>
      <c r="D49" t="s">
        <v>220</v>
      </c>
      <c r="E49">
        <v>565157711.32666802</v>
      </c>
      <c r="F49">
        <v>8516556.2020808905</v>
      </c>
      <c r="G49">
        <v>-141</v>
      </c>
      <c r="H49">
        <v>573674126.52874899</v>
      </c>
      <c r="I49">
        <v>15730.8939166666</v>
      </c>
      <c r="J49">
        <v>27918570.2642227</v>
      </c>
      <c r="K49">
        <v>0.202598238657549</v>
      </c>
      <c r="L49">
        <v>20.548119803394901</v>
      </c>
      <c r="M49" t="str">
        <f t="shared" si="1"/>
        <v>High Solar</v>
      </c>
      <c r="N49" t="str">
        <f t="shared" si="2"/>
        <v>Low RE Cost</v>
      </c>
      <c r="O49">
        <f t="shared" si="0"/>
        <v>1496035802.9716711</v>
      </c>
      <c r="P49">
        <f t="shared" si="3"/>
        <v>53.585688264589336</v>
      </c>
      <c r="Q49">
        <f t="shared" si="4"/>
        <v>33.340000000000003</v>
      </c>
      <c r="R49" s="229">
        <f t="shared" si="5"/>
        <v>930805132.60918486</v>
      </c>
      <c r="S49" s="297">
        <f t="shared" si="6"/>
        <v>44.676004856383202</v>
      </c>
      <c r="T49" s="297">
        <f t="shared" si="7"/>
        <v>24.432934921999404</v>
      </c>
      <c r="V49" s="296">
        <f t="shared" si="8"/>
        <v>33.340000000000003</v>
      </c>
      <c r="W49">
        <f t="shared" si="9"/>
        <v>-5.0504018889781664E-6</v>
      </c>
      <c r="X49" s="297">
        <f t="shared" si="10"/>
        <v>24.43</v>
      </c>
    </row>
    <row r="50" spans="1:24" x14ac:dyDescent="0.2">
      <c r="A50" t="s">
        <v>237</v>
      </c>
      <c r="B50">
        <v>2030</v>
      </c>
      <c r="C50" t="s">
        <v>232</v>
      </c>
      <c r="D50" t="s">
        <v>222</v>
      </c>
      <c r="E50">
        <v>214415907.97752601</v>
      </c>
      <c r="F50">
        <v>1128022.11403212</v>
      </c>
      <c r="G50">
        <v>-3</v>
      </c>
      <c r="H50">
        <v>215543927.09155801</v>
      </c>
      <c r="I50">
        <v>4370.2250833333301</v>
      </c>
      <c r="J50">
        <v>7839489.8077567602</v>
      </c>
      <c r="K50">
        <v>0.204776392694063</v>
      </c>
      <c r="L50">
        <v>27.494637071699302</v>
      </c>
      <c r="M50" t="str">
        <f t="shared" si="1"/>
        <v>High Solar</v>
      </c>
      <c r="N50" t="str">
        <f t="shared" si="2"/>
        <v>Medium RE Cost</v>
      </c>
      <c r="O50">
        <f t="shared" si="0"/>
        <v>796677109.68726099</v>
      </c>
      <c r="P50">
        <f t="shared" si="3"/>
        <v>101.62359148665404</v>
      </c>
      <c r="Q50">
        <f t="shared" si="4"/>
        <v>74.27</v>
      </c>
      <c r="R50" s="229">
        <f t="shared" si="5"/>
        <v>582238908.02209449</v>
      </c>
      <c r="S50" s="297">
        <f t="shared" si="6"/>
        <v>96.106608574655084</v>
      </c>
      <c r="T50" s="297">
        <f t="shared" si="7"/>
        <v>68.755861238345929</v>
      </c>
      <c r="V50" s="296">
        <f t="shared" si="8"/>
        <v>74.27</v>
      </c>
      <c r="W50">
        <f t="shared" si="9"/>
        <v>-3.8267796420012674E-7</v>
      </c>
      <c r="X50" s="297">
        <f t="shared" si="10"/>
        <v>68.760000000000005</v>
      </c>
    </row>
    <row r="51" spans="1:24" x14ac:dyDescent="0.2">
      <c r="A51" t="s">
        <v>237</v>
      </c>
      <c r="B51">
        <v>2040</v>
      </c>
      <c r="C51" t="s">
        <v>232</v>
      </c>
      <c r="D51" t="s">
        <v>222</v>
      </c>
      <c r="E51">
        <v>418065350.23091501</v>
      </c>
      <c r="F51">
        <v>1639941.9697201101</v>
      </c>
      <c r="G51">
        <v>-35</v>
      </c>
      <c r="H51">
        <v>419705257.20063502</v>
      </c>
      <c r="I51">
        <v>10473.906000000001</v>
      </c>
      <c r="J51">
        <v>18764823.185694199</v>
      </c>
      <c r="K51">
        <v>0.20451807600619601</v>
      </c>
      <c r="L51">
        <v>22.3665980247874</v>
      </c>
      <c r="M51" t="str">
        <f t="shared" si="1"/>
        <v>High Solar</v>
      </c>
      <c r="N51" t="str">
        <f t="shared" si="2"/>
        <v>Medium RE Cost</v>
      </c>
      <c r="O51">
        <f t="shared" si="0"/>
        <v>1475131307.2772543</v>
      </c>
      <c r="P51">
        <f t="shared" si="3"/>
        <v>78.611521818220766</v>
      </c>
      <c r="Q51">
        <f t="shared" si="4"/>
        <v>56.33</v>
      </c>
      <c r="R51" s="229">
        <f t="shared" si="5"/>
        <v>1057022490.0501542</v>
      </c>
      <c r="S51" s="297">
        <f t="shared" si="6"/>
        <v>66.57055908863569</v>
      </c>
      <c r="T51" s="297">
        <f t="shared" si="7"/>
        <v>44.291355544120719</v>
      </c>
      <c r="V51" s="296">
        <f t="shared" si="8"/>
        <v>56.33</v>
      </c>
      <c r="W51">
        <f t="shared" si="9"/>
        <v>-1.8651921019262824E-6</v>
      </c>
      <c r="X51" s="297">
        <f t="shared" si="10"/>
        <v>44.29</v>
      </c>
    </row>
    <row r="52" spans="1:24" x14ac:dyDescent="0.2">
      <c r="A52" t="s">
        <v>237</v>
      </c>
      <c r="B52">
        <v>2050</v>
      </c>
      <c r="C52" t="s">
        <v>232</v>
      </c>
      <c r="D52" t="s">
        <v>222</v>
      </c>
      <c r="E52">
        <v>623426480.74884701</v>
      </c>
      <c r="F52">
        <v>2465240.6059562699</v>
      </c>
      <c r="G52">
        <v>6930</v>
      </c>
      <c r="H52">
        <v>625898651.35480297</v>
      </c>
      <c r="I52">
        <v>15730.8939166666</v>
      </c>
      <c r="J52">
        <v>27918570.2642227</v>
      </c>
      <c r="K52">
        <v>0.202598238657549</v>
      </c>
      <c r="L52">
        <v>22.418721497242402</v>
      </c>
      <c r="M52" t="str">
        <f t="shared" si="1"/>
        <v>High Solar</v>
      </c>
      <c r="N52" t="str">
        <f t="shared" si="2"/>
        <v>Medium RE Cost</v>
      </c>
      <c r="O52">
        <f t="shared" si="0"/>
        <v>1857774234.0994</v>
      </c>
      <c r="P52">
        <f t="shared" si="3"/>
        <v>66.542599299223951</v>
      </c>
      <c r="Q52">
        <f t="shared" si="4"/>
        <v>44.21</v>
      </c>
      <c r="R52" s="229">
        <f t="shared" si="5"/>
        <v>1234279991.3812857</v>
      </c>
      <c r="S52" s="297">
        <f t="shared" si="6"/>
        <v>59.252144159925678</v>
      </c>
      <c r="T52" s="297">
        <f t="shared" si="7"/>
        <v>36.921723767740723</v>
      </c>
      <c r="V52" s="296">
        <f t="shared" si="8"/>
        <v>44.21</v>
      </c>
      <c r="W52">
        <f t="shared" si="9"/>
        <v>2.482218800753099E-4</v>
      </c>
      <c r="X52" s="297">
        <f t="shared" si="10"/>
        <v>36.92</v>
      </c>
    </row>
    <row r="53" spans="1:24" x14ac:dyDescent="0.2">
      <c r="A53" t="s">
        <v>238</v>
      </c>
      <c r="B53">
        <v>2030</v>
      </c>
      <c r="C53" t="s">
        <v>232</v>
      </c>
      <c r="D53" t="s">
        <v>224</v>
      </c>
      <c r="E53">
        <v>212255722.215606</v>
      </c>
      <c r="F53">
        <v>615236.76483024901</v>
      </c>
      <c r="G53">
        <v>-2</v>
      </c>
      <c r="H53">
        <v>212870956.980436</v>
      </c>
      <c r="I53">
        <v>4370.2250833333301</v>
      </c>
      <c r="J53">
        <v>7839489.8077567602</v>
      </c>
      <c r="K53">
        <v>0.204776392694063</v>
      </c>
      <c r="L53">
        <v>27.153674818201999</v>
      </c>
      <c r="M53" t="str">
        <f t="shared" si="1"/>
        <v>High Solar</v>
      </c>
      <c r="N53" t="str">
        <f t="shared" si="2"/>
        <v>Medium RE Cost</v>
      </c>
      <c r="O53">
        <f t="shared" si="0"/>
        <v>796677109.68726099</v>
      </c>
      <c r="P53">
        <f t="shared" si="3"/>
        <v>101.62359148665404</v>
      </c>
      <c r="Q53">
        <f t="shared" si="4"/>
        <v>74.55</v>
      </c>
      <c r="R53" s="229">
        <f t="shared" si="5"/>
        <v>584433965.16826642</v>
      </c>
      <c r="S53" s="297">
        <f t="shared" si="6"/>
        <v>96.106608574655084</v>
      </c>
      <c r="T53" s="297">
        <f t="shared" si="7"/>
        <v>69.031412940675168</v>
      </c>
      <c r="V53" s="296">
        <f t="shared" si="8"/>
        <v>74.55</v>
      </c>
      <c r="W53">
        <f t="shared" si="9"/>
        <v>-2.5511864280008453E-7</v>
      </c>
      <c r="X53" s="297">
        <f t="shared" si="10"/>
        <v>69.03</v>
      </c>
    </row>
    <row r="54" spans="1:24" x14ac:dyDescent="0.2">
      <c r="A54" t="s">
        <v>238</v>
      </c>
      <c r="B54">
        <v>2040</v>
      </c>
      <c r="C54" t="s">
        <v>232</v>
      </c>
      <c r="D54" t="s">
        <v>224</v>
      </c>
      <c r="E54">
        <v>448653507.66124398</v>
      </c>
      <c r="F54">
        <v>2152403.7206448601</v>
      </c>
      <c r="G54">
        <v>-16</v>
      </c>
      <c r="H54">
        <v>450805895.38188899</v>
      </c>
      <c r="I54">
        <v>10473.906000000001</v>
      </c>
      <c r="J54">
        <v>18764823.185694199</v>
      </c>
      <c r="K54">
        <v>0.20451807600619601</v>
      </c>
      <c r="L54">
        <v>24.0239884448029</v>
      </c>
      <c r="M54" t="str">
        <f t="shared" si="1"/>
        <v>High Solar</v>
      </c>
      <c r="N54" t="str">
        <f t="shared" si="2"/>
        <v>Medium RE Cost</v>
      </c>
      <c r="O54">
        <f t="shared" si="0"/>
        <v>1475131307.2772543</v>
      </c>
      <c r="P54">
        <f t="shared" si="3"/>
        <v>78.611521818220766</v>
      </c>
      <c r="Q54">
        <f t="shared" si="4"/>
        <v>54.7</v>
      </c>
      <c r="R54" s="229">
        <f t="shared" si="5"/>
        <v>1026435828.2574728</v>
      </c>
      <c r="S54" s="297">
        <f t="shared" si="6"/>
        <v>66.57055908863569</v>
      </c>
      <c r="T54" s="297">
        <f t="shared" si="7"/>
        <v>42.661274827258509</v>
      </c>
      <c r="V54" s="296">
        <f t="shared" si="8"/>
        <v>54.7</v>
      </c>
      <c r="W54">
        <f t="shared" si="9"/>
        <v>-8.5265924659487196E-7</v>
      </c>
      <c r="X54" s="297">
        <f t="shared" si="10"/>
        <v>42.66</v>
      </c>
    </row>
    <row r="55" spans="1:24" x14ac:dyDescent="0.2">
      <c r="A55" t="s">
        <v>238</v>
      </c>
      <c r="B55">
        <v>2050</v>
      </c>
      <c r="C55" t="s">
        <v>232</v>
      </c>
      <c r="D55" t="s">
        <v>224</v>
      </c>
      <c r="E55">
        <v>682117740.26694703</v>
      </c>
      <c r="F55">
        <v>8606093.2159827594</v>
      </c>
      <c r="G55">
        <v>-38</v>
      </c>
      <c r="H55">
        <v>690723795.48292994</v>
      </c>
      <c r="I55">
        <v>15730.8939166666</v>
      </c>
      <c r="J55">
        <v>27918570.2642227</v>
      </c>
      <c r="K55">
        <v>0.202598238657549</v>
      </c>
      <c r="L55">
        <v>24.740657882759901</v>
      </c>
      <c r="M55" t="str">
        <f t="shared" si="1"/>
        <v>High Solar</v>
      </c>
      <c r="N55" t="str">
        <f t="shared" si="2"/>
        <v>Medium RE Cost</v>
      </c>
      <c r="O55">
        <f t="shared" si="0"/>
        <v>1857774234.0994</v>
      </c>
      <c r="P55">
        <f t="shared" si="3"/>
        <v>66.542599299223951</v>
      </c>
      <c r="Q55">
        <f t="shared" si="4"/>
        <v>42.11</v>
      </c>
      <c r="R55" s="229">
        <f t="shared" si="5"/>
        <v>1175650993.8264179</v>
      </c>
      <c r="S55" s="297">
        <f t="shared" si="6"/>
        <v>59.252144159925678</v>
      </c>
      <c r="T55" s="297">
        <f t="shared" si="7"/>
        <v>34.819743223511239</v>
      </c>
      <c r="V55" s="296">
        <f t="shared" si="8"/>
        <v>42.11</v>
      </c>
      <c r="W55">
        <f t="shared" si="9"/>
        <v>-1.3611012183061725E-6</v>
      </c>
      <c r="X55" s="297">
        <f t="shared" si="10"/>
        <v>34.82</v>
      </c>
    </row>
    <row r="56" spans="1:24" x14ac:dyDescent="0.2">
      <c r="A56" t="s">
        <v>239</v>
      </c>
      <c r="B56">
        <v>2030</v>
      </c>
      <c r="C56" t="s">
        <v>232</v>
      </c>
      <c r="D56" t="s">
        <v>226</v>
      </c>
      <c r="E56">
        <v>215119143.200598</v>
      </c>
      <c r="F56">
        <v>1598951.1710025901</v>
      </c>
      <c r="G56">
        <v>-2</v>
      </c>
      <c r="H56">
        <v>216718092.3716</v>
      </c>
      <c r="I56">
        <v>4370.2250833333301</v>
      </c>
      <c r="J56">
        <v>7839489.8077567602</v>
      </c>
      <c r="K56">
        <v>0.204776392694063</v>
      </c>
      <c r="L56">
        <v>27.644412798032999</v>
      </c>
      <c r="M56" t="str">
        <f t="shared" si="1"/>
        <v>High Solar</v>
      </c>
      <c r="N56" t="str">
        <f t="shared" si="2"/>
        <v>Medium RE Cost</v>
      </c>
      <c r="O56">
        <f t="shared" si="0"/>
        <v>796677109.68726099</v>
      </c>
      <c r="P56">
        <f t="shared" si="3"/>
        <v>101.62359148665404</v>
      </c>
      <c r="Q56">
        <f t="shared" si="4"/>
        <v>74.180000000000007</v>
      </c>
      <c r="R56" s="229">
        <f t="shared" si="5"/>
        <v>581533353.9393965</v>
      </c>
      <c r="S56" s="297">
        <f t="shared" si="6"/>
        <v>96.106608574655084</v>
      </c>
      <c r="T56" s="297">
        <f t="shared" si="7"/>
        <v>68.666156902946938</v>
      </c>
      <c r="V56" s="296">
        <f t="shared" si="8"/>
        <v>74.180000000000007</v>
      </c>
      <c r="W56">
        <f t="shared" si="9"/>
        <v>-2.5511864280008453E-7</v>
      </c>
      <c r="X56" s="297">
        <f t="shared" si="10"/>
        <v>68.67</v>
      </c>
    </row>
    <row r="57" spans="1:24" x14ac:dyDescent="0.2">
      <c r="A57" t="s">
        <v>239</v>
      </c>
      <c r="B57">
        <v>2040</v>
      </c>
      <c r="C57" t="s">
        <v>232</v>
      </c>
      <c r="D57" t="s">
        <v>226</v>
      </c>
      <c r="E57">
        <v>419562136.58537799</v>
      </c>
      <c r="F57">
        <v>2061859.27511668</v>
      </c>
      <c r="G57">
        <v>-12</v>
      </c>
      <c r="H57">
        <v>421623983.86049497</v>
      </c>
      <c r="I57">
        <v>10473.906000000001</v>
      </c>
      <c r="J57">
        <v>18764823.185694199</v>
      </c>
      <c r="K57">
        <v>0.20451807600619601</v>
      </c>
      <c r="L57">
        <v>22.468849276551101</v>
      </c>
      <c r="M57" t="str">
        <f t="shared" si="1"/>
        <v>High Solar</v>
      </c>
      <c r="N57" t="str">
        <f t="shared" si="2"/>
        <v>Medium RE Cost</v>
      </c>
      <c r="O57">
        <f t="shared" si="0"/>
        <v>1475131307.2772543</v>
      </c>
      <c r="P57">
        <f t="shared" si="3"/>
        <v>78.611521818220766</v>
      </c>
      <c r="Q57">
        <f t="shared" si="4"/>
        <v>56.25</v>
      </c>
      <c r="R57" s="229">
        <f t="shared" si="5"/>
        <v>1055521304.1952987</v>
      </c>
      <c r="S57" s="297">
        <f t="shared" si="6"/>
        <v>66.57055908863569</v>
      </c>
      <c r="T57" s="297">
        <f t="shared" si="7"/>
        <v>44.211588773091187</v>
      </c>
      <c r="V57" s="296">
        <f t="shared" si="8"/>
        <v>56.25</v>
      </c>
      <c r="W57">
        <f t="shared" si="9"/>
        <v>-6.3949443494615392E-7</v>
      </c>
      <c r="X57" s="297">
        <f t="shared" si="10"/>
        <v>44.21</v>
      </c>
    </row>
    <row r="58" spans="1:24" x14ac:dyDescent="0.2">
      <c r="A58" t="s">
        <v>239</v>
      </c>
      <c r="B58">
        <v>2050</v>
      </c>
      <c r="C58" t="s">
        <v>232</v>
      </c>
      <c r="D58" t="s">
        <v>226</v>
      </c>
      <c r="E58">
        <v>613085357.82891905</v>
      </c>
      <c r="F58">
        <v>2349230.6307018599</v>
      </c>
      <c r="G58">
        <v>240</v>
      </c>
      <c r="H58">
        <v>615434828.45962095</v>
      </c>
      <c r="I58">
        <v>15730.8939166666</v>
      </c>
      <c r="J58">
        <v>27918570.2642227</v>
      </c>
      <c r="K58">
        <v>0.202598238657549</v>
      </c>
      <c r="L58">
        <v>22.0439235474852</v>
      </c>
      <c r="M58" t="str">
        <f t="shared" si="1"/>
        <v>High Solar</v>
      </c>
      <c r="N58" t="str">
        <f t="shared" si="2"/>
        <v>Medium RE Cost</v>
      </c>
      <c r="O58">
        <f t="shared" si="0"/>
        <v>1857774234.0994</v>
      </c>
      <c r="P58">
        <f t="shared" si="3"/>
        <v>66.542599299223951</v>
      </c>
      <c r="Q58">
        <f t="shared" si="4"/>
        <v>44.58</v>
      </c>
      <c r="R58" s="229">
        <f t="shared" si="5"/>
        <v>1244609862.3790479</v>
      </c>
      <c r="S58" s="297">
        <f t="shared" si="6"/>
        <v>59.252144159925678</v>
      </c>
      <c r="T58" s="297">
        <f t="shared" si="7"/>
        <v>37.292366419638576</v>
      </c>
      <c r="V58" s="296">
        <f t="shared" si="8"/>
        <v>44.58</v>
      </c>
      <c r="W58">
        <f t="shared" si="9"/>
        <v>8.5964287471968799E-6</v>
      </c>
      <c r="X58" s="297">
        <f t="shared" si="10"/>
        <v>37.29</v>
      </c>
    </row>
    <row r="59" spans="1:24" x14ac:dyDescent="0.2">
      <c r="A59" t="s">
        <v>240</v>
      </c>
      <c r="B59">
        <v>2030</v>
      </c>
      <c r="C59" t="s">
        <v>228</v>
      </c>
      <c r="D59" t="s">
        <v>218</v>
      </c>
      <c r="E59">
        <v>216830538.95077899</v>
      </c>
      <c r="F59">
        <v>1140383.0894057001</v>
      </c>
      <c r="G59">
        <v>-2</v>
      </c>
      <c r="H59">
        <v>217970920.040185</v>
      </c>
      <c r="I59">
        <v>4370.2250833333301</v>
      </c>
      <c r="J59">
        <v>7839489.8077567602</v>
      </c>
      <c r="K59">
        <v>0.204776392694063</v>
      </c>
      <c r="L59">
        <v>27.804222645268801</v>
      </c>
      <c r="M59" t="str">
        <f t="shared" si="1"/>
        <v>High Solar</v>
      </c>
      <c r="N59" t="str">
        <f t="shared" si="2"/>
        <v>Medium RE Cost</v>
      </c>
      <c r="O59">
        <f t="shared" si="0"/>
        <v>796677109.68726099</v>
      </c>
      <c r="P59">
        <f t="shared" si="3"/>
        <v>101.62359148665404</v>
      </c>
      <c r="Q59">
        <f t="shared" si="4"/>
        <v>73.959999999999994</v>
      </c>
      <c r="R59" s="229">
        <f t="shared" si="5"/>
        <v>579808666.18168998</v>
      </c>
      <c r="S59" s="297">
        <f t="shared" si="6"/>
        <v>96.106608574655084</v>
      </c>
      <c r="T59" s="297">
        <f t="shared" si="7"/>
        <v>68.447852422406939</v>
      </c>
      <c r="V59" s="296">
        <f t="shared" si="8"/>
        <v>73.959999999999994</v>
      </c>
      <c r="W59">
        <f t="shared" si="9"/>
        <v>-2.5511864280008453E-7</v>
      </c>
      <c r="X59" s="297">
        <f t="shared" si="10"/>
        <v>68.45</v>
      </c>
    </row>
    <row r="60" spans="1:24" x14ac:dyDescent="0.2">
      <c r="A60" t="s">
        <v>240</v>
      </c>
      <c r="B60">
        <v>2040</v>
      </c>
      <c r="C60" t="s">
        <v>228</v>
      </c>
      <c r="D60" t="s">
        <v>218</v>
      </c>
      <c r="E60">
        <v>418182894.23514497</v>
      </c>
      <c r="F60">
        <v>935968.14058139897</v>
      </c>
      <c r="G60">
        <v>0</v>
      </c>
      <c r="H60">
        <v>419118862.375727</v>
      </c>
      <c r="I60">
        <v>10473.906000000001</v>
      </c>
      <c r="J60">
        <v>18764823.185694199</v>
      </c>
      <c r="K60">
        <v>0.20451807600619601</v>
      </c>
      <c r="L60">
        <v>22.335348339186599</v>
      </c>
      <c r="M60" t="str">
        <f t="shared" si="1"/>
        <v>High Solar</v>
      </c>
      <c r="N60" t="str">
        <f t="shared" si="2"/>
        <v>Medium RE Cost</v>
      </c>
      <c r="O60">
        <f t="shared" si="0"/>
        <v>1475131307.2772543</v>
      </c>
      <c r="P60">
        <f t="shared" si="3"/>
        <v>78.611521818220766</v>
      </c>
      <c r="Q60">
        <f t="shared" si="4"/>
        <v>56.33</v>
      </c>
      <c r="R60" s="229">
        <f t="shared" si="5"/>
        <v>1057022490.0501542</v>
      </c>
      <c r="S60" s="297">
        <f t="shared" si="6"/>
        <v>66.57055908863569</v>
      </c>
      <c r="T60" s="297">
        <f t="shared" si="7"/>
        <v>44.285089617548081</v>
      </c>
      <c r="V60" s="296">
        <f t="shared" si="8"/>
        <v>56.33</v>
      </c>
      <c r="W60">
        <f t="shared" si="9"/>
        <v>0</v>
      </c>
      <c r="X60" s="297">
        <f t="shared" si="10"/>
        <v>44.29</v>
      </c>
    </row>
    <row r="61" spans="1:24" x14ac:dyDescent="0.2">
      <c r="A61" t="s">
        <v>240</v>
      </c>
      <c r="B61">
        <v>2050</v>
      </c>
      <c r="C61" t="s">
        <v>228</v>
      </c>
      <c r="D61" t="s">
        <v>218</v>
      </c>
      <c r="E61">
        <v>595605254.88985896</v>
      </c>
      <c r="F61">
        <v>2267054.67466813</v>
      </c>
      <c r="G61">
        <v>-1</v>
      </c>
      <c r="H61">
        <v>597872308.56452799</v>
      </c>
      <c r="I61">
        <v>15730.8939166666</v>
      </c>
      <c r="J61">
        <v>27918570.2642227</v>
      </c>
      <c r="K61">
        <v>0.202598238657549</v>
      </c>
      <c r="L61">
        <v>21.414861252071098</v>
      </c>
      <c r="M61" t="str">
        <f t="shared" si="1"/>
        <v>High Solar</v>
      </c>
      <c r="N61" t="str">
        <f t="shared" si="2"/>
        <v>Medium RE Cost</v>
      </c>
      <c r="O61">
        <f t="shared" si="0"/>
        <v>1857774234.0994</v>
      </c>
      <c r="P61">
        <f t="shared" si="3"/>
        <v>66.542599299223951</v>
      </c>
      <c r="Q61">
        <f t="shared" si="4"/>
        <v>45.21</v>
      </c>
      <c r="R61" s="229">
        <f t="shared" si="5"/>
        <v>1262198561.6455083</v>
      </c>
      <c r="S61" s="297">
        <f t="shared" si="6"/>
        <v>59.252144159925678</v>
      </c>
      <c r="T61" s="297">
        <f t="shared" si="7"/>
        <v>37.918485299424511</v>
      </c>
      <c r="V61" s="296">
        <f t="shared" si="8"/>
        <v>45.21</v>
      </c>
      <c r="W61">
        <f t="shared" si="9"/>
        <v>-3.5818453113320328E-8</v>
      </c>
      <c r="X61" s="297">
        <f t="shared" si="10"/>
        <v>37.92</v>
      </c>
    </row>
    <row r="62" spans="1:24" x14ac:dyDescent="0.2">
      <c r="A62" t="s">
        <v>241</v>
      </c>
      <c r="B62">
        <v>2030</v>
      </c>
      <c r="C62" t="s">
        <v>228</v>
      </c>
      <c r="D62" t="s">
        <v>220</v>
      </c>
      <c r="E62">
        <v>196196214.07377201</v>
      </c>
      <c r="F62">
        <v>1461982.45729314</v>
      </c>
      <c r="G62">
        <v>-1</v>
      </c>
      <c r="H62">
        <v>197658195.53106499</v>
      </c>
      <c r="I62">
        <v>4370.2250833333301</v>
      </c>
      <c r="J62">
        <v>7839489.8077567602</v>
      </c>
      <c r="K62">
        <v>0.204776392694063</v>
      </c>
      <c r="L62">
        <v>25.2131452910996</v>
      </c>
      <c r="M62" t="str">
        <f t="shared" si="1"/>
        <v>High Solar</v>
      </c>
      <c r="N62" t="str">
        <f t="shared" si="2"/>
        <v>Low RE Cost</v>
      </c>
      <c r="O62">
        <f t="shared" si="0"/>
        <v>722146827.94767082</v>
      </c>
      <c r="P62">
        <f t="shared" si="3"/>
        <v>92.116559324197951</v>
      </c>
      <c r="Q62">
        <f t="shared" si="4"/>
        <v>67.09</v>
      </c>
      <c r="R62" s="229">
        <f t="shared" si="5"/>
        <v>525951371.20240104</v>
      </c>
      <c r="S62" s="297">
        <f t="shared" si="6"/>
        <v>87.11569804514663</v>
      </c>
      <c r="T62" s="297">
        <f t="shared" si="7"/>
        <v>62.089042244198176</v>
      </c>
      <c r="V62" s="296">
        <f t="shared" si="8"/>
        <v>67.09</v>
      </c>
      <c r="W62">
        <f t="shared" si="9"/>
        <v>-1.2755932140004226E-7</v>
      </c>
      <c r="X62" s="297">
        <f t="shared" si="10"/>
        <v>62.09</v>
      </c>
    </row>
    <row r="63" spans="1:24" x14ac:dyDescent="0.2">
      <c r="A63" t="s">
        <v>241</v>
      </c>
      <c r="B63">
        <v>2040</v>
      </c>
      <c r="C63" t="s">
        <v>228</v>
      </c>
      <c r="D63" t="s">
        <v>220</v>
      </c>
      <c r="E63">
        <v>363536626.71983302</v>
      </c>
      <c r="F63">
        <v>3643038.2708423301</v>
      </c>
      <c r="G63">
        <v>0</v>
      </c>
      <c r="H63">
        <v>367179664.99067497</v>
      </c>
      <c r="I63">
        <v>10473.906000000001</v>
      </c>
      <c r="J63">
        <v>18764823.185694199</v>
      </c>
      <c r="K63">
        <v>0.20451807600619601</v>
      </c>
      <c r="L63">
        <v>19.567446032244099</v>
      </c>
      <c r="M63" t="str">
        <f t="shared" si="1"/>
        <v>High Solar</v>
      </c>
      <c r="N63" t="str">
        <f t="shared" si="2"/>
        <v>Low RE Cost</v>
      </c>
      <c r="O63">
        <f t="shared" si="0"/>
        <v>1227981040.1559095</v>
      </c>
      <c r="P63">
        <f t="shared" si="3"/>
        <v>65.440586783257814</v>
      </c>
      <c r="Q63">
        <f t="shared" si="4"/>
        <v>46.07</v>
      </c>
      <c r="R63" s="229">
        <f t="shared" si="5"/>
        <v>864495404.16493177</v>
      </c>
      <c r="S63" s="297">
        <f t="shared" si="6"/>
        <v>51.758222969109426</v>
      </c>
      <c r="T63" s="297">
        <f t="shared" si="7"/>
        <v>32.384918828573547</v>
      </c>
      <c r="V63" s="296">
        <f t="shared" si="8"/>
        <v>46.07</v>
      </c>
      <c r="W63">
        <f t="shared" si="9"/>
        <v>0</v>
      </c>
      <c r="X63" s="297">
        <f t="shared" si="10"/>
        <v>32.380000000000003</v>
      </c>
    </row>
    <row r="64" spans="1:24" x14ac:dyDescent="0.2">
      <c r="A64" t="s">
        <v>241</v>
      </c>
      <c r="B64">
        <v>2050</v>
      </c>
      <c r="C64" t="s">
        <v>228</v>
      </c>
      <c r="D64" t="s">
        <v>220</v>
      </c>
      <c r="E64">
        <v>565160764.52648699</v>
      </c>
      <c r="F64">
        <v>8516339.2604690604</v>
      </c>
      <c r="G64">
        <v>-27</v>
      </c>
      <c r="H64">
        <v>573677076.78695595</v>
      </c>
      <c r="I64">
        <v>15730.8939166666</v>
      </c>
      <c r="J64">
        <v>27918570.2642227</v>
      </c>
      <c r="K64">
        <v>0.202598238657549</v>
      </c>
      <c r="L64">
        <v>20.548225477080202</v>
      </c>
      <c r="M64" t="str">
        <f t="shared" si="1"/>
        <v>High Solar</v>
      </c>
      <c r="N64" t="str">
        <f t="shared" si="2"/>
        <v>Low RE Cost</v>
      </c>
      <c r="O64">
        <f t="shared" si="0"/>
        <v>1496035802.9716711</v>
      </c>
      <c r="P64">
        <f t="shared" si="3"/>
        <v>53.585688264589336</v>
      </c>
      <c r="Q64">
        <f t="shared" si="4"/>
        <v>33.340000000000003</v>
      </c>
      <c r="R64" s="229">
        <f t="shared" si="5"/>
        <v>930805132.60918486</v>
      </c>
      <c r="S64" s="297">
        <f t="shared" si="6"/>
        <v>44.676004856383202</v>
      </c>
      <c r="T64" s="297">
        <f t="shared" si="7"/>
        <v>24.432821477801188</v>
      </c>
      <c r="V64" s="296">
        <f t="shared" si="8"/>
        <v>33.340000000000003</v>
      </c>
      <c r="W64">
        <f t="shared" si="9"/>
        <v>-9.6709823405964888E-7</v>
      </c>
      <c r="X64" s="297">
        <f t="shared" si="10"/>
        <v>24.43</v>
      </c>
    </row>
    <row r="65" spans="1:24" x14ac:dyDescent="0.2">
      <c r="A65" t="s">
        <v>242</v>
      </c>
      <c r="B65">
        <v>2030</v>
      </c>
      <c r="C65" t="s">
        <v>228</v>
      </c>
      <c r="D65" t="s">
        <v>222</v>
      </c>
      <c r="E65">
        <v>214416129.253324</v>
      </c>
      <c r="F65">
        <v>1128010.4769967599</v>
      </c>
      <c r="G65">
        <v>0</v>
      </c>
      <c r="H65">
        <v>215544139.73032099</v>
      </c>
      <c r="I65">
        <v>4370.2250833333301</v>
      </c>
      <c r="J65">
        <v>7839489.8077567602</v>
      </c>
      <c r="K65">
        <v>0.204776392694063</v>
      </c>
      <c r="L65">
        <v>27.4946641957556</v>
      </c>
      <c r="M65" t="str">
        <f t="shared" si="1"/>
        <v>High Solar</v>
      </c>
      <c r="N65" t="str">
        <f t="shared" si="2"/>
        <v>Medium RE Cost</v>
      </c>
      <c r="O65">
        <f t="shared" si="0"/>
        <v>796677109.68726099</v>
      </c>
      <c r="P65">
        <f t="shared" si="3"/>
        <v>101.62359148665404</v>
      </c>
      <c r="Q65">
        <f t="shared" si="4"/>
        <v>74.27</v>
      </c>
      <c r="R65" s="229">
        <f t="shared" si="5"/>
        <v>582238908.02209449</v>
      </c>
      <c r="S65" s="297">
        <f t="shared" si="6"/>
        <v>96.106608574655084</v>
      </c>
      <c r="T65" s="297">
        <f t="shared" si="7"/>
        <v>68.755832629877318</v>
      </c>
      <c r="V65" s="296">
        <f t="shared" si="8"/>
        <v>74.27</v>
      </c>
      <c r="W65">
        <f t="shared" si="9"/>
        <v>0</v>
      </c>
      <c r="X65" s="297">
        <f t="shared" si="10"/>
        <v>68.760000000000005</v>
      </c>
    </row>
    <row r="66" spans="1:24" x14ac:dyDescent="0.2">
      <c r="A66" t="s">
        <v>242</v>
      </c>
      <c r="B66">
        <v>2040</v>
      </c>
      <c r="C66" t="s">
        <v>228</v>
      </c>
      <c r="D66" t="s">
        <v>222</v>
      </c>
      <c r="E66">
        <v>418064738.14079201</v>
      </c>
      <c r="F66">
        <v>1640030.81776992</v>
      </c>
      <c r="G66">
        <v>-3</v>
      </c>
      <c r="H66">
        <v>419704765.95856202</v>
      </c>
      <c r="I66">
        <v>10473.906000000001</v>
      </c>
      <c r="J66">
        <v>18764823.185694199</v>
      </c>
      <c r="K66">
        <v>0.20451807600619601</v>
      </c>
      <c r="L66">
        <v>22.366571845906499</v>
      </c>
      <c r="M66" t="str">
        <f t="shared" si="1"/>
        <v>High Solar</v>
      </c>
      <c r="N66" t="str">
        <f t="shared" si="2"/>
        <v>Medium RE Cost</v>
      </c>
      <c r="O66">
        <f t="shared" ref="O66:O129" si="12">SUMIFS($AH$2:$AH$19,$AE$2:$AE$19,M66,$AF$2:$AF$19,N66,$AG$2:$AG$19,B66)</f>
        <v>1475131307.2772543</v>
      </c>
      <c r="P66">
        <f t="shared" si="3"/>
        <v>78.611521818220766</v>
      </c>
      <c r="Q66">
        <f t="shared" si="4"/>
        <v>56.33</v>
      </c>
      <c r="R66" s="229">
        <f t="shared" si="5"/>
        <v>1057022490.0501542</v>
      </c>
      <c r="S66" s="297">
        <f t="shared" si="6"/>
        <v>66.57055908863569</v>
      </c>
      <c r="T66" s="297">
        <f t="shared" si="7"/>
        <v>44.291386457821162</v>
      </c>
      <c r="V66" s="296">
        <f t="shared" si="8"/>
        <v>56.33</v>
      </c>
      <c r="W66">
        <f t="shared" si="9"/>
        <v>-1.5987360873653848E-7</v>
      </c>
      <c r="X66" s="297">
        <f t="shared" si="10"/>
        <v>44.29</v>
      </c>
    </row>
    <row r="67" spans="1:24" x14ac:dyDescent="0.2">
      <c r="A67" t="s">
        <v>242</v>
      </c>
      <c r="B67">
        <v>2050</v>
      </c>
      <c r="C67" t="s">
        <v>228</v>
      </c>
      <c r="D67" t="s">
        <v>222</v>
      </c>
      <c r="E67">
        <v>623392787.97491002</v>
      </c>
      <c r="F67">
        <v>2465225.5231751902</v>
      </c>
      <c r="G67">
        <v>-15</v>
      </c>
      <c r="H67">
        <v>625857998.49808502</v>
      </c>
      <c r="I67">
        <v>15730.8939166666</v>
      </c>
      <c r="J67">
        <v>27918570.2642227</v>
      </c>
      <c r="K67">
        <v>0.202598238657549</v>
      </c>
      <c r="L67">
        <v>22.417265374800099</v>
      </c>
      <c r="M67" t="str">
        <f t="shared" ref="M67:M130" si="13">IF(ISNUMBER(SEARCH("High Solar",C67)),"High Solar","Normal")</f>
        <v>High Solar</v>
      </c>
      <c r="N67" t="str">
        <f t="shared" ref="N67:N130" si="14">IF(ISNUMBER(SEARCH("High RE/BESS Cost",D67)),"High RE Cost",IF(ISNUMBER(SEARCH("Low RE/BESS Cost",D67)),"Low RE Cost","Medium RE Cost"))</f>
        <v>Medium RE Cost</v>
      </c>
      <c r="O67">
        <f t="shared" si="12"/>
        <v>1857774234.0994</v>
      </c>
      <c r="P67">
        <f t="shared" ref="P67:P130" si="15">O67/J67</f>
        <v>66.542599299223951</v>
      </c>
      <c r="Q67">
        <f t="shared" ref="Q67:Q130" si="16">ROUND((O67-E67-G67)/J67,2)</f>
        <v>44.21</v>
      </c>
      <c r="R67" s="229">
        <f t="shared" ref="R67:R130" si="17">Q67*J67</f>
        <v>1234279991.3812857</v>
      </c>
      <c r="S67" s="297">
        <f t="shared" ref="S67:S130" si="18">IFERROR(SUMIFS($AJ$2:$AJ$19,$AE$2:$AE$19,M67,$AF$2:$AF$19,N67,$AG$2:$AG$19,B67)/8760/K67/1.0453,"")</f>
        <v>59.252144159925678</v>
      </c>
      <c r="T67" s="297">
        <f t="shared" ref="T67:T130" si="19">IFERROR(S67-E67/J67-G67/J67,"")</f>
        <v>36.923179349941115</v>
      </c>
      <c r="V67" s="296">
        <f t="shared" ref="V67:V130" si="20">ROUND(Q67+G67/J67,2)</f>
        <v>44.21</v>
      </c>
      <c r="W67">
        <f t="shared" ref="W67:W130" si="21">G67/J67</f>
        <v>-5.3727679669980499E-7</v>
      </c>
      <c r="X67" s="297">
        <f t="shared" ref="X67:X130" si="22">IFERROR(ROUND(W67+T67,2),"")</f>
        <v>36.92</v>
      </c>
    </row>
    <row r="68" spans="1:24" x14ac:dyDescent="0.2">
      <c r="A68" t="s">
        <v>243</v>
      </c>
      <c r="B68">
        <v>2030</v>
      </c>
      <c r="C68" t="s">
        <v>228</v>
      </c>
      <c r="D68" t="s">
        <v>224</v>
      </c>
      <c r="E68">
        <v>212254173.16349199</v>
      </c>
      <c r="F68">
        <v>615299.54398761597</v>
      </c>
      <c r="G68">
        <v>0</v>
      </c>
      <c r="H68">
        <v>212869472.707479</v>
      </c>
      <c r="I68">
        <v>4370.2250833333301</v>
      </c>
      <c r="J68">
        <v>7839489.8077567602</v>
      </c>
      <c r="K68">
        <v>0.204776392694063</v>
      </c>
      <c r="L68">
        <v>27.153485485350799</v>
      </c>
      <c r="M68" t="str">
        <f t="shared" si="13"/>
        <v>High Solar</v>
      </c>
      <c r="N68" t="str">
        <f t="shared" si="14"/>
        <v>Medium RE Cost</v>
      </c>
      <c r="O68">
        <f t="shared" si="12"/>
        <v>796677109.68726099</v>
      </c>
      <c r="P68">
        <f t="shared" si="15"/>
        <v>101.62359148665404</v>
      </c>
      <c r="Q68">
        <f t="shared" si="16"/>
        <v>74.55</v>
      </c>
      <c r="R68" s="229">
        <f t="shared" si="17"/>
        <v>584433965.16826642</v>
      </c>
      <c r="S68" s="297">
        <f t="shared" si="18"/>
        <v>96.106608574655084</v>
      </c>
      <c r="T68" s="297">
        <f t="shared" si="19"/>
        <v>69.03161028159299</v>
      </c>
      <c r="V68" s="296">
        <f t="shared" si="20"/>
        <v>74.55</v>
      </c>
      <c r="W68">
        <f t="shared" si="21"/>
        <v>0</v>
      </c>
      <c r="X68" s="297">
        <f t="shared" si="22"/>
        <v>69.03</v>
      </c>
    </row>
    <row r="69" spans="1:24" x14ac:dyDescent="0.2">
      <c r="A69" t="s">
        <v>243</v>
      </c>
      <c r="B69">
        <v>2040</v>
      </c>
      <c r="C69" t="s">
        <v>228</v>
      </c>
      <c r="D69" t="s">
        <v>224</v>
      </c>
      <c r="E69">
        <v>448650711.80751699</v>
      </c>
      <c r="F69">
        <v>2152388.5502394098</v>
      </c>
      <c r="G69">
        <v>-7</v>
      </c>
      <c r="H69">
        <v>450803093.35775697</v>
      </c>
      <c r="I69">
        <v>10473.906000000001</v>
      </c>
      <c r="J69">
        <v>18764823.185694199</v>
      </c>
      <c r="K69">
        <v>0.20451807600619601</v>
      </c>
      <c r="L69">
        <v>24.023839121566301</v>
      </c>
      <c r="M69" t="str">
        <f t="shared" si="13"/>
        <v>High Solar</v>
      </c>
      <c r="N69" t="str">
        <f t="shared" si="14"/>
        <v>Medium RE Cost</v>
      </c>
      <c r="O69">
        <f t="shared" si="12"/>
        <v>1475131307.2772543</v>
      </c>
      <c r="P69">
        <f t="shared" si="15"/>
        <v>78.611521818220766</v>
      </c>
      <c r="Q69">
        <f t="shared" si="16"/>
        <v>54.7</v>
      </c>
      <c r="R69" s="229">
        <f t="shared" si="17"/>
        <v>1026435828.2574728</v>
      </c>
      <c r="S69" s="297">
        <f t="shared" si="18"/>
        <v>66.57055908863569</v>
      </c>
      <c r="T69" s="297">
        <f t="shared" si="19"/>
        <v>42.661423342045957</v>
      </c>
      <c r="V69" s="296">
        <f t="shared" si="20"/>
        <v>54.7</v>
      </c>
      <c r="W69">
        <f t="shared" si="21"/>
        <v>-3.7303842038525647E-7</v>
      </c>
      <c r="X69" s="297">
        <f t="shared" si="22"/>
        <v>42.66</v>
      </c>
    </row>
    <row r="70" spans="1:24" x14ac:dyDescent="0.2">
      <c r="A70" t="s">
        <v>243</v>
      </c>
      <c r="B70">
        <v>2050</v>
      </c>
      <c r="C70" t="s">
        <v>228</v>
      </c>
      <c r="D70" t="s">
        <v>224</v>
      </c>
      <c r="E70">
        <v>682129811.02319503</v>
      </c>
      <c r="F70">
        <v>8606212.9532549009</v>
      </c>
      <c r="G70">
        <v>-5</v>
      </c>
      <c r="H70">
        <v>690736018.97644997</v>
      </c>
      <c r="I70">
        <v>15730.8939166666</v>
      </c>
      <c r="J70">
        <v>27918570.2642227</v>
      </c>
      <c r="K70">
        <v>0.202598238657549</v>
      </c>
      <c r="L70">
        <v>24.741095709389398</v>
      </c>
      <c r="M70" t="str">
        <f t="shared" si="13"/>
        <v>High Solar</v>
      </c>
      <c r="N70" t="str">
        <f t="shared" si="14"/>
        <v>Medium RE Cost</v>
      </c>
      <c r="O70">
        <f t="shared" si="12"/>
        <v>1857774234.0994</v>
      </c>
      <c r="P70">
        <f t="shared" si="15"/>
        <v>66.542599299223951</v>
      </c>
      <c r="Q70">
        <f t="shared" si="16"/>
        <v>42.11</v>
      </c>
      <c r="R70" s="229">
        <f t="shared" si="17"/>
        <v>1175650993.8264179</v>
      </c>
      <c r="S70" s="297">
        <f t="shared" si="18"/>
        <v>59.252144159925678</v>
      </c>
      <c r="T70" s="297">
        <f t="shared" si="19"/>
        <v>34.819309685685582</v>
      </c>
      <c r="V70" s="296">
        <f t="shared" si="20"/>
        <v>42.11</v>
      </c>
      <c r="W70">
        <f t="shared" si="21"/>
        <v>-1.7909226556660165E-7</v>
      </c>
      <c r="X70" s="297">
        <f t="shared" si="22"/>
        <v>34.82</v>
      </c>
    </row>
    <row r="71" spans="1:24" x14ac:dyDescent="0.2">
      <c r="A71" t="s">
        <v>244</v>
      </c>
      <c r="B71">
        <v>2030</v>
      </c>
      <c r="C71" t="s">
        <v>228</v>
      </c>
      <c r="D71" t="s">
        <v>226</v>
      </c>
      <c r="E71">
        <v>215119302.365069</v>
      </c>
      <c r="F71">
        <v>1598837.47522683</v>
      </c>
      <c r="G71">
        <v>-3</v>
      </c>
      <c r="H71">
        <v>216718136.840296</v>
      </c>
      <c r="I71">
        <v>4370.2250833333301</v>
      </c>
      <c r="J71">
        <v>7839489.8077567602</v>
      </c>
      <c r="K71">
        <v>0.204776392694063</v>
      </c>
      <c r="L71">
        <v>27.644418470429599</v>
      </c>
      <c r="M71" t="str">
        <f t="shared" si="13"/>
        <v>High Solar</v>
      </c>
      <c r="N71" t="str">
        <f t="shared" si="14"/>
        <v>Medium RE Cost</v>
      </c>
      <c r="O71">
        <f t="shared" si="12"/>
        <v>796677109.68726099</v>
      </c>
      <c r="P71">
        <f t="shared" si="15"/>
        <v>101.62359148665404</v>
      </c>
      <c r="Q71">
        <f t="shared" si="16"/>
        <v>74.180000000000007</v>
      </c>
      <c r="R71" s="229">
        <f t="shared" si="17"/>
        <v>581533353.9393965</v>
      </c>
      <c r="S71" s="297">
        <f t="shared" si="18"/>
        <v>96.106608574655084</v>
      </c>
      <c r="T71" s="297">
        <f t="shared" si="19"/>
        <v>68.666136727594349</v>
      </c>
      <c r="V71" s="296">
        <f t="shared" si="20"/>
        <v>74.180000000000007</v>
      </c>
      <c r="W71">
        <f t="shared" si="21"/>
        <v>-3.8267796420012674E-7</v>
      </c>
      <c r="X71" s="297">
        <f t="shared" si="22"/>
        <v>68.67</v>
      </c>
    </row>
    <row r="72" spans="1:24" x14ac:dyDescent="0.2">
      <c r="A72" t="s">
        <v>244</v>
      </c>
      <c r="B72">
        <v>2040</v>
      </c>
      <c r="C72" t="s">
        <v>228</v>
      </c>
      <c r="D72" t="s">
        <v>226</v>
      </c>
      <c r="E72">
        <v>419562501.86848497</v>
      </c>
      <c r="F72">
        <v>2061834.6404897701</v>
      </c>
      <c r="G72">
        <v>-11</v>
      </c>
      <c r="H72">
        <v>421624325.50897503</v>
      </c>
      <c r="I72">
        <v>10473.906000000001</v>
      </c>
      <c r="J72">
        <v>18764823.185694199</v>
      </c>
      <c r="K72">
        <v>0.20451807600619601</v>
      </c>
      <c r="L72">
        <v>22.4688674834095</v>
      </c>
      <c r="M72" t="str">
        <f t="shared" si="13"/>
        <v>High Solar</v>
      </c>
      <c r="N72" t="str">
        <f t="shared" si="14"/>
        <v>Medium RE Cost</v>
      </c>
      <c r="O72">
        <f t="shared" si="12"/>
        <v>1475131307.2772543</v>
      </c>
      <c r="P72">
        <f t="shared" si="15"/>
        <v>78.611521818220766</v>
      </c>
      <c r="Q72">
        <f t="shared" si="16"/>
        <v>56.25</v>
      </c>
      <c r="R72" s="229">
        <f t="shared" si="17"/>
        <v>1055521304.1952987</v>
      </c>
      <c r="S72" s="297">
        <f t="shared" si="18"/>
        <v>66.57055908863569</v>
      </c>
      <c r="T72" s="297">
        <f t="shared" si="19"/>
        <v>44.211569253423804</v>
      </c>
      <c r="V72" s="296">
        <f t="shared" si="20"/>
        <v>56.25</v>
      </c>
      <c r="W72">
        <f t="shared" si="21"/>
        <v>-5.8620323203397446E-7</v>
      </c>
      <c r="X72" s="297">
        <f t="shared" si="22"/>
        <v>44.21</v>
      </c>
    </row>
    <row r="73" spans="1:24" x14ac:dyDescent="0.2">
      <c r="A73" t="s">
        <v>244</v>
      </c>
      <c r="B73">
        <v>2050</v>
      </c>
      <c r="C73" t="s">
        <v>228</v>
      </c>
      <c r="D73" t="s">
        <v>226</v>
      </c>
      <c r="E73">
        <v>613082575.61916494</v>
      </c>
      <c r="F73">
        <v>2349375.66325142</v>
      </c>
      <c r="G73">
        <v>-1</v>
      </c>
      <c r="H73">
        <v>615431950.28241599</v>
      </c>
      <c r="I73">
        <v>15730.8939166666</v>
      </c>
      <c r="J73">
        <v>27918570.2642227</v>
      </c>
      <c r="K73">
        <v>0.202598238657549</v>
      </c>
      <c r="L73">
        <v>22.043820455630001</v>
      </c>
      <c r="M73" t="str">
        <f t="shared" si="13"/>
        <v>High Solar</v>
      </c>
      <c r="N73" t="str">
        <f t="shared" si="14"/>
        <v>Medium RE Cost</v>
      </c>
      <c r="O73">
        <f t="shared" si="12"/>
        <v>1857774234.0994</v>
      </c>
      <c r="P73">
        <f t="shared" si="15"/>
        <v>66.542599299223951</v>
      </c>
      <c r="Q73">
        <f t="shared" si="16"/>
        <v>44.58</v>
      </c>
      <c r="R73" s="229">
        <f t="shared" si="17"/>
        <v>1244609862.3790479</v>
      </c>
      <c r="S73" s="297">
        <f t="shared" si="18"/>
        <v>59.252144159925678</v>
      </c>
      <c r="T73" s="297">
        <f t="shared" si="19"/>
        <v>37.292474706335405</v>
      </c>
      <c r="V73" s="296">
        <f t="shared" si="20"/>
        <v>44.58</v>
      </c>
      <c r="W73">
        <f t="shared" si="21"/>
        <v>-3.5818453113320328E-8</v>
      </c>
      <c r="X73" s="297">
        <f t="shared" si="22"/>
        <v>37.29</v>
      </c>
    </row>
    <row r="74" spans="1:24" x14ac:dyDescent="0.2">
      <c r="A74" t="s">
        <v>245</v>
      </c>
      <c r="B74">
        <v>2030</v>
      </c>
      <c r="C74" t="s">
        <v>246</v>
      </c>
      <c r="D74" t="s">
        <v>212</v>
      </c>
      <c r="E74">
        <v>214416129.253324</v>
      </c>
      <c r="F74">
        <v>1128010.4769967599</v>
      </c>
      <c r="G74">
        <v>0</v>
      </c>
      <c r="H74">
        <v>215544139.73032099</v>
      </c>
      <c r="I74">
        <v>4370.2250833333301</v>
      </c>
      <c r="J74">
        <v>7839489.8077567602</v>
      </c>
      <c r="K74">
        <v>0.204776392694063</v>
      </c>
      <c r="L74">
        <v>27.4946641957556</v>
      </c>
      <c r="M74" t="str">
        <f t="shared" si="13"/>
        <v>High Solar</v>
      </c>
      <c r="N74" t="str">
        <f t="shared" si="14"/>
        <v>Medium RE Cost</v>
      </c>
      <c r="O74">
        <f t="shared" si="12"/>
        <v>796677109.68726099</v>
      </c>
      <c r="P74">
        <f t="shared" si="15"/>
        <v>101.62359148665404</v>
      </c>
      <c r="Q74">
        <f t="shared" si="16"/>
        <v>74.27</v>
      </c>
      <c r="R74" s="229">
        <f t="shared" si="17"/>
        <v>582238908.02209449</v>
      </c>
      <c r="S74" s="297">
        <f t="shared" si="18"/>
        <v>96.106608574655084</v>
      </c>
      <c r="T74" s="297">
        <f t="shared" si="19"/>
        <v>68.755832629877318</v>
      </c>
      <c r="V74" s="296">
        <f t="shared" si="20"/>
        <v>74.27</v>
      </c>
      <c r="W74">
        <f t="shared" si="21"/>
        <v>0</v>
      </c>
      <c r="X74" s="297">
        <f t="shared" si="22"/>
        <v>68.760000000000005</v>
      </c>
    </row>
    <row r="75" spans="1:24" x14ac:dyDescent="0.2">
      <c r="A75" t="s">
        <v>245</v>
      </c>
      <c r="B75">
        <v>2040</v>
      </c>
      <c r="C75" t="s">
        <v>246</v>
      </c>
      <c r="D75" t="s">
        <v>212</v>
      </c>
      <c r="E75">
        <v>415259057.95187801</v>
      </c>
      <c r="F75">
        <v>2658780.7312910398</v>
      </c>
      <c r="G75">
        <v>-13</v>
      </c>
      <c r="H75">
        <v>417917825.68316901</v>
      </c>
      <c r="I75">
        <v>10473.906000000001</v>
      </c>
      <c r="J75">
        <v>18764823.185694199</v>
      </c>
      <c r="K75">
        <v>0.20451807600619601</v>
      </c>
      <c r="L75">
        <v>22.271343649098501</v>
      </c>
      <c r="M75" t="str">
        <f t="shared" si="13"/>
        <v>High Solar</v>
      </c>
      <c r="N75" t="str">
        <f t="shared" si="14"/>
        <v>Medium RE Cost</v>
      </c>
      <c r="O75">
        <f t="shared" si="12"/>
        <v>1475131307.2772543</v>
      </c>
      <c r="P75">
        <f t="shared" si="15"/>
        <v>78.611521818220766</v>
      </c>
      <c r="Q75">
        <f t="shared" si="16"/>
        <v>56.48</v>
      </c>
      <c r="R75" s="229">
        <f t="shared" si="17"/>
        <v>1059837213.5280083</v>
      </c>
      <c r="S75" s="297">
        <f t="shared" si="18"/>
        <v>66.57055908863569</v>
      </c>
      <c r="T75" s="297">
        <f t="shared" si="19"/>
        <v>44.440905062987291</v>
      </c>
      <c r="V75" s="296">
        <f t="shared" si="20"/>
        <v>56.48</v>
      </c>
      <c r="W75">
        <f t="shared" si="21"/>
        <v>-6.9278563785833348E-7</v>
      </c>
      <c r="X75" s="297">
        <f t="shared" si="22"/>
        <v>44.44</v>
      </c>
    </row>
    <row r="76" spans="1:24" x14ac:dyDescent="0.2">
      <c r="A76" t="s">
        <v>245</v>
      </c>
      <c r="B76">
        <v>2050</v>
      </c>
      <c r="C76" t="s">
        <v>246</v>
      </c>
      <c r="D76" t="s">
        <v>212</v>
      </c>
      <c r="E76">
        <v>587251463.33066499</v>
      </c>
      <c r="F76">
        <v>4617148.2707484802</v>
      </c>
      <c r="G76">
        <v>-58</v>
      </c>
      <c r="H76">
        <v>591868553.60141301</v>
      </c>
      <c r="I76">
        <v>15730.8939166666</v>
      </c>
      <c r="J76">
        <v>27918570.2642227</v>
      </c>
      <c r="K76">
        <v>0.202598238657549</v>
      </c>
      <c r="L76">
        <v>21.199816036420899</v>
      </c>
      <c r="M76" t="str">
        <f t="shared" si="13"/>
        <v>High Solar</v>
      </c>
      <c r="N76" t="str">
        <f t="shared" si="14"/>
        <v>Medium RE Cost</v>
      </c>
      <c r="O76">
        <f t="shared" si="12"/>
        <v>1857774234.0994</v>
      </c>
      <c r="P76">
        <f t="shared" si="15"/>
        <v>66.542599299223951</v>
      </c>
      <c r="Q76">
        <f t="shared" si="16"/>
        <v>45.51</v>
      </c>
      <c r="R76" s="229">
        <f t="shared" si="17"/>
        <v>1270574132.7247751</v>
      </c>
      <c r="S76" s="297">
        <f t="shared" si="18"/>
        <v>59.252144159925678</v>
      </c>
      <c r="T76" s="297">
        <f t="shared" si="19"/>
        <v>38.217707232357775</v>
      </c>
      <c r="V76" s="296">
        <f t="shared" si="20"/>
        <v>45.51</v>
      </c>
      <c r="W76">
        <f t="shared" si="21"/>
        <v>-2.0774702805725792E-6</v>
      </c>
      <c r="X76" s="297">
        <f t="shared" si="22"/>
        <v>38.22</v>
      </c>
    </row>
    <row r="77" spans="1:24" x14ac:dyDescent="0.2">
      <c r="A77" t="s">
        <v>247</v>
      </c>
      <c r="B77">
        <v>2030</v>
      </c>
      <c r="C77" t="s">
        <v>246</v>
      </c>
      <c r="D77" t="s">
        <v>214</v>
      </c>
      <c r="E77">
        <v>216476373.56470799</v>
      </c>
      <c r="F77">
        <v>792195.85946952098</v>
      </c>
      <c r="G77">
        <v>-2</v>
      </c>
      <c r="H77">
        <v>217268567.42417699</v>
      </c>
      <c r="I77">
        <v>4370.2250833333301</v>
      </c>
      <c r="J77">
        <v>7839489.8077567602</v>
      </c>
      <c r="K77">
        <v>0.204776392694063</v>
      </c>
      <c r="L77">
        <v>27.714631022187401</v>
      </c>
      <c r="M77" t="str">
        <f t="shared" si="13"/>
        <v>High Solar</v>
      </c>
      <c r="N77" t="str">
        <f t="shared" si="14"/>
        <v>Medium RE Cost</v>
      </c>
      <c r="O77">
        <f t="shared" si="12"/>
        <v>796677109.68726099</v>
      </c>
      <c r="P77">
        <f t="shared" si="15"/>
        <v>101.62359148665404</v>
      </c>
      <c r="Q77">
        <f t="shared" si="16"/>
        <v>74.010000000000005</v>
      </c>
      <c r="R77" s="229">
        <f t="shared" si="17"/>
        <v>580200640.67207789</v>
      </c>
      <c r="S77" s="297">
        <f t="shared" si="18"/>
        <v>96.106608574655084</v>
      </c>
      <c r="T77" s="297">
        <f t="shared" si="19"/>
        <v>68.493029518717535</v>
      </c>
      <c r="V77" s="296">
        <f t="shared" si="20"/>
        <v>74.010000000000005</v>
      </c>
      <c r="W77">
        <f t="shared" si="21"/>
        <v>-2.5511864280008453E-7</v>
      </c>
      <c r="X77" s="297">
        <f t="shared" si="22"/>
        <v>68.489999999999995</v>
      </c>
    </row>
    <row r="78" spans="1:24" x14ac:dyDescent="0.2">
      <c r="A78" t="s">
        <v>247</v>
      </c>
      <c r="B78">
        <v>2040</v>
      </c>
      <c r="C78" t="s">
        <v>246</v>
      </c>
      <c r="D78" t="s">
        <v>214</v>
      </c>
      <c r="E78">
        <v>420296629.05440903</v>
      </c>
      <c r="F78">
        <v>2730553.74193653</v>
      </c>
      <c r="G78">
        <v>-1</v>
      </c>
      <c r="H78">
        <v>423027181.796345</v>
      </c>
      <c r="I78">
        <v>10473.906000000001</v>
      </c>
      <c r="J78">
        <v>18764823.185694199</v>
      </c>
      <c r="K78">
        <v>0.20451807600619601</v>
      </c>
      <c r="L78">
        <v>22.543627382476402</v>
      </c>
      <c r="M78" t="str">
        <f t="shared" si="13"/>
        <v>High Solar</v>
      </c>
      <c r="N78" t="str">
        <f t="shared" si="14"/>
        <v>Medium RE Cost</v>
      </c>
      <c r="O78">
        <f t="shared" si="12"/>
        <v>1475131307.2772543</v>
      </c>
      <c r="P78">
        <f t="shared" si="15"/>
        <v>78.611521818220766</v>
      </c>
      <c r="Q78">
        <f t="shared" si="16"/>
        <v>56.21</v>
      </c>
      <c r="R78" s="229">
        <f t="shared" si="17"/>
        <v>1054770711.2678709</v>
      </c>
      <c r="S78" s="297">
        <f t="shared" si="18"/>
        <v>66.57055908863569</v>
      </c>
      <c r="T78" s="297">
        <f t="shared" si="19"/>
        <v>44.17244619968335</v>
      </c>
      <c r="V78" s="296">
        <f t="shared" si="20"/>
        <v>56.21</v>
      </c>
      <c r="W78">
        <f t="shared" si="21"/>
        <v>-5.3291202912179497E-8</v>
      </c>
      <c r="X78" s="297">
        <f t="shared" si="22"/>
        <v>44.17</v>
      </c>
    </row>
    <row r="79" spans="1:24" x14ac:dyDescent="0.2">
      <c r="A79" t="s">
        <v>247</v>
      </c>
      <c r="B79">
        <v>2050</v>
      </c>
      <c r="C79" t="s">
        <v>246</v>
      </c>
      <c r="D79" t="s">
        <v>214</v>
      </c>
      <c r="E79">
        <v>617005927.41561902</v>
      </c>
      <c r="F79">
        <v>3411942.30042281</v>
      </c>
      <c r="G79">
        <v>-3</v>
      </c>
      <c r="H79">
        <v>620417866.71604204</v>
      </c>
      <c r="I79">
        <v>15730.8939166666</v>
      </c>
      <c r="J79">
        <v>27918570.2642227</v>
      </c>
      <c r="K79">
        <v>0.202598238657549</v>
      </c>
      <c r="L79">
        <v>22.222408269634698</v>
      </c>
      <c r="M79" t="str">
        <f t="shared" si="13"/>
        <v>High Solar</v>
      </c>
      <c r="N79" t="str">
        <f t="shared" si="14"/>
        <v>Medium RE Cost</v>
      </c>
      <c r="O79">
        <f t="shared" si="12"/>
        <v>1857774234.0994</v>
      </c>
      <c r="P79">
        <f t="shared" si="15"/>
        <v>66.542599299223951</v>
      </c>
      <c r="Q79">
        <f t="shared" si="16"/>
        <v>44.44</v>
      </c>
      <c r="R79" s="229">
        <f t="shared" si="17"/>
        <v>1240701262.5420568</v>
      </c>
      <c r="S79" s="297">
        <f t="shared" si="18"/>
        <v>59.252144159925678</v>
      </c>
      <c r="T79" s="297">
        <f t="shared" si="19"/>
        <v>37.151946385603956</v>
      </c>
      <c r="V79" s="296">
        <f t="shared" si="20"/>
        <v>44.44</v>
      </c>
      <c r="W79">
        <f t="shared" si="21"/>
        <v>-1.07455359339961E-7</v>
      </c>
      <c r="X79" s="297">
        <f t="shared" si="22"/>
        <v>37.15</v>
      </c>
    </row>
    <row r="80" spans="1:24" x14ac:dyDescent="0.2">
      <c r="A80" t="s">
        <v>248</v>
      </c>
      <c r="B80">
        <v>2030</v>
      </c>
      <c r="C80" t="s">
        <v>246</v>
      </c>
      <c r="D80" t="s">
        <v>216</v>
      </c>
      <c r="E80">
        <v>244061393.536576</v>
      </c>
      <c r="F80">
        <v>2428546.3486522702</v>
      </c>
      <c r="G80">
        <v>0</v>
      </c>
      <c r="H80">
        <v>246489939.88522801</v>
      </c>
      <c r="I80">
        <v>4370.2250833333301</v>
      </c>
      <c r="J80">
        <v>7839489.8077567602</v>
      </c>
      <c r="K80">
        <v>0.204776392694063</v>
      </c>
      <c r="L80">
        <v>31.442089463696899</v>
      </c>
      <c r="M80" t="str">
        <f t="shared" si="13"/>
        <v>High Solar</v>
      </c>
      <c r="N80" t="str">
        <f t="shared" si="14"/>
        <v>High RE Cost</v>
      </c>
      <c r="O80">
        <f t="shared" si="12"/>
        <v>1037037209.9623756</v>
      </c>
      <c r="P80">
        <f t="shared" si="15"/>
        <v>132.28376276939377</v>
      </c>
      <c r="Q80">
        <f t="shared" si="16"/>
        <v>101.15</v>
      </c>
      <c r="R80" s="229">
        <f t="shared" si="17"/>
        <v>792964394.0545963</v>
      </c>
      <c r="S80" s="297">
        <f t="shared" si="18"/>
        <v>125.10228799510858</v>
      </c>
      <c r="T80" s="297">
        <f t="shared" si="19"/>
        <v>93.969982255634292</v>
      </c>
      <c r="V80" s="296">
        <f t="shared" si="20"/>
        <v>101.15</v>
      </c>
      <c r="W80">
        <f t="shared" si="21"/>
        <v>0</v>
      </c>
      <c r="X80" s="297">
        <f t="shared" si="22"/>
        <v>93.97</v>
      </c>
    </row>
    <row r="81" spans="1:24" x14ac:dyDescent="0.2">
      <c r="A81" t="s">
        <v>248</v>
      </c>
      <c r="B81">
        <v>2040</v>
      </c>
      <c r="C81" t="s">
        <v>246</v>
      </c>
      <c r="D81" t="s">
        <v>216</v>
      </c>
      <c r="E81">
        <v>553397120.88779604</v>
      </c>
      <c r="F81">
        <v>669377.76349947799</v>
      </c>
      <c r="G81">
        <v>-3</v>
      </c>
      <c r="H81">
        <v>554066495.65129495</v>
      </c>
      <c r="I81">
        <v>10473.906000000001</v>
      </c>
      <c r="J81">
        <v>18764823.185694199</v>
      </c>
      <c r="K81">
        <v>0.20451807600619601</v>
      </c>
      <c r="L81">
        <v>29.526870046593299</v>
      </c>
      <c r="M81" t="str">
        <f t="shared" si="13"/>
        <v>High Solar</v>
      </c>
      <c r="N81" t="str">
        <f t="shared" si="14"/>
        <v>High RE Cost</v>
      </c>
      <c r="O81">
        <f t="shared" si="12"/>
        <v>2156969266.5728054</v>
      </c>
      <c r="P81">
        <f t="shared" si="15"/>
        <v>114.94748686026635</v>
      </c>
      <c r="Q81">
        <f t="shared" si="16"/>
        <v>85.46</v>
      </c>
      <c r="R81" s="229">
        <f t="shared" si="17"/>
        <v>1603641789.4494262</v>
      </c>
      <c r="S81" s="297">
        <f t="shared" si="18"/>
        <v>105.43842332469075</v>
      </c>
      <c r="T81" s="297">
        <f t="shared" si="19"/>
        <v>75.947225224316881</v>
      </c>
      <c r="V81" s="296">
        <f t="shared" si="20"/>
        <v>85.46</v>
      </c>
      <c r="W81">
        <f t="shared" si="21"/>
        <v>-1.5987360873653848E-7</v>
      </c>
      <c r="X81" s="297">
        <f t="shared" si="22"/>
        <v>75.95</v>
      </c>
    </row>
    <row r="82" spans="1:24" x14ac:dyDescent="0.2">
      <c r="A82" t="s">
        <v>248</v>
      </c>
      <c r="B82">
        <v>2050</v>
      </c>
      <c r="C82" t="s">
        <v>246</v>
      </c>
      <c r="D82" t="s">
        <v>216</v>
      </c>
      <c r="E82">
        <v>659120835.43229699</v>
      </c>
      <c r="F82">
        <v>595130.14670869196</v>
      </c>
      <c r="G82">
        <v>-14</v>
      </c>
      <c r="H82">
        <v>659715951.57900596</v>
      </c>
      <c r="I82">
        <v>15730.8939166666</v>
      </c>
      <c r="J82">
        <v>27918570.2642227</v>
      </c>
      <c r="K82">
        <v>0.202598238657549</v>
      </c>
      <c r="L82">
        <v>23.630004879742099</v>
      </c>
      <c r="M82" t="str">
        <f t="shared" si="13"/>
        <v>High Solar</v>
      </c>
      <c r="N82" t="str">
        <f t="shared" si="14"/>
        <v>High RE Cost</v>
      </c>
      <c r="O82">
        <f t="shared" si="12"/>
        <v>2481229862.8834763</v>
      </c>
      <c r="P82">
        <f t="shared" si="15"/>
        <v>88.873815507062034</v>
      </c>
      <c r="Q82">
        <f t="shared" si="16"/>
        <v>65.27</v>
      </c>
      <c r="R82" s="229">
        <f t="shared" si="17"/>
        <v>1822245081.1458156</v>
      </c>
      <c r="S82" s="297">
        <f t="shared" si="18"/>
        <v>79.943949986749161</v>
      </c>
      <c r="T82" s="297">
        <f t="shared" si="19"/>
        <v>56.33526174826325</v>
      </c>
      <c r="V82" s="296">
        <f t="shared" si="20"/>
        <v>65.27</v>
      </c>
      <c r="W82">
        <f t="shared" si="21"/>
        <v>-5.0145834358648462E-7</v>
      </c>
      <c r="X82" s="297">
        <f t="shared" si="22"/>
        <v>56.34</v>
      </c>
    </row>
    <row r="83" spans="1:24" x14ac:dyDescent="0.2">
      <c r="A83" t="s">
        <v>249</v>
      </c>
      <c r="B83">
        <v>2030</v>
      </c>
      <c r="C83" t="s">
        <v>250</v>
      </c>
      <c r="D83" t="s">
        <v>212</v>
      </c>
      <c r="E83">
        <v>214415907.97752601</v>
      </c>
      <c r="F83">
        <v>1128022.11403212</v>
      </c>
      <c r="G83">
        <v>-3</v>
      </c>
      <c r="H83">
        <v>215543927.09155801</v>
      </c>
      <c r="I83">
        <v>4370.2250833333301</v>
      </c>
      <c r="J83">
        <v>7839489.8077567602</v>
      </c>
      <c r="K83">
        <v>0.204776392694063</v>
      </c>
      <c r="L83">
        <v>27.494637071699302</v>
      </c>
      <c r="M83" t="str">
        <f t="shared" si="13"/>
        <v>High Solar</v>
      </c>
      <c r="N83" t="str">
        <f t="shared" si="14"/>
        <v>Medium RE Cost</v>
      </c>
      <c r="O83">
        <f t="shared" si="12"/>
        <v>796677109.68726099</v>
      </c>
      <c r="P83">
        <f t="shared" si="15"/>
        <v>101.62359148665404</v>
      </c>
      <c r="Q83">
        <f t="shared" si="16"/>
        <v>74.27</v>
      </c>
      <c r="R83" s="229">
        <f t="shared" si="17"/>
        <v>582238908.02209449</v>
      </c>
      <c r="S83" s="297">
        <f t="shared" si="18"/>
        <v>96.106608574655084</v>
      </c>
      <c r="T83" s="297">
        <f t="shared" si="19"/>
        <v>68.755861238345929</v>
      </c>
      <c r="V83" s="296">
        <f t="shared" si="20"/>
        <v>74.27</v>
      </c>
      <c r="W83">
        <f t="shared" si="21"/>
        <v>-3.8267796420012674E-7</v>
      </c>
      <c r="X83" s="297">
        <f t="shared" si="22"/>
        <v>68.760000000000005</v>
      </c>
    </row>
    <row r="84" spans="1:24" x14ac:dyDescent="0.2">
      <c r="A84" t="s">
        <v>249</v>
      </c>
      <c r="B84">
        <v>2040</v>
      </c>
      <c r="C84" t="s">
        <v>250</v>
      </c>
      <c r="D84" t="s">
        <v>212</v>
      </c>
      <c r="E84">
        <v>415258980.51994503</v>
      </c>
      <c r="F84">
        <v>2658767.6472876701</v>
      </c>
      <c r="G84">
        <v>-14</v>
      </c>
      <c r="H84">
        <v>417917734.16723299</v>
      </c>
      <c r="I84">
        <v>10473.906000000001</v>
      </c>
      <c r="J84">
        <v>18764823.185694199</v>
      </c>
      <c r="K84">
        <v>0.20451807600619601</v>
      </c>
      <c r="L84">
        <v>22.271338772104201</v>
      </c>
      <c r="M84" t="str">
        <f t="shared" si="13"/>
        <v>High Solar</v>
      </c>
      <c r="N84" t="str">
        <f t="shared" si="14"/>
        <v>Medium RE Cost</v>
      </c>
      <c r="O84">
        <f t="shared" si="12"/>
        <v>1475131307.2772543</v>
      </c>
      <c r="P84">
        <f t="shared" si="15"/>
        <v>78.611521818220766</v>
      </c>
      <c r="Q84">
        <f t="shared" si="16"/>
        <v>56.48</v>
      </c>
      <c r="R84" s="229">
        <f t="shared" si="17"/>
        <v>1059837213.5280083</v>
      </c>
      <c r="S84" s="297">
        <f t="shared" si="18"/>
        <v>66.57055908863569</v>
      </c>
      <c r="T84" s="297">
        <f t="shared" si="19"/>
        <v>44.44090924271935</v>
      </c>
      <c r="V84" s="296">
        <f t="shared" si="20"/>
        <v>56.48</v>
      </c>
      <c r="W84">
        <f t="shared" si="21"/>
        <v>-7.4607684077051294E-7</v>
      </c>
      <c r="X84" s="297">
        <f t="shared" si="22"/>
        <v>44.44</v>
      </c>
    </row>
    <row r="85" spans="1:24" x14ac:dyDescent="0.2">
      <c r="A85" t="s">
        <v>249</v>
      </c>
      <c r="B85">
        <v>2050</v>
      </c>
      <c r="C85" t="s">
        <v>250</v>
      </c>
      <c r="D85" t="s">
        <v>212</v>
      </c>
      <c r="E85">
        <v>587247277.59410906</v>
      </c>
      <c r="F85">
        <v>4619559.4014903</v>
      </c>
      <c r="G85">
        <v>2512</v>
      </c>
      <c r="H85">
        <v>591869348.99559999</v>
      </c>
      <c r="I85">
        <v>15730.8939166666</v>
      </c>
      <c r="J85">
        <v>27918570.2642227</v>
      </c>
      <c r="K85">
        <v>0.202598238657549</v>
      </c>
      <c r="L85">
        <v>21.199844526210299</v>
      </c>
      <c r="M85" t="str">
        <f t="shared" si="13"/>
        <v>High Solar</v>
      </c>
      <c r="N85" t="str">
        <f t="shared" si="14"/>
        <v>Medium RE Cost</v>
      </c>
      <c r="O85">
        <f t="shared" si="12"/>
        <v>1857774234.0994</v>
      </c>
      <c r="P85">
        <f t="shared" si="15"/>
        <v>66.542599299223951</v>
      </c>
      <c r="Q85">
        <f t="shared" si="16"/>
        <v>45.51</v>
      </c>
      <c r="R85" s="229">
        <f t="shared" si="17"/>
        <v>1270574132.7247751</v>
      </c>
      <c r="S85" s="297">
        <f t="shared" si="18"/>
        <v>59.252144159925678</v>
      </c>
      <c r="T85" s="297">
        <f t="shared" si="19"/>
        <v>38.217765105541851</v>
      </c>
      <c r="V85" s="296">
        <f t="shared" si="20"/>
        <v>45.51</v>
      </c>
      <c r="W85">
        <f t="shared" si="21"/>
        <v>8.9975954220660676E-5</v>
      </c>
      <c r="X85" s="297">
        <f t="shared" si="22"/>
        <v>38.22</v>
      </c>
    </row>
    <row r="86" spans="1:24" x14ac:dyDescent="0.2">
      <c r="A86" t="s">
        <v>251</v>
      </c>
      <c r="B86">
        <v>2030</v>
      </c>
      <c r="C86" t="s">
        <v>250</v>
      </c>
      <c r="D86" t="s">
        <v>214</v>
      </c>
      <c r="E86">
        <v>216477625.96912</v>
      </c>
      <c r="F86">
        <v>792144.06705801398</v>
      </c>
      <c r="G86">
        <v>0</v>
      </c>
      <c r="H86">
        <v>217269770.03617799</v>
      </c>
      <c r="I86">
        <v>4370.2250833333301</v>
      </c>
      <c r="J86">
        <v>7839489.8077567602</v>
      </c>
      <c r="K86">
        <v>0.204776392694063</v>
      </c>
      <c r="L86">
        <v>27.714784426558101</v>
      </c>
      <c r="M86" t="str">
        <f t="shared" si="13"/>
        <v>High Solar</v>
      </c>
      <c r="N86" t="str">
        <f t="shared" si="14"/>
        <v>Medium RE Cost</v>
      </c>
      <c r="O86">
        <f t="shared" si="12"/>
        <v>796677109.68726099</v>
      </c>
      <c r="P86">
        <f t="shared" si="15"/>
        <v>101.62359148665404</v>
      </c>
      <c r="Q86">
        <f t="shared" si="16"/>
        <v>74.010000000000005</v>
      </c>
      <c r="R86" s="229">
        <f t="shared" si="17"/>
        <v>580200640.67207789</v>
      </c>
      <c r="S86" s="297">
        <f t="shared" si="18"/>
        <v>96.106608574655084</v>
      </c>
      <c r="T86" s="297">
        <f t="shared" si="19"/>
        <v>68.492869507741972</v>
      </c>
      <c r="V86" s="296">
        <f t="shared" si="20"/>
        <v>74.010000000000005</v>
      </c>
      <c r="W86">
        <f t="shared" si="21"/>
        <v>0</v>
      </c>
      <c r="X86" s="297">
        <f t="shared" si="22"/>
        <v>68.489999999999995</v>
      </c>
    </row>
    <row r="87" spans="1:24" x14ac:dyDescent="0.2">
      <c r="A87" t="s">
        <v>251</v>
      </c>
      <c r="B87">
        <v>2040</v>
      </c>
      <c r="C87" t="s">
        <v>250</v>
      </c>
      <c r="D87" t="s">
        <v>214</v>
      </c>
      <c r="E87">
        <v>420297025.01086402</v>
      </c>
      <c r="F87">
        <v>2730570.5085652499</v>
      </c>
      <c r="G87">
        <v>-2</v>
      </c>
      <c r="H87">
        <v>423027593.51942998</v>
      </c>
      <c r="I87">
        <v>10473.906000000001</v>
      </c>
      <c r="J87">
        <v>18764823.185694199</v>
      </c>
      <c r="K87">
        <v>0.20451807600619601</v>
      </c>
      <c r="L87">
        <v>22.543649323694801</v>
      </c>
      <c r="M87" t="str">
        <f t="shared" si="13"/>
        <v>High Solar</v>
      </c>
      <c r="N87" t="str">
        <f t="shared" si="14"/>
        <v>Medium RE Cost</v>
      </c>
      <c r="O87">
        <f t="shared" si="12"/>
        <v>1475131307.2772543</v>
      </c>
      <c r="P87">
        <f t="shared" si="15"/>
        <v>78.611521818220766</v>
      </c>
      <c r="Q87">
        <f t="shared" si="16"/>
        <v>56.21</v>
      </c>
      <c r="R87" s="229">
        <f t="shared" si="17"/>
        <v>1054770711.2678709</v>
      </c>
      <c r="S87" s="297">
        <f t="shared" si="18"/>
        <v>66.57055908863569</v>
      </c>
      <c r="T87" s="297">
        <f t="shared" si="19"/>
        <v>44.172425151978757</v>
      </c>
      <c r="V87" s="296">
        <f t="shared" si="20"/>
        <v>56.21</v>
      </c>
      <c r="W87">
        <f t="shared" si="21"/>
        <v>-1.0658240582435899E-7</v>
      </c>
      <c r="X87" s="297">
        <f t="shared" si="22"/>
        <v>44.17</v>
      </c>
    </row>
    <row r="88" spans="1:24" x14ac:dyDescent="0.2">
      <c r="A88" t="s">
        <v>251</v>
      </c>
      <c r="B88">
        <v>2050</v>
      </c>
      <c r="C88" t="s">
        <v>250</v>
      </c>
      <c r="D88" t="s">
        <v>214</v>
      </c>
      <c r="E88">
        <v>616418707.97490096</v>
      </c>
      <c r="F88">
        <v>3444226.4742206801</v>
      </c>
      <c r="G88">
        <v>5202157</v>
      </c>
      <c r="H88">
        <v>625065091.44912195</v>
      </c>
      <c r="I88">
        <v>15730.8939166666</v>
      </c>
      <c r="J88">
        <v>27918570.2642227</v>
      </c>
      <c r="K88">
        <v>0.202598238657549</v>
      </c>
      <c r="L88">
        <v>22.388864670843599</v>
      </c>
      <c r="M88" t="str">
        <f t="shared" si="13"/>
        <v>High Solar</v>
      </c>
      <c r="N88" t="str">
        <f t="shared" si="14"/>
        <v>Medium RE Cost</v>
      </c>
      <c r="O88">
        <f t="shared" si="12"/>
        <v>1857774234.0994</v>
      </c>
      <c r="P88">
        <f t="shared" si="15"/>
        <v>66.542599299223951</v>
      </c>
      <c r="Q88">
        <f t="shared" si="16"/>
        <v>44.28</v>
      </c>
      <c r="R88" s="229">
        <f t="shared" si="17"/>
        <v>1236234291.2997811</v>
      </c>
      <c r="S88" s="297">
        <f t="shared" si="18"/>
        <v>59.252144159925678</v>
      </c>
      <c r="T88" s="297">
        <f t="shared" si="19"/>
        <v>36.986646353560559</v>
      </c>
      <c r="V88" s="296">
        <f t="shared" si="20"/>
        <v>44.47</v>
      </c>
      <c r="W88">
        <f t="shared" si="21"/>
        <v>0.18633321659263116</v>
      </c>
      <c r="X88" s="297">
        <f t="shared" si="22"/>
        <v>37.17</v>
      </c>
    </row>
    <row r="89" spans="1:24" x14ac:dyDescent="0.2">
      <c r="A89" t="s">
        <v>252</v>
      </c>
      <c r="B89">
        <v>2030</v>
      </c>
      <c r="C89" t="s">
        <v>250</v>
      </c>
      <c r="D89" t="s">
        <v>216</v>
      </c>
      <c r="E89">
        <v>244060361.70799199</v>
      </c>
      <c r="F89">
        <v>2428479.2587048798</v>
      </c>
      <c r="G89">
        <v>-1</v>
      </c>
      <c r="H89">
        <v>246488839.96669701</v>
      </c>
      <c r="I89">
        <v>4370.2250833333301</v>
      </c>
      <c r="J89">
        <v>7839489.8077567602</v>
      </c>
      <c r="K89">
        <v>0.204776392694063</v>
      </c>
      <c r="L89">
        <v>31.441949158835499</v>
      </c>
      <c r="M89" t="str">
        <f t="shared" si="13"/>
        <v>High Solar</v>
      </c>
      <c r="N89" t="str">
        <f t="shared" si="14"/>
        <v>High RE Cost</v>
      </c>
      <c r="O89">
        <f t="shared" si="12"/>
        <v>1037037209.9623756</v>
      </c>
      <c r="P89">
        <f t="shared" si="15"/>
        <v>132.28376276939377</v>
      </c>
      <c r="Q89">
        <f t="shared" si="16"/>
        <v>101.15</v>
      </c>
      <c r="R89" s="229">
        <f t="shared" si="17"/>
        <v>792964394.0545963</v>
      </c>
      <c r="S89" s="297">
        <f t="shared" si="18"/>
        <v>125.10228799510858</v>
      </c>
      <c r="T89" s="297">
        <f t="shared" si="19"/>
        <v>93.970114002547589</v>
      </c>
      <c r="V89" s="296">
        <f t="shared" si="20"/>
        <v>101.15</v>
      </c>
      <c r="W89">
        <f t="shared" si="21"/>
        <v>-1.2755932140004226E-7</v>
      </c>
      <c r="X89" s="297">
        <f t="shared" si="22"/>
        <v>93.97</v>
      </c>
    </row>
    <row r="90" spans="1:24" x14ac:dyDescent="0.2">
      <c r="A90" t="s">
        <v>252</v>
      </c>
      <c r="B90">
        <v>2040</v>
      </c>
      <c r="C90" t="s">
        <v>250</v>
      </c>
      <c r="D90" t="s">
        <v>216</v>
      </c>
      <c r="E90">
        <v>553368263.72384095</v>
      </c>
      <c r="F90">
        <v>669224.47579038702</v>
      </c>
      <c r="G90">
        <v>-23</v>
      </c>
      <c r="H90">
        <v>554037465.19963098</v>
      </c>
      <c r="I90">
        <v>10473.906000000001</v>
      </c>
      <c r="J90">
        <v>18764823.185694199</v>
      </c>
      <c r="K90">
        <v>0.20451807600619601</v>
      </c>
      <c r="L90">
        <v>29.525322978902999</v>
      </c>
      <c r="M90" t="str">
        <f t="shared" si="13"/>
        <v>High Solar</v>
      </c>
      <c r="N90" t="str">
        <f t="shared" si="14"/>
        <v>High RE Cost</v>
      </c>
      <c r="O90">
        <f t="shared" si="12"/>
        <v>2156969266.5728054</v>
      </c>
      <c r="P90">
        <f t="shared" si="15"/>
        <v>114.94748686026635</v>
      </c>
      <c r="Q90">
        <f t="shared" si="16"/>
        <v>85.46</v>
      </c>
      <c r="R90" s="229">
        <f t="shared" si="17"/>
        <v>1603641789.4494262</v>
      </c>
      <c r="S90" s="297">
        <f t="shared" si="18"/>
        <v>105.43842332469075</v>
      </c>
      <c r="T90" s="297">
        <f t="shared" si="19"/>
        <v>75.948764123120753</v>
      </c>
      <c r="V90" s="296">
        <f t="shared" si="20"/>
        <v>85.46</v>
      </c>
      <c r="W90">
        <f t="shared" si="21"/>
        <v>-1.2256976669801285E-6</v>
      </c>
      <c r="X90" s="297">
        <f t="shared" si="22"/>
        <v>75.95</v>
      </c>
    </row>
    <row r="91" spans="1:24" x14ac:dyDescent="0.2">
      <c r="A91" t="s">
        <v>252</v>
      </c>
      <c r="B91">
        <v>2050</v>
      </c>
      <c r="C91" t="s">
        <v>250</v>
      </c>
      <c r="D91" t="s">
        <v>216</v>
      </c>
      <c r="E91">
        <v>640688559.593292</v>
      </c>
      <c r="F91">
        <v>599497.31972369202</v>
      </c>
      <c r="G91">
        <v>130192796</v>
      </c>
      <c r="H91">
        <v>771480852.91301596</v>
      </c>
      <c r="I91">
        <v>15730.8939166666</v>
      </c>
      <c r="J91">
        <v>27918570.2642227</v>
      </c>
      <c r="K91">
        <v>0.202598238657549</v>
      </c>
      <c r="L91">
        <v>27.633250757889201</v>
      </c>
      <c r="M91" t="str">
        <f t="shared" si="13"/>
        <v>High Solar</v>
      </c>
      <c r="N91" t="str">
        <f t="shared" si="14"/>
        <v>High RE Cost</v>
      </c>
      <c r="O91">
        <f t="shared" si="12"/>
        <v>2481229862.8834763</v>
      </c>
      <c r="P91">
        <f t="shared" si="15"/>
        <v>88.873815507062034</v>
      </c>
      <c r="Q91">
        <f t="shared" si="16"/>
        <v>61.26</v>
      </c>
      <c r="R91" s="229">
        <f t="shared" si="17"/>
        <v>1710291614.3862824</v>
      </c>
      <c r="S91" s="297">
        <f t="shared" si="18"/>
        <v>79.943949986749161</v>
      </c>
      <c r="T91" s="297">
        <f t="shared" si="19"/>
        <v>52.332172295498012</v>
      </c>
      <c r="V91" s="296">
        <f t="shared" si="20"/>
        <v>65.92</v>
      </c>
      <c r="W91">
        <f t="shared" si="21"/>
        <v>4.6633045592180791</v>
      </c>
      <c r="X91" s="297">
        <f t="shared" si="22"/>
        <v>57</v>
      </c>
    </row>
    <row r="92" spans="1:24" x14ac:dyDescent="0.2">
      <c r="A92" t="s">
        <v>253</v>
      </c>
      <c r="B92">
        <v>2030</v>
      </c>
      <c r="C92" t="s">
        <v>250</v>
      </c>
      <c r="D92" t="s">
        <v>218</v>
      </c>
      <c r="E92">
        <v>216830113.00834799</v>
      </c>
      <c r="F92">
        <v>1140377.4255939899</v>
      </c>
      <c r="G92">
        <v>-1</v>
      </c>
      <c r="H92">
        <v>217970489.43394199</v>
      </c>
      <c r="I92">
        <v>4370.2250833333301</v>
      </c>
      <c r="J92">
        <v>7839489.8077567602</v>
      </c>
      <c r="K92">
        <v>0.204776392694063</v>
      </c>
      <c r="L92">
        <v>27.804167717428701</v>
      </c>
      <c r="M92" t="str">
        <f t="shared" si="13"/>
        <v>High Solar</v>
      </c>
      <c r="N92" t="str">
        <f t="shared" si="14"/>
        <v>Medium RE Cost</v>
      </c>
      <c r="O92">
        <f t="shared" si="12"/>
        <v>796677109.68726099</v>
      </c>
      <c r="P92">
        <f t="shared" si="15"/>
        <v>101.62359148665404</v>
      </c>
      <c r="Q92">
        <f t="shared" si="16"/>
        <v>73.959999999999994</v>
      </c>
      <c r="R92" s="229">
        <f t="shared" si="17"/>
        <v>579808666.18168998</v>
      </c>
      <c r="S92" s="297">
        <f t="shared" si="18"/>
        <v>96.106608574655084</v>
      </c>
      <c r="T92" s="297">
        <f t="shared" si="19"/>
        <v>68.447906627775055</v>
      </c>
      <c r="V92" s="296">
        <f t="shared" si="20"/>
        <v>73.959999999999994</v>
      </c>
      <c r="W92">
        <f t="shared" si="21"/>
        <v>-1.2755932140004226E-7</v>
      </c>
      <c r="X92" s="297">
        <f t="shared" si="22"/>
        <v>68.45</v>
      </c>
    </row>
    <row r="93" spans="1:24" x14ac:dyDescent="0.2">
      <c r="A93" t="s">
        <v>253</v>
      </c>
      <c r="B93">
        <v>2040</v>
      </c>
      <c r="C93" t="s">
        <v>250</v>
      </c>
      <c r="D93" t="s">
        <v>218</v>
      </c>
      <c r="E93">
        <v>418184440.55704099</v>
      </c>
      <c r="F93">
        <v>936074.20773268002</v>
      </c>
      <c r="G93">
        <v>-15</v>
      </c>
      <c r="H93">
        <v>419120499.76477402</v>
      </c>
      <c r="I93">
        <v>10473.906000000001</v>
      </c>
      <c r="J93">
        <v>18764823.185694199</v>
      </c>
      <c r="K93">
        <v>0.20451807600619601</v>
      </c>
      <c r="L93">
        <v>22.335435597618599</v>
      </c>
      <c r="M93" t="str">
        <f t="shared" si="13"/>
        <v>High Solar</v>
      </c>
      <c r="N93" t="str">
        <f t="shared" si="14"/>
        <v>Medium RE Cost</v>
      </c>
      <c r="O93">
        <f t="shared" si="12"/>
        <v>1475131307.2772543</v>
      </c>
      <c r="P93">
        <f t="shared" si="15"/>
        <v>78.611521818220766</v>
      </c>
      <c r="Q93">
        <f t="shared" si="16"/>
        <v>56.33</v>
      </c>
      <c r="R93" s="229">
        <f t="shared" si="17"/>
        <v>1057022490.0501542</v>
      </c>
      <c r="S93" s="297">
        <f t="shared" si="18"/>
        <v>66.57055908863569</v>
      </c>
      <c r="T93" s="297">
        <f t="shared" si="19"/>
        <v>44.285008011562205</v>
      </c>
      <c r="V93" s="296">
        <f t="shared" si="20"/>
        <v>56.33</v>
      </c>
      <c r="W93">
        <f t="shared" si="21"/>
        <v>-7.9936804368269239E-7</v>
      </c>
      <c r="X93" s="297">
        <f t="shared" si="22"/>
        <v>44.29</v>
      </c>
    </row>
    <row r="94" spans="1:24" x14ac:dyDescent="0.2">
      <c r="A94" t="s">
        <v>253</v>
      </c>
      <c r="B94">
        <v>2050</v>
      </c>
      <c r="C94" t="s">
        <v>250</v>
      </c>
      <c r="D94" t="s">
        <v>218</v>
      </c>
      <c r="E94">
        <v>593967610.24133694</v>
      </c>
      <c r="F94">
        <v>2273006.80446117</v>
      </c>
      <c r="G94">
        <v>4989491</v>
      </c>
      <c r="H94">
        <v>601230108.04579794</v>
      </c>
      <c r="I94">
        <v>15730.8939166666</v>
      </c>
      <c r="J94">
        <v>27918570.2642227</v>
      </c>
      <c r="K94">
        <v>0.202598238657549</v>
      </c>
      <c r="L94">
        <v>21.5351324353549</v>
      </c>
      <c r="M94" t="str">
        <f t="shared" si="13"/>
        <v>High Solar</v>
      </c>
      <c r="N94" t="str">
        <f t="shared" si="14"/>
        <v>Medium RE Cost</v>
      </c>
      <c r="O94">
        <f t="shared" si="12"/>
        <v>1857774234.0994</v>
      </c>
      <c r="P94">
        <f t="shared" si="15"/>
        <v>66.542599299223951</v>
      </c>
      <c r="Q94">
        <f t="shared" si="16"/>
        <v>45.09</v>
      </c>
      <c r="R94" s="229">
        <f t="shared" si="17"/>
        <v>1258848333.2138016</v>
      </c>
      <c r="S94" s="297">
        <f t="shared" si="18"/>
        <v>59.252144159925678</v>
      </c>
      <c r="T94" s="297">
        <f t="shared" si="19"/>
        <v>37.798427312222593</v>
      </c>
      <c r="V94" s="296">
        <f t="shared" si="20"/>
        <v>45.27</v>
      </c>
      <c r="W94">
        <f t="shared" si="21"/>
        <v>0.17871584944283378</v>
      </c>
      <c r="X94" s="297">
        <f t="shared" si="22"/>
        <v>37.979999999999997</v>
      </c>
    </row>
    <row r="95" spans="1:24" x14ac:dyDescent="0.2">
      <c r="A95" t="s">
        <v>254</v>
      </c>
      <c r="B95">
        <v>2030</v>
      </c>
      <c r="C95" t="s">
        <v>250</v>
      </c>
      <c r="D95" t="s">
        <v>220</v>
      </c>
      <c r="E95">
        <v>196196324.63954499</v>
      </c>
      <c r="F95">
        <v>1462001.72998575</v>
      </c>
      <c r="G95">
        <v>-2</v>
      </c>
      <c r="H95">
        <v>197658324.36953101</v>
      </c>
      <c r="I95">
        <v>4370.2250833333301</v>
      </c>
      <c r="J95">
        <v>7839489.8077567602</v>
      </c>
      <c r="K95">
        <v>0.204776392694063</v>
      </c>
      <c r="L95">
        <v>25.2131617256467</v>
      </c>
      <c r="M95" t="str">
        <f t="shared" si="13"/>
        <v>High Solar</v>
      </c>
      <c r="N95" t="str">
        <f t="shared" si="14"/>
        <v>Low RE Cost</v>
      </c>
      <c r="O95">
        <f t="shared" si="12"/>
        <v>722146827.94767082</v>
      </c>
      <c r="P95">
        <f t="shared" si="15"/>
        <v>92.116559324197951</v>
      </c>
      <c r="Q95">
        <f t="shared" si="16"/>
        <v>67.09</v>
      </c>
      <c r="R95" s="229">
        <f t="shared" si="17"/>
        <v>525951371.20240104</v>
      </c>
      <c r="S95" s="297">
        <f t="shared" si="18"/>
        <v>87.11569804514663</v>
      </c>
      <c r="T95" s="297">
        <f t="shared" si="19"/>
        <v>62.089028268062528</v>
      </c>
      <c r="V95" s="296">
        <f t="shared" si="20"/>
        <v>67.09</v>
      </c>
      <c r="W95">
        <f t="shared" si="21"/>
        <v>-2.5511864280008453E-7</v>
      </c>
      <c r="X95" s="297">
        <f t="shared" si="22"/>
        <v>62.09</v>
      </c>
    </row>
    <row r="96" spans="1:24" x14ac:dyDescent="0.2">
      <c r="A96" t="s">
        <v>254</v>
      </c>
      <c r="B96">
        <v>2040</v>
      </c>
      <c r="C96" t="s">
        <v>250</v>
      </c>
      <c r="D96" t="s">
        <v>220</v>
      </c>
      <c r="E96">
        <v>363525886.05422503</v>
      </c>
      <c r="F96">
        <v>3642998.94342008</v>
      </c>
      <c r="G96">
        <v>-4</v>
      </c>
      <c r="H96">
        <v>367168880.99764597</v>
      </c>
      <c r="I96">
        <v>10473.906000000001</v>
      </c>
      <c r="J96">
        <v>18764823.185694199</v>
      </c>
      <c r="K96">
        <v>0.20451807600619601</v>
      </c>
      <c r="L96">
        <v>19.566871340283399</v>
      </c>
      <c r="M96" t="str">
        <f t="shared" si="13"/>
        <v>High Solar</v>
      </c>
      <c r="N96" t="str">
        <f t="shared" si="14"/>
        <v>Low RE Cost</v>
      </c>
      <c r="O96">
        <f t="shared" si="12"/>
        <v>1227981040.1559095</v>
      </c>
      <c r="P96">
        <f t="shared" si="15"/>
        <v>65.440586783257814</v>
      </c>
      <c r="Q96">
        <f t="shared" si="16"/>
        <v>46.07</v>
      </c>
      <c r="R96" s="229">
        <f t="shared" si="17"/>
        <v>864495404.16493177</v>
      </c>
      <c r="S96" s="297">
        <f t="shared" si="18"/>
        <v>51.758222969109426</v>
      </c>
      <c r="T96" s="297">
        <f t="shared" si="19"/>
        <v>32.385491424728684</v>
      </c>
      <c r="V96" s="296">
        <f t="shared" si="20"/>
        <v>46.07</v>
      </c>
      <c r="W96">
        <f t="shared" si="21"/>
        <v>-2.1316481164871799E-7</v>
      </c>
      <c r="X96" s="297">
        <f t="shared" si="22"/>
        <v>32.39</v>
      </c>
    </row>
    <row r="97" spans="1:24" x14ac:dyDescent="0.2">
      <c r="A97" t="s">
        <v>254</v>
      </c>
      <c r="B97">
        <v>2050</v>
      </c>
      <c r="C97" t="s">
        <v>250</v>
      </c>
      <c r="D97" t="s">
        <v>220</v>
      </c>
      <c r="E97">
        <v>565176224.56210995</v>
      </c>
      <c r="F97">
        <v>8516308.8117507994</v>
      </c>
      <c r="G97">
        <v>-62</v>
      </c>
      <c r="H97">
        <v>573692471.37386096</v>
      </c>
      <c r="I97">
        <v>15730.8939166666</v>
      </c>
      <c r="J97">
        <v>27918570.2642227</v>
      </c>
      <c r="K97">
        <v>0.202598238657549</v>
      </c>
      <c r="L97">
        <v>20.548776887369399</v>
      </c>
      <c r="M97" t="str">
        <f t="shared" si="13"/>
        <v>High Solar</v>
      </c>
      <c r="N97" t="str">
        <f t="shared" si="14"/>
        <v>Low RE Cost</v>
      </c>
      <c r="O97">
        <f t="shared" si="12"/>
        <v>1496035802.9716711</v>
      </c>
      <c r="P97">
        <f t="shared" si="15"/>
        <v>53.585688264589336</v>
      </c>
      <c r="Q97">
        <f t="shared" si="16"/>
        <v>33.340000000000003</v>
      </c>
      <c r="R97" s="229">
        <f t="shared" si="17"/>
        <v>930805132.60918486</v>
      </c>
      <c r="S97" s="297">
        <f t="shared" si="18"/>
        <v>44.676004856383202</v>
      </c>
      <c r="T97" s="297">
        <f t="shared" si="19"/>
        <v>24.432268976885958</v>
      </c>
      <c r="V97" s="296">
        <f t="shared" si="20"/>
        <v>33.340000000000003</v>
      </c>
      <c r="W97">
        <f t="shared" si="21"/>
        <v>-2.2207440930258607E-6</v>
      </c>
      <c r="X97" s="297">
        <f t="shared" si="22"/>
        <v>24.43</v>
      </c>
    </row>
    <row r="98" spans="1:24" x14ac:dyDescent="0.2">
      <c r="A98" t="s">
        <v>255</v>
      </c>
      <c r="B98">
        <v>2030</v>
      </c>
      <c r="C98" t="s">
        <v>250</v>
      </c>
      <c r="D98" t="s">
        <v>222</v>
      </c>
      <c r="E98">
        <v>214415907.97752601</v>
      </c>
      <c r="F98">
        <v>1128022.11403212</v>
      </c>
      <c r="G98">
        <v>-3</v>
      </c>
      <c r="H98">
        <v>215543927.09155801</v>
      </c>
      <c r="I98">
        <v>4370.2250833333301</v>
      </c>
      <c r="J98">
        <v>7839489.8077567602</v>
      </c>
      <c r="K98">
        <v>0.204776392694063</v>
      </c>
      <c r="L98">
        <v>27.494637071699302</v>
      </c>
      <c r="M98" t="str">
        <f t="shared" si="13"/>
        <v>High Solar</v>
      </c>
      <c r="N98" t="str">
        <f t="shared" si="14"/>
        <v>Medium RE Cost</v>
      </c>
      <c r="O98">
        <f t="shared" si="12"/>
        <v>796677109.68726099</v>
      </c>
      <c r="P98">
        <f t="shared" si="15"/>
        <v>101.62359148665404</v>
      </c>
      <c r="Q98">
        <f t="shared" si="16"/>
        <v>74.27</v>
      </c>
      <c r="R98" s="229">
        <f t="shared" si="17"/>
        <v>582238908.02209449</v>
      </c>
      <c r="S98" s="297">
        <f t="shared" si="18"/>
        <v>96.106608574655084</v>
      </c>
      <c r="T98" s="297">
        <f t="shared" si="19"/>
        <v>68.755861238345929</v>
      </c>
      <c r="V98" s="296">
        <f t="shared" si="20"/>
        <v>74.27</v>
      </c>
      <c r="W98">
        <f t="shared" si="21"/>
        <v>-3.8267796420012674E-7</v>
      </c>
      <c r="X98" s="297">
        <f t="shared" si="22"/>
        <v>68.760000000000005</v>
      </c>
    </row>
    <row r="99" spans="1:24" x14ac:dyDescent="0.2">
      <c r="A99" t="s">
        <v>255</v>
      </c>
      <c r="B99">
        <v>2040</v>
      </c>
      <c r="C99" t="s">
        <v>250</v>
      </c>
      <c r="D99" t="s">
        <v>222</v>
      </c>
      <c r="E99">
        <v>418064077.32612503</v>
      </c>
      <c r="F99">
        <v>1640066.6762345</v>
      </c>
      <c r="G99">
        <v>-32</v>
      </c>
      <c r="H99">
        <v>419704112.00235897</v>
      </c>
      <c r="I99">
        <v>10473.906000000001</v>
      </c>
      <c r="J99">
        <v>18764823.185694199</v>
      </c>
      <c r="K99">
        <v>0.20451807600619601</v>
      </c>
      <c r="L99">
        <v>22.366536995793801</v>
      </c>
      <c r="M99" t="str">
        <f t="shared" si="13"/>
        <v>High Solar</v>
      </c>
      <c r="N99" t="str">
        <f t="shared" si="14"/>
        <v>Medium RE Cost</v>
      </c>
      <c r="O99">
        <f t="shared" si="12"/>
        <v>1475131307.2772543</v>
      </c>
      <c r="P99">
        <f t="shared" si="15"/>
        <v>78.611521818220766</v>
      </c>
      <c r="Q99">
        <f t="shared" si="16"/>
        <v>56.33</v>
      </c>
      <c r="R99" s="229">
        <f t="shared" si="17"/>
        <v>1057022490.0501542</v>
      </c>
      <c r="S99" s="297">
        <f t="shared" si="18"/>
        <v>66.57055908863569</v>
      </c>
      <c r="T99" s="297">
        <f t="shared" si="19"/>
        <v>44.291423218874556</v>
      </c>
      <c r="V99" s="296">
        <f t="shared" si="20"/>
        <v>56.33</v>
      </c>
      <c r="W99">
        <f t="shared" si="21"/>
        <v>-1.7053184931897439E-6</v>
      </c>
      <c r="X99" s="297">
        <f t="shared" si="22"/>
        <v>44.29</v>
      </c>
    </row>
    <row r="100" spans="1:24" x14ac:dyDescent="0.2">
      <c r="A100" t="s">
        <v>255</v>
      </c>
      <c r="B100">
        <v>2050</v>
      </c>
      <c r="C100" t="s">
        <v>250</v>
      </c>
      <c r="D100" t="s">
        <v>222</v>
      </c>
      <c r="E100">
        <v>623409281.18602395</v>
      </c>
      <c r="F100">
        <v>2464848.6046645902</v>
      </c>
      <c r="G100">
        <v>9423</v>
      </c>
      <c r="H100">
        <v>625883552.79068804</v>
      </c>
      <c r="I100">
        <v>15730.8939166666</v>
      </c>
      <c r="J100">
        <v>27918570.2642227</v>
      </c>
      <c r="K100">
        <v>0.202598238657549</v>
      </c>
      <c r="L100">
        <v>22.418180690031601</v>
      </c>
      <c r="M100" t="str">
        <f t="shared" si="13"/>
        <v>High Solar</v>
      </c>
      <c r="N100" t="str">
        <f t="shared" si="14"/>
        <v>Medium RE Cost</v>
      </c>
      <c r="O100">
        <f t="shared" si="12"/>
        <v>1857774234.0994</v>
      </c>
      <c r="P100">
        <f t="shared" si="15"/>
        <v>66.542599299223951</v>
      </c>
      <c r="Q100">
        <f t="shared" si="16"/>
        <v>44.21</v>
      </c>
      <c r="R100" s="229">
        <f t="shared" si="17"/>
        <v>1234279991.3812857</v>
      </c>
      <c r="S100" s="297">
        <f t="shared" si="18"/>
        <v>59.252144159925678</v>
      </c>
      <c r="T100" s="297">
        <f t="shared" si="19"/>
        <v>36.922250534071658</v>
      </c>
      <c r="V100" s="296">
        <f t="shared" si="20"/>
        <v>44.21</v>
      </c>
      <c r="W100">
        <f t="shared" si="21"/>
        <v>3.3751728368681749E-4</v>
      </c>
      <c r="X100" s="297">
        <f t="shared" si="22"/>
        <v>36.92</v>
      </c>
    </row>
    <row r="101" spans="1:24" x14ac:dyDescent="0.2">
      <c r="A101" t="s">
        <v>256</v>
      </c>
      <c r="B101">
        <v>2030</v>
      </c>
      <c r="C101" t="s">
        <v>250</v>
      </c>
      <c r="D101" t="s">
        <v>224</v>
      </c>
      <c r="E101">
        <v>212255722.215606</v>
      </c>
      <c r="F101">
        <v>615236.76483024901</v>
      </c>
      <c r="G101">
        <v>-2</v>
      </c>
      <c r="H101">
        <v>212870956.980436</v>
      </c>
      <c r="I101">
        <v>4370.2250833333301</v>
      </c>
      <c r="J101">
        <v>7839489.8077567602</v>
      </c>
      <c r="K101">
        <v>0.204776392694063</v>
      </c>
      <c r="L101">
        <v>27.153674818201999</v>
      </c>
      <c r="M101" t="str">
        <f t="shared" si="13"/>
        <v>High Solar</v>
      </c>
      <c r="N101" t="str">
        <f t="shared" si="14"/>
        <v>Medium RE Cost</v>
      </c>
      <c r="O101">
        <f t="shared" si="12"/>
        <v>796677109.68726099</v>
      </c>
      <c r="P101">
        <f t="shared" si="15"/>
        <v>101.62359148665404</v>
      </c>
      <c r="Q101">
        <f t="shared" si="16"/>
        <v>74.55</v>
      </c>
      <c r="R101" s="229">
        <f t="shared" si="17"/>
        <v>584433965.16826642</v>
      </c>
      <c r="S101" s="297">
        <f t="shared" si="18"/>
        <v>96.106608574655084</v>
      </c>
      <c r="T101" s="297">
        <f t="shared" si="19"/>
        <v>69.031412940675168</v>
      </c>
      <c r="V101" s="296">
        <f t="shared" si="20"/>
        <v>74.55</v>
      </c>
      <c r="W101">
        <f t="shared" si="21"/>
        <v>-2.5511864280008453E-7</v>
      </c>
      <c r="X101" s="297">
        <f t="shared" si="22"/>
        <v>69.03</v>
      </c>
    </row>
    <row r="102" spans="1:24" x14ac:dyDescent="0.2">
      <c r="A102" t="s">
        <v>256</v>
      </c>
      <c r="B102">
        <v>2040</v>
      </c>
      <c r="C102" t="s">
        <v>250</v>
      </c>
      <c r="D102" t="s">
        <v>224</v>
      </c>
      <c r="E102">
        <v>448654287.614923</v>
      </c>
      <c r="F102">
        <v>2152392.6979061901</v>
      </c>
      <c r="G102">
        <v>-38</v>
      </c>
      <c r="H102">
        <v>450806642.31282902</v>
      </c>
      <c r="I102">
        <v>10473.906000000001</v>
      </c>
      <c r="J102">
        <v>18764823.185694199</v>
      </c>
      <c r="K102">
        <v>0.20451807600619601</v>
      </c>
      <c r="L102">
        <v>24.024028249651199</v>
      </c>
      <c r="M102" t="str">
        <f t="shared" si="13"/>
        <v>High Solar</v>
      </c>
      <c r="N102" t="str">
        <f t="shared" si="14"/>
        <v>Medium RE Cost</v>
      </c>
      <c r="O102">
        <f t="shared" si="12"/>
        <v>1475131307.2772543</v>
      </c>
      <c r="P102">
        <f t="shared" si="15"/>
        <v>78.611521818220766</v>
      </c>
      <c r="Q102">
        <f t="shared" si="16"/>
        <v>54.7</v>
      </c>
      <c r="R102" s="229">
        <f t="shared" si="17"/>
        <v>1026435828.2574728</v>
      </c>
      <c r="S102" s="297">
        <f t="shared" si="18"/>
        <v>66.57055908863569</v>
      </c>
      <c r="T102" s="297">
        <f t="shared" si="19"/>
        <v>42.661234434995201</v>
      </c>
      <c r="V102" s="296">
        <f t="shared" si="20"/>
        <v>54.7</v>
      </c>
      <c r="W102">
        <f t="shared" si="21"/>
        <v>-2.0250657106628209E-6</v>
      </c>
      <c r="X102" s="297">
        <f t="shared" si="22"/>
        <v>42.66</v>
      </c>
    </row>
    <row r="103" spans="1:24" x14ac:dyDescent="0.2">
      <c r="A103" t="s">
        <v>256</v>
      </c>
      <c r="B103">
        <v>2050</v>
      </c>
      <c r="C103" t="s">
        <v>250</v>
      </c>
      <c r="D103" t="s">
        <v>224</v>
      </c>
      <c r="E103">
        <v>682121303.33296895</v>
      </c>
      <c r="F103">
        <v>8606338.6934361495</v>
      </c>
      <c r="G103">
        <v>-14</v>
      </c>
      <c r="H103">
        <v>690727628.02640498</v>
      </c>
      <c r="I103">
        <v>15730.8939166666</v>
      </c>
      <c r="J103">
        <v>27918570.2642227</v>
      </c>
      <c r="K103">
        <v>0.202598238657549</v>
      </c>
      <c r="L103">
        <v>24.740795158538699</v>
      </c>
      <c r="M103" t="str">
        <f t="shared" si="13"/>
        <v>High Solar</v>
      </c>
      <c r="N103" t="str">
        <f t="shared" si="14"/>
        <v>Medium RE Cost</v>
      </c>
      <c r="O103">
        <f t="shared" si="12"/>
        <v>1857774234.0994</v>
      </c>
      <c r="P103">
        <f t="shared" si="15"/>
        <v>66.542599299223951</v>
      </c>
      <c r="Q103">
        <f t="shared" si="16"/>
        <v>42.11</v>
      </c>
      <c r="R103" s="229">
        <f t="shared" si="17"/>
        <v>1175650993.8264179</v>
      </c>
      <c r="S103" s="297">
        <f t="shared" si="18"/>
        <v>59.252144159925678</v>
      </c>
      <c r="T103" s="297">
        <f t="shared" si="19"/>
        <v>34.819614740355121</v>
      </c>
      <c r="V103" s="296">
        <f t="shared" si="20"/>
        <v>42.11</v>
      </c>
      <c r="W103">
        <f t="shared" si="21"/>
        <v>-5.0145834358648462E-7</v>
      </c>
      <c r="X103" s="297">
        <f t="shared" si="22"/>
        <v>34.82</v>
      </c>
    </row>
    <row r="104" spans="1:24" x14ac:dyDescent="0.2">
      <c r="A104" t="s">
        <v>257</v>
      </c>
      <c r="B104">
        <v>2030</v>
      </c>
      <c r="C104" t="s">
        <v>250</v>
      </c>
      <c r="D104" t="s">
        <v>226</v>
      </c>
      <c r="E104">
        <v>215119143.200598</v>
      </c>
      <c r="F104">
        <v>1598951.1710025901</v>
      </c>
      <c r="G104">
        <v>-2</v>
      </c>
      <c r="H104">
        <v>216718092.3716</v>
      </c>
      <c r="I104">
        <v>4370.2250833333301</v>
      </c>
      <c r="J104">
        <v>7839489.8077567602</v>
      </c>
      <c r="K104">
        <v>0.204776392694063</v>
      </c>
      <c r="L104">
        <v>27.644412798032999</v>
      </c>
      <c r="M104" t="str">
        <f t="shared" si="13"/>
        <v>High Solar</v>
      </c>
      <c r="N104" t="str">
        <f t="shared" si="14"/>
        <v>Medium RE Cost</v>
      </c>
      <c r="O104">
        <f t="shared" si="12"/>
        <v>796677109.68726099</v>
      </c>
      <c r="P104">
        <f t="shared" si="15"/>
        <v>101.62359148665404</v>
      </c>
      <c r="Q104">
        <f t="shared" si="16"/>
        <v>74.180000000000007</v>
      </c>
      <c r="R104" s="229">
        <f t="shared" si="17"/>
        <v>581533353.9393965</v>
      </c>
      <c r="S104" s="297">
        <f t="shared" si="18"/>
        <v>96.106608574655084</v>
      </c>
      <c r="T104" s="297">
        <f t="shared" si="19"/>
        <v>68.666156902946938</v>
      </c>
      <c r="V104" s="296">
        <f t="shared" si="20"/>
        <v>74.180000000000007</v>
      </c>
      <c r="W104">
        <f t="shared" si="21"/>
        <v>-2.5511864280008453E-7</v>
      </c>
      <c r="X104" s="297">
        <f t="shared" si="22"/>
        <v>68.67</v>
      </c>
    </row>
    <row r="105" spans="1:24" x14ac:dyDescent="0.2">
      <c r="A105" t="s">
        <v>257</v>
      </c>
      <c r="B105">
        <v>2040</v>
      </c>
      <c r="C105" t="s">
        <v>250</v>
      </c>
      <c r="D105" t="s">
        <v>226</v>
      </c>
      <c r="E105">
        <v>419562696.71294302</v>
      </c>
      <c r="F105">
        <v>2061803.5078515699</v>
      </c>
      <c r="G105">
        <v>-17</v>
      </c>
      <c r="H105">
        <v>421624483.22079402</v>
      </c>
      <c r="I105">
        <v>10473.906000000001</v>
      </c>
      <c r="J105">
        <v>18764823.185694199</v>
      </c>
      <c r="K105">
        <v>0.20451807600619601</v>
      </c>
      <c r="L105">
        <v>22.468875888062101</v>
      </c>
      <c r="M105" t="str">
        <f t="shared" si="13"/>
        <v>High Solar</v>
      </c>
      <c r="N105" t="str">
        <f t="shared" si="14"/>
        <v>Medium RE Cost</v>
      </c>
      <c r="O105">
        <f t="shared" si="12"/>
        <v>1475131307.2772543</v>
      </c>
      <c r="P105">
        <f t="shared" si="15"/>
        <v>78.611521818220766</v>
      </c>
      <c r="Q105">
        <f t="shared" si="16"/>
        <v>56.25</v>
      </c>
      <c r="R105" s="229">
        <f t="shared" si="17"/>
        <v>1055521304.1952987</v>
      </c>
      <c r="S105" s="297">
        <f t="shared" si="18"/>
        <v>66.57055908863569</v>
      </c>
      <c r="T105" s="297">
        <f t="shared" si="19"/>
        <v>44.211559189675469</v>
      </c>
      <c r="V105" s="296">
        <f t="shared" si="20"/>
        <v>56.25</v>
      </c>
      <c r="W105">
        <f t="shared" si="21"/>
        <v>-9.0595044950705142E-7</v>
      </c>
      <c r="X105" s="297">
        <f t="shared" si="22"/>
        <v>44.21</v>
      </c>
    </row>
    <row r="106" spans="1:24" x14ac:dyDescent="0.2">
      <c r="A106" t="s">
        <v>257</v>
      </c>
      <c r="B106">
        <v>2050</v>
      </c>
      <c r="C106" t="s">
        <v>250</v>
      </c>
      <c r="D106" t="s">
        <v>226</v>
      </c>
      <c r="E106">
        <v>613085147.51115799</v>
      </c>
      <c r="F106">
        <v>2349203.8630127702</v>
      </c>
      <c r="G106">
        <v>238</v>
      </c>
      <c r="H106">
        <v>615434589.37416995</v>
      </c>
      <c r="I106">
        <v>15730.8939166666</v>
      </c>
      <c r="J106">
        <v>27918570.2642227</v>
      </c>
      <c r="K106">
        <v>0.202598238657549</v>
      </c>
      <c r="L106">
        <v>22.043914983814201</v>
      </c>
      <c r="M106" t="str">
        <f t="shared" si="13"/>
        <v>High Solar</v>
      </c>
      <c r="N106" t="str">
        <f t="shared" si="14"/>
        <v>Medium RE Cost</v>
      </c>
      <c r="O106">
        <f t="shared" si="12"/>
        <v>1857774234.0994</v>
      </c>
      <c r="P106">
        <f t="shared" si="15"/>
        <v>66.542599299223951</v>
      </c>
      <c r="Q106">
        <f t="shared" si="16"/>
        <v>44.58</v>
      </c>
      <c r="R106" s="229">
        <f t="shared" si="17"/>
        <v>1244609862.3790479</v>
      </c>
      <c r="S106" s="297">
        <f t="shared" si="18"/>
        <v>59.252144159925678</v>
      </c>
      <c r="T106" s="297">
        <f t="shared" si="19"/>
        <v>37.29237402453235</v>
      </c>
      <c r="V106" s="296">
        <f t="shared" si="20"/>
        <v>44.58</v>
      </c>
      <c r="W106">
        <f t="shared" si="21"/>
        <v>8.5247918409702383E-6</v>
      </c>
      <c r="X106" s="297">
        <f t="shared" si="22"/>
        <v>37.29</v>
      </c>
    </row>
    <row r="107" spans="1:24" x14ac:dyDescent="0.2">
      <c r="A107" t="s">
        <v>258</v>
      </c>
      <c r="B107">
        <v>2030</v>
      </c>
      <c r="C107" t="s">
        <v>246</v>
      </c>
      <c r="D107" t="s">
        <v>218</v>
      </c>
      <c r="E107">
        <v>216830538.95077899</v>
      </c>
      <c r="F107">
        <v>1140383.0894057001</v>
      </c>
      <c r="G107">
        <v>-2</v>
      </c>
      <c r="H107">
        <v>217970920.040185</v>
      </c>
      <c r="I107">
        <v>4370.2250833333301</v>
      </c>
      <c r="J107">
        <v>7839489.8077567602</v>
      </c>
      <c r="K107">
        <v>0.204776392694063</v>
      </c>
      <c r="L107">
        <v>27.804222645268801</v>
      </c>
      <c r="M107" t="str">
        <f t="shared" si="13"/>
        <v>High Solar</v>
      </c>
      <c r="N107" t="str">
        <f t="shared" si="14"/>
        <v>Medium RE Cost</v>
      </c>
      <c r="O107">
        <f t="shared" si="12"/>
        <v>796677109.68726099</v>
      </c>
      <c r="P107">
        <f t="shared" si="15"/>
        <v>101.62359148665404</v>
      </c>
      <c r="Q107">
        <f t="shared" si="16"/>
        <v>73.959999999999994</v>
      </c>
      <c r="R107" s="229">
        <f t="shared" si="17"/>
        <v>579808666.18168998</v>
      </c>
      <c r="S107" s="297">
        <f t="shared" si="18"/>
        <v>96.106608574655084</v>
      </c>
      <c r="T107" s="297">
        <f t="shared" si="19"/>
        <v>68.447852422406939</v>
      </c>
      <c r="V107" s="296">
        <f t="shared" si="20"/>
        <v>73.959999999999994</v>
      </c>
      <c r="W107">
        <f t="shared" si="21"/>
        <v>-2.5511864280008453E-7</v>
      </c>
      <c r="X107" s="297">
        <f t="shared" si="22"/>
        <v>68.45</v>
      </c>
    </row>
    <row r="108" spans="1:24" x14ac:dyDescent="0.2">
      <c r="A108" t="s">
        <v>258</v>
      </c>
      <c r="B108">
        <v>2040</v>
      </c>
      <c r="C108" t="s">
        <v>246</v>
      </c>
      <c r="D108" t="s">
        <v>218</v>
      </c>
      <c r="E108">
        <v>418190832.470761</v>
      </c>
      <c r="F108">
        <v>935896.86355628795</v>
      </c>
      <c r="G108">
        <v>-1</v>
      </c>
      <c r="H108">
        <v>419126728.33431703</v>
      </c>
      <c r="I108">
        <v>10473.906000000001</v>
      </c>
      <c r="J108">
        <v>18764823.185694199</v>
      </c>
      <c r="K108">
        <v>0.20451807600619601</v>
      </c>
      <c r="L108">
        <v>22.335767525582</v>
      </c>
      <c r="M108" t="str">
        <f t="shared" si="13"/>
        <v>High Solar</v>
      </c>
      <c r="N108" t="str">
        <f t="shared" si="14"/>
        <v>Medium RE Cost</v>
      </c>
      <c r="O108">
        <f t="shared" si="12"/>
        <v>1475131307.2772543</v>
      </c>
      <c r="P108">
        <f t="shared" si="15"/>
        <v>78.611521818220766</v>
      </c>
      <c r="Q108">
        <f t="shared" si="16"/>
        <v>56.33</v>
      </c>
      <c r="R108" s="229">
        <f t="shared" si="17"/>
        <v>1057022490.0501542</v>
      </c>
      <c r="S108" s="297">
        <f t="shared" si="18"/>
        <v>66.57055908863569</v>
      </c>
      <c r="T108" s="297">
        <f t="shared" si="19"/>
        <v>44.284666632714305</v>
      </c>
      <c r="V108" s="296">
        <f t="shared" si="20"/>
        <v>56.33</v>
      </c>
      <c r="W108">
        <f t="shared" si="21"/>
        <v>-5.3291202912179497E-8</v>
      </c>
      <c r="X108" s="297">
        <f t="shared" si="22"/>
        <v>44.28</v>
      </c>
    </row>
    <row r="109" spans="1:24" x14ac:dyDescent="0.2">
      <c r="A109" t="s">
        <v>258</v>
      </c>
      <c r="B109">
        <v>2050</v>
      </c>
      <c r="C109" t="s">
        <v>246</v>
      </c>
      <c r="D109" t="s">
        <v>218</v>
      </c>
      <c r="E109">
        <v>595607850.91903102</v>
      </c>
      <c r="F109">
        <v>2267117.2144099898</v>
      </c>
      <c r="G109">
        <v>-2</v>
      </c>
      <c r="H109">
        <v>597874966.13344097</v>
      </c>
      <c r="I109">
        <v>15730.8939166666</v>
      </c>
      <c r="J109">
        <v>27918570.2642227</v>
      </c>
      <c r="K109">
        <v>0.202598238657549</v>
      </c>
      <c r="L109">
        <v>21.414956442078601</v>
      </c>
      <c r="M109" t="str">
        <f t="shared" si="13"/>
        <v>High Solar</v>
      </c>
      <c r="N109" t="str">
        <f t="shared" si="14"/>
        <v>Medium RE Cost</v>
      </c>
      <c r="O109">
        <f t="shared" si="12"/>
        <v>1857774234.0994</v>
      </c>
      <c r="P109">
        <f t="shared" si="15"/>
        <v>66.542599299223951</v>
      </c>
      <c r="Q109">
        <f t="shared" si="16"/>
        <v>45.21</v>
      </c>
      <c r="R109" s="229">
        <f t="shared" si="17"/>
        <v>1262198561.6455083</v>
      </c>
      <c r="S109" s="297">
        <f t="shared" si="18"/>
        <v>59.252144159925678</v>
      </c>
      <c r="T109" s="297">
        <f t="shared" si="19"/>
        <v>37.918392349493786</v>
      </c>
      <c r="V109" s="296">
        <f t="shared" si="20"/>
        <v>45.21</v>
      </c>
      <c r="W109">
        <f t="shared" si="21"/>
        <v>-7.1636906226640657E-8</v>
      </c>
      <c r="X109" s="297">
        <f t="shared" si="22"/>
        <v>37.92</v>
      </c>
    </row>
    <row r="110" spans="1:24" x14ac:dyDescent="0.2">
      <c r="A110" t="s">
        <v>259</v>
      </c>
      <c r="B110">
        <v>2030</v>
      </c>
      <c r="C110" t="s">
        <v>246</v>
      </c>
      <c r="D110" t="s">
        <v>220</v>
      </c>
      <c r="E110">
        <v>196196214.07377201</v>
      </c>
      <c r="F110">
        <v>1461982.45729314</v>
      </c>
      <c r="G110">
        <v>-1</v>
      </c>
      <c r="H110">
        <v>197658195.53106499</v>
      </c>
      <c r="I110">
        <v>4370.2250833333301</v>
      </c>
      <c r="J110">
        <v>7839489.8077567602</v>
      </c>
      <c r="K110">
        <v>0.204776392694063</v>
      </c>
      <c r="L110">
        <v>25.2131452910996</v>
      </c>
      <c r="M110" t="str">
        <f t="shared" si="13"/>
        <v>High Solar</v>
      </c>
      <c r="N110" t="str">
        <f t="shared" si="14"/>
        <v>Low RE Cost</v>
      </c>
      <c r="O110">
        <f t="shared" si="12"/>
        <v>722146827.94767082</v>
      </c>
      <c r="P110">
        <f t="shared" si="15"/>
        <v>92.116559324197951</v>
      </c>
      <c r="Q110">
        <f t="shared" si="16"/>
        <v>67.09</v>
      </c>
      <c r="R110" s="229">
        <f t="shared" si="17"/>
        <v>525951371.20240104</v>
      </c>
      <c r="S110" s="297">
        <f t="shared" si="18"/>
        <v>87.11569804514663</v>
      </c>
      <c r="T110" s="297">
        <f t="shared" si="19"/>
        <v>62.089042244198176</v>
      </c>
      <c r="V110" s="296">
        <f t="shared" si="20"/>
        <v>67.09</v>
      </c>
      <c r="W110">
        <f t="shared" si="21"/>
        <v>-1.2755932140004226E-7</v>
      </c>
      <c r="X110" s="297">
        <f t="shared" si="22"/>
        <v>62.09</v>
      </c>
    </row>
    <row r="111" spans="1:24" x14ac:dyDescent="0.2">
      <c r="A111" t="s">
        <v>259</v>
      </c>
      <c r="B111">
        <v>2040</v>
      </c>
      <c r="C111" t="s">
        <v>246</v>
      </c>
      <c r="D111" t="s">
        <v>220</v>
      </c>
      <c r="E111">
        <v>363542027.26463598</v>
      </c>
      <c r="F111">
        <v>3643091.4238204998</v>
      </c>
      <c r="G111">
        <v>0</v>
      </c>
      <c r="H111">
        <v>367185118.68845701</v>
      </c>
      <c r="I111">
        <v>10473.906000000001</v>
      </c>
      <c r="J111">
        <v>18764823.185694199</v>
      </c>
      <c r="K111">
        <v>0.20451807600619601</v>
      </c>
      <c r="L111">
        <v>19.567736666359199</v>
      </c>
      <c r="M111" t="str">
        <f t="shared" si="13"/>
        <v>High Solar</v>
      </c>
      <c r="N111" t="str">
        <f t="shared" si="14"/>
        <v>Low RE Cost</v>
      </c>
      <c r="O111">
        <f t="shared" si="12"/>
        <v>1227981040.1559095</v>
      </c>
      <c r="P111">
        <f t="shared" si="15"/>
        <v>65.440586783257814</v>
      </c>
      <c r="Q111">
        <f t="shared" si="16"/>
        <v>46.07</v>
      </c>
      <c r="R111" s="229">
        <f t="shared" si="17"/>
        <v>864495404.16493177</v>
      </c>
      <c r="S111" s="297">
        <f t="shared" si="18"/>
        <v>51.758222969109426</v>
      </c>
      <c r="T111" s="297">
        <f t="shared" si="19"/>
        <v>32.38463102704462</v>
      </c>
      <c r="V111" s="296">
        <f t="shared" si="20"/>
        <v>46.07</v>
      </c>
      <c r="W111">
        <f t="shared" si="21"/>
        <v>0</v>
      </c>
      <c r="X111" s="297">
        <f t="shared" si="22"/>
        <v>32.380000000000003</v>
      </c>
    </row>
    <row r="112" spans="1:24" x14ac:dyDescent="0.2">
      <c r="A112" t="s">
        <v>259</v>
      </c>
      <c r="B112">
        <v>2050</v>
      </c>
      <c r="C112" t="s">
        <v>246</v>
      </c>
      <c r="D112" t="s">
        <v>220</v>
      </c>
      <c r="E112">
        <v>565177393.87991405</v>
      </c>
      <c r="F112">
        <v>8517197.9218749609</v>
      </c>
      <c r="G112">
        <v>-17</v>
      </c>
      <c r="H112">
        <v>573694574.80178905</v>
      </c>
      <c r="I112">
        <v>15730.8939166666</v>
      </c>
      <c r="J112">
        <v>27918570.2642227</v>
      </c>
      <c r="K112">
        <v>0.202598238657549</v>
      </c>
      <c r="L112">
        <v>20.548852228904099</v>
      </c>
      <c r="M112" t="str">
        <f t="shared" si="13"/>
        <v>High Solar</v>
      </c>
      <c r="N112" t="str">
        <f t="shared" si="14"/>
        <v>Low RE Cost</v>
      </c>
      <c r="O112">
        <f t="shared" si="12"/>
        <v>1496035802.9716711</v>
      </c>
      <c r="P112">
        <f t="shared" si="15"/>
        <v>53.585688264589336</v>
      </c>
      <c r="Q112">
        <f t="shared" si="16"/>
        <v>33.340000000000003</v>
      </c>
      <c r="R112" s="229">
        <f t="shared" si="17"/>
        <v>930805132.60918486</v>
      </c>
      <c r="S112" s="297">
        <f t="shared" si="18"/>
        <v>44.676004856383202</v>
      </c>
      <c r="T112" s="297">
        <f t="shared" si="19"/>
        <v>24.432225481900623</v>
      </c>
      <c r="V112" s="296">
        <f t="shared" si="20"/>
        <v>33.340000000000003</v>
      </c>
      <c r="W112">
        <f t="shared" si="21"/>
        <v>-6.0891370292644562E-7</v>
      </c>
      <c r="X112" s="297">
        <f t="shared" si="22"/>
        <v>24.43</v>
      </c>
    </row>
    <row r="113" spans="1:24" x14ac:dyDescent="0.2">
      <c r="A113" t="s">
        <v>260</v>
      </c>
      <c r="B113">
        <v>2030</v>
      </c>
      <c r="C113" t="s">
        <v>246</v>
      </c>
      <c r="D113" t="s">
        <v>222</v>
      </c>
      <c r="E113">
        <v>214416129.253324</v>
      </c>
      <c r="F113">
        <v>1128010.4769967599</v>
      </c>
      <c r="G113">
        <v>0</v>
      </c>
      <c r="H113">
        <v>215544139.73032099</v>
      </c>
      <c r="I113">
        <v>4370.2250833333301</v>
      </c>
      <c r="J113">
        <v>7839489.8077567602</v>
      </c>
      <c r="K113">
        <v>0.204776392694063</v>
      </c>
      <c r="L113">
        <v>27.4946641957556</v>
      </c>
      <c r="M113" t="str">
        <f t="shared" si="13"/>
        <v>High Solar</v>
      </c>
      <c r="N113" t="str">
        <f t="shared" si="14"/>
        <v>Medium RE Cost</v>
      </c>
      <c r="O113">
        <f t="shared" si="12"/>
        <v>796677109.68726099</v>
      </c>
      <c r="P113">
        <f t="shared" si="15"/>
        <v>101.62359148665404</v>
      </c>
      <c r="Q113">
        <f t="shared" si="16"/>
        <v>74.27</v>
      </c>
      <c r="R113" s="229">
        <f t="shared" si="17"/>
        <v>582238908.02209449</v>
      </c>
      <c r="S113" s="297">
        <f t="shared" si="18"/>
        <v>96.106608574655084</v>
      </c>
      <c r="T113" s="297">
        <f t="shared" si="19"/>
        <v>68.755832629877318</v>
      </c>
      <c r="V113" s="296">
        <f t="shared" si="20"/>
        <v>74.27</v>
      </c>
      <c r="W113">
        <f t="shared" si="21"/>
        <v>0</v>
      </c>
      <c r="X113" s="297">
        <f t="shared" si="22"/>
        <v>68.760000000000005</v>
      </c>
    </row>
    <row r="114" spans="1:24" x14ac:dyDescent="0.2">
      <c r="A114" t="s">
        <v>260</v>
      </c>
      <c r="B114">
        <v>2040</v>
      </c>
      <c r="C114" t="s">
        <v>246</v>
      </c>
      <c r="D114" t="s">
        <v>222</v>
      </c>
      <c r="E114">
        <v>418065429.23822403</v>
      </c>
      <c r="F114">
        <v>1639996.9828639801</v>
      </c>
      <c r="G114">
        <v>-3</v>
      </c>
      <c r="H114">
        <v>419705423.22108799</v>
      </c>
      <c r="I114">
        <v>10473.906000000001</v>
      </c>
      <c r="J114">
        <v>18764823.185694199</v>
      </c>
      <c r="K114">
        <v>0.20451807600619601</v>
      </c>
      <c r="L114">
        <v>22.366606872217101</v>
      </c>
      <c r="M114" t="str">
        <f t="shared" si="13"/>
        <v>High Solar</v>
      </c>
      <c r="N114" t="str">
        <f t="shared" si="14"/>
        <v>Medium RE Cost</v>
      </c>
      <c r="O114">
        <f t="shared" si="12"/>
        <v>1475131307.2772543</v>
      </c>
      <c r="P114">
        <f t="shared" si="15"/>
        <v>78.611521818220766</v>
      </c>
      <c r="Q114">
        <f t="shared" si="16"/>
        <v>56.33</v>
      </c>
      <c r="R114" s="229">
        <f t="shared" si="17"/>
        <v>1057022490.0501542</v>
      </c>
      <c r="S114" s="297">
        <f t="shared" si="18"/>
        <v>66.57055908863569</v>
      </c>
      <c r="T114" s="297">
        <f t="shared" si="19"/>
        <v>44.291349628407687</v>
      </c>
      <c r="V114" s="296">
        <f t="shared" si="20"/>
        <v>56.33</v>
      </c>
      <c r="W114">
        <f t="shared" si="21"/>
        <v>-1.5987360873653848E-7</v>
      </c>
      <c r="X114" s="297">
        <f t="shared" si="22"/>
        <v>44.29</v>
      </c>
    </row>
    <row r="115" spans="1:24" x14ac:dyDescent="0.2">
      <c r="A115" t="s">
        <v>260</v>
      </c>
      <c r="B115">
        <v>2050</v>
      </c>
      <c r="C115" t="s">
        <v>246</v>
      </c>
      <c r="D115" t="s">
        <v>222</v>
      </c>
      <c r="E115">
        <v>623414417.48591006</v>
      </c>
      <c r="F115">
        <v>2465372.1413988499</v>
      </c>
      <c r="G115">
        <v>-9</v>
      </c>
      <c r="H115">
        <v>625879780.62730896</v>
      </c>
      <c r="I115">
        <v>15730.8939166666</v>
      </c>
      <c r="J115">
        <v>27918570.2642227</v>
      </c>
      <c r="K115">
        <v>0.202598238657549</v>
      </c>
      <c r="L115">
        <v>22.4180455769744</v>
      </c>
      <c r="M115" t="str">
        <f t="shared" si="13"/>
        <v>High Solar</v>
      </c>
      <c r="N115" t="str">
        <f t="shared" si="14"/>
        <v>Medium RE Cost</v>
      </c>
      <c r="O115">
        <f t="shared" si="12"/>
        <v>1857774234.0994</v>
      </c>
      <c r="P115">
        <f t="shared" si="15"/>
        <v>66.542599299223951</v>
      </c>
      <c r="Q115">
        <f t="shared" si="16"/>
        <v>44.21</v>
      </c>
      <c r="R115" s="229">
        <f t="shared" si="17"/>
        <v>1234279991.3812857</v>
      </c>
      <c r="S115" s="297">
        <f t="shared" si="18"/>
        <v>59.252144159925678</v>
      </c>
      <c r="T115" s="297">
        <f t="shared" si="19"/>
        <v>36.922404399404783</v>
      </c>
      <c r="V115" s="296">
        <f t="shared" si="20"/>
        <v>44.21</v>
      </c>
      <c r="W115">
        <f t="shared" si="21"/>
        <v>-3.2236607801988299E-7</v>
      </c>
      <c r="X115" s="297">
        <f t="shared" si="22"/>
        <v>36.92</v>
      </c>
    </row>
    <row r="116" spans="1:24" x14ac:dyDescent="0.2">
      <c r="A116" t="s">
        <v>261</v>
      </c>
      <c r="B116">
        <v>2030</v>
      </c>
      <c r="C116" t="s">
        <v>246</v>
      </c>
      <c r="D116" t="s">
        <v>224</v>
      </c>
      <c r="E116">
        <v>212254173.16349199</v>
      </c>
      <c r="F116">
        <v>615299.54398761597</v>
      </c>
      <c r="G116">
        <v>0</v>
      </c>
      <c r="H116">
        <v>212869472.707479</v>
      </c>
      <c r="I116">
        <v>4370.2250833333301</v>
      </c>
      <c r="J116">
        <v>7839489.8077567602</v>
      </c>
      <c r="K116">
        <v>0.204776392694063</v>
      </c>
      <c r="L116">
        <v>27.153485485350799</v>
      </c>
      <c r="M116" t="str">
        <f t="shared" si="13"/>
        <v>High Solar</v>
      </c>
      <c r="N116" t="str">
        <f t="shared" si="14"/>
        <v>Medium RE Cost</v>
      </c>
      <c r="O116">
        <f t="shared" si="12"/>
        <v>796677109.68726099</v>
      </c>
      <c r="P116">
        <f t="shared" si="15"/>
        <v>101.62359148665404</v>
      </c>
      <c r="Q116">
        <f t="shared" si="16"/>
        <v>74.55</v>
      </c>
      <c r="R116" s="229">
        <f t="shared" si="17"/>
        <v>584433965.16826642</v>
      </c>
      <c r="S116" s="297">
        <f t="shared" si="18"/>
        <v>96.106608574655084</v>
      </c>
      <c r="T116" s="297">
        <f t="shared" si="19"/>
        <v>69.03161028159299</v>
      </c>
      <c r="V116" s="296">
        <f t="shared" si="20"/>
        <v>74.55</v>
      </c>
      <c r="W116">
        <f t="shared" si="21"/>
        <v>0</v>
      </c>
      <c r="X116" s="297">
        <f t="shared" si="22"/>
        <v>69.03</v>
      </c>
    </row>
    <row r="117" spans="1:24" x14ac:dyDescent="0.2">
      <c r="A117" t="s">
        <v>261</v>
      </c>
      <c r="B117">
        <v>2040</v>
      </c>
      <c r="C117" t="s">
        <v>246</v>
      </c>
      <c r="D117" t="s">
        <v>224</v>
      </c>
      <c r="E117">
        <v>448651462.02919602</v>
      </c>
      <c r="F117">
        <v>2152380.3051806102</v>
      </c>
      <c r="G117">
        <v>-3</v>
      </c>
      <c r="H117">
        <v>450803839.33437699</v>
      </c>
      <c r="I117">
        <v>10473.906000000001</v>
      </c>
      <c r="J117">
        <v>18764823.185694199</v>
      </c>
      <c r="K117">
        <v>0.20451807600619601</v>
      </c>
      <c r="L117">
        <v>24.023878875557799</v>
      </c>
      <c r="M117" t="str">
        <f t="shared" si="13"/>
        <v>High Solar</v>
      </c>
      <c r="N117" t="str">
        <f t="shared" si="14"/>
        <v>Medium RE Cost</v>
      </c>
      <c r="O117">
        <f t="shared" si="12"/>
        <v>1475131307.2772543</v>
      </c>
      <c r="P117">
        <f t="shared" si="15"/>
        <v>78.611521818220766</v>
      </c>
      <c r="Q117">
        <f t="shared" si="16"/>
        <v>54.7</v>
      </c>
      <c r="R117" s="229">
        <f t="shared" si="17"/>
        <v>1026435828.2574728</v>
      </c>
      <c r="S117" s="297">
        <f t="shared" si="18"/>
        <v>66.57055908863569</v>
      </c>
      <c r="T117" s="297">
        <f t="shared" si="19"/>
        <v>42.661383148665422</v>
      </c>
      <c r="V117" s="296">
        <f t="shared" si="20"/>
        <v>54.7</v>
      </c>
      <c r="W117">
        <f t="shared" si="21"/>
        <v>-1.5987360873653848E-7</v>
      </c>
      <c r="X117" s="297">
        <f t="shared" si="22"/>
        <v>42.66</v>
      </c>
    </row>
    <row r="118" spans="1:24" x14ac:dyDescent="0.2">
      <c r="A118" t="s">
        <v>261</v>
      </c>
      <c r="B118">
        <v>2050</v>
      </c>
      <c r="C118" t="s">
        <v>246</v>
      </c>
      <c r="D118" t="s">
        <v>224</v>
      </c>
      <c r="E118">
        <v>682131986.85382295</v>
      </c>
      <c r="F118">
        <v>8606118.1525957994</v>
      </c>
      <c r="G118">
        <v>-4</v>
      </c>
      <c r="H118">
        <v>690738101.00641894</v>
      </c>
      <c r="I118">
        <v>15730.8939166666</v>
      </c>
      <c r="J118">
        <v>27918570.2642227</v>
      </c>
      <c r="K118">
        <v>0.202598238657549</v>
      </c>
      <c r="L118">
        <v>24.741170284482301</v>
      </c>
      <c r="M118" t="str">
        <f t="shared" si="13"/>
        <v>High Solar</v>
      </c>
      <c r="N118" t="str">
        <f t="shared" si="14"/>
        <v>Medium RE Cost</v>
      </c>
      <c r="O118">
        <f t="shared" si="12"/>
        <v>1857774234.0994</v>
      </c>
      <c r="P118">
        <f t="shared" si="15"/>
        <v>66.542599299223951</v>
      </c>
      <c r="Q118">
        <f t="shared" si="16"/>
        <v>42.11</v>
      </c>
      <c r="R118" s="229">
        <f t="shared" si="17"/>
        <v>1175650993.8264179</v>
      </c>
      <c r="S118" s="297">
        <f t="shared" si="18"/>
        <v>59.252144159925678</v>
      </c>
      <c r="T118" s="297">
        <f t="shared" si="19"/>
        <v>34.8192317149798</v>
      </c>
      <c r="V118" s="296">
        <f t="shared" si="20"/>
        <v>42.11</v>
      </c>
      <c r="W118">
        <f t="shared" si="21"/>
        <v>-1.4327381245328131E-7</v>
      </c>
      <c r="X118" s="297">
        <f t="shared" si="22"/>
        <v>34.82</v>
      </c>
    </row>
    <row r="119" spans="1:24" x14ac:dyDescent="0.2">
      <c r="A119" t="s">
        <v>262</v>
      </c>
      <c r="B119">
        <v>2030</v>
      </c>
      <c r="C119" t="s">
        <v>246</v>
      </c>
      <c r="D119" t="s">
        <v>226</v>
      </c>
      <c r="E119">
        <v>215119302.365069</v>
      </c>
      <c r="F119">
        <v>1598837.47522683</v>
      </c>
      <c r="G119">
        <v>-3</v>
      </c>
      <c r="H119">
        <v>216718136.840296</v>
      </c>
      <c r="I119">
        <v>4370.2250833333301</v>
      </c>
      <c r="J119">
        <v>7839489.8077567602</v>
      </c>
      <c r="K119">
        <v>0.204776392694063</v>
      </c>
      <c r="L119">
        <v>27.644418470429599</v>
      </c>
      <c r="M119" t="str">
        <f t="shared" si="13"/>
        <v>High Solar</v>
      </c>
      <c r="N119" t="str">
        <f t="shared" si="14"/>
        <v>Medium RE Cost</v>
      </c>
      <c r="O119">
        <f t="shared" si="12"/>
        <v>796677109.68726099</v>
      </c>
      <c r="P119">
        <f t="shared" si="15"/>
        <v>101.62359148665404</v>
      </c>
      <c r="Q119">
        <f t="shared" si="16"/>
        <v>74.180000000000007</v>
      </c>
      <c r="R119" s="229">
        <f t="shared" si="17"/>
        <v>581533353.9393965</v>
      </c>
      <c r="S119" s="297">
        <f t="shared" si="18"/>
        <v>96.106608574655084</v>
      </c>
      <c r="T119" s="297">
        <f t="shared" si="19"/>
        <v>68.666136727594349</v>
      </c>
      <c r="V119" s="296">
        <f t="shared" si="20"/>
        <v>74.180000000000007</v>
      </c>
      <c r="W119">
        <f t="shared" si="21"/>
        <v>-3.8267796420012674E-7</v>
      </c>
      <c r="X119" s="297">
        <f t="shared" si="22"/>
        <v>68.67</v>
      </c>
    </row>
    <row r="120" spans="1:24" x14ac:dyDescent="0.2">
      <c r="A120" t="s">
        <v>262</v>
      </c>
      <c r="B120">
        <v>2040</v>
      </c>
      <c r="C120" t="s">
        <v>246</v>
      </c>
      <c r="D120" t="s">
        <v>226</v>
      </c>
      <c r="E120">
        <v>419562470.743536</v>
      </c>
      <c r="F120">
        <v>2061936.3337379</v>
      </c>
      <c r="G120">
        <v>-8</v>
      </c>
      <c r="H120">
        <v>421624399.07727402</v>
      </c>
      <c r="I120">
        <v>10473.906000000001</v>
      </c>
      <c r="J120">
        <v>18764823.185694199</v>
      </c>
      <c r="K120">
        <v>0.20451807600619601</v>
      </c>
      <c r="L120">
        <v>22.468871403952701</v>
      </c>
      <c r="M120" t="str">
        <f t="shared" si="13"/>
        <v>High Solar</v>
      </c>
      <c r="N120" t="str">
        <f t="shared" si="14"/>
        <v>Medium RE Cost</v>
      </c>
      <c r="O120">
        <f t="shared" si="12"/>
        <v>1475131307.2772543</v>
      </c>
      <c r="P120">
        <f t="shared" si="15"/>
        <v>78.611521818220766</v>
      </c>
      <c r="Q120">
        <f t="shared" si="16"/>
        <v>56.25</v>
      </c>
      <c r="R120" s="229">
        <f t="shared" si="17"/>
        <v>1055521304.1952987</v>
      </c>
      <c r="S120" s="297">
        <f t="shared" si="18"/>
        <v>66.57055908863569</v>
      </c>
      <c r="T120" s="297">
        <f t="shared" si="19"/>
        <v>44.211570752236156</v>
      </c>
      <c r="V120" s="296">
        <f t="shared" si="20"/>
        <v>56.25</v>
      </c>
      <c r="W120">
        <f t="shared" si="21"/>
        <v>-4.2632962329743598E-7</v>
      </c>
      <c r="X120" s="297">
        <f t="shared" si="22"/>
        <v>44.21</v>
      </c>
    </row>
    <row r="121" spans="1:24" x14ac:dyDescent="0.2">
      <c r="A121" t="s">
        <v>262</v>
      </c>
      <c r="B121">
        <v>2050</v>
      </c>
      <c r="C121" t="s">
        <v>246</v>
      </c>
      <c r="D121" t="s">
        <v>226</v>
      </c>
      <c r="E121">
        <v>613077014.95073295</v>
      </c>
      <c r="F121">
        <v>2349789.5619474398</v>
      </c>
      <c r="G121">
        <v>-1</v>
      </c>
      <c r="H121">
        <v>615426803.51268005</v>
      </c>
      <c r="I121">
        <v>15730.8939166666</v>
      </c>
      <c r="J121">
        <v>27918570.2642227</v>
      </c>
      <c r="K121">
        <v>0.202598238657549</v>
      </c>
      <c r="L121">
        <v>22.043636106299498</v>
      </c>
      <c r="M121" t="str">
        <f t="shared" si="13"/>
        <v>High Solar</v>
      </c>
      <c r="N121" t="str">
        <f t="shared" si="14"/>
        <v>Medium RE Cost</v>
      </c>
      <c r="O121">
        <f t="shared" si="12"/>
        <v>1857774234.0994</v>
      </c>
      <c r="P121">
        <f t="shared" si="15"/>
        <v>66.542599299223951</v>
      </c>
      <c r="Q121">
        <f t="shared" si="16"/>
        <v>44.58</v>
      </c>
      <c r="R121" s="229">
        <f t="shared" si="17"/>
        <v>1244609862.3790479</v>
      </c>
      <c r="S121" s="297">
        <f t="shared" si="18"/>
        <v>59.252144159925678</v>
      </c>
      <c r="T121" s="297">
        <f t="shared" si="19"/>
        <v>37.292673880876912</v>
      </c>
      <c r="V121" s="296">
        <f t="shared" si="20"/>
        <v>44.58</v>
      </c>
      <c r="W121">
        <f t="shared" si="21"/>
        <v>-3.5818453113320328E-8</v>
      </c>
      <c r="X121" s="297">
        <f t="shared" si="22"/>
        <v>37.29</v>
      </c>
    </row>
    <row r="122" spans="1:24" x14ac:dyDescent="0.2">
      <c r="A122" t="s">
        <v>263</v>
      </c>
      <c r="B122">
        <v>2030</v>
      </c>
      <c r="C122" t="s">
        <v>264</v>
      </c>
      <c r="D122" t="s">
        <v>212</v>
      </c>
      <c r="E122">
        <v>98648009.087176293</v>
      </c>
      <c r="F122">
        <v>1185489.9288369799</v>
      </c>
      <c r="G122">
        <v>0</v>
      </c>
      <c r="H122">
        <v>99833499.016013294</v>
      </c>
      <c r="I122">
        <v>1960.4601499999901</v>
      </c>
      <c r="J122">
        <v>3516754.18802818</v>
      </c>
      <c r="K122">
        <v>0.204776392694063</v>
      </c>
      <c r="L122">
        <v>28.387966197884602</v>
      </c>
      <c r="M122" t="str">
        <f t="shared" si="13"/>
        <v>Normal</v>
      </c>
      <c r="N122" t="str">
        <f t="shared" si="14"/>
        <v>Medium RE Cost</v>
      </c>
      <c r="O122">
        <f t="shared" si="12"/>
        <v>340002960.96679091</v>
      </c>
      <c r="P122">
        <f t="shared" si="15"/>
        <v>96.68090028135525</v>
      </c>
      <c r="Q122">
        <f t="shared" si="16"/>
        <v>68.63</v>
      </c>
      <c r="R122" s="229">
        <f t="shared" si="17"/>
        <v>241354839.92437398</v>
      </c>
      <c r="S122" s="297">
        <f t="shared" si="18"/>
        <v>96.706681854764057</v>
      </c>
      <c r="T122" s="297">
        <f t="shared" si="19"/>
        <v>68.65581340822996</v>
      </c>
      <c r="V122" s="296">
        <f t="shared" si="20"/>
        <v>68.63</v>
      </c>
      <c r="W122">
        <f t="shared" si="21"/>
        <v>0</v>
      </c>
      <c r="X122" s="297">
        <f t="shared" si="22"/>
        <v>68.66</v>
      </c>
    </row>
    <row r="123" spans="1:24" x14ac:dyDescent="0.2">
      <c r="A123" t="s">
        <v>263</v>
      </c>
      <c r="B123">
        <v>2040</v>
      </c>
      <c r="C123" t="s">
        <v>264</v>
      </c>
      <c r="D123" t="s">
        <v>212</v>
      </c>
      <c r="E123">
        <v>84464025.124024302</v>
      </c>
      <c r="F123">
        <v>529074.16185071296</v>
      </c>
      <c r="G123">
        <v>0</v>
      </c>
      <c r="H123">
        <v>84993099.285874993</v>
      </c>
      <c r="I123">
        <v>1960.4601499999901</v>
      </c>
      <c r="J123">
        <v>3516754.18802818</v>
      </c>
      <c r="K123">
        <v>0.204776392694063</v>
      </c>
      <c r="L123">
        <v>24.168052340766501</v>
      </c>
      <c r="M123" t="str">
        <f t="shared" si="13"/>
        <v>Normal</v>
      </c>
      <c r="N123" t="str">
        <f t="shared" si="14"/>
        <v>Medium RE Cost</v>
      </c>
      <c r="O123">
        <f t="shared" si="12"/>
        <v>317964169.10794711</v>
      </c>
      <c r="P123">
        <f t="shared" si="15"/>
        <v>90.414101215936114</v>
      </c>
      <c r="Q123">
        <f t="shared" si="16"/>
        <v>66.400000000000006</v>
      </c>
      <c r="R123" s="229">
        <f t="shared" si="17"/>
        <v>233512478.08507118</v>
      </c>
      <c r="S123" s="297" t="str">
        <f t="shared" si="18"/>
        <v/>
      </c>
      <c r="T123" s="297" t="str">
        <f t="shared" si="19"/>
        <v/>
      </c>
      <c r="V123" s="296">
        <f t="shared" si="20"/>
        <v>66.400000000000006</v>
      </c>
      <c r="W123">
        <f t="shared" si="21"/>
        <v>0</v>
      </c>
      <c r="X123" s="297" t="str">
        <f t="shared" si="22"/>
        <v/>
      </c>
    </row>
    <row r="124" spans="1:24" x14ac:dyDescent="0.2">
      <c r="A124" t="s">
        <v>263</v>
      </c>
      <c r="B124">
        <v>2050</v>
      </c>
      <c r="C124" t="s">
        <v>264</v>
      </c>
      <c r="D124" t="s">
        <v>212</v>
      </c>
      <c r="E124">
        <v>79317730.926800504</v>
      </c>
      <c r="F124">
        <v>871249.98043998005</v>
      </c>
      <c r="G124">
        <v>-2</v>
      </c>
      <c r="H124">
        <v>80188978.907240495</v>
      </c>
      <c r="I124">
        <v>1960.4601499999901</v>
      </c>
      <c r="J124">
        <v>3516754.18802818</v>
      </c>
      <c r="K124">
        <v>0.204776392694063</v>
      </c>
      <c r="L124">
        <v>22.8019857572706</v>
      </c>
      <c r="M124" t="str">
        <f t="shared" si="13"/>
        <v>Normal</v>
      </c>
      <c r="N124" t="str">
        <f t="shared" si="14"/>
        <v>Medium RE Cost</v>
      </c>
      <c r="O124">
        <f t="shared" si="12"/>
        <v>311640347.21392971</v>
      </c>
      <c r="P124">
        <f t="shared" si="15"/>
        <v>88.615902776151756</v>
      </c>
      <c r="Q124">
        <f t="shared" si="16"/>
        <v>66.06</v>
      </c>
      <c r="R124" s="229">
        <f t="shared" si="17"/>
        <v>232316781.66114157</v>
      </c>
      <c r="S124" s="297" t="str">
        <f t="shared" si="18"/>
        <v/>
      </c>
      <c r="T124" s="297" t="str">
        <f t="shared" si="19"/>
        <v/>
      </c>
      <c r="V124" s="296">
        <f t="shared" si="20"/>
        <v>66.06</v>
      </c>
      <c r="W124">
        <f t="shared" si="21"/>
        <v>-5.687062254190095E-7</v>
      </c>
      <c r="X124" s="297" t="str">
        <f t="shared" si="22"/>
        <v/>
      </c>
    </row>
    <row r="125" spans="1:24" x14ac:dyDescent="0.2">
      <c r="A125" t="s">
        <v>265</v>
      </c>
      <c r="B125">
        <v>2030</v>
      </c>
      <c r="C125" t="s">
        <v>264</v>
      </c>
      <c r="D125" t="s">
        <v>214</v>
      </c>
      <c r="E125">
        <v>101231679.66478699</v>
      </c>
      <c r="F125">
        <v>701603.963315506</v>
      </c>
      <c r="G125">
        <v>0</v>
      </c>
      <c r="H125">
        <v>101933283.628102</v>
      </c>
      <c r="I125">
        <v>1960.4601499999901</v>
      </c>
      <c r="J125">
        <v>3516754.18802818</v>
      </c>
      <c r="K125">
        <v>0.204776392694063</v>
      </c>
      <c r="L125">
        <v>28.985046488351799</v>
      </c>
      <c r="M125" t="str">
        <f t="shared" si="13"/>
        <v>Normal</v>
      </c>
      <c r="N125" t="str">
        <f t="shared" si="14"/>
        <v>Medium RE Cost</v>
      </c>
      <c r="O125">
        <f t="shared" si="12"/>
        <v>340002960.96679091</v>
      </c>
      <c r="P125">
        <f t="shared" si="15"/>
        <v>96.68090028135525</v>
      </c>
      <c r="Q125">
        <f t="shared" si="16"/>
        <v>67.900000000000006</v>
      </c>
      <c r="R125" s="229">
        <f t="shared" si="17"/>
        <v>238787609.36711344</v>
      </c>
      <c r="S125" s="297">
        <f t="shared" si="18"/>
        <v>96.706681854764057</v>
      </c>
      <c r="T125" s="297">
        <f t="shared" si="19"/>
        <v>67.921138637270403</v>
      </c>
      <c r="V125" s="296">
        <f t="shared" si="20"/>
        <v>67.900000000000006</v>
      </c>
      <c r="W125">
        <f t="shared" si="21"/>
        <v>0</v>
      </c>
      <c r="X125" s="297">
        <f t="shared" si="22"/>
        <v>67.92</v>
      </c>
    </row>
    <row r="126" spans="1:24" x14ac:dyDescent="0.2">
      <c r="A126" t="s">
        <v>265</v>
      </c>
      <c r="B126">
        <v>2040</v>
      </c>
      <c r="C126" t="s">
        <v>264</v>
      </c>
      <c r="D126" t="s">
        <v>214</v>
      </c>
      <c r="E126">
        <v>84201735.605826095</v>
      </c>
      <c r="F126">
        <v>552736.85155811999</v>
      </c>
      <c r="G126">
        <v>0</v>
      </c>
      <c r="H126">
        <v>84754472.457384199</v>
      </c>
      <c r="I126">
        <v>1960.4601499999901</v>
      </c>
      <c r="J126">
        <v>3516754.18802818</v>
      </c>
      <c r="K126">
        <v>0.204776392694063</v>
      </c>
      <c r="L126">
        <v>24.1001980593092</v>
      </c>
      <c r="M126" t="str">
        <f t="shared" si="13"/>
        <v>Normal</v>
      </c>
      <c r="N126" t="str">
        <f t="shared" si="14"/>
        <v>Medium RE Cost</v>
      </c>
      <c r="O126">
        <f t="shared" si="12"/>
        <v>317964169.10794711</v>
      </c>
      <c r="P126">
        <f t="shared" si="15"/>
        <v>90.414101215936114</v>
      </c>
      <c r="Q126">
        <f t="shared" si="16"/>
        <v>66.47</v>
      </c>
      <c r="R126" s="229">
        <f t="shared" si="17"/>
        <v>233758650.87823313</v>
      </c>
      <c r="S126" s="297" t="str">
        <f t="shared" si="18"/>
        <v/>
      </c>
      <c r="T126" s="297" t="str">
        <f t="shared" si="19"/>
        <v/>
      </c>
      <c r="V126" s="296">
        <f t="shared" si="20"/>
        <v>66.47</v>
      </c>
      <c r="W126">
        <f t="shared" si="21"/>
        <v>0</v>
      </c>
      <c r="X126" s="297" t="str">
        <f t="shared" si="22"/>
        <v/>
      </c>
    </row>
    <row r="127" spans="1:24" x14ac:dyDescent="0.2">
      <c r="A127" t="s">
        <v>265</v>
      </c>
      <c r="B127">
        <v>2050</v>
      </c>
      <c r="C127" t="s">
        <v>264</v>
      </c>
      <c r="D127" t="s">
        <v>214</v>
      </c>
      <c r="E127">
        <v>80740712.256562799</v>
      </c>
      <c r="F127">
        <v>446219.11063018203</v>
      </c>
      <c r="G127">
        <v>0</v>
      </c>
      <c r="H127">
        <v>81186931.367192999</v>
      </c>
      <c r="I127">
        <v>1960.4601499999901</v>
      </c>
      <c r="J127">
        <v>3516754.18802818</v>
      </c>
      <c r="K127">
        <v>0.204776392694063</v>
      </c>
      <c r="L127">
        <v>23.085756645594198</v>
      </c>
      <c r="M127" t="str">
        <f t="shared" si="13"/>
        <v>Normal</v>
      </c>
      <c r="N127" t="str">
        <f t="shared" si="14"/>
        <v>Medium RE Cost</v>
      </c>
      <c r="O127">
        <f t="shared" si="12"/>
        <v>311640347.21392971</v>
      </c>
      <c r="P127">
        <f t="shared" si="15"/>
        <v>88.615902776151756</v>
      </c>
      <c r="Q127">
        <f t="shared" si="16"/>
        <v>65.66</v>
      </c>
      <c r="R127" s="229">
        <f t="shared" si="17"/>
        <v>230910079.98593029</v>
      </c>
      <c r="S127" s="297" t="str">
        <f t="shared" si="18"/>
        <v/>
      </c>
      <c r="T127" s="297" t="str">
        <f t="shared" si="19"/>
        <v/>
      </c>
      <c r="V127" s="296">
        <f t="shared" si="20"/>
        <v>65.66</v>
      </c>
      <c r="W127">
        <f t="shared" si="21"/>
        <v>0</v>
      </c>
      <c r="X127" s="297" t="str">
        <f t="shared" si="22"/>
        <v/>
      </c>
    </row>
    <row r="128" spans="1:24" x14ac:dyDescent="0.2">
      <c r="A128" t="s">
        <v>266</v>
      </c>
      <c r="B128">
        <v>2030</v>
      </c>
      <c r="C128" t="s">
        <v>264</v>
      </c>
      <c r="D128" t="s">
        <v>216</v>
      </c>
      <c r="E128">
        <v>112244110.00019801</v>
      </c>
      <c r="F128">
        <v>1315383.65080141</v>
      </c>
      <c r="G128">
        <v>0</v>
      </c>
      <c r="H128">
        <v>113559493.65099999</v>
      </c>
      <c r="I128">
        <v>1960.4601499999901</v>
      </c>
      <c r="J128">
        <v>3516754.18802818</v>
      </c>
      <c r="K128">
        <v>0.204776392694063</v>
      </c>
      <c r="L128">
        <v>32.290995497377097</v>
      </c>
      <c r="M128" t="str">
        <f t="shared" si="13"/>
        <v>Normal</v>
      </c>
      <c r="N128" t="str">
        <f t="shared" si="14"/>
        <v>High RE Cost</v>
      </c>
      <c r="O128">
        <f t="shared" si="12"/>
        <v>438930410.85372549</v>
      </c>
      <c r="P128">
        <f t="shared" si="15"/>
        <v>124.81122858911864</v>
      </c>
      <c r="Q128">
        <f t="shared" si="16"/>
        <v>92.89</v>
      </c>
      <c r="R128" s="229">
        <f t="shared" si="17"/>
        <v>326671296.52593762</v>
      </c>
      <c r="S128" s="297">
        <f t="shared" si="18"/>
        <v>124.84451158340961</v>
      </c>
      <c r="T128" s="297">
        <f t="shared" si="19"/>
        <v>92.927549521545259</v>
      </c>
      <c r="V128" s="296">
        <f t="shared" si="20"/>
        <v>92.89</v>
      </c>
      <c r="W128">
        <f t="shared" si="21"/>
        <v>0</v>
      </c>
      <c r="X128" s="297">
        <f t="shared" si="22"/>
        <v>92.93</v>
      </c>
    </row>
    <row r="129" spans="1:24" x14ac:dyDescent="0.2">
      <c r="A129" t="s">
        <v>266</v>
      </c>
      <c r="B129">
        <v>2040</v>
      </c>
      <c r="C129" t="s">
        <v>264</v>
      </c>
      <c r="D129" t="s">
        <v>216</v>
      </c>
      <c r="E129">
        <v>114520583.075674</v>
      </c>
      <c r="F129">
        <v>149522.69982593699</v>
      </c>
      <c r="G129">
        <v>-2</v>
      </c>
      <c r="H129">
        <v>114670103.7755</v>
      </c>
      <c r="I129">
        <v>1960.4601499999901</v>
      </c>
      <c r="J129">
        <v>3516754.18802818</v>
      </c>
      <c r="K129">
        <v>0.204776392694063</v>
      </c>
      <c r="L129">
        <v>32.6068009432854</v>
      </c>
      <c r="M129" t="str">
        <f t="shared" si="13"/>
        <v>Normal</v>
      </c>
      <c r="N129" t="str">
        <f t="shared" si="14"/>
        <v>High RE Cost</v>
      </c>
      <c r="O129">
        <f t="shared" si="12"/>
        <v>424159287.62446445</v>
      </c>
      <c r="P129">
        <f t="shared" si="15"/>
        <v>120.6110137206626</v>
      </c>
      <c r="Q129">
        <f t="shared" si="16"/>
        <v>88.05</v>
      </c>
      <c r="R129" s="229">
        <f t="shared" si="17"/>
        <v>309650206.25588125</v>
      </c>
      <c r="S129" s="297" t="str">
        <f t="shared" si="18"/>
        <v/>
      </c>
      <c r="T129" s="297" t="str">
        <f t="shared" si="19"/>
        <v/>
      </c>
      <c r="V129" s="296">
        <f t="shared" si="20"/>
        <v>88.05</v>
      </c>
      <c r="W129">
        <f t="shared" si="21"/>
        <v>-5.687062254190095E-7</v>
      </c>
      <c r="X129" s="297" t="str">
        <f t="shared" si="22"/>
        <v/>
      </c>
    </row>
    <row r="130" spans="1:24" x14ac:dyDescent="0.2">
      <c r="A130" t="s">
        <v>266</v>
      </c>
      <c r="B130">
        <v>2050</v>
      </c>
      <c r="C130" t="s">
        <v>264</v>
      </c>
      <c r="D130" t="s">
        <v>216</v>
      </c>
      <c r="E130">
        <v>93805193.214288101</v>
      </c>
      <c r="F130">
        <v>78669.874223440405</v>
      </c>
      <c r="G130">
        <v>0</v>
      </c>
      <c r="H130">
        <v>93883863.088511497</v>
      </c>
      <c r="I130">
        <v>1960.4601499999901</v>
      </c>
      <c r="J130">
        <v>3516754.18802818</v>
      </c>
      <c r="K130">
        <v>0.204776392694063</v>
      </c>
      <c r="L130">
        <v>26.6961687024112</v>
      </c>
      <c r="M130" t="str">
        <f t="shared" si="13"/>
        <v>Normal</v>
      </c>
      <c r="N130" t="str">
        <f t="shared" si="14"/>
        <v>High RE Cost</v>
      </c>
      <c r="O130">
        <f t="shared" ref="O130:O193" si="23">SUMIFS($AH$2:$AH$19,$AE$2:$AE$19,M130,$AF$2:$AF$19,N130,$AG$2:$AG$19,B130)</f>
        <v>406117526.52104861</v>
      </c>
      <c r="P130">
        <f t="shared" si="15"/>
        <v>115.48078279214502</v>
      </c>
      <c r="Q130">
        <f t="shared" si="16"/>
        <v>88.81</v>
      </c>
      <c r="R130" s="229">
        <f t="shared" si="17"/>
        <v>312322939.43878269</v>
      </c>
      <c r="S130" s="297" t="str">
        <f t="shared" si="18"/>
        <v/>
      </c>
      <c r="T130" s="297" t="str">
        <f t="shared" si="19"/>
        <v/>
      </c>
      <c r="V130" s="296">
        <f t="shared" si="20"/>
        <v>88.81</v>
      </c>
      <c r="W130">
        <f t="shared" si="21"/>
        <v>0</v>
      </c>
      <c r="X130" s="297" t="str">
        <f t="shared" si="22"/>
        <v/>
      </c>
    </row>
    <row r="131" spans="1:24" x14ac:dyDescent="0.2">
      <c r="A131" t="s">
        <v>267</v>
      </c>
      <c r="B131">
        <v>2030</v>
      </c>
      <c r="C131" t="s">
        <v>268</v>
      </c>
      <c r="D131" t="s">
        <v>212</v>
      </c>
      <c r="E131">
        <v>98648001.576992407</v>
      </c>
      <c r="F131">
        <v>1185603.0842442799</v>
      </c>
      <c r="G131">
        <v>0</v>
      </c>
      <c r="H131">
        <v>99833604.661236703</v>
      </c>
      <c r="I131">
        <v>1960.4601499999901</v>
      </c>
      <c r="J131">
        <v>3516754.18802818</v>
      </c>
      <c r="K131">
        <v>0.204776392694063</v>
      </c>
      <c r="L131">
        <v>28.387996238432699</v>
      </c>
      <c r="M131" t="str">
        <f t="shared" ref="M131:M194" si="24">IF(ISNUMBER(SEARCH("High Solar",C131)),"High Solar","Normal")</f>
        <v>Normal</v>
      </c>
      <c r="N131" t="str">
        <f t="shared" ref="N131:N194" si="25">IF(ISNUMBER(SEARCH("High RE/BESS Cost",D131)),"High RE Cost",IF(ISNUMBER(SEARCH("Low RE/BESS Cost",D131)),"Low RE Cost","Medium RE Cost"))</f>
        <v>Medium RE Cost</v>
      </c>
      <c r="O131">
        <f t="shared" si="23"/>
        <v>340002960.96679091</v>
      </c>
      <c r="P131">
        <f t="shared" ref="P131:P194" si="26">O131/J131</f>
        <v>96.68090028135525</v>
      </c>
      <c r="Q131">
        <f t="shared" ref="Q131:Q194" si="27">ROUND((O131-E131-G131)/J131,2)</f>
        <v>68.63</v>
      </c>
      <c r="R131" s="229">
        <f t="shared" ref="R131:R194" si="28">Q131*J131</f>
        <v>241354839.92437398</v>
      </c>
      <c r="S131" s="297">
        <f t="shared" ref="S131:S194" si="29">IFERROR(SUMIFS($AJ$2:$AJ$19,$AE$2:$AE$19,M131,$AF$2:$AF$19,N131,$AG$2:$AG$19,B131)/8760/K131/1.0453,"")</f>
        <v>96.706681854764057</v>
      </c>
      <c r="T131" s="297">
        <f t="shared" ref="T131:T194" si="30">IFERROR(S131-E131/J131-G131/J131,"")</f>
        <v>68.655815543774139</v>
      </c>
      <c r="V131" s="296">
        <f t="shared" ref="V131:V194" si="31">ROUND(Q131+G131/J131,2)</f>
        <v>68.63</v>
      </c>
      <c r="W131">
        <f t="shared" ref="W131:W194" si="32">G131/J131</f>
        <v>0</v>
      </c>
      <c r="X131" s="297">
        <f t="shared" ref="X131:X194" si="33">IFERROR(ROUND(W131+T131,2),"")</f>
        <v>68.66</v>
      </c>
    </row>
    <row r="132" spans="1:24" x14ac:dyDescent="0.2">
      <c r="A132" t="s">
        <v>267</v>
      </c>
      <c r="B132">
        <v>2040</v>
      </c>
      <c r="C132" t="s">
        <v>268</v>
      </c>
      <c r="D132" t="s">
        <v>212</v>
      </c>
      <c r="E132">
        <v>79278407.272323504</v>
      </c>
      <c r="F132">
        <v>529950.60751792497</v>
      </c>
      <c r="G132">
        <v>8478482</v>
      </c>
      <c r="H132">
        <v>88286839.879841402</v>
      </c>
      <c r="I132">
        <v>1960.4601499999901</v>
      </c>
      <c r="J132">
        <v>3516754.18802818</v>
      </c>
      <c r="K132">
        <v>0.204776392694063</v>
      </c>
      <c r="L132">
        <v>25.104637731118501</v>
      </c>
      <c r="M132" t="str">
        <f t="shared" si="24"/>
        <v>Normal</v>
      </c>
      <c r="N132" t="str">
        <f t="shared" si="25"/>
        <v>Medium RE Cost</v>
      </c>
      <c r="O132">
        <f t="shared" si="23"/>
        <v>317964169.10794711</v>
      </c>
      <c r="P132">
        <f t="shared" si="26"/>
        <v>90.414101215936114</v>
      </c>
      <c r="Q132">
        <f t="shared" si="27"/>
        <v>65.459999999999994</v>
      </c>
      <c r="R132" s="229">
        <f t="shared" si="28"/>
        <v>230206729.14832464</v>
      </c>
      <c r="S132" s="297" t="str">
        <f t="shared" si="29"/>
        <v/>
      </c>
      <c r="T132" s="297" t="str">
        <f t="shared" si="30"/>
        <v/>
      </c>
      <c r="V132" s="296">
        <f t="shared" si="31"/>
        <v>67.87</v>
      </c>
      <c r="W132">
        <f t="shared" si="32"/>
        <v>2.4108827477515073</v>
      </c>
      <c r="X132" s="297" t="str">
        <f t="shared" si="33"/>
        <v/>
      </c>
    </row>
    <row r="133" spans="1:24" x14ac:dyDescent="0.2">
      <c r="A133" t="s">
        <v>267</v>
      </c>
      <c r="B133">
        <v>2050</v>
      </c>
      <c r="C133" t="s">
        <v>268</v>
      </c>
      <c r="D133" t="s">
        <v>212</v>
      </c>
      <c r="E133">
        <v>76479796.822243899</v>
      </c>
      <c r="F133">
        <v>1197580.8754711901</v>
      </c>
      <c r="G133">
        <v>5724824</v>
      </c>
      <c r="H133">
        <v>83402201.697715104</v>
      </c>
      <c r="I133">
        <v>1960.4601499999901</v>
      </c>
      <c r="J133">
        <v>3516754.18802818</v>
      </c>
      <c r="K133">
        <v>0.204776392694063</v>
      </c>
      <c r="L133">
        <v>23.7156756595712</v>
      </c>
      <c r="M133" t="str">
        <f t="shared" si="24"/>
        <v>Normal</v>
      </c>
      <c r="N133" t="str">
        <f t="shared" si="25"/>
        <v>Medium RE Cost</v>
      </c>
      <c r="O133">
        <f t="shared" si="23"/>
        <v>311640347.21392971</v>
      </c>
      <c r="P133">
        <f t="shared" si="26"/>
        <v>88.615902776151756</v>
      </c>
      <c r="Q133">
        <f t="shared" si="27"/>
        <v>65.239999999999995</v>
      </c>
      <c r="R133" s="229">
        <f t="shared" si="28"/>
        <v>229433043.22695845</v>
      </c>
      <c r="S133" s="297" t="str">
        <f t="shared" si="29"/>
        <v/>
      </c>
      <c r="T133" s="297" t="str">
        <f t="shared" si="30"/>
        <v/>
      </c>
      <c r="V133" s="296">
        <f t="shared" si="31"/>
        <v>66.87</v>
      </c>
      <c r="W133">
        <f t="shared" si="32"/>
        <v>1.627871524114078</v>
      </c>
      <c r="X133" s="297" t="str">
        <f t="shared" si="33"/>
        <v/>
      </c>
    </row>
    <row r="134" spans="1:24" x14ac:dyDescent="0.2">
      <c r="A134" t="s">
        <v>269</v>
      </c>
      <c r="B134">
        <v>2030</v>
      </c>
      <c r="C134" t="s">
        <v>268</v>
      </c>
      <c r="D134" t="s">
        <v>214</v>
      </c>
      <c r="E134">
        <v>101231803.39457799</v>
      </c>
      <c r="F134">
        <v>701591.51125681703</v>
      </c>
      <c r="G134">
        <v>0</v>
      </c>
      <c r="H134">
        <v>101933394.905835</v>
      </c>
      <c r="I134">
        <v>1960.4601499999901</v>
      </c>
      <c r="J134">
        <v>3516754.18802818</v>
      </c>
      <c r="K134">
        <v>0.204776392694063</v>
      </c>
      <c r="L134">
        <v>28.985078130521401</v>
      </c>
      <c r="M134" t="str">
        <f t="shared" si="24"/>
        <v>Normal</v>
      </c>
      <c r="N134" t="str">
        <f t="shared" si="25"/>
        <v>Medium RE Cost</v>
      </c>
      <c r="O134">
        <f t="shared" si="23"/>
        <v>340002960.96679091</v>
      </c>
      <c r="P134">
        <f t="shared" si="26"/>
        <v>96.68090028135525</v>
      </c>
      <c r="Q134">
        <f t="shared" si="27"/>
        <v>67.900000000000006</v>
      </c>
      <c r="R134" s="229">
        <f t="shared" si="28"/>
        <v>238787609.36711344</v>
      </c>
      <c r="S134" s="297">
        <f t="shared" si="29"/>
        <v>96.706681854764057</v>
      </c>
      <c r="T134" s="297">
        <f t="shared" si="30"/>
        <v>67.921103454319194</v>
      </c>
      <c r="V134" s="296">
        <f t="shared" si="31"/>
        <v>67.900000000000006</v>
      </c>
      <c r="W134">
        <f t="shared" si="32"/>
        <v>0</v>
      </c>
      <c r="X134" s="297">
        <f t="shared" si="33"/>
        <v>67.92</v>
      </c>
    </row>
    <row r="135" spans="1:24" x14ac:dyDescent="0.2">
      <c r="A135" t="s">
        <v>269</v>
      </c>
      <c r="B135">
        <v>2040</v>
      </c>
      <c r="C135" t="s">
        <v>268</v>
      </c>
      <c r="D135" t="s">
        <v>214</v>
      </c>
      <c r="E135">
        <v>79068725.663502604</v>
      </c>
      <c r="F135">
        <v>554178.35908599803</v>
      </c>
      <c r="G135">
        <v>8145056</v>
      </c>
      <c r="H135">
        <v>87767960.022588596</v>
      </c>
      <c r="I135">
        <v>1960.4601499999901</v>
      </c>
      <c r="J135">
        <v>3516754.18802818</v>
      </c>
      <c r="K135">
        <v>0.204776392694063</v>
      </c>
      <c r="L135">
        <v>24.957092628586398</v>
      </c>
      <c r="M135" t="str">
        <f t="shared" si="24"/>
        <v>Normal</v>
      </c>
      <c r="N135" t="str">
        <f t="shared" si="25"/>
        <v>Medium RE Cost</v>
      </c>
      <c r="O135">
        <f t="shared" si="23"/>
        <v>317964169.10794711</v>
      </c>
      <c r="P135">
        <f t="shared" si="26"/>
        <v>90.414101215936114</v>
      </c>
      <c r="Q135">
        <f t="shared" si="27"/>
        <v>65.61</v>
      </c>
      <c r="R135" s="229">
        <f t="shared" si="28"/>
        <v>230734242.27652889</v>
      </c>
      <c r="S135" s="297" t="str">
        <f t="shared" si="29"/>
        <v/>
      </c>
      <c r="T135" s="297" t="str">
        <f t="shared" si="30"/>
        <v/>
      </c>
      <c r="V135" s="296">
        <f t="shared" si="31"/>
        <v>67.930000000000007</v>
      </c>
      <c r="W135">
        <f t="shared" si="32"/>
        <v>2.3160720267932282</v>
      </c>
      <c r="X135" s="297" t="str">
        <f t="shared" si="33"/>
        <v/>
      </c>
    </row>
    <row r="136" spans="1:24" x14ac:dyDescent="0.2">
      <c r="A136" t="s">
        <v>269</v>
      </c>
      <c r="B136">
        <v>2050</v>
      </c>
      <c r="C136" t="s">
        <v>268</v>
      </c>
      <c r="D136" t="s">
        <v>214</v>
      </c>
      <c r="E136">
        <v>79724768.496703595</v>
      </c>
      <c r="F136">
        <v>456131.43946145597</v>
      </c>
      <c r="G136">
        <v>7927993</v>
      </c>
      <c r="H136">
        <v>88108892.936165094</v>
      </c>
      <c r="I136">
        <v>1960.4601499999901</v>
      </c>
      <c r="J136">
        <v>3516754.18802818</v>
      </c>
      <c r="K136">
        <v>0.204776392694063</v>
      </c>
      <c r="L136">
        <v>25.054037963787</v>
      </c>
      <c r="M136" t="str">
        <f t="shared" si="24"/>
        <v>Normal</v>
      </c>
      <c r="N136" t="str">
        <f t="shared" si="25"/>
        <v>Medium RE Cost</v>
      </c>
      <c r="O136">
        <f t="shared" si="23"/>
        <v>311640347.21392971</v>
      </c>
      <c r="P136">
        <f t="shared" si="26"/>
        <v>88.615902776151756</v>
      </c>
      <c r="Q136">
        <f t="shared" si="27"/>
        <v>63.69</v>
      </c>
      <c r="R136" s="229">
        <f t="shared" si="28"/>
        <v>223982074.23551479</v>
      </c>
      <c r="S136" s="297" t="str">
        <f t="shared" si="29"/>
        <v/>
      </c>
      <c r="T136" s="297" t="str">
        <f t="shared" si="30"/>
        <v/>
      </c>
      <c r="V136" s="296">
        <f t="shared" si="31"/>
        <v>65.94</v>
      </c>
      <c r="W136">
        <f t="shared" si="32"/>
        <v>2.2543494870891649</v>
      </c>
      <c r="X136" s="297" t="str">
        <f t="shared" si="33"/>
        <v/>
      </c>
    </row>
    <row r="137" spans="1:24" x14ac:dyDescent="0.2">
      <c r="A137" t="s">
        <v>270</v>
      </c>
      <c r="B137">
        <v>2030</v>
      </c>
      <c r="C137" t="s">
        <v>268</v>
      </c>
      <c r="D137" t="s">
        <v>216</v>
      </c>
      <c r="E137">
        <v>112244180.921598</v>
      </c>
      <c r="F137">
        <v>1315446.59568754</v>
      </c>
      <c r="G137">
        <v>0</v>
      </c>
      <c r="H137">
        <v>113559627.517285</v>
      </c>
      <c r="I137">
        <v>1960.4601499999901</v>
      </c>
      <c r="J137">
        <v>3516754.18802818</v>
      </c>
      <c r="K137">
        <v>0.204776392694063</v>
      </c>
      <c r="L137">
        <v>32.291033562672098</v>
      </c>
      <c r="M137" t="str">
        <f t="shared" si="24"/>
        <v>Normal</v>
      </c>
      <c r="N137" t="str">
        <f t="shared" si="25"/>
        <v>High RE Cost</v>
      </c>
      <c r="O137">
        <f t="shared" si="23"/>
        <v>438930410.85372549</v>
      </c>
      <c r="P137">
        <f t="shared" si="26"/>
        <v>124.81122858911864</v>
      </c>
      <c r="Q137">
        <f t="shared" si="27"/>
        <v>92.89</v>
      </c>
      <c r="R137" s="229">
        <f t="shared" si="28"/>
        <v>326671296.52593762</v>
      </c>
      <c r="S137" s="297">
        <f t="shared" si="29"/>
        <v>124.84451158340961</v>
      </c>
      <c r="T137" s="297">
        <f t="shared" si="30"/>
        <v>92.927529354824415</v>
      </c>
      <c r="V137" s="296">
        <f t="shared" si="31"/>
        <v>92.89</v>
      </c>
      <c r="W137">
        <f t="shared" si="32"/>
        <v>0</v>
      </c>
      <c r="X137" s="297">
        <f t="shared" si="33"/>
        <v>92.93</v>
      </c>
    </row>
    <row r="138" spans="1:24" x14ac:dyDescent="0.2">
      <c r="A138" t="s">
        <v>270</v>
      </c>
      <c r="B138">
        <v>2040</v>
      </c>
      <c r="C138" t="s">
        <v>268</v>
      </c>
      <c r="D138" t="s">
        <v>216</v>
      </c>
      <c r="E138">
        <v>106947613.60881799</v>
      </c>
      <c r="F138">
        <v>140190.68053019201</v>
      </c>
      <c r="G138">
        <v>15763310</v>
      </c>
      <c r="H138">
        <v>122851114.28934801</v>
      </c>
      <c r="I138">
        <v>1960.4601499999901</v>
      </c>
      <c r="J138">
        <v>3516754.18802818</v>
      </c>
      <c r="K138">
        <v>0.204776392694063</v>
      </c>
      <c r="L138">
        <v>34.933096748007301</v>
      </c>
      <c r="M138" t="str">
        <f t="shared" si="24"/>
        <v>Normal</v>
      </c>
      <c r="N138" t="str">
        <f t="shared" si="25"/>
        <v>High RE Cost</v>
      </c>
      <c r="O138">
        <f t="shared" si="23"/>
        <v>424159287.62446445</v>
      </c>
      <c r="P138">
        <f t="shared" si="26"/>
        <v>120.6110137206626</v>
      </c>
      <c r="Q138">
        <f t="shared" si="27"/>
        <v>85.72</v>
      </c>
      <c r="R138" s="229">
        <f t="shared" si="28"/>
        <v>301456168.99777561</v>
      </c>
      <c r="S138" s="297" t="str">
        <f t="shared" si="29"/>
        <v/>
      </c>
      <c r="T138" s="297" t="str">
        <f t="shared" si="30"/>
        <v/>
      </c>
      <c r="V138" s="296">
        <f t="shared" si="31"/>
        <v>90.2</v>
      </c>
      <c r="W138">
        <f t="shared" si="32"/>
        <v>4.482346265104864</v>
      </c>
      <c r="X138" s="297" t="str">
        <f t="shared" si="33"/>
        <v/>
      </c>
    </row>
    <row r="139" spans="1:24" x14ac:dyDescent="0.2">
      <c r="A139" t="s">
        <v>270</v>
      </c>
      <c r="B139">
        <v>2050</v>
      </c>
      <c r="C139" t="s">
        <v>268</v>
      </c>
      <c r="D139" t="s">
        <v>216</v>
      </c>
      <c r="E139">
        <v>81206737.203321502</v>
      </c>
      <c r="F139">
        <v>60958.424003018503</v>
      </c>
      <c r="G139">
        <v>117322702</v>
      </c>
      <c r="H139">
        <v>198590397.62732399</v>
      </c>
      <c r="I139">
        <v>1960.4601499999901</v>
      </c>
      <c r="J139">
        <v>3516754.18802818</v>
      </c>
      <c r="K139">
        <v>0.204776392694063</v>
      </c>
      <c r="L139">
        <v>56.469797719547898</v>
      </c>
      <c r="M139" t="str">
        <f t="shared" si="24"/>
        <v>Normal</v>
      </c>
      <c r="N139" t="str">
        <f t="shared" si="25"/>
        <v>High RE Cost</v>
      </c>
      <c r="O139">
        <f t="shared" si="23"/>
        <v>406117526.52104861</v>
      </c>
      <c r="P139">
        <f t="shared" si="26"/>
        <v>115.48078279214502</v>
      </c>
      <c r="Q139">
        <f t="shared" si="27"/>
        <v>59.03</v>
      </c>
      <c r="R139" s="229">
        <f t="shared" si="28"/>
        <v>207593999.71930346</v>
      </c>
      <c r="S139" s="297" t="str">
        <f t="shared" si="29"/>
        <v/>
      </c>
      <c r="T139" s="297" t="str">
        <f t="shared" si="30"/>
        <v/>
      </c>
      <c r="V139" s="296">
        <f t="shared" si="31"/>
        <v>92.39</v>
      </c>
      <c r="W139">
        <f t="shared" si="32"/>
        <v>33.361075505189639</v>
      </c>
      <c r="X139" s="297" t="str">
        <f t="shared" si="33"/>
        <v/>
      </c>
    </row>
    <row r="140" spans="1:24" x14ac:dyDescent="0.2">
      <c r="A140" t="s">
        <v>271</v>
      </c>
      <c r="B140">
        <v>2030</v>
      </c>
      <c r="C140" t="s">
        <v>268</v>
      </c>
      <c r="D140" t="s">
        <v>218</v>
      </c>
      <c r="E140">
        <v>99570325.651975498</v>
      </c>
      <c r="F140">
        <v>1311657.08111047</v>
      </c>
      <c r="G140">
        <v>0</v>
      </c>
      <c r="H140">
        <v>100881982.73308501</v>
      </c>
      <c r="I140">
        <v>1960.4601499999901</v>
      </c>
      <c r="J140">
        <v>3516754.18802818</v>
      </c>
      <c r="K140">
        <v>0.204776392694063</v>
      </c>
      <c r="L140">
        <v>28.686105806459501</v>
      </c>
      <c r="M140" t="str">
        <f t="shared" si="24"/>
        <v>Normal</v>
      </c>
      <c r="N140" t="str">
        <f t="shared" si="25"/>
        <v>Medium RE Cost</v>
      </c>
      <c r="O140">
        <f t="shared" si="23"/>
        <v>340002960.96679091</v>
      </c>
      <c r="P140">
        <f t="shared" si="26"/>
        <v>96.68090028135525</v>
      </c>
      <c r="Q140">
        <f t="shared" si="27"/>
        <v>68.37</v>
      </c>
      <c r="R140" s="229">
        <f t="shared" si="28"/>
        <v>240440483.83548668</v>
      </c>
      <c r="S140" s="297">
        <f t="shared" si="29"/>
        <v>96.706681854764057</v>
      </c>
      <c r="T140" s="297">
        <f t="shared" si="30"/>
        <v>68.393549822125777</v>
      </c>
      <c r="V140" s="296">
        <f t="shared" si="31"/>
        <v>68.37</v>
      </c>
      <c r="W140">
        <f t="shared" si="32"/>
        <v>0</v>
      </c>
      <c r="X140" s="297">
        <f t="shared" si="33"/>
        <v>68.39</v>
      </c>
    </row>
    <row r="141" spans="1:24" x14ac:dyDescent="0.2">
      <c r="A141" t="s">
        <v>271</v>
      </c>
      <c r="B141">
        <v>2040</v>
      </c>
      <c r="C141" t="s">
        <v>268</v>
      </c>
      <c r="D141" t="s">
        <v>218</v>
      </c>
      <c r="E141">
        <v>80149980.314293995</v>
      </c>
      <c r="F141">
        <v>208413.818600781</v>
      </c>
      <c r="G141">
        <v>8288498</v>
      </c>
      <c r="H141">
        <v>88646892.132894799</v>
      </c>
      <c r="I141">
        <v>1960.4601499999901</v>
      </c>
      <c r="J141">
        <v>3516754.18802818</v>
      </c>
      <c r="K141">
        <v>0.204776392694063</v>
      </c>
      <c r="L141">
        <v>25.2070197100123</v>
      </c>
      <c r="M141" t="str">
        <f t="shared" si="24"/>
        <v>Normal</v>
      </c>
      <c r="N141" t="str">
        <f t="shared" si="25"/>
        <v>Medium RE Cost</v>
      </c>
      <c r="O141">
        <f t="shared" si="23"/>
        <v>317964169.10794711</v>
      </c>
      <c r="P141">
        <f t="shared" si="26"/>
        <v>90.414101215936114</v>
      </c>
      <c r="Q141">
        <f t="shared" si="27"/>
        <v>65.27</v>
      </c>
      <c r="R141" s="229">
        <f t="shared" si="28"/>
        <v>229538545.85259929</v>
      </c>
      <c r="S141" s="297" t="str">
        <f t="shared" si="29"/>
        <v/>
      </c>
      <c r="T141" s="297" t="str">
        <f t="shared" si="30"/>
        <v/>
      </c>
      <c r="V141" s="296">
        <f t="shared" si="31"/>
        <v>67.63</v>
      </c>
      <c r="W141">
        <f t="shared" si="32"/>
        <v>2.3568602059865049</v>
      </c>
      <c r="X141" s="297" t="str">
        <f t="shared" si="33"/>
        <v/>
      </c>
    </row>
    <row r="142" spans="1:24" x14ac:dyDescent="0.2">
      <c r="A142" t="s">
        <v>271</v>
      </c>
      <c r="B142">
        <v>2050</v>
      </c>
      <c r="C142" t="s">
        <v>268</v>
      </c>
      <c r="D142" t="s">
        <v>218</v>
      </c>
      <c r="E142">
        <v>74007161.316305101</v>
      </c>
      <c r="F142">
        <v>373515.99175953801</v>
      </c>
      <c r="G142">
        <v>22073928</v>
      </c>
      <c r="H142">
        <v>96454605.308064595</v>
      </c>
      <c r="I142">
        <v>1960.4601499999901</v>
      </c>
      <c r="J142">
        <v>3516754.18802818</v>
      </c>
      <c r="K142">
        <v>0.204776392694063</v>
      </c>
      <c r="L142">
        <v>27.427167254514899</v>
      </c>
      <c r="M142" t="str">
        <f t="shared" si="24"/>
        <v>Normal</v>
      </c>
      <c r="N142" t="str">
        <f t="shared" si="25"/>
        <v>Medium RE Cost</v>
      </c>
      <c r="O142">
        <f t="shared" si="23"/>
        <v>311640347.21392971</v>
      </c>
      <c r="P142">
        <f t="shared" si="26"/>
        <v>88.615902776151756</v>
      </c>
      <c r="Q142">
        <f t="shared" si="27"/>
        <v>61.29</v>
      </c>
      <c r="R142" s="229">
        <f t="shared" si="28"/>
        <v>215541864.18424717</v>
      </c>
      <c r="S142" s="297" t="str">
        <f t="shared" si="29"/>
        <v/>
      </c>
      <c r="T142" s="297" t="str">
        <f t="shared" si="30"/>
        <v/>
      </c>
      <c r="V142" s="296">
        <f t="shared" si="31"/>
        <v>67.569999999999993</v>
      </c>
      <c r="W142">
        <f t="shared" si="32"/>
        <v>6.2767901365254932</v>
      </c>
      <c r="X142" s="297" t="str">
        <f t="shared" si="33"/>
        <v/>
      </c>
    </row>
    <row r="143" spans="1:24" x14ac:dyDescent="0.2">
      <c r="A143" t="s">
        <v>272</v>
      </c>
      <c r="B143">
        <v>2030</v>
      </c>
      <c r="C143" t="s">
        <v>268</v>
      </c>
      <c r="D143" t="s">
        <v>220</v>
      </c>
      <c r="E143">
        <v>90372585.860428199</v>
      </c>
      <c r="F143">
        <v>1415469.5862141601</v>
      </c>
      <c r="G143">
        <v>0</v>
      </c>
      <c r="H143">
        <v>91788055.446642399</v>
      </c>
      <c r="I143">
        <v>1960.4601499999901</v>
      </c>
      <c r="J143">
        <v>3516754.18802818</v>
      </c>
      <c r="K143">
        <v>0.204776392694063</v>
      </c>
      <c r="L143">
        <v>26.100219275805301</v>
      </c>
      <c r="M143" t="str">
        <f t="shared" si="24"/>
        <v>Normal</v>
      </c>
      <c r="N143" t="str">
        <f t="shared" si="25"/>
        <v>Low RE Cost</v>
      </c>
      <c r="O143">
        <f t="shared" si="23"/>
        <v>308653204.24954498</v>
      </c>
      <c r="P143">
        <f t="shared" si="26"/>
        <v>87.766499376120663</v>
      </c>
      <c r="Q143">
        <f t="shared" si="27"/>
        <v>62.07</v>
      </c>
      <c r="R143" s="229">
        <f t="shared" si="28"/>
        <v>218284932.45090914</v>
      </c>
      <c r="S143" s="297">
        <f t="shared" si="29"/>
        <v>87.789903775954699</v>
      </c>
      <c r="T143" s="297">
        <f t="shared" si="30"/>
        <v>62.09217768293496</v>
      </c>
      <c r="V143" s="296">
        <f t="shared" si="31"/>
        <v>62.07</v>
      </c>
      <c r="W143">
        <f t="shared" si="32"/>
        <v>0</v>
      </c>
      <c r="X143" s="297">
        <f t="shared" si="33"/>
        <v>62.09</v>
      </c>
    </row>
    <row r="144" spans="1:24" x14ac:dyDescent="0.2">
      <c r="A144" t="s">
        <v>272</v>
      </c>
      <c r="B144">
        <v>2040</v>
      </c>
      <c r="C144" t="s">
        <v>268</v>
      </c>
      <c r="D144" t="s">
        <v>220</v>
      </c>
      <c r="E144">
        <v>69712931.349597394</v>
      </c>
      <c r="F144">
        <v>719440.64694612497</v>
      </c>
      <c r="G144">
        <v>5408304</v>
      </c>
      <c r="H144">
        <v>75840675.996543601</v>
      </c>
      <c r="I144">
        <v>1960.4601499999901</v>
      </c>
      <c r="J144">
        <v>3516754.18802818</v>
      </c>
      <c r="K144">
        <v>0.204776392694063</v>
      </c>
      <c r="L144">
        <v>21.5655322896101</v>
      </c>
      <c r="M144" t="str">
        <f t="shared" si="24"/>
        <v>Normal</v>
      </c>
      <c r="N144" t="str">
        <f t="shared" si="25"/>
        <v>Low RE Cost</v>
      </c>
      <c r="O144">
        <f t="shared" si="23"/>
        <v>281756933.38277984</v>
      </c>
      <c r="P144">
        <f t="shared" si="26"/>
        <v>80.118461034878024</v>
      </c>
      <c r="Q144">
        <f t="shared" si="27"/>
        <v>58.76</v>
      </c>
      <c r="R144" s="229">
        <f t="shared" si="28"/>
        <v>206644476.08853585</v>
      </c>
      <c r="S144" s="297" t="str">
        <f t="shared" si="29"/>
        <v/>
      </c>
      <c r="T144" s="297" t="str">
        <f t="shared" si="30"/>
        <v/>
      </c>
      <c r="V144" s="296">
        <f t="shared" si="31"/>
        <v>60.3</v>
      </c>
      <c r="W144">
        <f t="shared" si="32"/>
        <v>1.5378680768792654</v>
      </c>
      <c r="X144" s="297" t="str">
        <f t="shared" si="33"/>
        <v/>
      </c>
    </row>
    <row r="145" spans="1:24" x14ac:dyDescent="0.2">
      <c r="A145" t="s">
        <v>272</v>
      </c>
      <c r="B145">
        <v>2050</v>
      </c>
      <c r="C145" t="s">
        <v>268</v>
      </c>
      <c r="D145" t="s">
        <v>220</v>
      </c>
      <c r="E145">
        <v>74500663.942159906</v>
      </c>
      <c r="F145">
        <v>1118542.3320114401</v>
      </c>
      <c r="G145">
        <v>-2</v>
      </c>
      <c r="H145">
        <v>75619204.274171397</v>
      </c>
      <c r="I145">
        <v>1960.4601499999901</v>
      </c>
      <c r="J145">
        <v>3516754.18802818</v>
      </c>
      <c r="K145">
        <v>0.204776392694063</v>
      </c>
      <c r="L145">
        <v>21.5025561159765</v>
      </c>
      <c r="M145" t="str">
        <f t="shared" si="24"/>
        <v>Normal</v>
      </c>
      <c r="N145" t="str">
        <f t="shared" si="25"/>
        <v>Low RE Cost</v>
      </c>
      <c r="O145">
        <f t="shared" si="23"/>
        <v>275418236.05994487</v>
      </c>
      <c r="P145">
        <f t="shared" si="26"/>
        <v>78.316032720606486</v>
      </c>
      <c r="Q145">
        <f t="shared" si="27"/>
        <v>57.13</v>
      </c>
      <c r="R145" s="229">
        <f t="shared" si="28"/>
        <v>200912166.76204994</v>
      </c>
      <c r="S145" s="297" t="str">
        <f t="shared" si="29"/>
        <v/>
      </c>
      <c r="T145" s="297" t="str">
        <f t="shared" si="30"/>
        <v/>
      </c>
      <c r="V145" s="296">
        <f t="shared" si="31"/>
        <v>57.13</v>
      </c>
      <c r="W145">
        <f t="shared" si="32"/>
        <v>-5.687062254190095E-7</v>
      </c>
      <c r="X145" s="297" t="str">
        <f t="shared" si="33"/>
        <v/>
      </c>
    </row>
    <row r="146" spans="1:24" x14ac:dyDescent="0.2">
      <c r="A146" t="s">
        <v>273</v>
      </c>
      <c r="B146">
        <v>2030</v>
      </c>
      <c r="C146" t="s">
        <v>268</v>
      </c>
      <c r="D146" t="s">
        <v>222</v>
      </c>
      <c r="E146">
        <v>98648001.576992407</v>
      </c>
      <c r="F146">
        <v>1185603.0842442799</v>
      </c>
      <c r="G146">
        <v>0</v>
      </c>
      <c r="H146">
        <v>99833604.661236703</v>
      </c>
      <c r="I146">
        <v>1960.4601499999901</v>
      </c>
      <c r="J146">
        <v>3516754.18802818</v>
      </c>
      <c r="K146">
        <v>0.204776392694063</v>
      </c>
      <c r="L146">
        <v>28.387996238432699</v>
      </c>
      <c r="M146" t="str">
        <f t="shared" si="24"/>
        <v>Normal</v>
      </c>
      <c r="N146" t="str">
        <f t="shared" si="25"/>
        <v>Medium RE Cost</v>
      </c>
      <c r="O146">
        <f t="shared" si="23"/>
        <v>340002960.96679091</v>
      </c>
      <c r="P146">
        <f t="shared" si="26"/>
        <v>96.68090028135525</v>
      </c>
      <c r="Q146">
        <f t="shared" si="27"/>
        <v>68.63</v>
      </c>
      <c r="R146" s="229">
        <f t="shared" si="28"/>
        <v>241354839.92437398</v>
      </c>
      <c r="S146" s="297">
        <f t="shared" si="29"/>
        <v>96.706681854764057</v>
      </c>
      <c r="T146" s="297">
        <f t="shared" si="30"/>
        <v>68.655815543774139</v>
      </c>
      <c r="V146" s="296">
        <f t="shared" si="31"/>
        <v>68.63</v>
      </c>
      <c r="W146">
        <f t="shared" si="32"/>
        <v>0</v>
      </c>
      <c r="X146" s="297">
        <f t="shared" si="33"/>
        <v>68.66</v>
      </c>
    </row>
    <row r="147" spans="1:24" x14ac:dyDescent="0.2">
      <c r="A147" t="s">
        <v>273</v>
      </c>
      <c r="B147">
        <v>2040</v>
      </c>
      <c r="C147" t="s">
        <v>268</v>
      </c>
      <c r="D147" t="s">
        <v>222</v>
      </c>
      <c r="E147">
        <v>79917921.824731603</v>
      </c>
      <c r="F147">
        <v>374903.12945398298</v>
      </c>
      <c r="G147">
        <v>8088329</v>
      </c>
      <c r="H147">
        <v>88381153.954185605</v>
      </c>
      <c r="I147">
        <v>1960.4601499999901</v>
      </c>
      <c r="J147">
        <v>3516754.18802818</v>
      </c>
      <c r="K147">
        <v>0.204776392694063</v>
      </c>
      <c r="L147">
        <v>25.131456231730599</v>
      </c>
      <c r="M147" t="str">
        <f t="shared" si="24"/>
        <v>Normal</v>
      </c>
      <c r="N147" t="str">
        <f t="shared" si="25"/>
        <v>Medium RE Cost</v>
      </c>
      <c r="O147">
        <f t="shared" si="23"/>
        <v>317964169.10794711</v>
      </c>
      <c r="P147">
        <f t="shared" si="26"/>
        <v>90.414101215936114</v>
      </c>
      <c r="Q147">
        <f t="shared" si="27"/>
        <v>65.39</v>
      </c>
      <c r="R147" s="229">
        <f t="shared" si="28"/>
        <v>229960556.35516268</v>
      </c>
      <c r="S147" s="297" t="str">
        <f t="shared" si="29"/>
        <v/>
      </c>
      <c r="T147" s="297" t="str">
        <f t="shared" si="30"/>
        <v/>
      </c>
      <c r="V147" s="296">
        <f t="shared" si="31"/>
        <v>67.69</v>
      </c>
      <c r="W147">
        <f t="shared" si="32"/>
        <v>2.299941527768556</v>
      </c>
      <c r="X147" s="297" t="str">
        <f t="shared" si="33"/>
        <v/>
      </c>
    </row>
    <row r="148" spans="1:24" x14ac:dyDescent="0.2">
      <c r="A148" t="s">
        <v>273</v>
      </c>
      <c r="B148">
        <v>2050</v>
      </c>
      <c r="C148" t="s">
        <v>268</v>
      </c>
      <c r="D148" t="s">
        <v>222</v>
      </c>
      <c r="E148">
        <v>78543769.223959893</v>
      </c>
      <c r="F148">
        <v>323585.831282745</v>
      </c>
      <c r="G148">
        <v>15862051</v>
      </c>
      <c r="H148">
        <v>94729406.055242702</v>
      </c>
      <c r="I148">
        <v>1960.4601499999901</v>
      </c>
      <c r="J148">
        <v>3516754.18802818</v>
      </c>
      <c r="K148">
        <v>0.204776392694063</v>
      </c>
      <c r="L148">
        <v>26.9366014769308</v>
      </c>
      <c r="M148" t="str">
        <f t="shared" si="24"/>
        <v>Normal</v>
      </c>
      <c r="N148" t="str">
        <f t="shared" si="25"/>
        <v>Medium RE Cost</v>
      </c>
      <c r="O148">
        <f t="shared" si="23"/>
        <v>311640347.21392971</v>
      </c>
      <c r="P148">
        <f t="shared" si="26"/>
        <v>88.615902776151756</v>
      </c>
      <c r="Q148">
        <f t="shared" si="27"/>
        <v>61.77</v>
      </c>
      <c r="R148" s="229">
        <f t="shared" si="28"/>
        <v>217229906.19450068</v>
      </c>
      <c r="S148" s="297" t="str">
        <f t="shared" si="29"/>
        <v/>
      </c>
      <c r="T148" s="297" t="str">
        <f t="shared" si="30"/>
        <v/>
      </c>
      <c r="V148" s="296">
        <f t="shared" si="31"/>
        <v>66.28</v>
      </c>
      <c r="W148">
        <f t="shared" si="32"/>
        <v>4.5104235758069127</v>
      </c>
      <c r="X148" s="297" t="str">
        <f t="shared" si="33"/>
        <v/>
      </c>
    </row>
    <row r="149" spans="1:24" x14ac:dyDescent="0.2">
      <c r="A149" t="s">
        <v>274</v>
      </c>
      <c r="B149">
        <v>2030</v>
      </c>
      <c r="C149" t="s">
        <v>268</v>
      </c>
      <c r="D149" t="s">
        <v>224</v>
      </c>
      <c r="E149">
        <v>97981088.440735996</v>
      </c>
      <c r="F149">
        <v>1735329.5676869401</v>
      </c>
      <c r="G149">
        <v>-4</v>
      </c>
      <c r="H149">
        <v>99716414.008423001</v>
      </c>
      <c r="I149">
        <v>1960.4601499999901</v>
      </c>
      <c r="J149">
        <v>3516754.18802818</v>
      </c>
      <c r="K149">
        <v>0.204776392694063</v>
      </c>
      <c r="L149">
        <v>28.354672711524699</v>
      </c>
      <c r="M149" t="str">
        <f t="shared" si="24"/>
        <v>Normal</v>
      </c>
      <c r="N149" t="str">
        <f t="shared" si="25"/>
        <v>Medium RE Cost</v>
      </c>
      <c r="O149">
        <f t="shared" si="23"/>
        <v>340002960.96679091</v>
      </c>
      <c r="P149">
        <f t="shared" si="26"/>
        <v>96.68090028135525</v>
      </c>
      <c r="Q149">
        <f t="shared" si="27"/>
        <v>68.819999999999993</v>
      </c>
      <c r="R149" s="229">
        <f t="shared" si="28"/>
        <v>242023023.22009933</v>
      </c>
      <c r="S149" s="297">
        <f t="shared" si="29"/>
        <v>96.706681854764057</v>
      </c>
      <c r="T149" s="297">
        <f t="shared" si="30"/>
        <v>68.845455507387953</v>
      </c>
      <c r="V149" s="296">
        <f t="shared" si="31"/>
        <v>68.819999999999993</v>
      </c>
      <c r="W149">
        <f t="shared" si="32"/>
        <v>-1.137412450838019E-6</v>
      </c>
      <c r="X149" s="297">
        <f t="shared" si="33"/>
        <v>68.849999999999994</v>
      </c>
    </row>
    <row r="150" spans="1:24" x14ac:dyDescent="0.2">
      <c r="A150" t="s">
        <v>274</v>
      </c>
      <c r="B150">
        <v>2040</v>
      </c>
      <c r="C150" t="s">
        <v>268</v>
      </c>
      <c r="D150" t="s">
        <v>224</v>
      </c>
      <c r="E150">
        <v>86092466.778484493</v>
      </c>
      <c r="F150">
        <v>483883.49063658301</v>
      </c>
      <c r="G150">
        <v>4609187</v>
      </c>
      <c r="H150">
        <v>91185537.269121096</v>
      </c>
      <c r="I150">
        <v>1960.4601499999901</v>
      </c>
      <c r="J150">
        <v>3516754.18802818</v>
      </c>
      <c r="K150">
        <v>0.204776392694063</v>
      </c>
      <c r="L150">
        <v>25.928891356563099</v>
      </c>
      <c r="M150" t="str">
        <f t="shared" si="24"/>
        <v>Normal</v>
      </c>
      <c r="N150" t="str">
        <f t="shared" si="25"/>
        <v>Medium RE Cost</v>
      </c>
      <c r="O150">
        <f t="shared" si="23"/>
        <v>317964169.10794711</v>
      </c>
      <c r="P150">
        <f t="shared" si="26"/>
        <v>90.414101215936114</v>
      </c>
      <c r="Q150">
        <f t="shared" si="27"/>
        <v>64.62</v>
      </c>
      <c r="R150" s="229">
        <f t="shared" si="28"/>
        <v>227252655.63038102</v>
      </c>
      <c r="S150" s="297" t="str">
        <f t="shared" si="29"/>
        <v/>
      </c>
      <c r="T150" s="297" t="str">
        <f t="shared" si="30"/>
        <v/>
      </c>
      <c r="V150" s="296">
        <f t="shared" si="31"/>
        <v>65.930000000000007</v>
      </c>
      <c r="W150">
        <f t="shared" si="32"/>
        <v>1.3106366705101842</v>
      </c>
      <c r="X150" s="297" t="str">
        <f t="shared" si="33"/>
        <v/>
      </c>
    </row>
    <row r="151" spans="1:24" x14ac:dyDescent="0.2">
      <c r="A151" t="s">
        <v>274</v>
      </c>
      <c r="B151">
        <v>2050</v>
      </c>
      <c r="C151" t="s">
        <v>268</v>
      </c>
      <c r="D151" t="s">
        <v>224</v>
      </c>
      <c r="E151">
        <v>86660431.875829101</v>
      </c>
      <c r="F151">
        <v>1118286.32493066</v>
      </c>
      <c r="G151">
        <v>17867162</v>
      </c>
      <c r="H151">
        <v>105645880.20075899</v>
      </c>
      <c r="I151">
        <v>1960.4601499999901</v>
      </c>
      <c r="J151">
        <v>3516754.18802818</v>
      </c>
      <c r="K151">
        <v>0.204776392694063</v>
      </c>
      <c r="L151">
        <v>30.0407348800215</v>
      </c>
      <c r="M151" t="str">
        <f t="shared" si="24"/>
        <v>Normal</v>
      </c>
      <c r="N151" t="str">
        <f t="shared" si="25"/>
        <v>Medium RE Cost</v>
      </c>
      <c r="O151">
        <f t="shared" si="23"/>
        <v>311640347.21392971</v>
      </c>
      <c r="P151">
        <f t="shared" si="26"/>
        <v>88.615902776151756</v>
      </c>
      <c r="Q151">
        <f t="shared" si="27"/>
        <v>58.89</v>
      </c>
      <c r="R151" s="229">
        <f t="shared" si="28"/>
        <v>207101654.13297951</v>
      </c>
      <c r="S151" s="297" t="str">
        <f t="shared" si="29"/>
        <v/>
      </c>
      <c r="T151" s="297" t="str">
        <f t="shared" si="30"/>
        <v/>
      </c>
      <c r="V151" s="296">
        <f t="shared" si="31"/>
        <v>63.97</v>
      </c>
      <c r="W151">
        <f t="shared" si="32"/>
        <v>5.0805831299849809</v>
      </c>
      <c r="X151" s="297" t="str">
        <f t="shared" si="33"/>
        <v/>
      </c>
    </row>
    <row r="152" spans="1:24" x14ac:dyDescent="0.2">
      <c r="A152" t="s">
        <v>275</v>
      </c>
      <c r="B152">
        <v>2030</v>
      </c>
      <c r="C152" t="s">
        <v>268</v>
      </c>
      <c r="D152" t="s">
        <v>226</v>
      </c>
      <c r="E152">
        <v>99615400.5755312</v>
      </c>
      <c r="F152">
        <v>1297324.75920718</v>
      </c>
      <c r="G152">
        <v>-1</v>
      </c>
      <c r="H152">
        <v>100912724.334738</v>
      </c>
      <c r="I152">
        <v>1960.4601499999901</v>
      </c>
      <c r="J152">
        <v>3516754.18802818</v>
      </c>
      <c r="K152">
        <v>0.204776392694063</v>
      </c>
      <c r="L152">
        <v>28.694847276579001</v>
      </c>
      <c r="M152" t="str">
        <f t="shared" si="24"/>
        <v>Normal</v>
      </c>
      <c r="N152" t="str">
        <f t="shared" si="25"/>
        <v>Medium RE Cost</v>
      </c>
      <c r="O152">
        <f t="shared" si="23"/>
        <v>340002960.96679091</v>
      </c>
      <c r="P152">
        <f t="shared" si="26"/>
        <v>96.68090028135525</v>
      </c>
      <c r="Q152">
        <f t="shared" si="27"/>
        <v>68.349999999999994</v>
      </c>
      <c r="R152" s="229">
        <f t="shared" si="28"/>
        <v>240370148.75172609</v>
      </c>
      <c r="S152" s="297">
        <f t="shared" si="29"/>
        <v>96.706681854764057</v>
      </c>
      <c r="T152" s="297">
        <f t="shared" si="30"/>
        <v>68.380732911660672</v>
      </c>
      <c r="V152" s="296">
        <f t="shared" si="31"/>
        <v>68.349999999999994</v>
      </c>
      <c r="W152">
        <f t="shared" si="32"/>
        <v>-2.8435311270950475E-7</v>
      </c>
      <c r="X152" s="297">
        <f t="shared" si="33"/>
        <v>68.38</v>
      </c>
    </row>
    <row r="153" spans="1:24" x14ac:dyDescent="0.2">
      <c r="A153" t="s">
        <v>275</v>
      </c>
      <c r="B153">
        <v>2040</v>
      </c>
      <c r="C153" t="s">
        <v>268</v>
      </c>
      <c r="D153" t="s">
        <v>226</v>
      </c>
      <c r="E153">
        <v>81711624.814798802</v>
      </c>
      <c r="F153">
        <v>413856.69550808001</v>
      </c>
      <c r="G153">
        <v>5233097</v>
      </c>
      <c r="H153">
        <v>87358578.510306895</v>
      </c>
      <c r="I153">
        <v>1960.4601499999901</v>
      </c>
      <c r="J153">
        <v>3516754.18802818</v>
      </c>
      <c r="K153">
        <v>0.204776392694063</v>
      </c>
      <c r="L153">
        <v>24.840683721283401</v>
      </c>
      <c r="M153" t="str">
        <f t="shared" si="24"/>
        <v>Normal</v>
      </c>
      <c r="N153" t="str">
        <f t="shared" si="25"/>
        <v>Medium RE Cost</v>
      </c>
      <c r="O153">
        <f t="shared" si="23"/>
        <v>317964169.10794711</v>
      </c>
      <c r="P153">
        <f t="shared" si="26"/>
        <v>90.414101215936114</v>
      </c>
      <c r="Q153">
        <f t="shared" si="27"/>
        <v>65.69</v>
      </c>
      <c r="R153" s="229">
        <f t="shared" si="28"/>
        <v>231015582.61157113</v>
      </c>
      <c r="S153" s="297" t="str">
        <f t="shared" si="29"/>
        <v/>
      </c>
      <c r="T153" s="297" t="str">
        <f t="shared" si="30"/>
        <v/>
      </c>
      <c r="V153" s="296">
        <f t="shared" si="31"/>
        <v>67.180000000000007</v>
      </c>
      <c r="W153">
        <f t="shared" si="32"/>
        <v>1.4880474210607713</v>
      </c>
      <c r="X153" s="297" t="str">
        <f t="shared" si="33"/>
        <v/>
      </c>
    </row>
    <row r="154" spans="1:24" x14ac:dyDescent="0.2">
      <c r="A154" t="s">
        <v>275</v>
      </c>
      <c r="B154">
        <v>2050</v>
      </c>
      <c r="C154" t="s">
        <v>268</v>
      </c>
      <c r="D154" t="s">
        <v>226</v>
      </c>
      <c r="E154">
        <v>77364550.874405801</v>
      </c>
      <c r="F154">
        <v>394806.59526201</v>
      </c>
      <c r="G154">
        <v>19011840</v>
      </c>
      <c r="H154">
        <v>96771197.469667807</v>
      </c>
      <c r="I154">
        <v>1960.4601499999901</v>
      </c>
      <c r="J154">
        <v>3516754.18802818</v>
      </c>
      <c r="K154">
        <v>0.204776392694063</v>
      </c>
      <c r="L154">
        <v>27.517191221126101</v>
      </c>
      <c r="M154" t="str">
        <f t="shared" si="24"/>
        <v>Normal</v>
      </c>
      <c r="N154" t="str">
        <f t="shared" si="25"/>
        <v>Medium RE Cost</v>
      </c>
      <c r="O154">
        <f t="shared" si="23"/>
        <v>311640347.21392971</v>
      </c>
      <c r="P154">
        <f t="shared" si="26"/>
        <v>88.615902776151756</v>
      </c>
      <c r="Q154">
        <f t="shared" si="27"/>
        <v>61.21</v>
      </c>
      <c r="R154" s="229">
        <f t="shared" si="28"/>
        <v>215260523.8492049</v>
      </c>
      <c r="S154" s="297" t="str">
        <f t="shared" si="29"/>
        <v/>
      </c>
      <c r="T154" s="297" t="str">
        <f t="shared" si="30"/>
        <v/>
      </c>
      <c r="V154" s="296">
        <f t="shared" si="31"/>
        <v>66.62</v>
      </c>
      <c r="W154">
        <f t="shared" si="32"/>
        <v>5.4060758823350712</v>
      </c>
      <c r="X154" s="297" t="str">
        <f t="shared" si="33"/>
        <v/>
      </c>
    </row>
    <row r="155" spans="1:24" x14ac:dyDescent="0.2">
      <c r="A155" t="s">
        <v>276</v>
      </c>
      <c r="B155">
        <v>2030</v>
      </c>
      <c r="C155" t="s">
        <v>264</v>
      </c>
      <c r="D155" t="s">
        <v>218</v>
      </c>
      <c r="E155">
        <v>99570311.580168307</v>
      </c>
      <c r="F155">
        <v>1311832.5156316401</v>
      </c>
      <c r="G155">
        <v>0</v>
      </c>
      <c r="H155">
        <v>100882144.0958</v>
      </c>
      <c r="I155">
        <v>1960.4601499999901</v>
      </c>
      <c r="J155">
        <v>3516754.18802818</v>
      </c>
      <c r="K155">
        <v>0.204776392694063</v>
      </c>
      <c r="L155">
        <v>28.686151690449499</v>
      </c>
      <c r="M155" t="str">
        <f t="shared" si="24"/>
        <v>Normal</v>
      </c>
      <c r="N155" t="str">
        <f t="shared" si="25"/>
        <v>Medium RE Cost</v>
      </c>
      <c r="O155">
        <f t="shared" si="23"/>
        <v>340002960.96679091</v>
      </c>
      <c r="P155">
        <f t="shared" si="26"/>
        <v>96.68090028135525</v>
      </c>
      <c r="Q155">
        <f t="shared" si="27"/>
        <v>68.37</v>
      </c>
      <c r="R155" s="229">
        <f t="shared" si="28"/>
        <v>240440483.83548668</v>
      </c>
      <c r="S155" s="297">
        <f t="shared" si="29"/>
        <v>96.706681854764057</v>
      </c>
      <c r="T155" s="297">
        <f t="shared" si="30"/>
        <v>68.393553823487949</v>
      </c>
      <c r="V155" s="296">
        <f t="shared" si="31"/>
        <v>68.37</v>
      </c>
      <c r="W155">
        <f t="shared" si="32"/>
        <v>0</v>
      </c>
      <c r="X155" s="297">
        <f t="shared" si="33"/>
        <v>68.39</v>
      </c>
    </row>
    <row r="156" spans="1:24" x14ac:dyDescent="0.2">
      <c r="A156" t="s">
        <v>276</v>
      </c>
      <c r="B156">
        <v>2040</v>
      </c>
      <c r="C156" t="s">
        <v>264</v>
      </c>
      <c r="D156" t="s">
        <v>218</v>
      </c>
      <c r="E156">
        <v>85219579.130105898</v>
      </c>
      <c r="F156">
        <v>216820.068620309</v>
      </c>
      <c r="G156">
        <v>-1</v>
      </c>
      <c r="H156">
        <v>85436398.198726207</v>
      </c>
      <c r="I156">
        <v>1960.4601499999901</v>
      </c>
      <c r="J156">
        <v>3516754.18802818</v>
      </c>
      <c r="K156">
        <v>0.204776392694063</v>
      </c>
      <c r="L156">
        <v>24.2941057664965</v>
      </c>
      <c r="M156" t="str">
        <f t="shared" si="24"/>
        <v>Normal</v>
      </c>
      <c r="N156" t="str">
        <f t="shared" si="25"/>
        <v>Medium RE Cost</v>
      </c>
      <c r="O156">
        <f t="shared" si="23"/>
        <v>317964169.10794711</v>
      </c>
      <c r="P156">
        <f t="shared" si="26"/>
        <v>90.414101215936114</v>
      </c>
      <c r="Q156">
        <f t="shared" si="27"/>
        <v>66.180000000000007</v>
      </c>
      <c r="R156" s="229">
        <f t="shared" si="28"/>
        <v>232738792.16370499</v>
      </c>
      <c r="S156" s="297" t="str">
        <f t="shared" si="29"/>
        <v/>
      </c>
      <c r="T156" s="297" t="str">
        <f t="shared" si="30"/>
        <v/>
      </c>
      <c r="V156" s="296">
        <f t="shared" si="31"/>
        <v>66.180000000000007</v>
      </c>
      <c r="W156">
        <f t="shared" si="32"/>
        <v>-2.8435311270950475E-7</v>
      </c>
      <c r="X156" s="297" t="str">
        <f t="shared" si="33"/>
        <v/>
      </c>
    </row>
    <row r="157" spans="1:24" x14ac:dyDescent="0.2">
      <c r="A157" t="s">
        <v>276</v>
      </c>
      <c r="B157">
        <v>2050</v>
      </c>
      <c r="C157" t="s">
        <v>264</v>
      </c>
      <c r="D157" t="s">
        <v>218</v>
      </c>
      <c r="E157">
        <v>78060596.135076299</v>
      </c>
      <c r="F157">
        <v>412305.58727924002</v>
      </c>
      <c r="G157">
        <v>0</v>
      </c>
      <c r="H157">
        <v>78472901.7223555</v>
      </c>
      <c r="I157">
        <v>1960.4601499999901</v>
      </c>
      <c r="J157">
        <v>3516754.18802818</v>
      </c>
      <c r="K157">
        <v>0.204776392694063</v>
      </c>
      <c r="L157">
        <v>22.314013868098801</v>
      </c>
      <c r="M157" t="str">
        <f t="shared" si="24"/>
        <v>Normal</v>
      </c>
      <c r="N157" t="str">
        <f t="shared" si="25"/>
        <v>Medium RE Cost</v>
      </c>
      <c r="O157">
        <f t="shared" si="23"/>
        <v>311640347.21392971</v>
      </c>
      <c r="P157">
        <f t="shared" si="26"/>
        <v>88.615902776151756</v>
      </c>
      <c r="Q157">
        <f t="shared" si="27"/>
        <v>66.42</v>
      </c>
      <c r="R157" s="229">
        <f t="shared" si="28"/>
        <v>233582813.16883174</v>
      </c>
      <c r="S157" s="297" t="str">
        <f t="shared" si="29"/>
        <v/>
      </c>
      <c r="T157" s="297" t="str">
        <f t="shared" si="30"/>
        <v/>
      </c>
      <c r="V157" s="296">
        <f t="shared" si="31"/>
        <v>66.42</v>
      </c>
      <c r="W157">
        <f t="shared" si="32"/>
        <v>0</v>
      </c>
      <c r="X157" s="297" t="str">
        <f t="shared" si="33"/>
        <v/>
      </c>
    </row>
    <row r="158" spans="1:24" x14ac:dyDescent="0.2">
      <c r="A158" t="s">
        <v>277</v>
      </c>
      <c r="B158">
        <v>2030</v>
      </c>
      <c r="C158" t="s">
        <v>264</v>
      </c>
      <c r="D158" t="s">
        <v>220</v>
      </c>
      <c r="E158">
        <v>90372503.530960605</v>
      </c>
      <c r="F158">
        <v>1415470.0684873599</v>
      </c>
      <c r="G158">
        <v>0</v>
      </c>
      <c r="H158">
        <v>91787973.599447995</v>
      </c>
      <c r="I158">
        <v>1960.4601499999901</v>
      </c>
      <c r="J158">
        <v>3516754.18802818</v>
      </c>
      <c r="K158">
        <v>0.204776392694063</v>
      </c>
      <c r="L158">
        <v>26.100196002300802</v>
      </c>
      <c r="M158" t="str">
        <f t="shared" si="24"/>
        <v>Normal</v>
      </c>
      <c r="N158" t="str">
        <f t="shared" si="25"/>
        <v>Low RE Cost</v>
      </c>
      <c r="O158">
        <f t="shared" si="23"/>
        <v>308653204.24954498</v>
      </c>
      <c r="P158">
        <f t="shared" si="26"/>
        <v>87.766499376120663</v>
      </c>
      <c r="Q158">
        <f t="shared" si="27"/>
        <v>62.07</v>
      </c>
      <c r="R158" s="229">
        <f t="shared" si="28"/>
        <v>218284932.45090914</v>
      </c>
      <c r="S158" s="297">
        <f t="shared" si="29"/>
        <v>87.789903775954699</v>
      </c>
      <c r="T158" s="297">
        <f t="shared" si="30"/>
        <v>62.092201093575341</v>
      </c>
      <c r="V158" s="296">
        <f t="shared" si="31"/>
        <v>62.07</v>
      </c>
      <c r="W158">
        <f t="shared" si="32"/>
        <v>0</v>
      </c>
      <c r="X158" s="297">
        <f t="shared" si="33"/>
        <v>62.09</v>
      </c>
    </row>
    <row r="159" spans="1:24" x14ac:dyDescent="0.2">
      <c r="A159" t="s">
        <v>277</v>
      </c>
      <c r="B159">
        <v>2040</v>
      </c>
      <c r="C159" t="s">
        <v>264</v>
      </c>
      <c r="D159" t="s">
        <v>220</v>
      </c>
      <c r="E159">
        <v>73562241.994210795</v>
      </c>
      <c r="F159">
        <v>729816.70066872903</v>
      </c>
      <c r="G159">
        <v>0</v>
      </c>
      <c r="H159">
        <v>74292058.694879502</v>
      </c>
      <c r="I159">
        <v>1960.4601499999901</v>
      </c>
      <c r="J159">
        <v>3516754.18802818</v>
      </c>
      <c r="K159">
        <v>0.204776392694063</v>
      </c>
      <c r="L159">
        <v>21.125178139486199</v>
      </c>
      <c r="M159" t="str">
        <f t="shared" si="24"/>
        <v>Normal</v>
      </c>
      <c r="N159" t="str">
        <f t="shared" si="25"/>
        <v>Low RE Cost</v>
      </c>
      <c r="O159">
        <f t="shared" si="23"/>
        <v>281756933.38277984</v>
      </c>
      <c r="P159">
        <f t="shared" si="26"/>
        <v>80.118461034878024</v>
      </c>
      <c r="Q159">
        <f t="shared" si="27"/>
        <v>59.2</v>
      </c>
      <c r="R159" s="229">
        <f t="shared" si="28"/>
        <v>208191847.93126827</v>
      </c>
      <c r="S159" s="297" t="str">
        <f t="shared" si="29"/>
        <v/>
      </c>
      <c r="T159" s="297" t="str">
        <f t="shared" si="30"/>
        <v/>
      </c>
      <c r="V159" s="296">
        <f t="shared" si="31"/>
        <v>59.2</v>
      </c>
      <c r="W159">
        <f t="shared" si="32"/>
        <v>0</v>
      </c>
      <c r="X159" s="297" t="str">
        <f t="shared" si="33"/>
        <v/>
      </c>
    </row>
    <row r="160" spans="1:24" x14ac:dyDescent="0.2">
      <c r="A160" t="s">
        <v>277</v>
      </c>
      <c r="B160">
        <v>2050</v>
      </c>
      <c r="C160" t="s">
        <v>264</v>
      </c>
      <c r="D160" t="s">
        <v>220</v>
      </c>
      <c r="E160">
        <v>74558086.823108599</v>
      </c>
      <c r="F160">
        <v>1121399.7324790601</v>
      </c>
      <c r="G160">
        <v>-2</v>
      </c>
      <c r="H160">
        <v>75679484.555587694</v>
      </c>
      <c r="I160">
        <v>1960.4601499999901</v>
      </c>
      <c r="J160">
        <v>3516754.18802818</v>
      </c>
      <c r="K160">
        <v>0.204776392694063</v>
      </c>
      <c r="L160">
        <v>21.519697001632199</v>
      </c>
      <c r="M160" t="str">
        <f t="shared" si="24"/>
        <v>Normal</v>
      </c>
      <c r="N160" t="str">
        <f t="shared" si="25"/>
        <v>Low RE Cost</v>
      </c>
      <c r="O160">
        <f t="shared" si="23"/>
        <v>275418236.05994487</v>
      </c>
      <c r="P160">
        <f t="shared" si="26"/>
        <v>78.316032720606486</v>
      </c>
      <c r="Q160">
        <f t="shared" si="27"/>
        <v>57.12</v>
      </c>
      <c r="R160" s="229">
        <f t="shared" si="28"/>
        <v>200876999.22016963</v>
      </c>
      <c r="S160" s="297" t="str">
        <f t="shared" si="29"/>
        <v/>
      </c>
      <c r="T160" s="297" t="str">
        <f t="shared" si="30"/>
        <v/>
      </c>
      <c r="V160" s="296">
        <f t="shared" si="31"/>
        <v>57.12</v>
      </c>
      <c r="W160">
        <f t="shared" si="32"/>
        <v>-5.687062254190095E-7</v>
      </c>
      <c r="X160" s="297" t="str">
        <f t="shared" si="33"/>
        <v/>
      </c>
    </row>
    <row r="161" spans="1:24" x14ac:dyDescent="0.2">
      <c r="A161" t="s">
        <v>278</v>
      </c>
      <c r="B161">
        <v>2030</v>
      </c>
      <c r="C161" t="s">
        <v>264</v>
      </c>
      <c r="D161" t="s">
        <v>222</v>
      </c>
      <c r="E161">
        <v>98648009.087176293</v>
      </c>
      <c r="F161">
        <v>1185489.9288369799</v>
      </c>
      <c r="G161">
        <v>0</v>
      </c>
      <c r="H161">
        <v>99833499.016013294</v>
      </c>
      <c r="I161">
        <v>1960.4601499999901</v>
      </c>
      <c r="J161">
        <v>3516754.18802818</v>
      </c>
      <c r="K161">
        <v>0.204776392694063</v>
      </c>
      <c r="L161">
        <v>28.387966197884602</v>
      </c>
      <c r="M161" t="str">
        <f t="shared" si="24"/>
        <v>Normal</v>
      </c>
      <c r="N161" t="str">
        <f t="shared" si="25"/>
        <v>Medium RE Cost</v>
      </c>
      <c r="O161">
        <f t="shared" si="23"/>
        <v>340002960.96679091</v>
      </c>
      <c r="P161">
        <f t="shared" si="26"/>
        <v>96.68090028135525</v>
      </c>
      <c r="Q161">
        <f t="shared" si="27"/>
        <v>68.63</v>
      </c>
      <c r="R161" s="229">
        <f t="shared" si="28"/>
        <v>241354839.92437398</v>
      </c>
      <c r="S161" s="297">
        <f t="shared" si="29"/>
        <v>96.706681854764057</v>
      </c>
      <c r="T161" s="297">
        <f t="shared" si="30"/>
        <v>68.65581340822996</v>
      </c>
      <c r="V161" s="296">
        <f t="shared" si="31"/>
        <v>68.63</v>
      </c>
      <c r="W161">
        <f t="shared" si="32"/>
        <v>0</v>
      </c>
      <c r="X161" s="297">
        <f t="shared" si="33"/>
        <v>68.66</v>
      </c>
    </row>
    <row r="162" spans="1:24" x14ac:dyDescent="0.2">
      <c r="A162" t="s">
        <v>278</v>
      </c>
      <c r="B162">
        <v>2040</v>
      </c>
      <c r="C162" t="s">
        <v>264</v>
      </c>
      <c r="D162" t="s">
        <v>222</v>
      </c>
      <c r="E162">
        <v>84815016.778179199</v>
      </c>
      <c r="F162">
        <v>359102.76323422301</v>
      </c>
      <c r="G162">
        <v>-1</v>
      </c>
      <c r="H162">
        <v>85174118.541413397</v>
      </c>
      <c r="I162">
        <v>1960.4601499999901</v>
      </c>
      <c r="J162">
        <v>3516754.18802818</v>
      </c>
      <c r="K162">
        <v>0.204776392694063</v>
      </c>
      <c r="L162">
        <v>24.2195257295392</v>
      </c>
      <c r="M162" t="str">
        <f t="shared" si="24"/>
        <v>Normal</v>
      </c>
      <c r="N162" t="str">
        <f t="shared" si="25"/>
        <v>Medium RE Cost</v>
      </c>
      <c r="O162">
        <f t="shared" si="23"/>
        <v>317964169.10794711</v>
      </c>
      <c r="P162">
        <f t="shared" si="26"/>
        <v>90.414101215936114</v>
      </c>
      <c r="Q162">
        <f t="shared" si="27"/>
        <v>66.3</v>
      </c>
      <c r="R162" s="229">
        <f t="shared" si="28"/>
        <v>233160802.66626832</v>
      </c>
      <c r="S162" s="297" t="str">
        <f t="shared" si="29"/>
        <v/>
      </c>
      <c r="T162" s="297" t="str">
        <f t="shared" si="30"/>
        <v/>
      </c>
      <c r="V162" s="296">
        <f t="shared" si="31"/>
        <v>66.3</v>
      </c>
      <c r="W162">
        <f t="shared" si="32"/>
        <v>-2.8435311270950475E-7</v>
      </c>
      <c r="X162" s="297" t="str">
        <f t="shared" si="33"/>
        <v/>
      </c>
    </row>
    <row r="163" spans="1:24" x14ac:dyDescent="0.2">
      <c r="A163" t="s">
        <v>278</v>
      </c>
      <c r="B163">
        <v>2050</v>
      </c>
      <c r="C163" t="s">
        <v>264</v>
      </c>
      <c r="D163" t="s">
        <v>222</v>
      </c>
      <c r="E163">
        <v>81122964.706909195</v>
      </c>
      <c r="F163">
        <v>376510.09903433698</v>
      </c>
      <c r="G163">
        <v>-1</v>
      </c>
      <c r="H163">
        <v>81499473.805943593</v>
      </c>
      <c r="I163">
        <v>1960.4601499999901</v>
      </c>
      <c r="J163">
        <v>3516754.18802818</v>
      </c>
      <c r="K163">
        <v>0.204776392694063</v>
      </c>
      <c r="L163">
        <v>23.174629060906799</v>
      </c>
      <c r="M163" t="str">
        <f t="shared" si="24"/>
        <v>Normal</v>
      </c>
      <c r="N163" t="str">
        <f t="shared" si="25"/>
        <v>Medium RE Cost</v>
      </c>
      <c r="O163">
        <f t="shared" si="23"/>
        <v>311640347.21392971</v>
      </c>
      <c r="P163">
        <f t="shared" si="26"/>
        <v>88.615902776151756</v>
      </c>
      <c r="Q163">
        <f t="shared" si="27"/>
        <v>65.55</v>
      </c>
      <c r="R163" s="229">
        <f t="shared" si="28"/>
        <v>230523237.02524719</v>
      </c>
      <c r="S163" s="297" t="str">
        <f t="shared" si="29"/>
        <v/>
      </c>
      <c r="T163" s="297" t="str">
        <f t="shared" si="30"/>
        <v/>
      </c>
      <c r="V163" s="296">
        <f t="shared" si="31"/>
        <v>65.55</v>
      </c>
      <c r="W163">
        <f t="shared" si="32"/>
        <v>-2.8435311270950475E-7</v>
      </c>
      <c r="X163" s="297" t="str">
        <f t="shared" si="33"/>
        <v/>
      </c>
    </row>
    <row r="164" spans="1:24" x14ac:dyDescent="0.2">
      <c r="A164" t="s">
        <v>279</v>
      </c>
      <c r="B164">
        <v>2030</v>
      </c>
      <c r="C164" t="s">
        <v>264</v>
      </c>
      <c r="D164" t="s">
        <v>224</v>
      </c>
      <c r="E164">
        <v>97981792.011362001</v>
      </c>
      <c r="F164">
        <v>1735492.8818592699</v>
      </c>
      <c r="G164">
        <v>0</v>
      </c>
      <c r="H164">
        <v>99717284.893221304</v>
      </c>
      <c r="I164">
        <v>1960.4601499999901</v>
      </c>
      <c r="J164">
        <v>3516754.18802818</v>
      </c>
      <c r="K164">
        <v>0.204776392694063</v>
      </c>
      <c r="L164">
        <v>28.354920350327902</v>
      </c>
      <c r="M164" t="str">
        <f t="shared" si="24"/>
        <v>Normal</v>
      </c>
      <c r="N164" t="str">
        <f t="shared" si="25"/>
        <v>Medium RE Cost</v>
      </c>
      <c r="O164">
        <f t="shared" si="23"/>
        <v>340002960.96679091</v>
      </c>
      <c r="P164">
        <f t="shared" si="26"/>
        <v>96.68090028135525</v>
      </c>
      <c r="Q164">
        <f t="shared" si="27"/>
        <v>68.819999999999993</v>
      </c>
      <c r="R164" s="229">
        <f t="shared" si="28"/>
        <v>242023023.22009933</v>
      </c>
      <c r="S164" s="297">
        <f t="shared" si="29"/>
        <v>96.706681854764057</v>
      </c>
      <c r="T164" s="297">
        <f t="shared" si="30"/>
        <v>68.845254307477987</v>
      </c>
      <c r="V164" s="296">
        <f t="shared" si="31"/>
        <v>68.819999999999993</v>
      </c>
      <c r="W164">
        <f t="shared" si="32"/>
        <v>0</v>
      </c>
      <c r="X164" s="297">
        <f t="shared" si="33"/>
        <v>68.849999999999994</v>
      </c>
    </row>
    <row r="165" spans="1:24" x14ac:dyDescent="0.2">
      <c r="A165" t="s">
        <v>279</v>
      </c>
      <c r="B165">
        <v>2040</v>
      </c>
      <c r="C165" t="s">
        <v>264</v>
      </c>
      <c r="D165" t="s">
        <v>224</v>
      </c>
      <c r="E165">
        <v>89248464.413111404</v>
      </c>
      <c r="F165">
        <v>451030.54407524498</v>
      </c>
      <c r="G165">
        <v>-3</v>
      </c>
      <c r="H165">
        <v>89699491.957186595</v>
      </c>
      <c r="I165">
        <v>1960.4601499999901</v>
      </c>
      <c r="J165">
        <v>3516754.18802818</v>
      </c>
      <c r="K165">
        <v>0.204776392694063</v>
      </c>
      <c r="L165">
        <v>25.5063297464872</v>
      </c>
      <c r="M165" t="str">
        <f t="shared" si="24"/>
        <v>Normal</v>
      </c>
      <c r="N165" t="str">
        <f t="shared" si="25"/>
        <v>Medium RE Cost</v>
      </c>
      <c r="O165">
        <f t="shared" si="23"/>
        <v>317964169.10794711</v>
      </c>
      <c r="P165">
        <f t="shared" si="26"/>
        <v>90.414101215936114</v>
      </c>
      <c r="Q165">
        <f t="shared" si="27"/>
        <v>65.040000000000006</v>
      </c>
      <c r="R165" s="229">
        <f t="shared" si="28"/>
        <v>228729692.38935286</v>
      </c>
      <c r="S165" s="297" t="str">
        <f t="shared" si="29"/>
        <v/>
      </c>
      <c r="T165" s="297" t="str">
        <f t="shared" si="30"/>
        <v/>
      </c>
      <c r="V165" s="296">
        <f t="shared" si="31"/>
        <v>65.040000000000006</v>
      </c>
      <c r="W165">
        <f t="shared" si="32"/>
        <v>-8.530593381285143E-7</v>
      </c>
      <c r="X165" s="297" t="str">
        <f t="shared" si="33"/>
        <v/>
      </c>
    </row>
    <row r="166" spans="1:24" x14ac:dyDescent="0.2">
      <c r="A166" t="s">
        <v>279</v>
      </c>
      <c r="B166">
        <v>2050</v>
      </c>
      <c r="C166" t="s">
        <v>264</v>
      </c>
      <c r="D166" t="s">
        <v>224</v>
      </c>
      <c r="E166">
        <v>89355918.8945342</v>
      </c>
      <c r="F166">
        <v>1294796.8462193201</v>
      </c>
      <c r="G166">
        <v>-4</v>
      </c>
      <c r="H166">
        <v>90650711.740753606</v>
      </c>
      <c r="I166">
        <v>1960.4601499999901</v>
      </c>
      <c r="J166">
        <v>3516754.18802818</v>
      </c>
      <c r="K166">
        <v>0.204776392694063</v>
      </c>
      <c r="L166">
        <v>25.776812052815298</v>
      </c>
      <c r="M166" t="str">
        <f t="shared" si="24"/>
        <v>Normal</v>
      </c>
      <c r="N166" t="str">
        <f t="shared" si="25"/>
        <v>Medium RE Cost</v>
      </c>
      <c r="O166">
        <f t="shared" si="23"/>
        <v>311640347.21392971</v>
      </c>
      <c r="P166">
        <f t="shared" si="26"/>
        <v>88.615902776151756</v>
      </c>
      <c r="Q166">
        <f t="shared" si="27"/>
        <v>63.21</v>
      </c>
      <c r="R166" s="229">
        <f t="shared" si="28"/>
        <v>222294032.22526127</v>
      </c>
      <c r="S166" s="297" t="str">
        <f t="shared" si="29"/>
        <v/>
      </c>
      <c r="T166" s="297" t="str">
        <f t="shared" si="30"/>
        <v/>
      </c>
      <c r="V166" s="296">
        <f t="shared" si="31"/>
        <v>63.21</v>
      </c>
      <c r="W166">
        <f t="shared" si="32"/>
        <v>-1.137412450838019E-6</v>
      </c>
      <c r="X166" s="297" t="str">
        <f t="shared" si="33"/>
        <v/>
      </c>
    </row>
    <row r="167" spans="1:24" x14ac:dyDescent="0.2">
      <c r="A167" t="s">
        <v>280</v>
      </c>
      <c r="B167">
        <v>2030</v>
      </c>
      <c r="C167" t="s">
        <v>264</v>
      </c>
      <c r="D167" t="s">
        <v>226</v>
      </c>
      <c r="E167">
        <v>99615581.801613793</v>
      </c>
      <c r="F167">
        <v>1296843.0835585301</v>
      </c>
      <c r="G167">
        <v>-1</v>
      </c>
      <c r="H167">
        <v>100912423.88517199</v>
      </c>
      <c r="I167">
        <v>1960.4601499999901</v>
      </c>
      <c r="J167">
        <v>3516754.18802818</v>
      </c>
      <c r="K167">
        <v>0.204776392694063</v>
      </c>
      <c r="L167">
        <v>28.694761842809701</v>
      </c>
      <c r="M167" t="str">
        <f t="shared" si="24"/>
        <v>Normal</v>
      </c>
      <c r="N167" t="str">
        <f t="shared" si="25"/>
        <v>Medium RE Cost</v>
      </c>
      <c r="O167">
        <f t="shared" si="23"/>
        <v>340002960.96679091</v>
      </c>
      <c r="P167">
        <f t="shared" si="26"/>
        <v>96.68090028135525</v>
      </c>
      <c r="Q167">
        <f t="shared" si="27"/>
        <v>68.349999999999994</v>
      </c>
      <c r="R167" s="229">
        <f t="shared" si="28"/>
        <v>240370148.75172609</v>
      </c>
      <c r="S167" s="297">
        <f t="shared" si="29"/>
        <v>96.706681854764057</v>
      </c>
      <c r="T167" s="297">
        <f t="shared" si="30"/>
        <v>68.380681379459986</v>
      </c>
      <c r="V167" s="296">
        <f t="shared" si="31"/>
        <v>68.349999999999994</v>
      </c>
      <c r="W167">
        <f t="shared" si="32"/>
        <v>-2.8435311270950475E-7</v>
      </c>
      <c r="X167" s="297">
        <f t="shared" si="33"/>
        <v>68.38</v>
      </c>
    </row>
    <row r="168" spans="1:24" x14ac:dyDescent="0.2">
      <c r="A168" t="s">
        <v>280</v>
      </c>
      <c r="B168">
        <v>2040</v>
      </c>
      <c r="C168" t="s">
        <v>264</v>
      </c>
      <c r="D168" t="s">
        <v>226</v>
      </c>
      <c r="E168">
        <v>85463115.952585995</v>
      </c>
      <c r="F168">
        <v>411942.56730489701</v>
      </c>
      <c r="G168">
        <v>0</v>
      </c>
      <c r="H168">
        <v>85875058.519890904</v>
      </c>
      <c r="I168">
        <v>1960.4601499999901</v>
      </c>
      <c r="J168">
        <v>3516754.18802818</v>
      </c>
      <c r="K168">
        <v>0.204776392694063</v>
      </c>
      <c r="L168">
        <v>24.418840194241799</v>
      </c>
      <c r="M168" t="str">
        <f t="shared" si="24"/>
        <v>Normal</v>
      </c>
      <c r="N168" t="str">
        <f t="shared" si="25"/>
        <v>Medium RE Cost</v>
      </c>
      <c r="O168">
        <f t="shared" si="23"/>
        <v>317964169.10794711</v>
      </c>
      <c r="P168">
        <f t="shared" si="26"/>
        <v>90.414101215936114</v>
      </c>
      <c r="Q168">
        <f t="shared" si="27"/>
        <v>66.11</v>
      </c>
      <c r="R168" s="229">
        <f t="shared" si="28"/>
        <v>232492619.37054297</v>
      </c>
      <c r="S168" s="297" t="str">
        <f t="shared" si="29"/>
        <v/>
      </c>
      <c r="T168" s="297" t="str">
        <f t="shared" si="30"/>
        <v/>
      </c>
      <c r="V168" s="296">
        <f t="shared" si="31"/>
        <v>66.11</v>
      </c>
      <c r="W168">
        <f t="shared" si="32"/>
        <v>0</v>
      </c>
      <c r="X168" s="297" t="str">
        <f t="shared" si="33"/>
        <v/>
      </c>
    </row>
    <row r="169" spans="1:24" x14ac:dyDescent="0.2">
      <c r="A169" t="s">
        <v>280</v>
      </c>
      <c r="B169">
        <v>2050</v>
      </c>
      <c r="C169" t="s">
        <v>264</v>
      </c>
      <c r="D169" t="s">
        <v>226</v>
      </c>
      <c r="E169">
        <v>80755006.475405499</v>
      </c>
      <c r="F169">
        <v>393790.02923440601</v>
      </c>
      <c r="G169">
        <v>0</v>
      </c>
      <c r="H169">
        <v>81148796.504639894</v>
      </c>
      <c r="I169">
        <v>1960.4601499999901</v>
      </c>
      <c r="J169">
        <v>3516754.18802818</v>
      </c>
      <c r="K169">
        <v>0.204776392694063</v>
      </c>
      <c r="L169">
        <v>23.074912878724501</v>
      </c>
      <c r="M169" t="str">
        <f t="shared" si="24"/>
        <v>Normal</v>
      </c>
      <c r="N169" t="str">
        <f t="shared" si="25"/>
        <v>Medium RE Cost</v>
      </c>
      <c r="O169">
        <f t="shared" si="23"/>
        <v>311640347.21392971</v>
      </c>
      <c r="P169">
        <f t="shared" si="26"/>
        <v>88.615902776151756</v>
      </c>
      <c r="Q169">
        <f t="shared" si="27"/>
        <v>65.650000000000006</v>
      </c>
      <c r="R169" s="229">
        <f t="shared" si="28"/>
        <v>230874912.44405004</v>
      </c>
      <c r="S169" s="297" t="str">
        <f t="shared" si="29"/>
        <v/>
      </c>
      <c r="T169" s="297" t="str">
        <f t="shared" si="30"/>
        <v/>
      </c>
      <c r="V169" s="296">
        <f t="shared" si="31"/>
        <v>65.650000000000006</v>
      </c>
      <c r="W169">
        <f t="shared" si="32"/>
        <v>0</v>
      </c>
      <c r="X169" s="297" t="str">
        <f t="shared" si="33"/>
        <v/>
      </c>
    </row>
    <row r="170" spans="1:24" x14ac:dyDescent="0.2">
      <c r="A170" t="s">
        <v>281</v>
      </c>
      <c r="B170">
        <v>2030</v>
      </c>
      <c r="C170" t="s">
        <v>282</v>
      </c>
      <c r="D170" t="s">
        <v>212</v>
      </c>
      <c r="E170">
        <v>98648009.087176293</v>
      </c>
      <c r="F170">
        <v>1185489.9288369799</v>
      </c>
      <c r="G170">
        <v>0</v>
      </c>
      <c r="H170">
        <v>99833499.016013294</v>
      </c>
      <c r="I170">
        <v>1960.4601499999901</v>
      </c>
      <c r="J170">
        <v>3516754.18802818</v>
      </c>
      <c r="K170">
        <v>0.204776392694063</v>
      </c>
      <c r="L170">
        <v>28.387966197884602</v>
      </c>
      <c r="M170" t="str">
        <f t="shared" si="24"/>
        <v>Normal</v>
      </c>
      <c r="N170" t="str">
        <f t="shared" si="25"/>
        <v>Medium RE Cost</v>
      </c>
      <c r="O170">
        <f t="shared" si="23"/>
        <v>340002960.96679091</v>
      </c>
      <c r="P170">
        <f t="shared" si="26"/>
        <v>96.68090028135525</v>
      </c>
      <c r="Q170">
        <f t="shared" si="27"/>
        <v>68.63</v>
      </c>
      <c r="R170" s="229">
        <f t="shared" si="28"/>
        <v>241354839.92437398</v>
      </c>
      <c r="S170" s="297">
        <f t="shared" si="29"/>
        <v>96.706681854764057</v>
      </c>
      <c r="T170" s="297">
        <f t="shared" si="30"/>
        <v>68.65581340822996</v>
      </c>
      <c r="V170" s="296">
        <f t="shared" si="31"/>
        <v>68.63</v>
      </c>
      <c r="W170">
        <f t="shared" si="32"/>
        <v>0</v>
      </c>
      <c r="X170" s="297">
        <f t="shared" si="33"/>
        <v>68.66</v>
      </c>
    </row>
    <row r="171" spans="1:24" x14ac:dyDescent="0.2">
      <c r="A171" t="s">
        <v>281</v>
      </c>
      <c r="B171">
        <v>2040</v>
      </c>
      <c r="C171" t="s">
        <v>282</v>
      </c>
      <c r="D171" t="s">
        <v>212</v>
      </c>
      <c r="E171">
        <v>84464164.028925598</v>
      </c>
      <c r="F171">
        <v>529072.65386476601</v>
      </c>
      <c r="G171">
        <v>0</v>
      </c>
      <c r="H171">
        <v>84993236.682790399</v>
      </c>
      <c r="I171">
        <v>1960.4601499999901</v>
      </c>
      <c r="J171">
        <v>3516754.18802818</v>
      </c>
      <c r="K171">
        <v>0.204776392694063</v>
      </c>
      <c r="L171">
        <v>24.168091410007101</v>
      </c>
      <c r="M171" t="str">
        <f t="shared" si="24"/>
        <v>Normal</v>
      </c>
      <c r="N171" t="str">
        <f t="shared" si="25"/>
        <v>Medium RE Cost</v>
      </c>
      <c r="O171">
        <f t="shared" si="23"/>
        <v>317964169.10794711</v>
      </c>
      <c r="P171">
        <f t="shared" si="26"/>
        <v>90.414101215936114</v>
      </c>
      <c r="Q171">
        <f t="shared" si="27"/>
        <v>66.400000000000006</v>
      </c>
      <c r="R171" s="229">
        <f t="shared" si="28"/>
        <v>233512478.08507118</v>
      </c>
      <c r="S171" s="297" t="str">
        <f t="shared" si="29"/>
        <v/>
      </c>
      <c r="T171" s="297" t="str">
        <f t="shared" si="30"/>
        <v/>
      </c>
      <c r="V171" s="296">
        <f t="shared" si="31"/>
        <v>66.400000000000006</v>
      </c>
      <c r="W171">
        <f t="shared" si="32"/>
        <v>0</v>
      </c>
      <c r="X171" s="297" t="str">
        <f t="shared" si="33"/>
        <v/>
      </c>
    </row>
    <row r="172" spans="1:24" x14ac:dyDescent="0.2">
      <c r="A172" t="s">
        <v>281</v>
      </c>
      <c r="B172">
        <v>2050</v>
      </c>
      <c r="C172" t="s">
        <v>282</v>
      </c>
      <c r="D172" t="s">
        <v>212</v>
      </c>
      <c r="E172">
        <v>79317462.905006796</v>
      </c>
      <c r="F172">
        <v>871245.50353318104</v>
      </c>
      <c r="G172">
        <v>-1</v>
      </c>
      <c r="H172">
        <v>80188707.408539996</v>
      </c>
      <c r="I172">
        <v>1960.4601499999901</v>
      </c>
      <c r="J172">
        <v>3516754.18802818</v>
      </c>
      <c r="K172">
        <v>0.204776392694063</v>
      </c>
      <c r="L172">
        <v>22.801908555770002</v>
      </c>
      <c r="M172" t="str">
        <f t="shared" si="24"/>
        <v>Normal</v>
      </c>
      <c r="N172" t="str">
        <f t="shared" si="25"/>
        <v>Medium RE Cost</v>
      </c>
      <c r="O172">
        <f t="shared" si="23"/>
        <v>311640347.21392971</v>
      </c>
      <c r="P172">
        <f t="shared" si="26"/>
        <v>88.615902776151756</v>
      </c>
      <c r="Q172">
        <f t="shared" si="27"/>
        <v>66.06</v>
      </c>
      <c r="R172" s="229">
        <f t="shared" si="28"/>
        <v>232316781.66114157</v>
      </c>
      <c r="S172" s="297" t="str">
        <f t="shared" si="29"/>
        <v/>
      </c>
      <c r="T172" s="297" t="str">
        <f t="shared" si="30"/>
        <v/>
      </c>
      <c r="V172" s="296">
        <f t="shared" si="31"/>
        <v>66.06</v>
      </c>
      <c r="W172">
        <f t="shared" si="32"/>
        <v>-2.8435311270950475E-7</v>
      </c>
      <c r="X172" s="297" t="str">
        <f t="shared" si="33"/>
        <v/>
      </c>
    </row>
    <row r="173" spans="1:24" x14ac:dyDescent="0.2">
      <c r="A173" t="s">
        <v>283</v>
      </c>
      <c r="B173">
        <v>2030</v>
      </c>
      <c r="C173" t="s">
        <v>282</v>
      </c>
      <c r="D173" t="s">
        <v>214</v>
      </c>
      <c r="E173">
        <v>101231679.66478699</v>
      </c>
      <c r="F173">
        <v>701603.963315506</v>
      </c>
      <c r="G173">
        <v>0</v>
      </c>
      <c r="H173">
        <v>101933283.628102</v>
      </c>
      <c r="I173">
        <v>1960.4601499999901</v>
      </c>
      <c r="J173">
        <v>3516754.18802818</v>
      </c>
      <c r="K173">
        <v>0.204776392694063</v>
      </c>
      <c r="L173">
        <v>28.985046488351799</v>
      </c>
      <c r="M173" t="str">
        <f t="shared" si="24"/>
        <v>Normal</v>
      </c>
      <c r="N173" t="str">
        <f t="shared" si="25"/>
        <v>Medium RE Cost</v>
      </c>
      <c r="O173">
        <f t="shared" si="23"/>
        <v>340002960.96679091</v>
      </c>
      <c r="P173">
        <f t="shared" si="26"/>
        <v>96.68090028135525</v>
      </c>
      <c r="Q173">
        <f t="shared" si="27"/>
        <v>67.900000000000006</v>
      </c>
      <c r="R173" s="229">
        <f t="shared" si="28"/>
        <v>238787609.36711344</v>
      </c>
      <c r="S173" s="297">
        <f t="shared" si="29"/>
        <v>96.706681854764057</v>
      </c>
      <c r="T173" s="297">
        <f t="shared" si="30"/>
        <v>67.921138637270403</v>
      </c>
      <c r="V173" s="296">
        <f t="shared" si="31"/>
        <v>67.900000000000006</v>
      </c>
      <c r="W173">
        <f t="shared" si="32"/>
        <v>0</v>
      </c>
      <c r="X173" s="297">
        <f t="shared" si="33"/>
        <v>67.92</v>
      </c>
    </row>
    <row r="174" spans="1:24" x14ac:dyDescent="0.2">
      <c r="A174" t="s">
        <v>283</v>
      </c>
      <c r="B174">
        <v>2040</v>
      </c>
      <c r="C174" t="s">
        <v>282</v>
      </c>
      <c r="D174" t="s">
        <v>214</v>
      </c>
      <c r="E174">
        <v>84200709.157677203</v>
      </c>
      <c r="F174">
        <v>552831.49002721696</v>
      </c>
      <c r="G174">
        <v>0</v>
      </c>
      <c r="H174">
        <v>84753540.647704393</v>
      </c>
      <c r="I174">
        <v>1960.4601499999901</v>
      </c>
      <c r="J174">
        <v>3516754.18802818</v>
      </c>
      <c r="K174">
        <v>0.204776392694063</v>
      </c>
      <c r="L174">
        <v>24.0999330963263</v>
      </c>
      <c r="M174" t="str">
        <f t="shared" si="24"/>
        <v>Normal</v>
      </c>
      <c r="N174" t="str">
        <f t="shared" si="25"/>
        <v>Medium RE Cost</v>
      </c>
      <c r="O174">
        <f t="shared" si="23"/>
        <v>317964169.10794711</v>
      </c>
      <c r="P174">
        <f t="shared" si="26"/>
        <v>90.414101215936114</v>
      </c>
      <c r="Q174">
        <f t="shared" si="27"/>
        <v>66.47</v>
      </c>
      <c r="R174" s="229">
        <f t="shared" si="28"/>
        <v>233758650.87823313</v>
      </c>
      <c r="S174" s="297" t="str">
        <f t="shared" si="29"/>
        <v/>
      </c>
      <c r="T174" s="297" t="str">
        <f t="shared" si="30"/>
        <v/>
      </c>
      <c r="V174" s="296">
        <f t="shared" si="31"/>
        <v>66.47</v>
      </c>
      <c r="W174">
        <f t="shared" si="32"/>
        <v>0</v>
      </c>
      <c r="X174" s="297" t="str">
        <f t="shared" si="33"/>
        <v/>
      </c>
    </row>
    <row r="175" spans="1:24" x14ac:dyDescent="0.2">
      <c r="A175" t="s">
        <v>283</v>
      </c>
      <c r="B175">
        <v>2050</v>
      </c>
      <c r="C175" t="s">
        <v>282</v>
      </c>
      <c r="D175" t="s">
        <v>214</v>
      </c>
      <c r="E175">
        <v>80740926.505699798</v>
      </c>
      <c r="F175">
        <v>445876.25202802097</v>
      </c>
      <c r="G175">
        <v>-2</v>
      </c>
      <c r="H175">
        <v>81186800.757727802</v>
      </c>
      <c r="I175">
        <v>1960.4601499999901</v>
      </c>
      <c r="J175">
        <v>3516754.18802818</v>
      </c>
      <c r="K175">
        <v>0.204776392694063</v>
      </c>
      <c r="L175">
        <v>23.085719506386202</v>
      </c>
      <c r="M175" t="str">
        <f t="shared" si="24"/>
        <v>Normal</v>
      </c>
      <c r="N175" t="str">
        <f t="shared" si="25"/>
        <v>Medium RE Cost</v>
      </c>
      <c r="O175">
        <f t="shared" si="23"/>
        <v>311640347.21392971</v>
      </c>
      <c r="P175">
        <f t="shared" si="26"/>
        <v>88.615902776151756</v>
      </c>
      <c r="Q175">
        <f t="shared" si="27"/>
        <v>65.66</v>
      </c>
      <c r="R175" s="229">
        <f t="shared" si="28"/>
        <v>230910079.98593029</v>
      </c>
      <c r="S175" s="297" t="str">
        <f t="shared" si="29"/>
        <v/>
      </c>
      <c r="T175" s="297" t="str">
        <f t="shared" si="30"/>
        <v/>
      </c>
      <c r="V175" s="296">
        <f t="shared" si="31"/>
        <v>65.66</v>
      </c>
      <c r="W175">
        <f t="shared" si="32"/>
        <v>-5.687062254190095E-7</v>
      </c>
      <c r="X175" s="297" t="str">
        <f t="shared" si="33"/>
        <v/>
      </c>
    </row>
    <row r="176" spans="1:24" x14ac:dyDescent="0.2">
      <c r="A176" t="s">
        <v>284</v>
      </c>
      <c r="B176">
        <v>2030</v>
      </c>
      <c r="C176" t="s">
        <v>282</v>
      </c>
      <c r="D176" t="s">
        <v>216</v>
      </c>
      <c r="E176">
        <v>112243800.297418</v>
      </c>
      <c r="F176">
        <v>1315374.8757817801</v>
      </c>
      <c r="G176">
        <v>0</v>
      </c>
      <c r="H176">
        <v>113559175.1732</v>
      </c>
      <c r="I176">
        <v>1960.4601499999901</v>
      </c>
      <c r="J176">
        <v>3516754.18802818</v>
      </c>
      <c r="K176">
        <v>0.204776392694063</v>
      </c>
      <c r="L176">
        <v>32.290904937223402</v>
      </c>
      <c r="M176" t="str">
        <f t="shared" si="24"/>
        <v>Normal</v>
      </c>
      <c r="N176" t="str">
        <f t="shared" si="25"/>
        <v>High RE Cost</v>
      </c>
      <c r="O176">
        <f t="shared" si="23"/>
        <v>438930410.85372549</v>
      </c>
      <c r="P176">
        <f t="shared" si="26"/>
        <v>124.81122858911864</v>
      </c>
      <c r="Q176">
        <f t="shared" si="27"/>
        <v>92.89</v>
      </c>
      <c r="R176" s="229">
        <f t="shared" si="28"/>
        <v>326671296.52593762</v>
      </c>
      <c r="S176" s="297">
        <f t="shared" si="29"/>
        <v>124.84451158340961</v>
      </c>
      <c r="T176" s="297">
        <f t="shared" si="30"/>
        <v>92.927637586494768</v>
      </c>
      <c r="V176" s="296">
        <f t="shared" si="31"/>
        <v>92.89</v>
      </c>
      <c r="W176">
        <f t="shared" si="32"/>
        <v>0</v>
      </c>
      <c r="X176" s="297">
        <f t="shared" si="33"/>
        <v>92.93</v>
      </c>
    </row>
    <row r="177" spans="1:24" x14ac:dyDescent="0.2">
      <c r="A177" t="s">
        <v>284</v>
      </c>
      <c r="B177">
        <v>2040</v>
      </c>
      <c r="C177" t="s">
        <v>282</v>
      </c>
      <c r="D177" t="s">
        <v>216</v>
      </c>
      <c r="E177">
        <v>114520408.64258701</v>
      </c>
      <c r="F177">
        <v>149520.30492781801</v>
      </c>
      <c r="G177">
        <v>-2</v>
      </c>
      <c r="H177">
        <v>114669926.947514</v>
      </c>
      <c r="I177">
        <v>1960.4601499999901</v>
      </c>
      <c r="J177">
        <v>3516754.18802818</v>
      </c>
      <c r="K177">
        <v>0.204776392694063</v>
      </c>
      <c r="L177">
        <v>32.606750661697298</v>
      </c>
      <c r="M177" t="str">
        <f t="shared" si="24"/>
        <v>Normal</v>
      </c>
      <c r="N177" t="str">
        <f t="shared" si="25"/>
        <v>High RE Cost</v>
      </c>
      <c r="O177">
        <f t="shared" si="23"/>
        <v>424159287.62446445</v>
      </c>
      <c r="P177">
        <f t="shared" si="26"/>
        <v>120.6110137206626</v>
      </c>
      <c r="Q177">
        <f t="shared" si="27"/>
        <v>88.05</v>
      </c>
      <c r="R177" s="229">
        <f t="shared" si="28"/>
        <v>309650206.25588125</v>
      </c>
      <c r="S177" s="297" t="str">
        <f t="shared" si="29"/>
        <v/>
      </c>
      <c r="T177" s="297" t="str">
        <f t="shared" si="30"/>
        <v/>
      </c>
      <c r="V177" s="296">
        <f t="shared" si="31"/>
        <v>88.05</v>
      </c>
      <c r="W177">
        <f t="shared" si="32"/>
        <v>-5.687062254190095E-7</v>
      </c>
      <c r="X177" s="297" t="str">
        <f t="shared" si="33"/>
        <v/>
      </c>
    </row>
    <row r="178" spans="1:24" x14ac:dyDescent="0.2">
      <c r="A178" t="s">
        <v>284</v>
      </c>
      <c r="B178">
        <v>2050</v>
      </c>
      <c r="C178" t="s">
        <v>282</v>
      </c>
      <c r="D178" t="s">
        <v>216</v>
      </c>
      <c r="E178">
        <v>93804456.467986807</v>
      </c>
      <c r="F178">
        <v>78703.405149661994</v>
      </c>
      <c r="G178">
        <v>0</v>
      </c>
      <c r="H178">
        <v>93883159.873136401</v>
      </c>
      <c r="I178">
        <v>1960.4601499999901</v>
      </c>
      <c r="J178">
        <v>3516754.18802818</v>
      </c>
      <c r="K178">
        <v>0.204776392694063</v>
      </c>
      <c r="L178">
        <v>26.6959687409304</v>
      </c>
      <c r="M178" t="str">
        <f t="shared" si="24"/>
        <v>Normal</v>
      </c>
      <c r="N178" t="str">
        <f t="shared" si="25"/>
        <v>High RE Cost</v>
      </c>
      <c r="O178">
        <f t="shared" si="23"/>
        <v>406117526.52104861</v>
      </c>
      <c r="P178">
        <f t="shared" si="26"/>
        <v>115.48078279214502</v>
      </c>
      <c r="Q178">
        <f t="shared" si="27"/>
        <v>88.81</v>
      </c>
      <c r="R178" s="229">
        <f t="shared" si="28"/>
        <v>312322939.43878269</v>
      </c>
      <c r="S178" s="297" t="str">
        <f t="shared" si="29"/>
        <v/>
      </c>
      <c r="T178" s="297" t="str">
        <f t="shared" si="30"/>
        <v/>
      </c>
      <c r="V178" s="296">
        <f t="shared" si="31"/>
        <v>88.81</v>
      </c>
      <c r="W178">
        <f t="shared" si="32"/>
        <v>0</v>
      </c>
      <c r="X178" s="297" t="str">
        <f t="shared" si="33"/>
        <v/>
      </c>
    </row>
    <row r="179" spans="1:24" x14ac:dyDescent="0.2">
      <c r="A179" t="s">
        <v>285</v>
      </c>
      <c r="B179">
        <v>2030</v>
      </c>
      <c r="C179" t="s">
        <v>286</v>
      </c>
      <c r="D179" t="s">
        <v>212</v>
      </c>
      <c r="E179">
        <v>98648001.576992407</v>
      </c>
      <c r="F179">
        <v>1185603.0842442799</v>
      </c>
      <c r="G179">
        <v>0</v>
      </c>
      <c r="H179">
        <v>99833604.661236703</v>
      </c>
      <c r="I179">
        <v>1960.4601499999901</v>
      </c>
      <c r="J179">
        <v>3516754.18802818</v>
      </c>
      <c r="K179">
        <v>0.204776392694063</v>
      </c>
      <c r="L179">
        <v>28.387996238432699</v>
      </c>
      <c r="M179" t="str">
        <f t="shared" si="24"/>
        <v>Normal</v>
      </c>
      <c r="N179" t="str">
        <f t="shared" si="25"/>
        <v>Medium RE Cost</v>
      </c>
      <c r="O179">
        <f t="shared" si="23"/>
        <v>340002960.96679091</v>
      </c>
      <c r="P179">
        <f t="shared" si="26"/>
        <v>96.68090028135525</v>
      </c>
      <c r="Q179">
        <f t="shared" si="27"/>
        <v>68.63</v>
      </c>
      <c r="R179" s="229">
        <f t="shared" si="28"/>
        <v>241354839.92437398</v>
      </c>
      <c r="S179" s="297">
        <f t="shared" si="29"/>
        <v>96.706681854764057</v>
      </c>
      <c r="T179" s="297">
        <f t="shared" si="30"/>
        <v>68.655815543774139</v>
      </c>
      <c r="V179" s="296">
        <f t="shared" si="31"/>
        <v>68.63</v>
      </c>
      <c r="W179">
        <f t="shared" si="32"/>
        <v>0</v>
      </c>
      <c r="X179" s="297">
        <f t="shared" si="33"/>
        <v>68.66</v>
      </c>
    </row>
    <row r="180" spans="1:24" x14ac:dyDescent="0.2">
      <c r="A180" t="s">
        <v>285</v>
      </c>
      <c r="B180">
        <v>2040</v>
      </c>
      <c r="C180" t="s">
        <v>286</v>
      </c>
      <c r="D180" t="s">
        <v>212</v>
      </c>
      <c r="E180">
        <v>79278626.714671806</v>
      </c>
      <c r="F180">
        <v>529944.98021310999</v>
      </c>
      <c r="G180">
        <v>8478439</v>
      </c>
      <c r="H180">
        <v>88287010.694884896</v>
      </c>
      <c r="I180">
        <v>1960.4601499999901</v>
      </c>
      <c r="J180">
        <v>3516754.18802818</v>
      </c>
      <c r="K180">
        <v>0.204776392694063</v>
      </c>
      <c r="L180">
        <v>25.104686302907801</v>
      </c>
      <c r="M180" t="str">
        <f t="shared" si="24"/>
        <v>Normal</v>
      </c>
      <c r="N180" t="str">
        <f t="shared" si="25"/>
        <v>Medium RE Cost</v>
      </c>
      <c r="O180">
        <f t="shared" si="23"/>
        <v>317964169.10794711</v>
      </c>
      <c r="P180">
        <f t="shared" si="26"/>
        <v>90.414101215936114</v>
      </c>
      <c r="Q180">
        <f t="shared" si="27"/>
        <v>65.459999999999994</v>
      </c>
      <c r="R180" s="229">
        <f t="shared" si="28"/>
        <v>230206729.14832464</v>
      </c>
      <c r="S180" s="297" t="str">
        <f t="shared" si="29"/>
        <v/>
      </c>
      <c r="T180" s="297" t="str">
        <f t="shared" si="30"/>
        <v/>
      </c>
      <c r="V180" s="296">
        <f t="shared" si="31"/>
        <v>67.87</v>
      </c>
      <c r="W180">
        <f t="shared" si="32"/>
        <v>2.410870520567661</v>
      </c>
      <c r="X180" s="297" t="str">
        <f t="shared" si="33"/>
        <v/>
      </c>
    </row>
    <row r="181" spans="1:24" x14ac:dyDescent="0.2">
      <c r="A181" t="s">
        <v>285</v>
      </c>
      <c r="B181">
        <v>2050</v>
      </c>
      <c r="C181" t="s">
        <v>286</v>
      </c>
      <c r="D181" t="s">
        <v>212</v>
      </c>
      <c r="E181">
        <v>76479465.423188001</v>
      </c>
      <c r="F181">
        <v>1197854.7619485401</v>
      </c>
      <c r="G181">
        <v>5725932</v>
      </c>
      <c r="H181">
        <v>83403252.185136601</v>
      </c>
      <c r="I181">
        <v>1960.4601499999901</v>
      </c>
      <c r="J181">
        <v>3516754.18802818</v>
      </c>
      <c r="K181">
        <v>0.204776392694063</v>
      </c>
      <c r="L181">
        <v>23.715974368939399</v>
      </c>
      <c r="M181" t="str">
        <f t="shared" si="24"/>
        <v>Normal</v>
      </c>
      <c r="N181" t="str">
        <f t="shared" si="25"/>
        <v>Medium RE Cost</v>
      </c>
      <c r="O181">
        <f t="shared" si="23"/>
        <v>311640347.21392971</v>
      </c>
      <c r="P181">
        <f t="shared" si="26"/>
        <v>88.615902776151756</v>
      </c>
      <c r="Q181">
        <f t="shared" si="27"/>
        <v>65.239999999999995</v>
      </c>
      <c r="R181" s="229">
        <f t="shared" si="28"/>
        <v>229433043.22695845</v>
      </c>
      <c r="S181" s="297" t="str">
        <f t="shared" si="29"/>
        <v/>
      </c>
      <c r="T181" s="297" t="str">
        <f t="shared" si="30"/>
        <v/>
      </c>
      <c r="V181" s="296">
        <f t="shared" si="31"/>
        <v>66.87</v>
      </c>
      <c r="W181">
        <f t="shared" si="32"/>
        <v>1.62818658736296</v>
      </c>
      <c r="X181" s="297" t="str">
        <f t="shared" si="33"/>
        <v/>
      </c>
    </row>
    <row r="182" spans="1:24" x14ac:dyDescent="0.2">
      <c r="A182" t="s">
        <v>287</v>
      </c>
      <c r="B182">
        <v>2030</v>
      </c>
      <c r="C182" t="s">
        <v>286</v>
      </c>
      <c r="D182" t="s">
        <v>214</v>
      </c>
      <c r="E182">
        <v>101231803.39457799</v>
      </c>
      <c r="F182">
        <v>701591.51125681703</v>
      </c>
      <c r="G182">
        <v>0</v>
      </c>
      <c r="H182">
        <v>101933394.905835</v>
      </c>
      <c r="I182">
        <v>1960.4601499999901</v>
      </c>
      <c r="J182">
        <v>3516754.18802818</v>
      </c>
      <c r="K182">
        <v>0.204776392694063</v>
      </c>
      <c r="L182">
        <v>28.985078130521401</v>
      </c>
      <c r="M182" t="str">
        <f t="shared" si="24"/>
        <v>Normal</v>
      </c>
      <c r="N182" t="str">
        <f t="shared" si="25"/>
        <v>Medium RE Cost</v>
      </c>
      <c r="O182">
        <f t="shared" si="23"/>
        <v>340002960.96679091</v>
      </c>
      <c r="P182">
        <f t="shared" si="26"/>
        <v>96.68090028135525</v>
      </c>
      <c r="Q182">
        <f t="shared" si="27"/>
        <v>67.900000000000006</v>
      </c>
      <c r="R182" s="229">
        <f t="shared" si="28"/>
        <v>238787609.36711344</v>
      </c>
      <c r="S182" s="297">
        <f t="shared" si="29"/>
        <v>96.706681854764057</v>
      </c>
      <c r="T182" s="297">
        <f t="shared" si="30"/>
        <v>67.921103454319194</v>
      </c>
      <c r="V182" s="296">
        <f t="shared" si="31"/>
        <v>67.900000000000006</v>
      </c>
      <c r="W182">
        <f t="shared" si="32"/>
        <v>0</v>
      </c>
      <c r="X182" s="297">
        <f t="shared" si="33"/>
        <v>67.92</v>
      </c>
    </row>
    <row r="183" spans="1:24" x14ac:dyDescent="0.2">
      <c r="A183" t="s">
        <v>287</v>
      </c>
      <c r="B183">
        <v>2040</v>
      </c>
      <c r="C183" t="s">
        <v>286</v>
      </c>
      <c r="D183" t="s">
        <v>214</v>
      </c>
      <c r="E183">
        <v>79068539.8052513</v>
      </c>
      <c r="F183">
        <v>554187.47993080004</v>
      </c>
      <c r="G183">
        <v>8145031</v>
      </c>
      <c r="H183">
        <v>87767758.285182104</v>
      </c>
      <c r="I183">
        <v>1960.4601499999901</v>
      </c>
      <c r="J183">
        <v>3516754.18802818</v>
      </c>
      <c r="K183">
        <v>0.204776392694063</v>
      </c>
      <c r="L183">
        <v>24.957035263926901</v>
      </c>
      <c r="M183" t="str">
        <f t="shared" si="24"/>
        <v>Normal</v>
      </c>
      <c r="N183" t="str">
        <f t="shared" si="25"/>
        <v>Medium RE Cost</v>
      </c>
      <c r="O183">
        <f t="shared" si="23"/>
        <v>317964169.10794711</v>
      </c>
      <c r="P183">
        <f t="shared" si="26"/>
        <v>90.414101215936114</v>
      </c>
      <c r="Q183">
        <f t="shared" si="27"/>
        <v>65.61</v>
      </c>
      <c r="R183" s="229">
        <f t="shared" si="28"/>
        <v>230734242.27652889</v>
      </c>
      <c r="S183" s="297" t="str">
        <f t="shared" si="29"/>
        <v/>
      </c>
      <c r="T183" s="297" t="str">
        <f t="shared" si="30"/>
        <v/>
      </c>
      <c r="V183" s="296">
        <f t="shared" si="31"/>
        <v>67.930000000000007</v>
      </c>
      <c r="W183">
        <f t="shared" si="32"/>
        <v>2.3160649179654103</v>
      </c>
      <c r="X183" s="297" t="str">
        <f t="shared" si="33"/>
        <v/>
      </c>
    </row>
    <row r="184" spans="1:24" x14ac:dyDescent="0.2">
      <c r="A184" t="s">
        <v>287</v>
      </c>
      <c r="B184">
        <v>2050</v>
      </c>
      <c r="C184" t="s">
        <v>286</v>
      </c>
      <c r="D184" t="s">
        <v>214</v>
      </c>
      <c r="E184">
        <v>79723998.595045298</v>
      </c>
      <c r="F184">
        <v>456114.86416298</v>
      </c>
      <c r="G184">
        <v>7929406</v>
      </c>
      <c r="H184">
        <v>88109519.459208295</v>
      </c>
      <c r="I184">
        <v>1960.4601499999901</v>
      </c>
      <c r="J184">
        <v>3516754.18802818</v>
      </c>
      <c r="K184">
        <v>0.204776392694063</v>
      </c>
      <c r="L184">
        <v>25.054216117564501</v>
      </c>
      <c r="M184" t="str">
        <f t="shared" si="24"/>
        <v>Normal</v>
      </c>
      <c r="N184" t="str">
        <f t="shared" si="25"/>
        <v>Medium RE Cost</v>
      </c>
      <c r="O184">
        <f t="shared" si="23"/>
        <v>311640347.21392971</v>
      </c>
      <c r="P184">
        <f t="shared" si="26"/>
        <v>88.615902776151756</v>
      </c>
      <c r="Q184">
        <f t="shared" si="27"/>
        <v>63.69</v>
      </c>
      <c r="R184" s="229">
        <f t="shared" si="28"/>
        <v>223982074.23551479</v>
      </c>
      <c r="S184" s="297" t="str">
        <f t="shared" si="29"/>
        <v/>
      </c>
      <c r="T184" s="297" t="str">
        <f t="shared" si="30"/>
        <v/>
      </c>
      <c r="V184" s="296">
        <f t="shared" si="31"/>
        <v>65.94</v>
      </c>
      <c r="W184">
        <f t="shared" si="32"/>
        <v>2.2547512780374235</v>
      </c>
      <c r="X184" s="297" t="str">
        <f t="shared" si="33"/>
        <v/>
      </c>
    </row>
    <row r="185" spans="1:24" x14ac:dyDescent="0.2">
      <c r="A185" t="s">
        <v>288</v>
      </c>
      <c r="B185">
        <v>2030</v>
      </c>
      <c r="C185" t="s">
        <v>286</v>
      </c>
      <c r="D185" t="s">
        <v>216</v>
      </c>
      <c r="E185">
        <v>112244207.52009</v>
      </c>
      <c r="F185">
        <v>1315355.0790551801</v>
      </c>
      <c r="G185">
        <v>0</v>
      </c>
      <c r="H185">
        <v>113559562.599145</v>
      </c>
      <c r="I185">
        <v>1960.4601499999901</v>
      </c>
      <c r="J185">
        <v>3516754.18802818</v>
      </c>
      <c r="K185">
        <v>0.204776392694063</v>
      </c>
      <c r="L185">
        <v>32.291015102996802</v>
      </c>
      <c r="M185" t="str">
        <f t="shared" si="24"/>
        <v>Normal</v>
      </c>
      <c r="N185" t="str">
        <f t="shared" si="25"/>
        <v>High RE Cost</v>
      </c>
      <c r="O185">
        <f t="shared" si="23"/>
        <v>438930410.85372549</v>
      </c>
      <c r="P185">
        <f t="shared" si="26"/>
        <v>124.81122858911864</v>
      </c>
      <c r="Q185">
        <f t="shared" si="27"/>
        <v>92.89</v>
      </c>
      <c r="R185" s="229">
        <f t="shared" si="28"/>
        <v>326671296.52593762</v>
      </c>
      <c r="S185" s="297">
        <f t="shared" si="29"/>
        <v>124.84451158340961</v>
      </c>
      <c r="T185" s="297">
        <f t="shared" si="30"/>
        <v>92.927521791460421</v>
      </c>
      <c r="V185" s="296">
        <f t="shared" si="31"/>
        <v>92.89</v>
      </c>
      <c r="W185">
        <f t="shared" si="32"/>
        <v>0</v>
      </c>
      <c r="X185" s="297">
        <f t="shared" si="33"/>
        <v>92.93</v>
      </c>
    </row>
    <row r="186" spans="1:24" x14ac:dyDescent="0.2">
      <c r="A186" t="s">
        <v>288</v>
      </c>
      <c r="B186">
        <v>2040</v>
      </c>
      <c r="C186" t="s">
        <v>286</v>
      </c>
      <c r="D186" t="s">
        <v>216</v>
      </c>
      <c r="E186">
        <v>106946988.98549999</v>
      </c>
      <c r="F186">
        <v>140276.54162710501</v>
      </c>
      <c r="G186">
        <v>15763287</v>
      </c>
      <c r="H186">
        <v>122850552.527127</v>
      </c>
      <c r="I186">
        <v>1960.4601499999901</v>
      </c>
      <c r="J186">
        <v>3516754.18802818</v>
      </c>
      <c r="K186">
        <v>0.204776392694063</v>
      </c>
      <c r="L186">
        <v>34.932937009171098</v>
      </c>
      <c r="M186" t="str">
        <f t="shared" si="24"/>
        <v>Normal</v>
      </c>
      <c r="N186" t="str">
        <f t="shared" si="25"/>
        <v>High RE Cost</v>
      </c>
      <c r="O186">
        <f t="shared" si="23"/>
        <v>424159287.62446445</v>
      </c>
      <c r="P186">
        <f t="shared" si="26"/>
        <v>120.6110137206626</v>
      </c>
      <c r="Q186">
        <f t="shared" si="27"/>
        <v>85.72</v>
      </c>
      <c r="R186" s="229">
        <f t="shared" si="28"/>
        <v>301456168.99777561</v>
      </c>
      <c r="S186" s="297" t="str">
        <f t="shared" si="29"/>
        <v/>
      </c>
      <c r="T186" s="297" t="str">
        <f t="shared" si="30"/>
        <v/>
      </c>
      <c r="V186" s="296">
        <f t="shared" si="31"/>
        <v>90.2</v>
      </c>
      <c r="W186">
        <f t="shared" si="32"/>
        <v>4.4823397249832713</v>
      </c>
      <c r="X186" s="297" t="str">
        <f t="shared" si="33"/>
        <v/>
      </c>
    </row>
    <row r="187" spans="1:24" x14ac:dyDescent="0.2">
      <c r="A187" t="s">
        <v>288</v>
      </c>
      <c r="B187">
        <v>2050</v>
      </c>
      <c r="C187" t="s">
        <v>286</v>
      </c>
      <c r="D187" t="s">
        <v>216</v>
      </c>
      <c r="E187">
        <v>81207337.244051397</v>
      </c>
      <c r="F187">
        <v>60979.018244802202</v>
      </c>
      <c r="G187">
        <v>117320489</v>
      </c>
      <c r="H187">
        <v>198588805.26229599</v>
      </c>
      <c r="I187">
        <v>1960.4601499999901</v>
      </c>
      <c r="J187">
        <v>3516754.18802818</v>
      </c>
      <c r="K187">
        <v>0.204776392694063</v>
      </c>
      <c r="L187">
        <v>56.4693449255956</v>
      </c>
      <c r="M187" t="str">
        <f t="shared" si="24"/>
        <v>Normal</v>
      </c>
      <c r="N187" t="str">
        <f t="shared" si="25"/>
        <v>High RE Cost</v>
      </c>
      <c r="O187">
        <f t="shared" si="23"/>
        <v>406117526.52104861</v>
      </c>
      <c r="P187">
        <f t="shared" si="26"/>
        <v>115.48078279214502</v>
      </c>
      <c r="Q187">
        <f t="shared" si="27"/>
        <v>59.03</v>
      </c>
      <c r="R187" s="229">
        <f t="shared" si="28"/>
        <v>207593999.71930346</v>
      </c>
      <c r="S187" s="297" t="str">
        <f t="shared" si="29"/>
        <v/>
      </c>
      <c r="T187" s="297" t="str">
        <f t="shared" si="30"/>
        <v/>
      </c>
      <c r="V187" s="296">
        <f t="shared" si="31"/>
        <v>92.39</v>
      </c>
      <c r="W187">
        <f t="shared" si="32"/>
        <v>33.360446231751212</v>
      </c>
      <c r="X187" s="297" t="str">
        <f t="shared" si="33"/>
        <v/>
      </c>
    </row>
    <row r="188" spans="1:24" x14ac:dyDescent="0.2">
      <c r="A188" t="s">
        <v>289</v>
      </c>
      <c r="B188">
        <v>2030</v>
      </c>
      <c r="C188" t="s">
        <v>286</v>
      </c>
      <c r="D188" t="s">
        <v>218</v>
      </c>
      <c r="E188">
        <v>99570325.651975498</v>
      </c>
      <c r="F188">
        <v>1311657.08111047</v>
      </c>
      <c r="G188">
        <v>0</v>
      </c>
      <c r="H188">
        <v>100881982.73308501</v>
      </c>
      <c r="I188">
        <v>1960.4601499999901</v>
      </c>
      <c r="J188">
        <v>3516754.18802818</v>
      </c>
      <c r="K188">
        <v>0.204776392694063</v>
      </c>
      <c r="L188">
        <v>28.686105806459501</v>
      </c>
      <c r="M188" t="str">
        <f t="shared" si="24"/>
        <v>Normal</v>
      </c>
      <c r="N188" t="str">
        <f t="shared" si="25"/>
        <v>Medium RE Cost</v>
      </c>
      <c r="O188">
        <f t="shared" si="23"/>
        <v>340002960.96679091</v>
      </c>
      <c r="P188">
        <f t="shared" si="26"/>
        <v>96.68090028135525</v>
      </c>
      <c r="Q188">
        <f t="shared" si="27"/>
        <v>68.37</v>
      </c>
      <c r="R188" s="229">
        <f t="shared" si="28"/>
        <v>240440483.83548668</v>
      </c>
      <c r="S188" s="297">
        <f t="shared" si="29"/>
        <v>96.706681854764057</v>
      </c>
      <c r="T188" s="297">
        <f t="shared" si="30"/>
        <v>68.393549822125777</v>
      </c>
      <c r="V188" s="296">
        <f t="shared" si="31"/>
        <v>68.37</v>
      </c>
      <c r="W188">
        <f t="shared" si="32"/>
        <v>0</v>
      </c>
      <c r="X188" s="297">
        <f t="shared" si="33"/>
        <v>68.39</v>
      </c>
    </row>
    <row r="189" spans="1:24" x14ac:dyDescent="0.2">
      <c r="A189" t="s">
        <v>289</v>
      </c>
      <c r="B189">
        <v>2040</v>
      </c>
      <c r="C189" t="s">
        <v>286</v>
      </c>
      <c r="D189" t="s">
        <v>218</v>
      </c>
      <c r="E189">
        <v>80150006.701363698</v>
      </c>
      <c r="F189">
        <v>208413.79978036301</v>
      </c>
      <c r="G189">
        <v>8288449</v>
      </c>
      <c r="H189">
        <v>88646869.501144096</v>
      </c>
      <c r="I189">
        <v>1960.4601499999901</v>
      </c>
      <c r="J189">
        <v>3516754.18802818</v>
      </c>
      <c r="K189">
        <v>0.204776392694063</v>
      </c>
      <c r="L189">
        <v>25.207013274603501</v>
      </c>
      <c r="M189" t="str">
        <f t="shared" si="24"/>
        <v>Normal</v>
      </c>
      <c r="N189" t="str">
        <f t="shared" si="25"/>
        <v>Medium RE Cost</v>
      </c>
      <c r="O189">
        <f t="shared" si="23"/>
        <v>317964169.10794711</v>
      </c>
      <c r="P189">
        <f t="shared" si="26"/>
        <v>90.414101215936114</v>
      </c>
      <c r="Q189">
        <f t="shared" si="27"/>
        <v>65.27</v>
      </c>
      <c r="R189" s="229">
        <f t="shared" si="28"/>
        <v>229538545.85259929</v>
      </c>
      <c r="S189" s="297" t="str">
        <f t="shared" si="29"/>
        <v/>
      </c>
      <c r="T189" s="297" t="str">
        <f t="shared" si="30"/>
        <v/>
      </c>
      <c r="V189" s="296">
        <f t="shared" si="31"/>
        <v>67.63</v>
      </c>
      <c r="W189">
        <f t="shared" si="32"/>
        <v>2.3568462726839821</v>
      </c>
      <c r="X189" s="297" t="str">
        <f t="shared" si="33"/>
        <v/>
      </c>
    </row>
    <row r="190" spans="1:24" x14ac:dyDescent="0.2">
      <c r="A190" t="s">
        <v>289</v>
      </c>
      <c r="B190">
        <v>2050</v>
      </c>
      <c r="C190" t="s">
        <v>286</v>
      </c>
      <c r="D190" t="s">
        <v>218</v>
      </c>
      <c r="E190">
        <v>74006794.918328196</v>
      </c>
      <c r="F190">
        <v>373543.52838280401</v>
      </c>
      <c r="G190">
        <v>22074478</v>
      </c>
      <c r="H190">
        <v>96454816.446711004</v>
      </c>
      <c r="I190">
        <v>1960.4601499999901</v>
      </c>
      <c r="J190">
        <v>3516754.18802818</v>
      </c>
      <c r="K190">
        <v>0.204776392694063</v>
      </c>
      <c r="L190">
        <v>27.427227292446201</v>
      </c>
      <c r="M190" t="str">
        <f t="shared" si="24"/>
        <v>Normal</v>
      </c>
      <c r="N190" t="str">
        <f t="shared" si="25"/>
        <v>Medium RE Cost</v>
      </c>
      <c r="O190">
        <f t="shared" si="23"/>
        <v>311640347.21392971</v>
      </c>
      <c r="P190">
        <f t="shared" si="26"/>
        <v>88.615902776151756</v>
      </c>
      <c r="Q190">
        <f t="shared" si="27"/>
        <v>61.29</v>
      </c>
      <c r="R190" s="229">
        <f t="shared" si="28"/>
        <v>215541864.18424717</v>
      </c>
      <c r="S190" s="297" t="str">
        <f t="shared" si="29"/>
        <v/>
      </c>
      <c r="T190" s="297" t="str">
        <f t="shared" si="30"/>
        <v/>
      </c>
      <c r="V190" s="296">
        <f t="shared" si="31"/>
        <v>67.569999999999993</v>
      </c>
      <c r="W190">
        <f t="shared" si="32"/>
        <v>6.276946530737483</v>
      </c>
      <c r="X190" s="297" t="str">
        <f t="shared" si="33"/>
        <v/>
      </c>
    </row>
    <row r="191" spans="1:24" x14ac:dyDescent="0.2">
      <c r="A191" t="s">
        <v>290</v>
      </c>
      <c r="B191">
        <v>2030</v>
      </c>
      <c r="C191" t="s">
        <v>286</v>
      </c>
      <c r="D191" t="s">
        <v>220</v>
      </c>
      <c r="E191">
        <v>90372585.860428199</v>
      </c>
      <c r="F191">
        <v>1415469.5862141601</v>
      </c>
      <c r="G191">
        <v>0</v>
      </c>
      <c r="H191">
        <v>91788055.446642399</v>
      </c>
      <c r="I191">
        <v>1960.4601499999901</v>
      </c>
      <c r="J191">
        <v>3516754.18802818</v>
      </c>
      <c r="K191">
        <v>0.204776392694063</v>
      </c>
      <c r="L191">
        <v>26.100219275805301</v>
      </c>
      <c r="M191" t="str">
        <f t="shared" si="24"/>
        <v>Normal</v>
      </c>
      <c r="N191" t="str">
        <f t="shared" si="25"/>
        <v>Low RE Cost</v>
      </c>
      <c r="O191">
        <f t="shared" si="23"/>
        <v>308653204.24954498</v>
      </c>
      <c r="P191">
        <f t="shared" si="26"/>
        <v>87.766499376120663</v>
      </c>
      <c r="Q191">
        <f t="shared" si="27"/>
        <v>62.07</v>
      </c>
      <c r="R191" s="229">
        <f t="shared" si="28"/>
        <v>218284932.45090914</v>
      </c>
      <c r="S191" s="297">
        <f t="shared" si="29"/>
        <v>87.789903775954699</v>
      </c>
      <c r="T191" s="297">
        <f t="shared" si="30"/>
        <v>62.09217768293496</v>
      </c>
      <c r="V191" s="296">
        <f t="shared" si="31"/>
        <v>62.07</v>
      </c>
      <c r="W191">
        <f t="shared" si="32"/>
        <v>0</v>
      </c>
      <c r="X191" s="297">
        <f t="shared" si="33"/>
        <v>62.09</v>
      </c>
    </row>
    <row r="192" spans="1:24" x14ac:dyDescent="0.2">
      <c r="A192" t="s">
        <v>290</v>
      </c>
      <c r="B192">
        <v>2040</v>
      </c>
      <c r="C192" t="s">
        <v>286</v>
      </c>
      <c r="D192" t="s">
        <v>220</v>
      </c>
      <c r="E192">
        <v>69712935.285086602</v>
      </c>
      <c r="F192">
        <v>719437.68037782703</v>
      </c>
      <c r="G192">
        <v>5408296</v>
      </c>
      <c r="H192">
        <v>75840668.965464398</v>
      </c>
      <c r="I192">
        <v>1960.4601499999901</v>
      </c>
      <c r="J192">
        <v>3516754.18802818</v>
      </c>
      <c r="K192">
        <v>0.204776392694063</v>
      </c>
      <c r="L192">
        <v>21.565530290300899</v>
      </c>
      <c r="M192" t="str">
        <f t="shared" si="24"/>
        <v>Normal</v>
      </c>
      <c r="N192" t="str">
        <f t="shared" si="25"/>
        <v>Low RE Cost</v>
      </c>
      <c r="O192">
        <f t="shared" si="23"/>
        <v>281756933.38277984</v>
      </c>
      <c r="P192">
        <f t="shared" si="26"/>
        <v>80.118461034878024</v>
      </c>
      <c r="Q192">
        <f t="shared" si="27"/>
        <v>58.76</v>
      </c>
      <c r="R192" s="229">
        <f t="shared" si="28"/>
        <v>206644476.08853585</v>
      </c>
      <c r="S192" s="297" t="str">
        <f t="shared" si="29"/>
        <v/>
      </c>
      <c r="T192" s="297" t="str">
        <f t="shared" si="30"/>
        <v/>
      </c>
      <c r="V192" s="296">
        <f t="shared" si="31"/>
        <v>60.3</v>
      </c>
      <c r="W192">
        <f t="shared" si="32"/>
        <v>1.5378658020543639</v>
      </c>
      <c r="X192" s="297" t="str">
        <f t="shared" si="33"/>
        <v/>
      </c>
    </row>
    <row r="193" spans="1:24" x14ac:dyDescent="0.2">
      <c r="A193" t="s">
        <v>290</v>
      </c>
      <c r="B193">
        <v>2050</v>
      </c>
      <c r="C193" t="s">
        <v>286</v>
      </c>
      <c r="D193" t="s">
        <v>220</v>
      </c>
      <c r="E193">
        <v>74501856.540524498</v>
      </c>
      <c r="F193">
        <v>1118432.9571554901</v>
      </c>
      <c r="G193">
        <v>-3</v>
      </c>
      <c r="H193">
        <v>75620286.497679994</v>
      </c>
      <c r="I193">
        <v>1960.4601499999901</v>
      </c>
      <c r="J193">
        <v>3516754.18802818</v>
      </c>
      <c r="K193">
        <v>0.204776392694063</v>
      </c>
      <c r="L193">
        <v>21.502863849599802</v>
      </c>
      <c r="M193" t="str">
        <f t="shared" si="24"/>
        <v>Normal</v>
      </c>
      <c r="N193" t="str">
        <f t="shared" si="25"/>
        <v>Low RE Cost</v>
      </c>
      <c r="O193">
        <f t="shared" si="23"/>
        <v>275418236.05994487</v>
      </c>
      <c r="P193">
        <f t="shared" si="26"/>
        <v>78.316032720606486</v>
      </c>
      <c r="Q193">
        <f t="shared" si="27"/>
        <v>57.13</v>
      </c>
      <c r="R193" s="229">
        <f t="shared" si="28"/>
        <v>200912166.76204994</v>
      </c>
      <c r="S193" s="297" t="str">
        <f t="shared" si="29"/>
        <v/>
      </c>
      <c r="T193" s="297" t="str">
        <f t="shared" si="30"/>
        <v/>
      </c>
      <c r="V193" s="296">
        <f t="shared" si="31"/>
        <v>57.13</v>
      </c>
      <c r="W193">
        <f t="shared" si="32"/>
        <v>-8.530593381285143E-7</v>
      </c>
      <c r="X193" s="297" t="str">
        <f t="shared" si="33"/>
        <v/>
      </c>
    </row>
    <row r="194" spans="1:24" x14ac:dyDescent="0.2">
      <c r="A194" t="s">
        <v>291</v>
      </c>
      <c r="B194">
        <v>2030</v>
      </c>
      <c r="C194" t="s">
        <v>286</v>
      </c>
      <c r="D194" t="s">
        <v>222</v>
      </c>
      <c r="E194">
        <v>98648001.576992407</v>
      </c>
      <c r="F194">
        <v>1185603.0842442799</v>
      </c>
      <c r="G194">
        <v>0</v>
      </c>
      <c r="H194">
        <v>99833604.661236703</v>
      </c>
      <c r="I194">
        <v>1960.4601499999901</v>
      </c>
      <c r="J194">
        <v>3516754.18802818</v>
      </c>
      <c r="K194">
        <v>0.204776392694063</v>
      </c>
      <c r="L194">
        <v>28.387996238432699</v>
      </c>
      <c r="M194" t="str">
        <f t="shared" si="24"/>
        <v>Normal</v>
      </c>
      <c r="N194" t="str">
        <f t="shared" si="25"/>
        <v>Medium RE Cost</v>
      </c>
      <c r="O194">
        <f t="shared" ref="O194:O257" si="34">SUMIFS($AH$2:$AH$19,$AE$2:$AE$19,M194,$AF$2:$AF$19,N194,$AG$2:$AG$19,B194)</f>
        <v>340002960.96679091</v>
      </c>
      <c r="P194">
        <f t="shared" si="26"/>
        <v>96.68090028135525</v>
      </c>
      <c r="Q194">
        <f t="shared" si="27"/>
        <v>68.63</v>
      </c>
      <c r="R194" s="229">
        <f t="shared" si="28"/>
        <v>241354839.92437398</v>
      </c>
      <c r="S194" s="297">
        <f t="shared" si="29"/>
        <v>96.706681854764057</v>
      </c>
      <c r="T194" s="297">
        <f t="shared" si="30"/>
        <v>68.655815543774139</v>
      </c>
      <c r="V194" s="296">
        <f t="shared" si="31"/>
        <v>68.63</v>
      </c>
      <c r="W194">
        <f t="shared" si="32"/>
        <v>0</v>
      </c>
      <c r="X194" s="297">
        <f t="shared" si="33"/>
        <v>68.66</v>
      </c>
    </row>
    <row r="195" spans="1:24" x14ac:dyDescent="0.2">
      <c r="A195" t="s">
        <v>291</v>
      </c>
      <c r="B195">
        <v>2040</v>
      </c>
      <c r="C195" t="s">
        <v>286</v>
      </c>
      <c r="D195" t="s">
        <v>222</v>
      </c>
      <c r="E195">
        <v>79917840.559669301</v>
      </c>
      <c r="F195">
        <v>375061.13391604897</v>
      </c>
      <c r="G195">
        <v>8087841</v>
      </c>
      <c r="H195">
        <v>88380742.693585396</v>
      </c>
      <c r="I195">
        <v>1960.4601499999901</v>
      </c>
      <c r="J195">
        <v>3516754.18802818</v>
      </c>
      <c r="K195">
        <v>0.204776392694063</v>
      </c>
      <c r="L195">
        <v>25.1313392884988</v>
      </c>
      <c r="M195" t="str">
        <f t="shared" ref="M195:M258" si="35">IF(ISNUMBER(SEARCH("High Solar",C195)),"High Solar","Normal")</f>
        <v>Normal</v>
      </c>
      <c r="N195" t="str">
        <f t="shared" ref="N195:N258" si="36">IF(ISNUMBER(SEARCH("High RE/BESS Cost",D195)),"High RE Cost",IF(ISNUMBER(SEARCH("Low RE/BESS Cost",D195)),"Low RE Cost","Medium RE Cost"))</f>
        <v>Medium RE Cost</v>
      </c>
      <c r="O195">
        <f t="shared" si="34"/>
        <v>317964169.10794711</v>
      </c>
      <c r="P195">
        <f t="shared" ref="P195:P258" si="37">O195/J195</f>
        <v>90.414101215936114</v>
      </c>
      <c r="Q195">
        <f t="shared" ref="Q195:Q258" si="38">ROUND((O195-E195-G195)/J195,2)</f>
        <v>65.39</v>
      </c>
      <c r="R195" s="229">
        <f t="shared" ref="R195:R258" si="39">Q195*J195</f>
        <v>229960556.35516268</v>
      </c>
      <c r="S195" s="297" t="str">
        <f t="shared" ref="S195:S258" si="40">IFERROR(SUMIFS($AJ$2:$AJ$19,$AE$2:$AE$19,M195,$AF$2:$AF$19,N195,$AG$2:$AG$19,B195)/8760/K195/1.0453,"")</f>
        <v/>
      </c>
      <c r="T195" s="297" t="str">
        <f t="shared" ref="T195:T258" si="41">IFERROR(S195-E195/J195-G195/J195,"")</f>
        <v/>
      </c>
      <c r="V195" s="296">
        <f t="shared" ref="V195:V258" si="42">ROUND(Q195+G195/J195,2)</f>
        <v>67.69</v>
      </c>
      <c r="W195">
        <f t="shared" ref="W195:W258" si="43">G195/J195</f>
        <v>2.2998027634495539</v>
      </c>
      <c r="X195" s="297" t="str">
        <f t="shared" ref="X195:X258" si="44">IFERROR(ROUND(W195+T195,2),"")</f>
        <v/>
      </c>
    </row>
    <row r="196" spans="1:24" x14ac:dyDescent="0.2">
      <c r="A196" t="s">
        <v>291</v>
      </c>
      <c r="B196">
        <v>2050</v>
      </c>
      <c r="C196" t="s">
        <v>286</v>
      </c>
      <c r="D196" t="s">
        <v>222</v>
      </c>
      <c r="E196">
        <v>78542644.529728994</v>
      </c>
      <c r="F196">
        <v>323535.50548651</v>
      </c>
      <c r="G196">
        <v>15864386</v>
      </c>
      <c r="H196">
        <v>94730566.035215497</v>
      </c>
      <c r="I196">
        <v>1960.4601499999901</v>
      </c>
      <c r="J196">
        <v>3516754.18802818</v>
      </c>
      <c r="K196">
        <v>0.204776392694063</v>
      </c>
      <c r="L196">
        <v>26.936931320846799</v>
      </c>
      <c r="M196" t="str">
        <f t="shared" si="35"/>
        <v>Normal</v>
      </c>
      <c r="N196" t="str">
        <f t="shared" si="36"/>
        <v>Medium RE Cost</v>
      </c>
      <c r="O196">
        <f t="shared" si="34"/>
        <v>311640347.21392971</v>
      </c>
      <c r="P196">
        <f t="shared" si="37"/>
        <v>88.615902776151756</v>
      </c>
      <c r="Q196">
        <f t="shared" si="38"/>
        <v>61.77</v>
      </c>
      <c r="R196" s="229">
        <f t="shared" si="39"/>
        <v>217229906.19450068</v>
      </c>
      <c r="S196" s="297" t="str">
        <f t="shared" si="40"/>
        <v/>
      </c>
      <c r="T196" s="297" t="str">
        <f t="shared" si="41"/>
        <v/>
      </c>
      <c r="V196" s="296">
        <f t="shared" si="42"/>
        <v>66.28</v>
      </c>
      <c r="W196">
        <f t="shared" si="43"/>
        <v>4.5110875403250894</v>
      </c>
      <c r="X196" s="297" t="str">
        <f t="shared" si="44"/>
        <v/>
      </c>
    </row>
    <row r="197" spans="1:24" x14ac:dyDescent="0.2">
      <c r="A197" t="s">
        <v>292</v>
      </c>
      <c r="B197">
        <v>2030</v>
      </c>
      <c r="C197" t="s">
        <v>286</v>
      </c>
      <c r="D197" t="s">
        <v>224</v>
      </c>
      <c r="E197">
        <v>97981088.440735996</v>
      </c>
      <c r="F197">
        <v>1735329.5676869401</v>
      </c>
      <c r="G197">
        <v>-4</v>
      </c>
      <c r="H197">
        <v>99716414.008423001</v>
      </c>
      <c r="I197">
        <v>1960.4601499999901</v>
      </c>
      <c r="J197">
        <v>3516754.18802818</v>
      </c>
      <c r="K197">
        <v>0.204776392694063</v>
      </c>
      <c r="L197">
        <v>28.354672711524699</v>
      </c>
      <c r="M197" t="str">
        <f t="shared" si="35"/>
        <v>Normal</v>
      </c>
      <c r="N197" t="str">
        <f t="shared" si="36"/>
        <v>Medium RE Cost</v>
      </c>
      <c r="O197">
        <f t="shared" si="34"/>
        <v>340002960.96679091</v>
      </c>
      <c r="P197">
        <f t="shared" si="37"/>
        <v>96.68090028135525</v>
      </c>
      <c r="Q197">
        <f t="shared" si="38"/>
        <v>68.819999999999993</v>
      </c>
      <c r="R197" s="229">
        <f t="shared" si="39"/>
        <v>242023023.22009933</v>
      </c>
      <c r="S197" s="297">
        <f t="shared" si="40"/>
        <v>96.706681854764057</v>
      </c>
      <c r="T197" s="297">
        <f t="shared" si="41"/>
        <v>68.845455507387953</v>
      </c>
      <c r="V197" s="296">
        <f t="shared" si="42"/>
        <v>68.819999999999993</v>
      </c>
      <c r="W197">
        <f t="shared" si="43"/>
        <v>-1.137412450838019E-6</v>
      </c>
      <c r="X197" s="297">
        <f t="shared" si="44"/>
        <v>68.849999999999994</v>
      </c>
    </row>
    <row r="198" spans="1:24" x14ac:dyDescent="0.2">
      <c r="A198" t="s">
        <v>292</v>
      </c>
      <c r="B198">
        <v>2040</v>
      </c>
      <c r="C198" t="s">
        <v>286</v>
      </c>
      <c r="D198" t="s">
        <v>224</v>
      </c>
      <c r="E198">
        <v>86092140.230207801</v>
      </c>
      <c r="F198">
        <v>483972.44298706099</v>
      </c>
      <c r="G198">
        <v>4609180</v>
      </c>
      <c r="H198">
        <v>91185292.6731949</v>
      </c>
      <c r="I198">
        <v>1960.4601499999901</v>
      </c>
      <c r="J198">
        <v>3516754.18802818</v>
      </c>
      <c r="K198">
        <v>0.204776392694063</v>
      </c>
      <c r="L198">
        <v>25.9288218049501</v>
      </c>
      <c r="M198" t="str">
        <f t="shared" si="35"/>
        <v>Normal</v>
      </c>
      <c r="N198" t="str">
        <f t="shared" si="36"/>
        <v>Medium RE Cost</v>
      </c>
      <c r="O198">
        <f t="shared" si="34"/>
        <v>317964169.10794711</v>
      </c>
      <c r="P198">
        <f t="shared" si="37"/>
        <v>90.414101215936114</v>
      </c>
      <c r="Q198">
        <f t="shared" si="38"/>
        <v>64.62</v>
      </c>
      <c r="R198" s="229">
        <f t="shared" si="39"/>
        <v>227252655.63038102</v>
      </c>
      <c r="S198" s="297" t="str">
        <f t="shared" si="40"/>
        <v/>
      </c>
      <c r="T198" s="297" t="str">
        <f t="shared" si="41"/>
        <v/>
      </c>
      <c r="V198" s="296">
        <f t="shared" si="42"/>
        <v>65.930000000000007</v>
      </c>
      <c r="W198">
        <f t="shared" si="43"/>
        <v>1.3106346800383952</v>
      </c>
      <c r="X198" s="297" t="str">
        <f t="shared" si="44"/>
        <v/>
      </c>
    </row>
    <row r="199" spans="1:24" x14ac:dyDescent="0.2">
      <c r="A199" t="s">
        <v>292</v>
      </c>
      <c r="B199">
        <v>2050</v>
      </c>
      <c r="C199" t="s">
        <v>286</v>
      </c>
      <c r="D199" t="s">
        <v>224</v>
      </c>
      <c r="E199">
        <v>86660337.409494102</v>
      </c>
      <c r="F199">
        <v>1118292.23689429</v>
      </c>
      <c r="G199">
        <v>17865449</v>
      </c>
      <c r="H199">
        <v>105644078.64638799</v>
      </c>
      <c r="I199">
        <v>1960.4601499999901</v>
      </c>
      <c r="J199">
        <v>3516754.18802818</v>
      </c>
      <c r="K199">
        <v>0.204776392694063</v>
      </c>
      <c r="L199">
        <v>30.040222602428202</v>
      </c>
      <c r="M199" t="str">
        <f t="shared" si="35"/>
        <v>Normal</v>
      </c>
      <c r="N199" t="str">
        <f t="shared" si="36"/>
        <v>Medium RE Cost</v>
      </c>
      <c r="O199">
        <f t="shared" si="34"/>
        <v>311640347.21392971</v>
      </c>
      <c r="P199">
        <f t="shared" si="37"/>
        <v>88.615902776151756</v>
      </c>
      <c r="Q199">
        <f t="shared" si="38"/>
        <v>58.89</v>
      </c>
      <c r="R199" s="229">
        <f t="shared" si="39"/>
        <v>207101654.13297951</v>
      </c>
      <c r="S199" s="297" t="str">
        <f t="shared" si="40"/>
        <v/>
      </c>
      <c r="T199" s="297" t="str">
        <f t="shared" si="41"/>
        <v/>
      </c>
      <c r="V199" s="296">
        <f t="shared" si="42"/>
        <v>63.97</v>
      </c>
      <c r="W199">
        <f t="shared" si="43"/>
        <v>5.080096033102909</v>
      </c>
      <c r="X199" s="297" t="str">
        <f t="shared" si="44"/>
        <v/>
      </c>
    </row>
    <row r="200" spans="1:24" x14ac:dyDescent="0.2">
      <c r="A200" t="s">
        <v>293</v>
      </c>
      <c r="B200">
        <v>2030</v>
      </c>
      <c r="C200" t="s">
        <v>286</v>
      </c>
      <c r="D200" t="s">
        <v>226</v>
      </c>
      <c r="E200">
        <v>99615400.5755312</v>
      </c>
      <c r="F200">
        <v>1297324.75920718</v>
      </c>
      <c r="G200">
        <v>-1</v>
      </c>
      <c r="H200">
        <v>100912724.334738</v>
      </c>
      <c r="I200">
        <v>1960.4601499999901</v>
      </c>
      <c r="J200">
        <v>3516754.18802818</v>
      </c>
      <c r="K200">
        <v>0.204776392694063</v>
      </c>
      <c r="L200">
        <v>28.694847276579001</v>
      </c>
      <c r="M200" t="str">
        <f t="shared" si="35"/>
        <v>Normal</v>
      </c>
      <c r="N200" t="str">
        <f t="shared" si="36"/>
        <v>Medium RE Cost</v>
      </c>
      <c r="O200">
        <f t="shared" si="34"/>
        <v>340002960.96679091</v>
      </c>
      <c r="P200">
        <f t="shared" si="37"/>
        <v>96.68090028135525</v>
      </c>
      <c r="Q200">
        <f t="shared" si="38"/>
        <v>68.349999999999994</v>
      </c>
      <c r="R200" s="229">
        <f t="shared" si="39"/>
        <v>240370148.75172609</v>
      </c>
      <c r="S200" s="297">
        <f t="shared" si="40"/>
        <v>96.706681854764057</v>
      </c>
      <c r="T200" s="297">
        <f t="shared" si="41"/>
        <v>68.380732911660672</v>
      </c>
      <c r="V200" s="296">
        <f t="shared" si="42"/>
        <v>68.349999999999994</v>
      </c>
      <c r="W200">
        <f t="shared" si="43"/>
        <v>-2.8435311270950475E-7</v>
      </c>
      <c r="X200" s="297">
        <f t="shared" si="44"/>
        <v>68.38</v>
      </c>
    </row>
    <row r="201" spans="1:24" x14ac:dyDescent="0.2">
      <c r="A201" t="s">
        <v>293</v>
      </c>
      <c r="B201">
        <v>2040</v>
      </c>
      <c r="C201" t="s">
        <v>286</v>
      </c>
      <c r="D201" t="s">
        <v>226</v>
      </c>
      <c r="E201">
        <v>81711802.304090202</v>
      </c>
      <c r="F201">
        <v>413855.57804579398</v>
      </c>
      <c r="G201">
        <v>5232927</v>
      </c>
      <c r="H201">
        <v>87358584.882136002</v>
      </c>
      <c r="I201">
        <v>1960.4601499999901</v>
      </c>
      <c r="J201">
        <v>3516754.18802818</v>
      </c>
      <c r="K201">
        <v>0.204776392694063</v>
      </c>
      <c r="L201">
        <v>24.840685533132799</v>
      </c>
      <c r="M201" t="str">
        <f t="shared" si="35"/>
        <v>Normal</v>
      </c>
      <c r="N201" t="str">
        <f t="shared" si="36"/>
        <v>Medium RE Cost</v>
      </c>
      <c r="O201">
        <f t="shared" si="34"/>
        <v>317964169.10794711</v>
      </c>
      <c r="P201">
        <f t="shared" si="37"/>
        <v>90.414101215936114</v>
      </c>
      <c r="Q201">
        <f t="shared" si="38"/>
        <v>65.69</v>
      </c>
      <c r="R201" s="229">
        <f t="shared" si="39"/>
        <v>231015582.61157113</v>
      </c>
      <c r="S201" s="297" t="str">
        <f t="shared" si="40"/>
        <v/>
      </c>
      <c r="T201" s="297" t="str">
        <f t="shared" si="41"/>
        <v/>
      </c>
      <c r="V201" s="296">
        <f t="shared" si="42"/>
        <v>67.180000000000007</v>
      </c>
      <c r="W201">
        <f t="shared" si="43"/>
        <v>1.4879990810316106</v>
      </c>
      <c r="X201" s="297" t="str">
        <f t="shared" si="44"/>
        <v/>
      </c>
    </row>
    <row r="202" spans="1:24" x14ac:dyDescent="0.2">
      <c r="A202" t="s">
        <v>293</v>
      </c>
      <c r="B202">
        <v>2050</v>
      </c>
      <c r="C202" t="s">
        <v>286</v>
      </c>
      <c r="D202" t="s">
        <v>226</v>
      </c>
      <c r="E202">
        <v>77364623.277127594</v>
      </c>
      <c r="F202">
        <v>394813.34943931899</v>
      </c>
      <c r="G202">
        <v>19013434</v>
      </c>
      <c r="H202">
        <v>96772870.626567006</v>
      </c>
      <c r="I202">
        <v>1960.4601499999901</v>
      </c>
      <c r="J202">
        <v>3516754.18802818</v>
      </c>
      <c r="K202">
        <v>0.204776392694063</v>
      </c>
      <c r="L202">
        <v>27.517666988498501</v>
      </c>
      <c r="M202" t="str">
        <f t="shared" si="35"/>
        <v>Normal</v>
      </c>
      <c r="N202" t="str">
        <f t="shared" si="36"/>
        <v>Medium RE Cost</v>
      </c>
      <c r="O202">
        <f t="shared" si="34"/>
        <v>311640347.21392971</v>
      </c>
      <c r="P202">
        <f t="shared" si="37"/>
        <v>88.615902776151756</v>
      </c>
      <c r="Q202">
        <f t="shared" si="38"/>
        <v>61.21</v>
      </c>
      <c r="R202" s="229">
        <f t="shared" si="39"/>
        <v>215260523.8492049</v>
      </c>
      <c r="S202" s="297" t="str">
        <f t="shared" si="40"/>
        <v/>
      </c>
      <c r="T202" s="297" t="str">
        <f t="shared" si="41"/>
        <v/>
      </c>
      <c r="V202" s="296">
        <f t="shared" si="42"/>
        <v>66.62</v>
      </c>
      <c r="W202">
        <f t="shared" si="43"/>
        <v>5.4065291411967298</v>
      </c>
      <c r="X202" s="297" t="str">
        <f t="shared" si="44"/>
        <v/>
      </c>
    </row>
    <row r="203" spans="1:24" x14ac:dyDescent="0.2">
      <c r="A203" t="s">
        <v>294</v>
      </c>
      <c r="B203">
        <v>2030</v>
      </c>
      <c r="C203" t="s">
        <v>282</v>
      </c>
      <c r="D203" t="s">
        <v>218</v>
      </c>
      <c r="E203">
        <v>99570311.580168307</v>
      </c>
      <c r="F203">
        <v>1311832.5156316401</v>
      </c>
      <c r="G203">
        <v>0</v>
      </c>
      <c r="H203">
        <v>100882144.0958</v>
      </c>
      <c r="I203">
        <v>1960.4601499999901</v>
      </c>
      <c r="J203">
        <v>3516754.18802818</v>
      </c>
      <c r="K203">
        <v>0.204776392694063</v>
      </c>
      <c r="L203">
        <v>28.686151690449499</v>
      </c>
      <c r="M203" t="str">
        <f t="shared" si="35"/>
        <v>Normal</v>
      </c>
      <c r="N203" t="str">
        <f t="shared" si="36"/>
        <v>Medium RE Cost</v>
      </c>
      <c r="O203">
        <f t="shared" si="34"/>
        <v>340002960.96679091</v>
      </c>
      <c r="P203">
        <f t="shared" si="37"/>
        <v>96.68090028135525</v>
      </c>
      <c r="Q203">
        <f t="shared" si="38"/>
        <v>68.37</v>
      </c>
      <c r="R203" s="229">
        <f t="shared" si="39"/>
        <v>240440483.83548668</v>
      </c>
      <c r="S203" s="297">
        <f t="shared" si="40"/>
        <v>96.706681854764057</v>
      </c>
      <c r="T203" s="297">
        <f t="shared" si="41"/>
        <v>68.393553823487949</v>
      </c>
      <c r="V203" s="296">
        <f t="shared" si="42"/>
        <v>68.37</v>
      </c>
      <c r="W203">
        <f t="shared" si="43"/>
        <v>0</v>
      </c>
      <c r="X203" s="297">
        <f t="shared" si="44"/>
        <v>68.39</v>
      </c>
    </row>
    <row r="204" spans="1:24" x14ac:dyDescent="0.2">
      <c r="A204" t="s">
        <v>294</v>
      </c>
      <c r="B204">
        <v>2040</v>
      </c>
      <c r="C204" t="s">
        <v>282</v>
      </c>
      <c r="D204" t="s">
        <v>218</v>
      </c>
      <c r="E204">
        <v>85219540.659552604</v>
      </c>
      <c r="F204">
        <v>216822.20944279301</v>
      </c>
      <c r="G204">
        <v>-1</v>
      </c>
      <c r="H204">
        <v>85436361.868995398</v>
      </c>
      <c r="I204">
        <v>1960.4601499999901</v>
      </c>
      <c r="J204">
        <v>3516754.18802818</v>
      </c>
      <c r="K204">
        <v>0.204776392694063</v>
      </c>
      <c r="L204">
        <v>24.294095436024399</v>
      </c>
      <c r="M204" t="str">
        <f t="shared" si="35"/>
        <v>Normal</v>
      </c>
      <c r="N204" t="str">
        <f t="shared" si="36"/>
        <v>Medium RE Cost</v>
      </c>
      <c r="O204">
        <f t="shared" si="34"/>
        <v>317964169.10794711</v>
      </c>
      <c r="P204">
        <f t="shared" si="37"/>
        <v>90.414101215936114</v>
      </c>
      <c r="Q204">
        <f t="shared" si="38"/>
        <v>66.180000000000007</v>
      </c>
      <c r="R204" s="229">
        <f t="shared" si="39"/>
        <v>232738792.16370499</v>
      </c>
      <c r="S204" s="297" t="str">
        <f t="shared" si="40"/>
        <v/>
      </c>
      <c r="T204" s="297" t="str">
        <f t="shared" si="41"/>
        <v/>
      </c>
      <c r="V204" s="296">
        <f t="shared" si="42"/>
        <v>66.180000000000007</v>
      </c>
      <c r="W204">
        <f t="shared" si="43"/>
        <v>-2.8435311270950475E-7</v>
      </c>
      <c r="X204" s="297" t="str">
        <f t="shared" si="44"/>
        <v/>
      </c>
    </row>
    <row r="205" spans="1:24" x14ac:dyDescent="0.2">
      <c r="A205" t="s">
        <v>294</v>
      </c>
      <c r="B205">
        <v>2050</v>
      </c>
      <c r="C205" t="s">
        <v>282</v>
      </c>
      <c r="D205" t="s">
        <v>218</v>
      </c>
      <c r="E205">
        <v>78061098.262109295</v>
      </c>
      <c r="F205">
        <v>412276.80850842199</v>
      </c>
      <c r="G205">
        <v>0</v>
      </c>
      <c r="H205">
        <v>78473375.070617706</v>
      </c>
      <c r="I205">
        <v>1960.4601499999901</v>
      </c>
      <c r="J205">
        <v>3516754.18802818</v>
      </c>
      <c r="K205">
        <v>0.204776392694063</v>
      </c>
      <c r="L205">
        <v>22.314148466150598</v>
      </c>
      <c r="M205" t="str">
        <f t="shared" si="35"/>
        <v>Normal</v>
      </c>
      <c r="N205" t="str">
        <f t="shared" si="36"/>
        <v>Medium RE Cost</v>
      </c>
      <c r="O205">
        <f t="shared" si="34"/>
        <v>311640347.21392971</v>
      </c>
      <c r="P205">
        <f t="shared" si="37"/>
        <v>88.615902776151756</v>
      </c>
      <c r="Q205">
        <f t="shared" si="38"/>
        <v>66.42</v>
      </c>
      <c r="R205" s="229">
        <f t="shared" si="39"/>
        <v>233582813.16883174</v>
      </c>
      <c r="S205" s="297" t="str">
        <f t="shared" si="40"/>
        <v/>
      </c>
      <c r="T205" s="297" t="str">
        <f t="shared" si="41"/>
        <v/>
      </c>
      <c r="V205" s="296">
        <f t="shared" si="42"/>
        <v>66.42</v>
      </c>
      <c r="W205">
        <f t="shared" si="43"/>
        <v>0</v>
      </c>
      <c r="X205" s="297" t="str">
        <f t="shared" si="44"/>
        <v/>
      </c>
    </row>
    <row r="206" spans="1:24" x14ac:dyDescent="0.2">
      <c r="A206" t="s">
        <v>295</v>
      </c>
      <c r="B206">
        <v>2030</v>
      </c>
      <c r="C206" t="s">
        <v>282</v>
      </c>
      <c r="D206" t="s">
        <v>220</v>
      </c>
      <c r="E206">
        <v>90372503.530960605</v>
      </c>
      <c r="F206">
        <v>1415470.0684873599</v>
      </c>
      <c r="G206">
        <v>0</v>
      </c>
      <c r="H206">
        <v>91787973.599447995</v>
      </c>
      <c r="I206">
        <v>1960.4601499999901</v>
      </c>
      <c r="J206">
        <v>3516754.18802818</v>
      </c>
      <c r="K206">
        <v>0.204776392694063</v>
      </c>
      <c r="L206">
        <v>26.100196002300802</v>
      </c>
      <c r="M206" t="str">
        <f t="shared" si="35"/>
        <v>Normal</v>
      </c>
      <c r="N206" t="str">
        <f t="shared" si="36"/>
        <v>Low RE Cost</v>
      </c>
      <c r="O206">
        <f t="shared" si="34"/>
        <v>308653204.24954498</v>
      </c>
      <c r="P206">
        <f t="shared" si="37"/>
        <v>87.766499376120663</v>
      </c>
      <c r="Q206">
        <f t="shared" si="38"/>
        <v>62.07</v>
      </c>
      <c r="R206" s="229">
        <f t="shared" si="39"/>
        <v>218284932.45090914</v>
      </c>
      <c r="S206" s="297">
        <f t="shared" si="40"/>
        <v>87.789903775954699</v>
      </c>
      <c r="T206" s="297">
        <f t="shared" si="41"/>
        <v>62.092201093575341</v>
      </c>
      <c r="V206" s="296">
        <f t="shared" si="42"/>
        <v>62.07</v>
      </c>
      <c r="W206">
        <f t="shared" si="43"/>
        <v>0</v>
      </c>
      <c r="X206" s="297">
        <f t="shared" si="44"/>
        <v>62.09</v>
      </c>
    </row>
    <row r="207" spans="1:24" x14ac:dyDescent="0.2">
      <c r="A207" t="s">
        <v>295</v>
      </c>
      <c r="B207">
        <v>2040</v>
      </c>
      <c r="C207" t="s">
        <v>282</v>
      </c>
      <c r="D207" t="s">
        <v>220</v>
      </c>
      <c r="E207">
        <v>73562306.211402595</v>
      </c>
      <c r="F207">
        <v>729808.81726637401</v>
      </c>
      <c r="G207">
        <v>0</v>
      </c>
      <c r="H207">
        <v>74292115.028669</v>
      </c>
      <c r="I207">
        <v>1960.4601499999901</v>
      </c>
      <c r="J207">
        <v>3516754.18802818</v>
      </c>
      <c r="K207">
        <v>0.204776392694063</v>
      </c>
      <c r="L207">
        <v>21.125194158174601</v>
      </c>
      <c r="M207" t="str">
        <f t="shared" si="35"/>
        <v>Normal</v>
      </c>
      <c r="N207" t="str">
        <f t="shared" si="36"/>
        <v>Low RE Cost</v>
      </c>
      <c r="O207">
        <f t="shared" si="34"/>
        <v>281756933.38277984</v>
      </c>
      <c r="P207">
        <f t="shared" si="37"/>
        <v>80.118461034878024</v>
      </c>
      <c r="Q207">
        <f t="shared" si="38"/>
        <v>59.2</v>
      </c>
      <c r="R207" s="229">
        <f t="shared" si="39"/>
        <v>208191847.93126827</v>
      </c>
      <c r="S207" s="297" t="str">
        <f t="shared" si="40"/>
        <v/>
      </c>
      <c r="T207" s="297" t="str">
        <f t="shared" si="41"/>
        <v/>
      </c>
      <c r="V207" s="296">
        <f t="shared" si="42"/>
        <v>59.2</v>
      </c>
      <c r="W207">
        <f t="shared" si="43"/>
        <v>0</v>
      </c>
      <c r="X207" s="297" t="str">
        <f t="shared" si="44"/>
        <v/>
      </c>
    </row>
    <row r="208" spans="1:24" x14ac:dyDescent="0.2">
      <c r="A208" t="s">
        <v>295</v>
      </c>
      <c r="B208">
        <v>2050</v>
      </c>
      <c r="C208" t="s">
        <v>282</v>
      </c>
      <c r="D208" t="s">
        <v>220</v>
      </c>
      <c r="E208">
        <v>74558107.965248302</v>
      </c>
      <c r="F208">
        <v>1121016.19119205</v>
      </c>
      <c r="G208">
        <v>0</v>
      </c>
      <c r="H208">
        <v>75679124.156440407</v>
      </c>
      <c r="I208">
        <v>1960.4601499999901</v>
      </c>
      <c r="J208">
        <v>3516754.18802818</v>
      </c>
      <c r="K208">
        <v>0.204776392694063</v>
      </c>
      <c r="L208">
        <v>21.519594521012898</v>
      </c>
      <c r="M208" t="str">
        <f t="shared" si="35"/>
        <v>Normal</v>
      </c>
      <c r="N208" t="str">
        <f t="shared" si="36"/>
        <v>Low RE Cost</v>
      </c>
      <c r="O208">
        <f t="shared" si="34"/>
        <v>275418236.05994487</v>
      </c>
      <c r="P208">
        <f t="shared" si="37"/>
        <v>78.316032720606486</v>
      </c>
      <c r="Q208">
        <f t="shared" si="38"/>
        <v>57.12</v>
      </c>
      <c r="R208" s="229">
        <f t="shared" si="39"/>
        <v>200876999.22016963</v>
      </c>
      <c r="S208" s="297" t="str">
        <f t="shared" si="40"/>
        <v/>
      </c>
      <c r="T208" s="297" t="str">
        <f t="shared" si="41"/>
        <v/>
      </c>
      <c r="V208" s="296">
        <f t="shared" si="42"/>
        <v>57.12</v>
      </c>
      <c r="W208">
        <f t="shared" si="43"/>
        <v>0</v>
      </c>
      <c r="X208" s="297" t="str">
        <f t="shared" si="44"/>
        <v/>
      </c>
    </row>
    <row r="209" spans="1:24" x14ac:dyDescent="0.2">
      <c r="A209" t="s">
        <v>296</v>
      </c>
      <c r="B209">
        <v>2030</v>
      </c>
      <c r="C209" t="s">
        <v>282</v>
      </c>
      <c r="D209" t="s">
        <v>222</v>
      </c>
      <c r="E209">
        <v>98648009.087176293</v>
      </c>
      <c r="F209">
        <v>1185489.9288369799</v>
      </c>
      <c r="G209">
        <v>0</v>
      </c>
      <c r="H209">
        <v>99833499.016013294</v>
      </c>
      <c r="I209">
        <v>1960.4601499999901</v>
      </c>
      <c r="J209">
        <v>3516754.18802818</v>
      </c>
      <c r="K209">
        <v>0.204776392694063</v>
      </c>
      <c r="L209">
        <v>28.387966197884602</v>
      </c>
      <c r="M209" t="str">
        <f t="shared" si="35"/>
        <v>Normal</v>
      </c>
      <c r="N209" t="str">
        <f t="shared" si="36"/>
        <v>Medium RE Cost</v>
      </c>
      <c r="O209">
        <f t="shared" si="34"/>
        <v>340002960.96679091</v>
      </c>
      <c r="P209">
        <f t="shared" si="37"/>
        <v>96.68090028135525</v>
      </c>
      <c r="Q209">
        <f t="shared" si="38"/>
        <v>68.63</v>
      </c>
      <c r="R209" s="229">
        <f t="shared" si="39"/>
        <v>241354839.92437398</v>
      </c>
      <c r="S209" s="297">
        <f t="shared" si="40"/>
        <v>96.706681854764057</v>
      </c>
      <c r="T209" s="297">
        <f t="shared" si="41"/>
        <v>68.65581340822996</v>
      </c>
      <c r="V209" s="296">
        <f t="shared" si="42"/>
        <v>68.63</v>
      </c>
      <c r="W209">
        <f t="shared" si="43"/>
        <v>0</v>
      </c>
      <c r="X209" s="297">
        <f t="shared" si="44"/>
        <v>68.66</v>
      </c>
    </row>
    <row r="210" spans="1:24" x14ac:dyDescent="0.2">
      <c r="A210" t="s">
        <v>296</v>
      </c>
      <c r="B210">
        <v>2040</v>
      </c>
      <c r="C210" t="s">
        <v>282</v>
      </c>
      <c r="D210" t="s">
        <v>222</v>
      </c>
      <c r="E210">
        <v>84815019.190804601</v>
      </c>
      <c r="F210">
        <v>359102.57973515301</v>
      </c>
      <c r="G210">
        <v>0</v>
      </c>
      <c r="H210">
        <v>85174121.770539805</v>
      </c>
      <c r="I210">
        <v>1960.4601499999901</v>
      </c>
      <c r="J210">
        <v>3516754.18802818</v>
      </c>
      <c r="K210">
        <v>0.204776392694063</v>
      </c>
      <c r="L210">
        <v>24.219526647751302</v>
      </c>
      <c r="M210" t="str">
        <f t="shared" si="35"/>
        <v>Normal</v>
      </c>
      <c r="N210" t="str">
        <f t="shared" si="36"/>
        <v>Medium RE Cost</v>
      </c>
      <c r="O210">
        <f t="shared" si="34"/>
        <v>317964169.10794711</v>
      </c>
      <c r="P210">
        <f t="shared" si="37"/>
        <v>90.414101215936114</v>
      </c>
      <c r="Q210">
        <f t="shared" si="38"/>
        <v>66.3</v>
      </c>
      <c r="R210" s="229">
        <f t="shared" si="39"/>
        <v>233160802.66626832</v>
      </c>
      <c r="S210" s="297" t="str">
        <f t="shared" si="40"/>
        <v/>
      </c>
      <c r="T210" s="297" t="str">
        <f t="shared" si="41"/>
        <v/>
      </c>
      <c r="V210" s="296">
        <f t="shared" si="42"/>
        <v>66.3</v>
      </c>
      <c r="W210">
        <f t="shared" si="43"/>
        <v>0</v>
      </c>
      <c r="X210" s="297" t="str">
        <f t="shared" si="44"/>
        <v/>
      </c>
    </row>
    <row r="211" spans="1:24" x14ac:dyDescent="0.2">
      <c r="A211" t="s">
        <v>296</v>
      </c>
      <c r="B211">
        <v>2050</v>
      </c>
      <c r="C211" t="s">
        <v>282</v>
      </c>
      <c r="D211" t="s">
        <v>222</v>
      </c>
      <c r="E211">
        <v>81123320.015854299</v>
      </c>
      <c r="F211">
        <v>376522.86162991298</v>
      </c>
      <c r="G211">
        <v>0</v>
      </c>
      <c r="H211">
        <v>81499842.877484202</v>
      </c>
      <c r="I211">
        <v>1960.4601499999901</v>
      </c>
      <c r="J211">
        <v>3516754.18802818</v>
      </c>
      <c r="K211">
        <v>0.204776392694063</v>
      </c>
      <c r="L211">
        <v>23.174734007548199</v>
      </c>
      <c r="M211" t="str">
        <f t="shared" si="35"/>
        <v>Normal</v>
      </c>
      <c r="N211" t="str">
        <f t="shared" si="36"/>
        <v>Medium RE Cost</v>
      </c>
      <c r="O211">
        <f t="shared" si="34"/>
        <v>311640347.21392971</v>
      </c>
      <c r="P211">
        <f t="shared" si="37"/>
        <v>88.615902776151756</v>
      </c>
      <c r="Q211">
        <f t="shared" si="38"/>
        <v>65.55</v>
      </c>
      <c r="R211" s="229">
        <f t="shared" si="39"/>
        <v>230523237.02524719</v>
      </c>
      <c r="S211" s="297" t="str">
        <f t="shared" si="40"/>
        <v/>
      </c>
      <c r="T211" s="297" t="str">
        <f t="shared" si="41"/>
        <v/>
      </c>
      <c r="V211" s="296">
        <f t="shared" si="42"/>
        <v>65.55</v>
      </c>
      <c r="W211">
        <f t="shared" si="43"/>
        <v>0</v>
      </c>
      <c r="X211" s="297" t="str">
        <f t="shared" si="44"/>
        <v/>
      </c>
    </row>
    <row r="212" spans="1:24" x14ac:dyDescent="0.2">
      <c r="A212" t="s">
        <v>297</v>
      </c>
      <c r="B212">
        <v>2030</v>
      </c>
      <c r="C212" t="s">
        <v>282</v>
      </c>
      <c r="D212" t="s">
        <v>224</v>
      </c>
      <c r="E212">
        <v>97981792.011362001</v>
      </c>
      <c r="F212">
        <v>1735492.8818592699</v>
      </c>
      <c r="G212">
        <v>0</v>
      </c>
      <c r="H212">
        <v>99717284.893221304</v>
      </c>
      <c r="I212">
        <v>1960.4601499999901</v>
      </c>
      <c r="J212">
        <v>3516754.18802818</v>
      </c>
      <c r="K212">
        <v>0.204776392694063</v>
      </c>
      <c r="L212">
        <v>28.354920350327902</v>
      </c>
      <c r="M212" t="str">
        <f t="shared" si="35"/>
        <v>Normal</v>
      </c>
      <c r="N212" t="str">
        <f t="shared" si="36"/>
        <v>Medium RE Cost</v>
      </c>
      <c r="O212">
        <f t="shared" si="34"/>
        <v>340002960.96679091</v>
      </c>
      <c r="P212">
        <f t="shared" si="37"/>
        <v>96.68090028135525</v>
      </c>
      <c r="Q212">
        <f t="shared" si="38"/>
        <v>68.819999999999993</v>
      </c>
      <c r="R212" s="229">
        <f t="shared" si="39"/>
        <v>242023023.22009933</v>
      </c>
      <c r="S212" s="297">
        <f t="shared" si="40"/>
        <v>96.706681854764057</v>
      </c>
      <c r="T212" s="297">
        <f t="shared" si="41"/>
        <v>68.845254307477987</v>
      </c>
      <c r="V212" s="296">
        <f t="shared" si="42"/>
        <v>68.819999999999993</v>
      </c>
      <c r="W212">
        <f t="shared" si="43"/>
        <v>0</v>
      </c>
      <c r="X212" s="297">
        <f t="shared" si="44"/>
        <v>68.849999999999994</v>
      </c>
    </row>
    <row r="213" spans="1:24" x14ac:dyDescent="0.2">
      <c r="A213" t="s">
        <v>297</v>
      </c>
      <c r="B213">
        <v>2040</v>
      </c>
      <c r="C213" t="s">
        <v>282</v>
      </c>
      <c r="D213" t="s">
        <v>224</v>
      </c>
      <c r="E213">
        <v>89248555.566990495</v>
      </c>
      <c r="F213">
        <v>451047.88473736402</v>
      </c>
      <c r="G213">
        <v>-1</v>
      </c>
      <c r="H213">
        <v>89699602.451727793</v>
      </c>
      <c r="I213">
        <v>1960.4601499999901</v>
      </c>
      <c r="J213">
        <v>3516754.18802818</v>
      </c>
      <c r="K213">
        <v>0.204776392694063</v>
      </c>
      <c r="L213">
        <v>25.506361165953901</v>
      </c>
      <c r="M213" t="str">
        <f t="shared" si="35"/>
        <v>Normal</v>
      </c>
      <c r="N213" t="str">
        <f t="shared" si="36"/>
        <v>Medium RE Cost</v>
      </c>
      <c r="O213">
        <f t="shared" si="34"/>
        <v>317964169.10794711</v>
      </c>
      <c r="P213">
        <f t="shared" si="37"/>
        <v>90.414101215936114</v>
      </c>
      <c r="Q213">
        <f t="shared" si="38"/>
        <v>65.040000000000006</v>
      </c>
      <c r="R213" s="229">
        <f t="shared" si="39"/>
        <v>228729692.38935286</v>
      </c>
      <c r="S213" s="297" t="str">
        <f t="shared" si="40"/>
        <v/>
      </c>
      <c r="T213" s="297" t="str">
        <f t="shared" si="41"/>
        <v/>
      </c>
      <c r="V213" s="296">
        <f t="shared" si="42"/>
        <v>65.040000000000006</v>
      </c>
      <c r="W213">
        <f t="shared" si="43"/>
        <v>-2.8435311270950475E-7</v>
      </c>
      <c r="X213" s="297" t="str">
        <f t="shared" si="44"/>
        <v/>
      </c>
    </row>
    <row r="214" spans="1:24" x14ac:dyDescent="0.2">
      <c r="A214" t="s">
        <v>297</v>
      </c>
      <c r="B214">
        <v>2050</v>
      </c>
      <c r="C214" t="s">
        <v>282</v>
      </c>
      <c r="D214" t="s">
        <v>224</v>
      </c>
      <c r="E214">
        <v>89355786.000318497</v>
      </c>
      <c r="F214">
        <v>1294803.64274256</v>
      </c>
      <c r="G214">
        <v>-3</v>
      </c>
      <c r="H214">
        <v>90650586.643061101</v>
      </c>
      <c r="I214">
        <v>1960.4601499999901</v>
      </c>
      <c r="J214">
        <v>3516754.18802818</v>
      </c>
      <c r="K214">
        <v>0.204776392694063</v>
      </c>
      <c r="L214">
        <v>25.776776480896999</v>
      </c>
      <c r="M214" t="str">
        <f t="shared" si="35"/>
        <v>Normal</v>
      </c>
      <c r="N214" t="str">
        <f t="shared" si="36"/>
        <v>Medium RE Cost</v>
      </c>
      <c r="O214">
        <f t="shared" si="34"/>
        <v>311640347.21392971</v>
      </c>
      <c r="P214">
        <f t="shared" si="37"/>
        <v>88.615902776151756</v>
      </c>
      <c r="Q214">
        <f t="shared" si="38"/>
        <v>63.21</v>
      </c>
      <c r="R214" s="229">
        <f t="shared" si="39"/>
        <v>222294032.22526127</v>
      </c>
      <c r="S214" s="297" t="str">
        <f t="shared" si="40"/>
        <v/>
      </c>
      <c r="T214" s="297" t="str">
        <f t="shared" si="41"/>
        <v/>
      </c>
      <c r="V214" s="296">
        <f t="shared" si="42"/>
        <v>63.21</v>
      </c>
      <c r="W214">
        <f t="shared" si="43"/>
        <v>-8.530593381285143E-7</v>
      </c>
      <c r="X214" s="297" t="str">
        <f t="shared" si="44"/>
        <v/>
      </c>
    </row>
    <row r="215" spans="1:24" x14ac:dyDescent="0.2">
      <c r="A215" t="s">
        <v>298</v>
      </c>
      <c r="B215">
        <v>2030</v>
      </c>
      <c r="C215" t="s">
        <v>282</v>
      </c>
      <c r="D215" t="s">
        <v>226</v>
      </c>
      <c r="E215">
        <v>99615581.801613793</v>
      </c>
      <c r="F215">
        <v>1296843.0835585301</v>
      </c>
      <c r="G215">
        <v>-1</v>
      </c>
      <c r="H215">
        <v>100912423.88517199</v>
      </c>
      <c r="I215">
        <v>1960.4601499999901</v>
      </c>
      <c r="J215">
        <v>3516754.18802818</v>
      </c>
      <c r="K215">
        <v>0.204776392694063</v>
      </c>
      <c r="L215">
        <v>28.694761842809701</v>
      </c>
      <c r="M215" t="str">
        <f t="shared" si="35"/>
        <v>Normal</v>
      </c>
      <c r="N215" t="str">
        <f t="shared" si="36"/>
        <v>Medium RE Cost</v>
      </c>
      <c r="O215">
        <f t="shared" si="34"/>
        <v>340002960.96679091</v>
      </c>
      <c r="P215">
        <f t="shared" si="37"/>
        <v>96.68090028135525</v>
      </c>
      <c r="Q215">
        <f t="shared" si="38"/>
        <v>68.349999999999994</v>
      </c>
      <c r="R215" s="229">
        <f t="shared" si="39"/>
        <v>240370148.75172609</v>
      </c>
      <c r="S215" s="297">
        <f t="shared" si="40"/>
        <v>96.706681854764057</v>
      </c>
      <c r="T215" s="297">
        <f t="shared" si="41"/>
        <v>68.380681379459986</v>
      </c>
      <c r="V215" s="296">
        <f t="shared" si="42"/>
        <v>68.349999999999994</v>
      </c>
      <c r="W215">
        <f t="shared" si="43"/>
        <v>-2.8435311270950475E-7</v>
      </c>
      <c r="X215" s="297">
        <f t="shared" si="44"/>
        <v>68.38</v>
      </c>
    </row>
    <row r="216" spans="1:24" x14ac:dyDescent="0.2">
      <c r="A216" t="s">
        <v>298</v>
      </c>
      <c r="B216">
        <v>2040</v>
      </c>
      <c r="C216" t="s">
        <v>282</v>
      </c>
      <c r="D216" t="s">
        <v>226</v>
      </c>
      <c r="E216">
        <v>85463147.398692206</v>
      </c>
      <c r="F216">
        <v>411946.71720694198</v>
      </c>
      <c r="G216">
        <v>0</v>
      </c>
      <c r="H216">
        <v>85875094.115899205</v>
      </c>
      <c r="I216">
        <v>1960.4601499999901</v>
      </c>
      <c r="J216">
        <v>3516754.18802818</v>
      </c>
      <c r="K216">
        <v>0.204776392694063</v>
      </c>
      <c r="L216">
        <v>24.418850316077599</v>
      </c>
      <c r="M216" t="str">
        <f t="shared" si="35"/>
        <v>Normal</v>
      </c>
      <c r="N216" t="str">
        <f t="shared" si="36"/>
        <v>Medium RE Cost</v>
      </c>
      <c r="O216">
        <f t="shared" si="34"/>
        <v>317964169.10794711</v>
      </c>
      <c r="P216">
        <f t="shared" si="37"/>
        <v>90.414101215936114</v>
      </c>
      <c r="Q216">
        <f t="shared" si="38"/>
        <v>66.11</v>
      </c>
      <c r="R216" s="229">
        <f t="shared" si="39"/>
        <v>232492619.37054297</v>
      </c>
      <c r="S216" s="297" t="str">
        <f t="shared" si="40"/>
        <v/>
      </c>
      <c r="T216" s="297" t="str">
        <f t="shared" si="41"/>
        <v/>
      </c>
      <c r="V216" s="296">
        <f t="shared" si="42"/>
        <v>66.11</v>
      </c>
      <c r="W216">
        <f t="shared" si="43"/>
        <v>0</v>
      </c>
      <c r="X216" s="297" t="str">
        <f t="shared" si="44"/>
        <v/>
      </c>
    </row>
    <row r="217" spans="1:24" x14ac:dyDescent="0.2">
      <c r="A217" t="s">
        <v>298</v>
      </c>
      <c r="B217">
        <v>2050</v>
      </c>
      <c r="C217" t="s">
        <v>282</v>
      </c>
      <c r="D217" t="s">
        <v>226</v>
      </c>
      <c r="E217">
        <v>80754938.248071194</v>
      </c>
      <c r="F217">
        <v>393773.19201845402</v>
      </c>
      <c r="G217">
        <v>0</v>
      </c>
      <c r="H217">
        <v>81148711.440089598</v>
      </c>
      <c r="I217">
        <v>1960.4601499999901</v>
      </c>
      <c r="J217">
        <v>3516754.18802818</v>
      </c>
      <c r="K217">
        <v>0.204776392694063</v>
      </c>
      <c r="L217">
        <v>23.074888690354801</v>
      </c>
      <c r="M217" t="str">
        <f t="shared" si="35"/>
        <v>Normal</v>
      </c>
      <c r="N217" t="str">
        <f t="shared" si="36"/>
        <v>Medium RE Cost</v>
      </c>
      <c r="O217">
        <f t="shared" si="34"/>
        <v>311640347.21392971</v>
      </c>
      <c r="P217">
        <f t="shared" si="37"/>
        <v>88.615902776151756</v>
      </c>
      <c r="Q217">
        <f t="shared" si="38"/>
        <v>65.650000000000006</v>
      </c>
      <c r="R217" s="229">
        <f t="shared" si="39"/>
        <v>230874912.44405004</v>
      </c>
      <c r="S217" s="297" t="str">
        <f t="shared" si="40"/>
        <v/>
      </c>
      <c r="T217" s="297" t="str">
        <f t="shared" si="41"/>
        <v/>
      </c>
      <c r="V217" s="296">
        <f t="shared" si="42"/>
        <v>65.650000000000006</v>
      </c>
      <c r="W217">
        <f t="shared" si="43"/>
        <v>0</v>
      </c>
      <c r="X217" s="297" t="str">
        <f t="shared" si="44"/>
        <v/>
      </c>
    </row>
    <row r="218" spans="1:24" x14ac:dyDescent="0.2">
      <c r="A218" t="s">
        <v>299</v>
      </c>
      <c r="B218">
        <v>2030</v>
      </c>
      <c r="C218" t="s">
        <v>300</v>
      </c>
      <c r="D218" t="s">
        <v>212</v>
      </c>
      <c r="E218">
        <v>177002317.81550199</v>
      </c>
      <c r="F218">
        <v>5186516.3431202704</v>
      </c>
      <c r="G218">
        <v>20409741</v>
      </c>
      <c r="H218">
        <v>202598575.158622</v>
      </c>
      <c r="I218">
        <v>4370.2250833333301</v>
      </c>
      <c r="J218">
        <v>7839489.8077567602</v>
      </c>
      <c r="K218">
        <v>0.204776392694063</v>
      </c>
      <c r="L218">
        <v>25.843336763849301</v>
      </c>
      <c r="M218" t="str">
        <f t="shared" si="35"/>
        <v>High Solar</v>
      </c>
      <c r="N218" t="str">
        <f t="shared" si="36"/>
        <v>Medium RE Cost</v>
      </c>
      <c r="O218">
        <f t="shared" si="34"/>
        <v>796677109.68726099</v>
      </c>
      <c r="P218">
        <f t="shared" si="37"/>
        <v>101.62359148665404</v>
      </c>
      <c r="Q218">
        <f t="shared" si="38"/>
        <v>76.44</v>
      </c>
      <c r="R218" s="229">
        <f t="shared" si="39"/>
        <v>599250600.90492678</v>
      </c>
      <c r="S218" s="297">
        <f t="shared" si="40"/>
        <v>96.106608574655084</v>
      </c>
      <c r="T218" s="297">
        <f t="shared" si="41"/>
        <v>70.924860315964423</v>
      </c>
      <c r="V218" s="296">
        <f t="shared" si="42"/>
        <v>79.040000000000006</v>
      </c>
      <c r="W218">
        <f t="shared" si="43"/>
        <v>2.6034527119106197</v>
      </c>
      <c r="X218" s="297">
        <f t="shared" si="44"/>
        <v>73.53</v>
      </c>
    </row>
    <row r="219" spans="1:24" x14ac:dyDescent="0.2">
      <c r="A219" t="s">
        <v>299</v>
      </c>
      <c r="B219">
        <v>2040</v>
      </c>
      <c r="C219" t="s">
        <v>300</v>
      </c>
      <c r="D219" t="s">
        <v>212</v>
      </c>
      <c r="E219">
        <v>371542500.21953398</v>
      </c>
      <c r="F219">
        <v>10851525.893253401</v>
      </c>
      <c r="G219">
        <v>3598838</v>
      </c>
      <c r="H219">
        <v>385992864.11278701</v>
      </c>
      <c r="I219">
        <v>10473.906000000001</v>
      </c>
      <c r="J219">
        <v>18764823.185694199</v>
      </c>
      <c r="K219">
        <v>0.20451807600619601</v>
      </c>
      <c r="L219">
        <v>20.570024044087798</v>
      </c>
      <c r="M219" t="str">
        <f t="shared" si="35"/>
        <v>High Solar</v>
      </c>
      <c r="N219" t="str">
        <f t="shared" si="36"/>
        <v>Medium RE Cost</v>
      </c>
      <c r="O219">
        <f t="shared" si="34"/>
        <v>1475131307.2772543</v>
      </c>
      <c r="P219">
        <f t="shared" si="37"/>
        <v>78.611521818220766</v>
      </c>
      <c r="Q219">
        <f t="shared" si="38"/>
        <v>58.62</v>
      </c>
      <c r="R219" s="229">
        <f t="shared" si="39"/>
        <v>1099993935.1453938</v>
      </c>
      <c r="S219" s="297">
        <f t="shared" si="40"/>
        <v>66.57055908863569</v>
      </c>
      <c r="T219" s="297">
        <f t="shared" si="41"/>
        <v>46.578825912831945</v>
      </c>
      <c r="V219" s="296">
        <f t="shared" si="42"/>
        <v>58.81</v>
      </c>
      <c r="W219">
        <f t="shared" si="43"/>
        <v>0.19178640610606223</v>
      </c>
      <c r="X219" s="297">
        <f t="shared" si="44"/>
        <v>46.77</v>
      </c>
    </row>
    <row r="220" spans="1:24" x14ac:dyDescent="0.2">
      <c r="A220" t="s">
        <v>299</v>
      </c>
      <c r="B220">
        <v>2050</v>
      </c>
      <c r="C220" t="s">
        <v>300</v>
      </c>
      <c r="D220" t="s">
        <v>212</v>
      </c>
      <c r="E220">
        <v>555999385.41781998</v>
      </c>
      <c r="F220">
        <v>5791576.6086943196</v>
      </c>
      <c r="G220">
        <v>9952811</v>
      </c>
      <c r="H220">
        <v>571743773.02651501</v>
      </c>
      <c r="I220">
        <v>15730.8939166666</v>
      </c>
      <c r="J220">
        <v>27918570.2642227</v>
      </c>
      <c r="K220">
        <v>0.202598238657549</v>
      </c>
      <c r="L220">
        <v>20.478977526983002</v>
      </c>
      <c r="M220" t="str">
        <f t="shared" si="35"/>
        <v>High Solar</v>
      </c>
      <c r="N220" t="str">
        <f t="shared" si="36"/>
        <v>Medium RE Cost</v>
      </c>
      <c r="O220">
        <f t="shared" si="34"/>
        <v>1857774234.0994</v>
      </c>
      <c r="P220">
        <f t="shared" si="37"/>
        <v>66.542599299223951</v>
      </c>
      <c r="Q220">
        <f t="shared" si="38"/>
        <v>46.27</v>
      </c>
      <c r="R220" s="229">
        <f t="shared" si="39"/>
        <v>1291792246.1255844</v>
      </c>
      <c r="S220" s="297">
        <f t="shared" si="40"/>
        <v>59.252144159925678</v>
      </c>
      <c r="T220" s="297">
        <f t="shared" si="41"/>
        <v>38.980611948153332</v>
      </c>
      <c r="V220" s="296">
        <f t="shared" si="42"/>
        <v>46.63</v>
      </c>
      <c r="W220">
        <f t="shared" si="43"/>
        <v>0.35649429414923883</v>
      </c>
      <c r="X220" s="297">
        <f t="shared" si="44"/>
        <v>39.340000000000003</v>
      </c>
    </row>
    <row r="221" spans="1:24" x14ac:dyDescent="0.2">
      <c r="A221" t="s">
        <v>301</v>
      </c>
      <c r="B221">
        <v>2030</v>
      </c>
      <c r="C221" t="s">
        <v>300</v>
      </c>
      <c r="D221" t="s">
        <v>214</v>
      </c>
      <c r="E221">
        <v>200993192.949366</v>
      </c>
      <c r="F221">
        <v>2752076.5833707498</v>
      </c>
      <c r="G221">
        <v>779764</v>
      </c>
      <c r="H221">
        <v>204525033.532736</v>
      </c>
      <c r="I221">
        <v>4370.2250833333301</v>
      </c>
      <c r="J221">
        <v>7839489.8077567602</v>
      </c>
      <c r="K221">
        <v>0.204776392694063</v>
      </c>
      <c r="L221">
        <v>26.089074486756701</v>
      </c>
      <c r="M221" t="str">
        <f t="shared" si="35"/>
        <v>High Solar</v>
      </c>
      <c r="N221" t="str">
        <f t="shared" si="36"/>
        <v>Medium RE Cost</v>
      </c>
      <c r="O221">
        <f t="shared" si="34"/>
        <v>796677109.68726099</v>
      </c>
      <c r="P221">
        <f t="shared" si="37"/>
        <v>101.62359148665404</v>
      </c>
      <c r="Q221">
        <f t="shared" si="38"/>
        <v>75.89</v>
      </c>
      <c r="R221" s="229">
        <f t="shared" si="39"/>
        <v>594938881.51066053</v>
      </c>
      <c r="S221" s="297">
        <f t="shared" si="40"/>
        <v>96.106608574655084</v>
      </c>
      <c r="T221" s="297">
        <f t="shared" si="41"/>
        <v>70.368587109314021</v>
      </c>
      <c r="V221" s="296">
        <f t="shared" si="42"/>
        <v>75.989999999999995</v>
      </c>
      <c r="W221">
        <f t="shared" si="43"/>
        <v>9.9466166692182542E-2</v>
      </c>
      <c r="X221" s="297">
        <f t="shared" si="44"/>
        <v>70.47</v>
      </c>
    </row>
    <row r="222" spans="1:24" x14ac:dyDescent="0.2">
      <c r="A222" t="s">
        <v>301</v>
      </c>
      <c r="B222">
        <v>2040</v>
      </c>
      <c r="C222" t="s">
        <v>300</v>
      </c>
      <c r="D222" t="s">
        <v>214</v>
      </c>
      <c r="E222">
        <v>366246626.30785799</v>
      </c>
      <c r="F222">
        <v>6212911.4395826897</v>
      </c>
      <c r="G222">
        <v>0</v>
      </c>
      <c r="H222">
        <v>372459537.74744099</v>
      </c>
      <c r="I222">
        <v>10473.906000000001</v>
      </c>
      <c r="J222">
        <v>18764823.185694199</v>
      </c>
      <c r="K222">
        <v>0.20451807600619601</v>
      </c>
      <c r="L222">
        <v>19.848816802675401</v>
      </c>
      <c r="M222" t="str">
        <f t="shared" si="35"/>
        <v>High Solar</v>
      </c>
      <c r="N222" t="str">
        <f t="shared" si="36"/>
        <v>Medium RE Cost</v>
      </c>
      <c r="O222">
        <f t="shared" si="34"/>
        <v>1475131307.2772543</v>
      </c>
      <c r="P222">
        <f t="shared" si="37"/>
        <v>78.611521818220766</v>
      </c>
      <c r="Q222">
        <f t="shared" si="38"/>
        <v>59.09</v>
      </c>
      <c r="R222" s="229">
        <f t="shared" si="39"/>
        <v>1108813402.0426702</v>
      </c>
      <c r="S222" s="297">
        <f t="shared" si="40"/>
        <v>66.57055908863569</v>
      </c>
      <c r="T222" s="297">
        <f t="shared" si="41"/>
        <v>47.052835810162449</v>
      </c>
      <c r="V222" s="296">
        <f t="shared" si="42"/>
        <v>59.09</v>
      </c>
      <c r="W222">
        <f t="shared" si="43"/>
        <v>0</v>
      </c>
      <c r="X222" s="297">
        <f t="shared" si="44"/>
        <v>47.05</v>
      </c>
    </row>
    <row r="223" spans="1:24" x14ac:dyDescent="0.2">
      <c r="A223" t="s">
        <v>301</v>
      </c>
      <c r="B223">
        <v>2050</v>
      </c>
      <c r="C223" t="s">
        <v>300</v>
      </c>
      <c r="D223" t="s">
        <v>214</v>
      </c>
      <c r="E223">
        <v>524303443.30180299</v>
      </c>
      <c r="F223">
        <v>3587380.86830357</v>
      </c>
      <c r="G223">
        <v>0</v>
      </c>
      <c r="H223">
        <v>527890824.17010701</v>
      </c>
      <c r="I223">
        <v>15730.8939166666</v>
      </c>
      <c r="J223">
        <v>27918570.2642227</v>
      </c>
      <c r="K223">
        <v>0.202598238657549</v>
      </c>
      <c r="L223">
        <v>18.908232734488902</v>
      </c>
      <c r="M223" t="str">
        <f t="shared" si="35"/>
        <v>High Solar</v>
      </c>
      <c r="N223" t="str">
        <f t="shared" si="36"/>
        <v>Medium RE Cost</v>
      </c>
      <c r="O223">
        <f t="shared" si="34"/>
        <v>1857774234.0994</v>
      </c>
      <c r="P223">
        <f t="shared" si="37"/>
        <v>66.542599299223951</v>
      </c>
      <c r="Q223">
        <f t="shared" si="38"/>
        <v>47.76</v>
      </c>
      <c r="R223" s="229">
        <f t="shared" si="39"/>
        <v>1333390915.8192761</v>
      </c>
      <c r="S223" s="297">
        <f t="shared" si="40"/>
        <v>59.252144159925678</v>
      </c>
      <c r="T223" s="297">
        <f t="shared" si="41"/>
        <v>40.472405858867646</v>
      </c>
      <c r="V223" s="296">
        <f t="shared" si="42"/>
        <v>47.76</v>
      </c>
      <c r="W223">
        <f t="shared" si="43"/>
        <v>0</v>
      </c>
      <c r="X223" s="297">
        <f t="shared" si="44"/>
        <v>40.47</v>
      </c>
    </row>
    <row r="224" spans="1:24" x14ac:dyDescent="0.2">
      <c r="A224" t="s">
        <v>302</v>
      </c>
      <c r="B224">
        <v>2030</v>
      </c>
      <c r="C224" t="s">
        <v>300</v>
      </c>
      <c r="D224" t="s">
        <v>216</v>
      </c>
      <c r="E224">
        <v>177810259.35543799</v>
      </c>
      <c r="F224">
        <v>26042661.603845298</v>
      </c>
      <c r="G224">
        <v>40840721</v>
      </c>
      <c r="H224">
        <v>244693641.95928401</v>
      </c>
      <c r="I224">
        <v>4370.2250833333301</v>
      </c>
      <c r="J224">
        <v>7839489.8077567602</v>
      </c>
      <c r="K224">
        <v>0.204776392694063</v>
      </c>
      <c r="L224">
        <v>31.212954919231102</v>
      </c>
      <c r="M224" t="str">
        <f t="shared" si="35"/>
        <v>High Solar</v>
      </c>
      <c r="N224" t="str">
        <f t="shared" si="36"/>
        <v>High RE Cost</v>
      </c>
      <c r="O224">
        <f t="shared" si="34"/>
        <v>1037037209.9623756</v>
      </c>
      <c r="P224">
        <f t="shared" si="37"/>
        <v>132.28376276939377</v>
      </c>
      <c r="Q224">
        <f t="shared" si="38"/>
        <v>104.39</v>
      </c>
      <c r="R224" s="229">
        <f t="shared" si="39"/>
        <v>818364341.03172815</v>
      </c>
      <c r="S224" s="297">
        <f t="shared" si="40"/>
        <v>125.10228799510858</v>
      </c>
      <c r="T224" s="297">
        <f t="shared" si="41"/>
        <v>97.211317317514954</v>
      </c>
      <c r="V224" s="296">
        <f t="shared" si="42"/>
        <v>109.6</v>
      </c>
      <c r="W224">
        <f t="shared" si="43"/>
        <v>5.2096146562484549</v>
      </c>
      <c r="X224" s="297">
        <f t="shared" si="44"/>
        <v>102.42</v>
      </c>
    </row>
    <row r="225" spans="1:24" x14ac:dyDescent="0.2">
      <c r="A225" t="s">
        <v>302</v>
      </c>
      <c r="B225">
        <v>2040</v>
      </c>
      <c r="C225" t="s">
        <v>300</v>
      </c>
      <c r="D225" t="s">
        <v>216</v>
      </c>
      <c r="E225">
        <v>398673363.01045501</v>
      </c>
      <c r="F225">
        <v>14318415.609211</v>
      </c>
      <c r="G225">
        <v>96013761</v>
      </c>
      <c r="H225">
        <v>509005539.61966598</v>
      </c>
      <c r="I225">
        <v>10473.906000000001</v>
      </c>
      <c r="J225">
        <v>18764823.185694199</v>
      </c>
      <c r="K225">
        <v>0.20451807600619601</v>
      </c>
      <c r="L225">
        <v>27.125517495295</v>
      </c>
      <c r="M225" t="str">
        <f t="shared" si="35"/>
        <v>High Solar</v>
      </c>
      <c r="N225" t="str">
        <f t="shared" si="36"/>
        <v>High RE Cost</v>
      </c>
      <c r="O225">
        <f t="shared" si="34"/>
        <v>2156969266.5728054</v>
      </c>
      <c r="P225">
        <f t="shared" si="37"/>
        <v>114.94748686026635</v>
      </c>
      <c r="Q225">
        <f t="shared" si="38"/>
        <v>88.59</v>
      </c>
      <c r="R225" s="229">
        <f t="shared" si="39"/>
        <v>1662375686.0206492</v>
      </c>
      <c r="S225" s="297">
        <f t="shared" si="40"/>
        <v>105.43842332469075</v>
      </c>
      <c r="T225" s="297">
        <f t="shared" si="41"/>
        <v>79.07595142100709</v>
      </c>
      <c r="V225" s="296">
        <f t="shared" si="42"/>
        <v>93.71</v>
      </c>
      <c r="W225">
        <f t="shared" si="43"/>
        <v>5.1166888198125058</v>
      </c>
      <c r="X225" s="297">
        <f t="shared" si="44"/>
        <v>84.19</v>
      </c>
    </row>
    <row r="226" spans="1:24" x14ac:dyDescent="0.2">
      <c r="A226" t="s">
        <v>302</v>
      </c>
      <c r="B226">
        <v>2050</v>
      </c>
      <c r="C226" t="s">
        <v>300</v>
      </c>
      <c r="D226" t="s">
        <v>216</v>
      </c>
      <c r="E226">
        <v>593192205.78859699</v>
      </c>
      <c r="F226">
        <v>9855717.4669295605</v>
      </c>
      <c r="G226">
        <v>57655924</v>
      </c>
      <c r="H226">
        <v>660703847.25552702</v>
      </c>
      <c r="I226">
        <v>15730.8939166666</v>
      </c>
      <c r="J226">
        <v>27918570.2642227</v>
      </c>
      <c r="K226">
        <v>0.202598238657549</v>
      </c>
      <c r="L226">
        <v>23.665389774712398</v>
      </c>
      <c r="M226" t="str">
        <f t="shared" si="35"/>
        <v>High Solar</v>
      </c>
      <c r="N226" t="str">
        <f t="shared" si="36"/>
        <v>High RE Cost</v>
      </c>
      <c r="O226">
        <f t="shared" si="34"/>
        <v>2481229862.8834763</v>
      </c>
      <c r="P226">
        <f t="shared" si="37"/>
        <v>88.873815507062034</v>
      </c>
      <c r="Q226">
        <f t="shared" si="38"/>
        <v>65.56</v>
      </c>
      <c r="R226" s="229">
        <f t="shared" si="39"/>
        <v>1830341466.5224402</v>
      </c>
      <c r="S226" s="297">
        <f t="shared" si="40"/>
        <v>79.943949986749161</v>
      </c>
      <c r="T226" s="297">
        <f t="shared" si="41"/>
        <v>56.631576766024068</v>
      </c>
      <c r="V226" s="296">
        <f t="shared" si="42"/>
        <v>67.63</v>
      </c>
      <c r="W226">
        <f t="shared" si="43"/>
        <v>2.0651460104991606</v>
      </c>
      <c r="X226" s="297">
        <f t="shared" si="44"/>
        <v>58.7</v>
      </c>
    </row>
    <row r="227" spans="1:24" x14ac:dyDescent="0.2">
      <c r="A227" t="s">
        <v>303</v>
      </c>
      <c r="B227">
        <v>2030</v>
      </c>
      <c r="C227" t="s">
        <v>304</v>
      </c>
      <c r="D227" t="s">
        <v>212</v>
      </c>
      <c r="E227">
        <v>177001982.52801001</v>
      </c>
      <c r="F227">
        <v>5186824.4387443801</v>
      </c>
      <c r="G227">
        <v>20409269</v>
      </c>
      <c r="H227">
        <v>202598075.96675399</v>
      </c>
      <c r="I227">
        <v>4370.2250833333301</v>
      </c>
      <c r="J227">
        <v>7839489.8077567602</v>
      </c>
      <c r="K227">
        <v>0.204776392694063</v>
      </c>
      <c r="L227">
        <v>25.843273087273399</v>
      </c>
      <c r="M227" t="str">
        <f t="shared" si="35"/>
        <v>High Solar</v>
      </c>
      <c r="N227" t="str">
        <f t="shared" si="36"/>
        <v>Medium RE Cost</v>
      </c>
      <c r="O227">
        <f t="shared" si="34"/>
        <v>796677109.68726099</v>
      </c>
      <c r="P227">
        <f t="shared" si="37"/>
        <v>101.62359148665404</v>
      </c>
      <c r="Q227">
        <f t="shared" si="38"/>
        <v>76.44</v>
      </c>
      <c r="R227" s="229">
        <f t="shared" si="39"/>
        <v>599250600.90492678</v>
      </c>
      <c r="S227" s="297">
        <f t="shared" si="40"/>
        <v>96.106608574655084</v>
      </c>
      <c r="T227" s="297">
        <f t="shared" si="41"/>
        <v>70.924963293009071</v>
      </c>
      <c r="V227" s="296">
        <f t="shared" si="42"/>
        <v>79.040000000000006</v>
      </c>
      <c r="W227">
        <f t="shared" si="43"/>
        <v>2.6033925039109187</v>
      </c>
      <c r="X227" s="297">
        <f t="shared" si="44"/>
        <v>73.53</v>
      </c>
    </row>
    <row r="228" spans="1:24" x14ac:dyDescent="0.2">
      <c r="A228" t="s">
        <v>303</v>
      </c>
      <c r="B228">
        <v>2040</v>
      </c>
      <c r="C228" t="s">
        <v>304</v>
      </c>
      <c r="D228" t="s">
        <v>212</v>
      </c>
      <c r="E228">
        <v>362335552.02392101</v>
      </c>
      <c r="F228">
        <v>10490390.5957631</v>
      </c>
      <c r="G228">
        <v>114599650</v>
      </c>
      <c r="H228">
        <v>487425592.61968398</v>
      </c>
      <c r="I228">
        <v>10473.906000000001</v>
      </c>
      <c r="J228">
        <v>18764823.185694199</v>
      </c>
      <c r="K228">
        <v>0.20451807600619601</v>
      </c>
      <c r="L228">
        <v>25.975496160884902</v>
      </c>
      <c r="M228" t="str">
        <f t="shared" si="35"/>
        <v>High Solar</v>
      </c>
      <c r="N228" t="str">
        <f t="shared" si="36"/>
        <v>Medium RE Cost</v>
      </c>
      <c r="O228">
        <f t="shared" si="34"/>
        <v>1475131307.2772543</v>
      </c>
      <c r="P228">
        <f t="shared" si="37"/>
        <v>78.611521818220766</v>
      </c>
      <c r="Q228">
        <f t="shared" si="38"/>
        <v>53.2</v>
      </c>
      <c r="R228" s="229">
        <f t="shared" si="39"/>
        <v>998288593.47893143</v>
      </c>
      <c r="S228" s="297">
        <f t="shared" si="40"/>
        <v>66.57055908863569</v>
      </c>
      <c r="T228" s="297">
        <f t="shared" si="41"/>
        <v>41.154108461617597</v>
      </c>
      <c r="V228" s="296">
        <f t="shared" si="42"/>
        <v>59.31</v>
      </c>
      <c r="W228">
        <f t="shared" si="43"/>
        <v>6.107153201814751</v>
      </c>
      <c r="X228" s="297">
        <f t="shared" si="44"/>
        <v>47.26</v>
      </c>
    </row>
    <row r="229" spans="1:24" x14ac:dyDescent="0.2">
      <c r="A229" t="s">
        <v>303</v>
      </c>
      <c r="B229">
        <v>2050</v>
      </c>
      <c r="C229" t="s">
        <v>304</v>
      </c>
      <c r="D229" t="s">
        <v>212</v>
      </c>
      <c r="E229">
        <v>408422056.61429799</v>
      </c>
      <c r="F229">
        <v>6354467.5656693904</v>
      </c>
      <c r="G229">
        <v>607940200</v>
      </c>
      <c r="H229">
        <v>1022716724.17996</v>
      </c>
      <c r="I229">
        <v>15730.8939166666</v>
      </c>
      <c r="J229">
        <v>27918570.2642227</v>
      </c>
      <c r="K229">
        <v>0.202598238657549</v>
      </c>
      <c r="L229">
        <v>36.632131033248598</v>
      </c>
      <c r="M229" t="str">
        <f t="shared" si="35"/>
        <v>High Solar</v>
      </c>
      <c r="N229" t="str">
        <f t="shared" si="36"/>
        <v>Medium RE Cost</v>
      </c>
      <c r="O229">
        <f t="shared" si="34"/>
        <v>1857774234.0994</v>
      </c>
      <c r="P229">
        <f t="shared" si="37"/>
        <v>66.542599299223951</v>
      </c>
      <c r="Q229">
        <f t="shared" si="38"/>
        <v>30.14</v>
      </c>
      <c r="R229" s="229">
        <f t="shared" si="39"/>
        <v>841465707.76367223</v>
      </c>
      <c r="S229" s="297">
        <f t="shared" si="40"/>
        <v>59.252144159925678</v>
      </c>
      <c r="T229" s="297">
        <f t="shared" si="41"/>
        <v>22.847620325238001</v>
      </c>
      <c r="V229" s="296">
        <f t="shared" si="42"/>
        <v>51.92</v>
      </c>
      <c r="W229">
        <f t="shared" si="43"/>
        <v>21.775477549402584</v>
      </c>
      <c r="X229" s="297">
        <f t="shared" si="44"/>
        <v>44.62</v>
      </c>
    </row>
    <row r="230" spans="1:24" x14ac:dyDescent="0.2">
      <c r="A230" t="s">
        <v>305</v>
      </c>
      <c r="B230">
        <v>2030</v>
      </c>
      <c r="C230" t="s">
        <v>304</v>
      </c>
      <c r="D230" t="s">
        <v>214</v>
      </c>
      <c r="E230">
        <v>200993023.94802999</v>
      </c>
      <c r="F230">
        <v>2752051.9720111699</v>
      </c>
      <c r="G230">
        <v>779813</v>
      </c>
      <c r="H230">
        <v>204524888.92004099</v>
      </c>
      <c r="I230">
        <v>4370.2250833333301</v>
      </c>
      <c r="J230">
        <v>7839489.8077567602</v>
      </c>
      <c r="K230">
        <v>0.204776392694063</v>
      </c>
      <c r="L230">
        <v>26.0890560400595</v>
      </c>
      <c r="M230" t="str">
        <f t="shared" si="35"/>
        <v>High Solar</v>
      </c>
      <c r="N230" t="str">
        <f t="shared" si="36"/>
        <v>Medium RE Cost</v>
      </c>
      <c r="O230">
        <f t="shared" si="34"/>
        <v>796677109.68726099</v>
      </c>
      <c r="P230">
        <f t="shared" si="37"/>
        <v>101.62359148665404</v>
      </c>
      <c r="Q230">
        <f t="shared" si="38"/>
        <v>75.89</v>
      </c>
      <c r="R230" s="229">
        <f t="shared" si="39"/>
        <v>594938881.51066053</v>
      </c>
      <c r="S230" s="297">
        <f t="shared" si="40"/>
        <v>96.106608574655084</v>
      </c>
      <c r="T230" s="297">
        <f t="shared" si="41"/>
        <v>70.368602416602997</v>
      </c>
      <c r="V230" s="296">
        <f t="shared" si="42"/>
        <v>75.989999999999995</v>
      </c>
      <c r="W230">
        <f t="shared" si="43"/>
        <v>9.9472417098931148E-2</v>
      </c>
      <c r="X230" s="297">
        <f t="shared" si="44"/>
        <v>70.47</v>
      </c>
    </row>
    <row r="231" spans="1:24" x14ac:dyDescent="0.2">
      <c r="A231" t="s">
        <v>305</v>
      </c>
      <c r="B231">
        <v>2040</v>
      </c>
      <c r="C231" t="s">
        <v>304</v>
      </c>
      <c r="D231" t="s">
        <v>214</v>
      </c>
      <c r="E231">
        <v>360785305.39525199</v>
      </c>
      <c r="F231">
        <v>6310084.57303409</v>
      </c>
      <c r="G231">
        <v>10310947</v>
      </c>
      <c r="H231">
        <v>377406336.96828598</v>
      </c>
      <c r="I231">
        <v>10473.906000000001</v>
      </c>
      <c r="J231">
        <v>18764823.185694199</v>
      </c>
      <c r="K231">
        <v>0.20451807600619601</v>
      </c>
      <c r="L231">
        <v>20.1124376837193</v>
      </c>
      <c r="M231" t="str">
        <f t="shared" si="35"/>
        <v>High Solar</v>
      </c>
      <c r="N231" t="str">
        <f t="shared" si="36"/>
        <v>Medium RE Cost</v>
      </c>
      <c r="O231">
        <f t="shared" si="34"/>
        <v>1475131307.2772543</v>
      </c>
      <c r="P231">
        <f t="shared" si="37"/>
        <v>78.611521818220766</v>
      </c>
      <c r="Q231">
        <f t="shared" si="38"/>
        <v>58.84</v>
      </c>
      <c r="R231" s="229">
        <f t="shared" si="39"/>
        <v>1104122196.2462468</v>
      </c>
      <c r="S231" s="297">
        <f t="shared" si="40"/>
        <v>66.57055908863569</v>
      </c>
      <c r="T231" s="297">
        <f t="shared" si="41"/>
        <v>46.794393402290943</v>
      </c>
      <c r="V231" s="296">
        <f t="shared" si="42"/>
        <v>59.39</v>
      </c>
      <c r="W231">
        <f t="shared" si="43"/>
        <v>0.54948276879372837</v>
      </c>
      <c r="X231" s="297">
        <f t="shared" si="44"/>
        <v>47.34</v>
      </c>
    </row>
    <row r="232" spans="1:24" x14ac:dyDescent="0.2">
      <c r="A232" t="s">
        <v>305</v>
      </c>
      <c r="B232">
        <v>2050</v>
      </c>
      <c r="C232" t="s">
        <v>304</v>
      </c>
      <c r="D232" t="s">
        <v>214</v>
      </c>
      <c r="E232">
        <v>395296773.31405997</v>
      </c>
      <c r="F232">
        <v>3752988.2567221601</v>
      </c>
      <c r="G232">
        <v>627145096</v>
      </c>
      <c r="H232">
        <v>1026194857.57078</v>
      </c>
      <c r="I232">
        <v>15730.8939166666</v>
      </c>
      <c r="J232">
        <v>27918570.2642227</v>
      </c>
      <c r="K232">
        <v>0.202598238657549</v>
      </c>
      <c r="L232">
        <v>36.756712391029403</v>
      </c>
      <c r="M232" t="str">
        <f t="shared" si="35"/>
        <v>High Solar</v>
      </c>
      <c r="N232" t="str">
        <f t="shared" si="36"/>
        <v>Medium RE Cost</v>
      </c>
      <c r="O232">
        <f t="shared" si="34"/>
        <v>1857774234.0994</v>
      </c>
      <c r="P232">
        <f t="shared" si="37"/>
        <v>66.542599299223951</v>
      </c>
      <c r="Q232">
        <f t="shared" si="38"/>
        <v>29.92</v>
      </c>
      <c r="R232" s="229">
        <f t="shared" si="39"/>
        <v>835323622.30554318</v>
      </c>
      <c r="S232" s="297">
        <f t="shared" si="40"/>
        <v>59.252144159925678</v>
      </c>
      <c r="T232" s="297">
        <f t="shared" si="41"/>
        <v>22.629858002804426</v>
      </c>
      <c r="V232" s="296">
        <f t="shared" si="42"/>
        <v>52.38</v>
      </c>
      <c r="W232">
        <f t="shared" si="43"/>
        <v>22.463367216324777</v>
      </c>
      <c r="X232" s="297">
        <f t="shared" si="44"/>
        <v>45.09</v>
      </c>
    </row>
    <row r="233" spans="1:24" x14ac:dyDescent="0.2">
      <c r="A233" t="s">
        <v>306</v>
      </c>
      <c r="B233">
        <v>2030</v>
      </c>
      <c r="C233" t="s">
        <v>304</v>
      </c>
      <c r="D233" t="s">
        <v>216</v>
      </c>
      <c r="E233">
        <v>177810376.00868601</v>
      </c>
      <c r="F233">
        <v>26042725.206353098</v>
      </c>
      <c r="G233">
        <v>40839723</v>
      </c>
      <c r="H233">
        <v>244692824.21503901</v>
      </c>
      <c r="I233">
        <v>4370.2250833333301</v>
      </c>
      <c r="J233">
        <v>7839489.8077567602</v>
      </c>
      <c r="K233">
        <v>0.204776392694063</v>
      </c>
      <c r="L233">
        <v>31.2128506083302</v>
      </c>
      <c r="M233" t="str">
        <f t="shared" si="35"/>
        <v>High Solar</v>
      </c>
      <c r="N233" t="str">
        <f t="shared" si="36"/>
        <v>High RE Cost</v>
      </c>
      <c r="O233">
        <f t="shared" si="34"/>
        <v>1037037209.9623756</v>
      </c>
      <c r="P233">
        <f t="shared" si="37"/>
        <v>132.28376276939377</v>
      </c>
      <c r="Q233">
        <f t="shared" si="38"/>
        <v>104.39</v>
      </c>
      <c r="R233" s="229">
        <f t="shared" si="39"/>
        <v>818364341.03172815</v>
      </c>
      <c r="S233" s="297">
        <f t="shared" si="40"/>
        <v>125.10228799510858</v>
      </c>
      <c r="T233" s="297">
        <f t="shared" si="41"/>
        <v>97.211429741508539</v>
      </c>
      <c r="V233" s="296">
        <f t="shared" si="42"/>
        <v>109.6</v>
      </c>
      <c r="W233">
        <f t="shared" si="43"/>
        <v>5.2094873520456977</v>
      </c>
      <c r="X233" s="297">
        <f t="shared" si="44"/>
        <v>102.42</v>
      </c>
    </row>
    <row r="234" spans="1:24" x14ac:dyDescent="0.2">
      <c r="A234" t="s">
        <v>306</v>
      </c>
      <c r="B234">
        <v>2040</v>
      </c>
      <c r="C234" t="s">
        <v>304</v>
      </c>
      <c r="D234" t="s">
        <v>216</v>
      </c>
      <c r="E234">
        <v>392860814.61392999</v>
      </c>
      <c r="F234">
        <v>14634861.0917647</v>
      </c>
      <c r="G234">
        <v>197618311</v>
      </c>
      <c r="H234">
        <v>605113986.70569396</v>
      </c>
      <c r="I234">
        <v>10473.906000000001</v>
      </c>
      <c r="J234">
        <v>18764823.185694199</v>
      </c>
      <c r="K234">
        <v>0.20451807600619601</v>
      </c>
      <c r="L234">
        <v>32.247252250530998</v>
      </c>
      <c r="M234" t="str">
        <f t="shared" si="35"/>
        <v>High Solar</v>
      </c>
      <c r="N234" t="str">
        <f t="shared" si="36"/>
        <v>High RE Cost</v>
      </c>
      <c r="O234">
        <f t="shared" si="34"/>
        <v>2156969266.5728054</v>
      </c>
      <c r="P234">
        <f t="shared" si="37"/>
        <v>114.94748686026635</v>
      </c>
      <c r="Q234">
        <f t="shared" si="38"/>
        <v>83.48</v>
      </c>
      <c r="R234" s="229">
        <f t="shared" si="39"/>
        <v>1566487439.5417519</v>
      </c>
      <c r="S234" s="297">
        <f t="shared" si="40"/>
        <v>105.43842332469075</v>
      </c>
      <c r="T234" s="297">
        <f t="shared" si="41"/>
        <v>73.971080426192486</v>
      </c>
      <c r="V234" s="296">
        <f t="shared" si="42"/>
        <v>94.01</v>
      </c>
      <c r="W234">
        <f t="shared" si="43"/>
        <v>10.531317510663193</v>
      </c>
      <c r="X234" s="297">
        <f t="shared" si="44"/>
        <v>84.5</v>
      </c>
    </row>
    <row r="235" spans="1:24" x14ac:dyDescent="0.2">
      <c r="A235" t="s">
        <v>306</v>
      </c>
      <c r="B235">
        <v>2050</v>
      </c>
      <c r="C235" t="s">
        <v>304</v>
      </c>
      <c r="D235" t="s">
        <v>216</v>
      </c>
      <c r="E235">
        <v>396473816.35225898</v>
      </c>
      <c r="F235">
        <v>10224740.811767301</v>
      </c>
      <c r="G235">
        <v>797141895</v>
      </c>
      <c r="H235">
        <v>1203840452.1640201</v>
      </c>
      <c r="I235">
        <v>15730.8939166666</v>
      </c>
      <c r="J235">
        <v>27918570.2642227</v>
      </c>
      <c r="K235">
        <v>0.202598238657549</v>
      </c>
      <c r="L235">
        <v>43.1197027917555</v>
      </c>
      <c r="M235" t="str">
        <f t="shared" si="35"/>
        <v>High Solar</v>
      </c>
      <c r="N235" t="str">
        <f t="shared" si="36"/>
        <v>High RE Cost</v>
      </c>
      <c r="O235">
        <f t="shared" si="34"/>
        <v>2481229862.8834763</v>
      </c>
      <c r="P235">
        <f t="shared" si="37"/>
        <v>88.873815507062034</v>
      </c>
      <c r="Q235">
        <f t="shared" si="38"/>
        <v>46.12</v>
      </c>
      <c r="R235" s="229">
        <f t="shared" si="39"/>
        <v>1287604460.5859509</v>
      </c>
      <c r="S235" s="297">
        <f t="shared" si="40"/>
        <v>79.943949986749161</v>
      </c>
      <c r="T235" s="297">
        <f t="shared" si="41"/>
        <v>37.190481594355774</v>
      </c>
      <c r="V235" s="296">
        <f t="shared" si="42"/>
        <v>74.67</v>
      </c>
      <c r="W235">
        <f t="shared" si="43"/>
        <v>28.552389590720818</v>
      </c>
      <c r="X235" s="297">
        <f t="shared" si="44"/>
        <v>65.739999999999995</v>
      </c>
    </row>
    <row r="236" spans="1:24" x14ac:dyDescent="0.2">
      <c r="A236" t="s">
        <v>307</v>
      </c>
      <c r="B236">
        <v>2030</v>
      </c>
      <c r="C236" t="s">
        <v>304</v>
      </c>
      <c r="D236" t="s">
        <v>218</v>
      </c>
      <c r="E236">
        <v>149035749.55116901</v>
      </c>
      <c r="F236">
        <v>20815889.488262501</v>
      </c>
      <c r="G236">
        <v>34662451</v>
      </c>
      <c r="H236">
        <v>204514090.03943101</v>
      </c>
      <c r="I236">
        <v>4370.2250833333301</v>
      </c>
      <c r="J236">
        <v>7839489.8077567602</v>
      </c>
      <c r="K236">
        <v>0.204776392694063</v>
      </c>
      <c r="L236">
        <v>26.087678542176999</v>
      </c>
      <c r="M236" t="str">
        <f t="shared" si="35"/>
        <v>High Solar</v>
      </c>
      <c r="N236" t="str">
        <f t="shared" si="36"/>
        <v>Medium RE Cost</v>
      </c>
      <c r="O236">
        <f t="shared" si="34"/>
        <v>796677109.68726099</v>
      </c>
      <c r="P236">
        <f t="shared" si="37"/>
        <v>101.62359148665404</v>
      </c>
      <c r="Q236">
        <f t="shared" si="38"/>
        <v>78.19</v>
      </c>
      <c r="R236" s="229">
        <f t="shared" si="39"/>
        <v>612969708.06850111</v>
      </c>
      <c r="S236" s="297">
        <f t="shared" si="40"/>
        <v>96.106608574655084</v>
      </c>
      <c r="T236" s="297">
        <f t="shared" si="41"/>
        <v>72.674190769939102</v>
      </c>
      <c r="V236" s="296">
        <f t="shared" si="42"/>
        <v>82.61</v>
      </c>
      <c r="W236">
        <f t="shared" si="43"/>
        <v>4.4215187276222156</v>
      </c>
      <c r="X236" s="297">
        <f t="shared" si="44"/>
        <v>77.099999999999994</v>
      </c>
    </row>
    <row r="237" spans="1:24" x14ac:dyDescent="0.2">
      <c r="A237" t="s">
        <v>307</v>
      </c>
      <c r="B237">
        <v>2040</v>
      </c>
      <c r="C237" t="s">
        <v>304</v>
      </c>
      <c r="D237" t="s">
        <v>218</v>
      </c>
      <c r="E237">
        <v>274589644.25098097</v>
      </c>
      <c r="F237">
        <v>9155734.8111358993</v>
      </c>
      <c r="G237">
        <v>252010762</v>
      </c>
      <c r="H237">
        <v>535756141.06211698</v>
      </c>
      <c r="I237">
        <v>10473.906000000001</v>
      </c>
      <c r="J237">
        <v>18764823.185694199</v>
      </c>
      <c r="K237">
        <v>0.20451807600619601</v>
      </c>
      <c r="L237">
        <v>28.5510892247875</v>
      </c>
      <c r="M237" t="str">
        <f t="shared" si="35"/>
        <v>High Solar</v>
      </c>
      <c r="N237" t="str">
        <f t="shared" si="36"/>
        <v>Medium RE Cost</v>
      </c>
      <c r="O237">
        <f t="shared" si="34"/>
        <v>1475131307.2772543</v>
      </c>
      <c r="P237">
        <f t="shared" si="37"/>
        <v>78.611521818220766</v>
      </c>
      <c r="Q237">
        <f t="shared" si="38"/>
        <v>50.55</v>
      </c>
      <c r="R237" s="229">
        <f t="shared" si="39"/>
        <v>948561812.03684175</v>
      </c>
      <c r="S237" s="297">
        <f t="shared" si="40"/>
        <v>66.57055908863569</v>
      </c>
      <c r="T237" s="297">
        <f t="shared" si="41"/>
        <v>38.507389985478511</v>
      </c>
      <c r="V237" s="296">
        <f t="shared" si="42"/>
        <v>63.98</v>
      </c>
      <c r="W237">
        <f t="shared" si="43"/>
        <v>13.429956653794973</v>
      </c>
      <c r="X237" s="297">
        <f t="shared" si="44"/>
        <v>51.94</v>
      </c>
    </row>
    <row r="238" spans="1:24" x14ac:dyDescent="0.2">
      <c r="A238" t="s">
        <v>307</v>
      </c>
      <c r="B238">
        <v>2050</v>
      </c>
      <c r="C238" t="s">
        <v>304</v>
      </c>
      <c r="D238" t="s">
        <v>218</v>
      </c>
      <c r="E238">
        <v>214366560.010153</v>
      </c>
      <c r="F238">
        <v>10318430.743908999</v>
      </c>
      <c r="G238">
        <v>1001569264</v>
      </c>
      <c r="H238">
        <v>1226254254.75406</v>
      </c>
      <c r="I238">
        <v>15730.8939166666</v>
      </c>
      <c r="J238">
        <v>27918570.2642227</v>
      </c>
      <c r="K238">
        <v>0.202598238657549</v>
      </c>
      <c r="L238">
        <v>43.922530528917903</v>
      </c>
      <c r="M238" t="str">
        <f t="shared" si="35"/>
        <v>High Solar</v>
      </c>
      <c r="N238" t="str">
        <f t="shared" si="36"/>
        <v>Medium RE Cost</v>
      </c>
      <c r="O238">
        <f t="shared" si="34"/>
        <v>1857774234.0994</v>
      </c>
      <c r="P238">
        <f t="shared" si="37"/>
        <v>66.542599299223951</v>
      </c>
      <c r="Q238">
        <f t="shared" si="38"/>
        <v>22.99</v>
      </c>
      <c r="R238" s="229">
        <f t="shared" si="39"/>
        <v>641847930.37447989</v>
      </c>
      <c r="S238" s="297">
        <f t="shared" si="40"/>
        <v>59.252144159925678</v>
      </c>
      <c r="T238" s="297">
        <f t="shared" si="41"/>
        <v>15.699203858811487</v>
      </c>
      <c r="V238" s="296">
        <f t="shared" si="42"/>
        <v>58.86</v>
      </c>
      <c r="W238">
        <f t="shared" si="43"/>
        <v>35.874661722326756</v>
      </c>
      <c r="X238" s="297">
        <f t="shared" si="44"/>
        <v>51.57</v>
      </c>
    </row>
    <row r="239" spans="1:24" x14ac:dyDescent="0.2">
      <c r="A239" t="s">
        <v>308</v>
      </c>
      <c r="B239">
        <v>2030</v>
      </c>
      <c r="C239" t="s">
        <v>304</v>
      </c>
      <c r="D239" t="s">
        <v>220</v>
      </c>
      <c r="E239">
        <v>175659895.796864</v>
      </c>
      <c r="F239">
        <v>2410744.2909661098</v>
      </c>
      <c r="G239">
        <v>11125899</v>
      </c>
      <c r="H239">
        <v>189196539.08783001</v>
      </c>
      <c r="I239">
        <v>4370.2250833333301</v>
      </c>
      <c r="J239">
        <v>7839489.8077567602</v>
      </c>
      <c r="K239">
        <v>0.204776392694063</v>
      </c>
      <c r="L239">
        <v>24.1337821372802</v>
      </c>
      <c r="M239" t="str">
        <f t="shared" si="35"/>
        <v>High Solar</v>
      </c>
      <c r="N239" t="str">
        <f t="shared" si="36"/>
        <v>Low RE Cost</v>
      </c>
      <c r="O239">
        <f t="shared" si="34"/>
        <v>722146827.94767082</v>
      </c>
      <c r="P239">
        <f t="shared" si="37"/>
        <v>92.116559324197951</v>
      </c>
      <c r="Q239">
        <f t="shared" si="38"/>
        <v>68.290000000000006</v>
      </c>
      <c r="R239" s="229">
        <f t="shared" si="39"/>
        <v>535358758.97170919</v>
      </c>
      <c r="S239" s="297">
        <f t="shared" si="40"/>
        <v>87.11569804514663</v>
      </c>
      <c r="T239" s="297">
        <f t="shared" si="41"/>
        <v>63.289428813691117</v>
      </c>
      <c r="V239" s="296">
        <f t="shared" si="42"/>
        <v>69.709999999999994</v>
      </c>
      <c r="W239">
        <f t="shared" si="43"/>
        <v>1.4192121264054087</v>
      </c>
      <c r="X239" s="297">
        <f t="shared" si="44"/>
        <v>64.709999999999994</v>
      </c>
    </row>
    <row r="240" spans="1:24" x14ac:dyDescent="0.2">
      <c r="A240" t="s">
        <v>308</v>
      </c>
      <c r="B240">
        <v>2040</v>
      </c>
      <c r="C240" t="s">
        <v>304</v>
      </c>
      <c r="D240" t="s">
        <v>220</v>
      </c>
      <c r="E240">
        <v>291522566.51084101</v>
      </c>
      <c r="F240">
        <v>4223109.7930331295</v>
      </c>
      <c r="G240">
        <v>139865799</v>
      </c>
      <c r="H240">
        <v>435611475.30387402</v>
      </c>
      <c r="I240">
        <v>10473.906000000001</v>
      </c>
      <c r="J240">
        <v>18764823.185694199</v>
      </c>
      <c r="K240">
        <v>0.20451807600619601</v>
      </c>
      <c r="L240">
        <v>23.2142595212926</v>
      </c>
      <c r="M240" t="str">
        <f t="shared" si="35"/>
        <v>High Solar</v>
      </c>
      <c r="N240" t="str">
        <f t="shared" si="36"/>
        <v>Low RE Cost</v>
      </c>
      <c r="O240">
        <f t="shared" si="34"/>
        <v>1227981040.1559095</v>
      </c>
      <c r="P240">
        <f t="shared" si="37"/>
        <v>65.440586783257814</v>
      </c>
      <c r="Q240">
        <f t="shared" si="38"/>
        <v>42.45</v>
      </c>
      <c r="R240" s="229">
        <f t="shared" si="39"/>
        <v>796566744.23271883</v>
      </c>
      <c r="S240" s="297">
        <f t="shared" si="40"/>
        <v>51.758222969109426</v>
      </c>
      <c r="T240" s="297">
        <f t="shared" si="41"/>
        <v>28.769018048717747</v>
      </c>
      <c r="V240" s="296">
        <f t="shared" si="42"/>
        <v>49.9</v>
      </c>
      <c r="W240">
        <f t="shared" si="43"/>
        <v>7.4536166749831114</v>
      </c>
      <c r="X240" s="297">
        <f t="shared" si="44"/>
        <v>36.22</v>
      </c>
    </row>
    <row r="241" spans="1:24" x14ac:dyDescent="0.2">
      <c r="A241" t="s">
        <v>308</v>
      </c>
      <c r="B241">
        <v>2050</v>
      </c>
      <c r="C241" t="s">
        <v>304</v>
      </c>
      <c r="D241" t="s">
        <v>220</v>
      </c>
      <c r="E241">
        <v>360424934.51359701</v>
      </c>
      <c r="F241">
        <v>3843928.34680661</v>
      </c>
      <c r="G241">
        <v>767153260</v>
      </c>
      <c r="H241">
        <v>1131422122.8604</v>
      </c>
      <c r="I241">
        <v>15730.8939166666</v>
      </c>
      <c r="J241">
        <v>27918570.2642227</v>
      </c>
      <c r="K241">
        <v>0.202598238657549</v>
      </c>
      <c r="L241">
        <v>40.525790259048698</v>
      </c>
      <c r="M241" t="str">
        <f t="shared" si="35"/>
        <v>High Solar</v>
      </c>
      <c r="N241" t="str">
        <f t="shared" si="36"/>
        <v>Low RE Cost</v>
      </c>
      <c r="O241">
        <f t="shared" si="34"/>
        <v>1496035802.9716711</v>
      </c>
      <c r="P241">
        <f t="shared" si="37"/>
        <v>53.585688264589336</v>
      </c>
      <c r="Q241">
        <f t="shared" si="38"/>
        <v>13.2</v>
      </c>
      <c r="R241" s="229">
        <f t="shared" si="39"/>
        <v>368525127.48773962</v>
      </c>
      <c r="S241" s="297">
        <f t="shared" si="40"/>
        <v>44.676004856383202</v>
      </c>
      <c r="T241" s="297">
        <f t="shared" si="41"/>
        <v>4.2878981645955356</v>
      </c>
      <c r="V241" s="296">
        <f t="shared" si="42"/>
        <v>40.68</v>
      </c>
      <c r="W241">
        <f t="shared" si="43"/>
        <v>27.47824307404084</v>
      </c>
      <c r="X241" s="297">
        <f t="shared" si="44"/>
        <v>31.77</v>
      </c>
    </row>
    <row r="242" spans="1:24" x14ac:dyDescent="0.2">
      <c r="A242" t="s">
        <v>309</v>
      </c>
      <c r="B242">
        <v>2030</v>
      </c>
      <c r="C242" t="s">
        <v>304</v>
      </c>
      <c r="D242" t="s">
        <v>222</v>
      </c>
      <c r="E242">
        <v>177001982.52801001</v>
      </c>
      <c r="F242">
        <v>5186824.4387443801</v>
      </c>
      <c r="G242">
        <v>20409269</v>
      </c>
      <c r="H242">
        <v>202598075.96675399</v>
      </c>
      <c r="I242">
        <v>4370.2250833333301</v>
      </c>
      <c r="J242">
        <v>7839489.8077567602</v>
      </c>
      <c r="K242">
        <v>0.204776392694063</v>
      </c>
      <c r="L242">
        <v>25.843273087273399</v>
      </c>
      <c r="M242" t="str">
        <f t="shared" si="35"/>
        <v>High Solar</v>
      </c>
      <c r="N242" t="str">
        <f t="shared" si="36"/>
        <v>Medium RE Cost</v>
      </c>
      <c r="O242">
        <f t="shared" si="34"/>
        <v>796677109.68726099</v>
      </c>
      <c r="P242">
        <f t="shared" si="37"/>
        <v>101.62359148665404</v>
      </c>
      <c r="Q242">
        <f t="shared" si="38"/>
        <v>76.44</v>
      </c>
      <c r="R242" s="229">
        <f t="shared" si="39"/>
        <v>599250600.90492678</v>
      </c>
      <c r="S242" s="297">
        <f t="shared" si="40"/>
        <v>96.106608574655084</v>
      </c>
      <c r="T242" s="297">
        <f t="shared" si="41"/>
        <v>70.924963293009071</v>
      </c>
      <c r="V242" s="296">
        <f t="shared" si="42"/>
        <v>79.040000000000006</v>
      </c>
      <c r="W242">
        <f t="shared" si="43"/>
        <v>2.6033925039109187</v>
      </c>
      <c r="X242" s="297">
        <f t="shared" si="44"/>
        <v>73.53</v>
      </c>
    </row>
    <row r="243" spans="1:24" x14ac:dyDescent="0.2">
      <c r="A243" t="s">
        <v>309</v>
      </c>
      <c r="B243">
        <v>2040</v>
      </c>
      <c r="C243" t="s">
        <v>304</v>
      </c>
      <c r="D243" t="s">
        <v>222</v>
      </c>
      <c r="E243">
        <v>357054047.87772101</v>
      </c>
      <c r="F243">
        <v>8682977.8572931197</v>
      </c>
      <c r="G243">
        <v>116641968</v>
      </c>
      <c r="H243">
        <v>482378993.73501402</v>
      </c>
      <c r="I243">
        <v>10473.906000000001</v>
      </c>
      <c r="J243">
        <v>18764823.185694199</v>
      </c>
      <c r="K243">
        <v>0.20451807600619601</v>
      </c>
      <c r="L243">
        <v>25.706556835705499</v>
      </c>
      <c r="M243" t="str">
        <f t="shared" si="35"/>
        <v>High Solar</v>
      </c>
      <c r="N243" t="str">
        <f t="shared" si="36"/>
        <v>Medium RE Cost</v>
      </c>
      <c r="O243">
        <f t="shared" si="34"/>
        <v>1475131307.2772543</v>
      </c>
      <c r="P243">
        <f t="shared" si="37"/>
        <v>78.611521818220766</v>
      </c>
      <c r="Q243">
        <f t="shared" si="38"/>
        <v>53.37</v>
      </c>
      <c r="R243" s="229">
        <f t="shared" si="39"/>
        <v>1001478613.4204993</v>
      </c>
      <c r="S243" s="297">
        <f t="shared" si="40"/>
        <v>66.57055908863569</v>
      </c>
      <c r="T243" s="297">
        <f t="shared" si="41"/>
        <v>41.326728587805064</v>
      </c>
      <c r="V243" s="296">
        <f t="shared" si="42"/>
        <v>59.59</v>
      </c>
      <c r="W243">
        <f t="shared" si="43"/>
        <v>6.2159907847639477</v>
      </c>
      <c r="X243" s="297">
        <f t="shared" si="44"/>
        <v>47.54</v>
      </c>
    </row>
    <row r="244" spans="1:24" x14ac:dyDescent="0.2">
      <c r="A244" t="s">
        <v>309</v>
      </c>
      <c r="B244">
        <v>2050</v>
      </c>
      <c r="C244" t="s">
        <v>304</v>
      </c>
      <c r="D244" t="s">
        <v>222</v>
      </c>
      <c r="E244" s="229">
        <v>355358736.58332402</v>
      </c>
      <c r="F244" s="229">
        <v>4089082.6435898598</v>
      </c>
      <c r="G244" s="229">
        <v>790311316</v>
      </c>
      <c r="H244">
        <v>1149759135.2269101</v>
      </c>
      <c r="I244">
        <v>15730.8939166666</v>
      </c>
      <c r="J244">
        <v>27918570.2642227</v>
      </c>
      <c r="K244">
        <v>0.202598238657549</v>
      </c>
      <c r="L244">
        <v>41.1825936767369</v>
      </c>
      <c r="M244" t="str">
        <f t="shared" si="35"/>
        <v>High Solar</v>
      </c>
      <c r="N244" t="str">
        <f t="shared" si="36"/>
        <v>Medium RE Cost</v>
      </c>
      <c r="O244">
        <f t="shared" si="34"/>
        <v>1857774234.0994</v>
      </c>
      <c r="P244">
        <f t="shared" si="37"/>
        <v>66.542599299223951</v>
      </c>
      <c r="Q244">
        <f t="shared" si="38"/>
        <v>25.51</v>
      </c>
      <c r="R244" s="229">
        <f t="shared" si="39"/>
        <v>712202727.44032109</v>
      </c>
      <c r="S244" s="297">
        <f t="shared" si="40"/>
        <v>59.252144159925678</v>
      </c>
      <c r="T244" s="297">
        <f t="shared" si="41"/>
        <v>18.216015098134648</v>
      </c>
      <c r="V244" s="296">
        <f t="shared" si="42"/>
        <v>53.82</v>
      </c>
      <c r="W244">
        <f t="shared" si="43"/>
        <v>28.307728817072487</v>
      </c>
      <c r="X244" s="297">
        <f t="shared" si="44"/>
        <v>46.52</v>
      </c>
    </row>
    <row r="245" spans="1:24" x14ac:dyDescent="0.2">
      <c r="A245" t="s">
        <v>310</v>
      </c>
      <c r="B245">
        <v>2030</v>
      </c>
      <c r="C245" t="s">
        <v>304</v>
      </c>
      <c r="D245" t="s">
        <v>224</v>
      </c>
      <c r="E245">
        <v>175118120.56219199</v>
      </c>
      <c r="F245">
        <v>3679027.0099807</v>
      </c>
      <c r="G245">
        <v>21946509</v>
      </c>
      <c r="H245">
        <v>200743656.57217199</v>
      </c>
      <c r="I245">
        <v>4370.2250833333301</v>
      </c>
      <c r="J245">
        <v>7839489.8077567602</v>
      </c>
      <c r="K245">
        <v>0.204776392694063</v>
      </c>
      <c r="L245">
        <v>25.606724607709399</v>
      </c>
      <c r="M245" t="str">
        <f t="shared" si="35"/>
        <v>High Solar</v>
      </c>
      <c r="N245" t="str">
        <f t="shared" si="36"/>
        <v>Medium RE Cost</v>
      </c>
      <c r="O245">
        <f t="shared" si="34"/>
        <v>796677109.68726099</v>
      </c>
      <c r="P245">
        <f t="shared" si="37"/>
        <v>101.62359148665404</v>
      </c>
      <c r="Q245">
        <f t="shared" si="38"/>
        <v>76.489999999999995</v>
      </c>
      <c r="R245" s="229">
        <f t="shared" si="39"/>
        <v>599642575.39531457</v>
      </c>
      <c r="S245" s="297">
        <f t="shared" si="40"/>
        <v>96.106608574655084</v>
      </c>
      <c r="T245" s="297">
        <f t="shared" si="41"/>
        <v>70.969178155751166</v>
      </c>
      <c r="V245" s="296">
        <f t="shared" si="42"/>
        <v>79.290000000000006</v>
      </c>
      <c r="W245">
        <f t="shared" si="43"/>
        <v>2.7994817951399198</v>
      </c>
      <c r="X245" s="297">
        <f t="shared" si="44"/>
        <v>73.77</v>
      </c>
    </row>
    <row r="246" spans="1:24" x14ac:dyDescent="0.2">
      <c r="A246" t="s">
        <v>310</v>
      </c>
      <c r="B246">
        <v>2040</v>
      </c>
      <c r="C246" t="s">
        <v>304</v>
      </c>
      <c r="D246" t="s">
        <v>224</v>
      </c>
      <c r="E246">
        <v>340834909.02622402</v>
      </c>
      <c r="F246">
        <v>15761794.886884</v>
      </c>
      <c r="G246">
        <v>129057228</v>
      </c>
      <c r="H246">
        <v>485653931.91310799</v>
      </c>
      <c r="I246">
        <v>10473.906000000001</v>
      </c>
      <c r="J246">
        <v>18764823.185694199</v>
      </c>
      <c r="K246">
        <v>0.20451807600619601</v>
      </c>
      <c r="L246">
        <v>25.881082230679201</v>
      </c>
      <c r="M246" t="str">
        <f t="shared" si="35"/>
        <v>High Solar</v>
      </c>
      <c r="N246" t="str">
        <f t="shared" si="36"/>
        <v>Medium RE Cost</v>
      </c>
      <c r="O246">
        <f t="shared" si="34"/>
        <v>1475131307.2772543</v>
      </c>
      <c r="P246">
        <f t="shared" si="37"/>
        <v>78.611521818220766</v>
      </c>
      <c r="Q246">
        <f t="shared" si="38"/>
        <v>53.57</v>
      </c>
      <c r="R246" s="229">
        <f t="shared" si="39"/>
        <v>1005231578.0576383</v>
      </c>
      <c r="S246" s="297">
        <f t="shared" si="40"/>
        <v>66.57055908863569</v>
      </c>
      <c r="T246" s="297">
        <f t="shared" si="41"/>
        <v>41.529441867533535</v>
      </c>
      <c r="V246" s="296">
        <f t="shared" si="42"/>
        <v>60.45</v>
      </c>
      <c r="W246">
        <f t="shared" si="43"/>
        <v>6.8776149246314127</v>
      </c>
      <c r="X246" s="297">
        <f t="shared" si="44"/>
        <v>48.41</v>
      </c>
    </row>
    <row r="247" spans="1:24" x14ac:dyDescent="0.2">
      <c r="A247" t="s">
        <v>310</v>
      </c>
      <c r="B247">
        <v>2050</v>
      </c>
      <c r="C247" t="s">
        <v>304</v>
      </c>
      <c r="D247" t="s">
        <v>224</v>
      </c>
      <c r="E247">
        <v>390026028.52514201</v>
      </c>
      <c r="F247">
        <v>20581596.705502599</v>
      </c>
      <c r="G247">
        <v>820120083</v>
      </c>
      <c r="H247">
        <v>1230727708.2306399</v>
      </c>
      <c r="I247">
        <v>15730.8939166666</v>
      </c>
      <c r="J247">
        <v>27918570.2642227</v>
      </c>
      <c r="K247">
        <v>0.202598238657549</v>
      </c>
      <c r="L247">
        <v>44.082762712523497</v>
      </c>
      <c r="M247" t="str">
        <f t="shared" si="35"/>
        <v>High Solar</v>
      </c>
      <c r="N247" t="str">
        <f t="shared" si="36"/>
        <v>Medium RE Cost</v>
      </c>
      <c r="O247">
        <f t="shared" si="34"/>
        <v>1857774234.0994</v>
      </c>
      <c r="P247">
        <f t="shared" si="37"/>
        <v>66.542599299223951</v>
      </c>
      <c r="Q247">
        <f t="shared" si="38"/>
        <v>23.2</v>
      </c>
      <c r="R247" s="229">
        <f t="shared" si="39"/>
        <v>647710830.12996662</v>
      </c>
      <c r="S247" s="297">
        <f t="shared" si="40"/>
        <v>59.252144159925678</v>
      </c>
      <c r="T247" s="297">
        <f t="shared" si="41"/>
        <v>15.906582403995458</v>
      </c>
      <c r="V247" s="296">
        <f t="shared" si="42"/>
        <v>52.58</v>
      </c>
      <c r="W247">
        <f t="shared" si="43"/>
        <v>29.375432740227879</v>
      </c>
      <c r="X247" s="297">
        <f t="shared" si="44"/>
        <v>45.28</v>
      </c>
    </row>
    <row r="248" spans="1:24" x14ac:dyDescent="0.2">
      <c r="A248" t="s">
        <v>311</v>
      </c>
      <c r="B248">
        <v>2030</v>
      </c>
      <c r="C248" t="s">
        <v>304</v>
      </c>
      <c r="D248" t="s">
        <v>226</v>
      </c>
      <c r="E248">
        <v>173865971.64316499</v>
      </c>
      <c r="F248">
        <v>7863915.9624413</v>
      </c>
      <c r="G248">
        <v>20698230</v>
      </c>
      <c r="H248">
        <v>202428117.60560599</v>
      </c>
      <c r="I248">
        <v>4370.2250833333301</v>
      </c>
      <c r="J248">
        <v>7839489.8077567602</v>
      </c>
      <c r="K248">
        <v>0.204776392694063</v>
      </c>
      <c r="L248">
        <v>25.821593314059001</v>
      </c>
      <c r="M248" t="str">
        <f t="shared" si="35"/>
        <v>High Solar</v>
      </c>
      <c r="N248" t="str">
        <f t="shared" si="36"/>
        <v>Medium RE Cost</v>
      </c>
      <c r="O248">
        <f t="shared" si="34"/>
        <v>796677109.68726099</v>
      </c>
      <c r="P248">
        <f t="shared" si="37"/>
        <v>101.62359148665404</v>
      </c>
      <c r="Q248">
        <f t="shared" si="38"/>
        <v>76.81</v>
      </c>
      <c r="R248" s="229">
        <f t="shared" si="39"/>
        <v>602151212.13379681</v>
      </c>
      <c r="S248" s="297">
        <f t="shared" si="40"/>
        <v>96.106608574655084</v>
      </c>
      <c r="T248" s="297">
        <f t="shared" si="41"/>
        <v>71.288131044311967</v>
      </c>
      <c r="V248" s="296">
        <f t="shared" si="42"/>
        <v>79.45</v>
      </c>
      <c r="W248">
        <f t="shared" si="43"/>
        <v>2.6402521729819965</v>
      </c>
      <c r="X248" s="297">
        <f t="shared" si="44"/>
        <v>73.930000000000007</v>
      </c>
    </row>
    <row r="249" spans="1:24" x14ac:dyDescent="0.2">
      <c r="A249" t="s">
        <v>311</v>
      </c>
      <c r="B249">
        <v>2040</v>
      </c>
      <c r="C249" t="s">
        <v>304</v>
      </c>
      <c r="D249" t="s">
        <v>226</v>
      </c>
      <c r="E249">
        <v>371167030.06175703</v>
      </c>
      <c r="F249">
        <v>17964199.434360102</v>
      </c>
      <c r="G249">
        <v>126673191</v>
      </c>
      <c r="H249">
        <v>515804420.496117</v>
      </c>
      <c r="I249">
        <v>10473.906000000001</v>
      </c>
      <c r="J249">
        <v>18764823.185694199</v>
      </c>
      <c r="K249">
        <v>0.20451807600619601</v>
      </c>
      <c r="L249">
        <v>27.487838035657699</v>
      </c>
      <c r="M249" t="str">
        <f t="shared" si="35"/>
        <v>High Solar</v>
      </c>
      <c r="N249" t="str">
        <f t="shared" si="36"/>
        <v>Medium RE Cost</v>
      </c>
      <c r="O249">
        <f t="shared" si="34"/>
        <v>1475131307.2772543</v>
      </c>
      <c r="P249">
        <f t="shared" si="37"/>
        <v>78.611521818220766</v>
      </c>
      <c r="Q249">
        <f t="shared" si="38"/>
        <v>52.08</v>
      </c>
      <c r="R249" s="229">
        <f t="shared" si="39"/>
        <v>977271991.5109539</v>
      </c>
      <c r="S249" s="297">
        <f t="shared" si="40"/>
        <v>66.57055908863569</v>
      </c>
      <c r="T249" s="297">
        <f t="shared" si="41"/>
        <v>40.040054850189307</v>
      </c>
      <c r="V249" s="296">
        <f t="shared" si="42"/>
        <v>58.83</v>
      </c>
      <c r="W249">
        <f t="shared" si="43"/>
        <v>6.7505667251142691</v>
      </c>
      <c r="X249" s="297">
        <f t="shared" si="44"/>
        <v>46.79</v>
      </c>
    </row>
    <row r="250" spans="1:24" x14ac:dyDescent="0.2">
      <c r="A250" t="s">
        <v>311</v>
      </c>
      <c r="B250">
        <v>2050</v>
      </c>
      <c r="C250" t="s">
        <v>304</v>
      </c>
      <c r="D250" t="s">
        <v>226</v>
      </c>
      <c r="E250">
        <v>409000409.23428702</v>
      </c>
      <c r="F250">
        <v>12816908.381661899</v>
      </c>
      <c r="G250">
        <v>810030896</v>
      </c>
      <c r="H250">
        <v>1231848213.6159401</v>
      </c>
      <c r="I250">
        <v>15730.8939166666</v>
      </c>
      <c r="J250">
        <v>27918570.2642227</v>
      </c>
      <c r="K250">
        <v>0.202598238657549</v>
      </c>
      <c r="L250">
        <v>44.122897482130199</v>
      </c>
      <c r="M250" t="str">
        <f t="shared" si="35"/>
        <v>High Solar</v>
      </c>
      <c r="N250" t="str">
        <f t="shared" si="36"/>
        <v>Medium RE Cost</v>
      </c>
      <c r="O250">
        <f t="shared" si="34"/>
        <v>1857774234.0994</v>
      </c>
      <c r="P250">
        <f t="shared" si="37"/>
        <v>66.542599299223951</v>
      </c>
      <c r="Q250">
        <f t="shared" si="38"/>
        <v>22.88</v>
      </c>
      <c r="R250" s="229">
        <f t="shared" si="39"/>
        <v>638776887.64541531</v>
      </c>
      <c r="S250" s="297">
        <f t="shared" si="40"/>
        <v>59.252144159925678</v>
      </c>
      <c r="T250" s="297">
        <f t="shared" si="41"/>
        <v>15.588328509721681</v>
      </c>
      <c r="V250" s="296">
        <f t="shared" si="42"/>
        <v>51.89</v>
      </c>
      <c r="W250">
        <f t="shared" si="43"/>
        <v>29.014053668716858</v>
      </c>
      <c r="X250" s="297">
        <f t="shared" si="44"/>
        <v>44.6</v>
      </c>
    </row>
    <row r="251" spans="1:24" x14ac:dyDescent="0.2">
      <c r="A251" t="s">
        <v>312</v>
      </c>
      <c r="B251">
        <v>2030</v>
      </c>
      <c r="C251" t="s">
        <v>300</v>
      </c>
      <c r="D251" t="s">
        <v>218</v>
      </c>
      <c r="E251">
        <v>149036794.95133901</v>
      </c>
      <c r="F251">
        <v>20816567.672027599</v>
      </c>
      <c r="G251">
        <v>34662153</v>
      </c>
      <c r="H251">
        <v>204515515.62336701</v>
      </c>
      <c r="I251">
        <v>4370.2250833333301</v>
      </c>
      <c r="J251">
        <v>7839489.8077567602</v>
      </c>
      <c r="K251">
        <v>0.204776392694063</v>
      </c>
      <c r="L251">
        <v>26.087860388696399</v>
      </c>
      <c r="M251" t="str">
        <f t="shared" si="35"/>
        <v>High Solar</v>
      </c>
      <c r="N251" t="str">
        <f t="shared" si="36"/>
        <v>Medium RE Cost</v>
      </c>
      <c r="O251">
        <f t="shared" si="34"/>
        <v>796677109.68726099</v>
      </c>
      <c r="P251">
        <f t="shared" si="37"/>
        <v>101.62359148665404</v>
      </c>
      <c r="Q251">
        <f t="shared" si="38"/>
        <v>78.19</v>
      </c>
      <c r="R251" s="229">
        <f t="shared" si="39"/>
        <v>612969708.06850111</v>
      </c>
      <c r="S251" s="297">
        <f t="shared" si="40"/>
        <v>96.106608574655084</v>
      </c>
      <c r="T251" s="297">
        <f t="shared" si="41"/>
        <v>72.674095432080605</v>
      </c>
      <c r="V251" s="296">
        <f t="shared" si="42"/>
        <v>82.61</v>
      </c>
      <c r="W251">
        <f t="shared" si="43"/>
        <v>4.4214807149444386</v>
      </c>
      <c r="X251" s="297">
        <f t="shared" si="44"/>
        <v>77.099999999999994</v>
      </c>
    </row>
    <row r="252" spans="1:24" x14ac:dyDescent="0.2">
      <c r="A252" t="s">
        <v>312</v>
      </c>
      <c r="B252">
        <v>2040</v>
      </c>
      <c r="C252" t="s">
        <v>300</v>
      </c>
      <c r="D252" t="s">
        <v>218</v>
      </c>
      <c r="E252">
        <v>296260970.04567701</v>
      </c>
      <c r="F252">
        <v>9223418.9010493606</v>
      </c>
      <c r="G252">
        <v>54891688</v>
      </c>
      <c r="H252">
        <v>360376076.94672698</v>
      </c>
      <c r="I252">
        <v>10473.906000000001</v>
      </c>
      <c r="J252">
        <v>18764823.185694199</v>
      </c>
      <c r="K252">
        <v>0.20451807600619601</v>
      </c>
      <c r="L252">
        <v>19.204874641263199</v>
      </c>
      <c r="M252" t="str">
        <f t="shared" si="35"/>
        <v>High Solar</v>
      </c>
      <c r="N252" t="str">
        <f t="shared" si="36"/>
        <v>Medium RE Cost</v>
      </c>
      <c r="O252">
        <f t="shared" si="34"/>
        <v>1475131307.2772543</v>
      </c>
      <c r="P252">
        <f t="shared" si="37"/>
        <v>78.611521818220766</v>
      </c>
      <c r="Q252">
        <f t="shared" si="38"/>
        <v>59.9</v>
      </c>
      <c r="R252" s="229">
        <f t="shared" si="39"/>
        <v>1124012908.8230824</v>
      </c>
      <c r="S252" s="297">
        <f t="shared" si="40"/>
        <v>66.57055908863569</v>
      </c>
      <c r="T252" s="297">
        <f t="shared" si="41"/>
        <v>47.85721153557234</v>
      </c>
      <c r="V252" s="296">
        <f t="shared" si="42"/>
        <v>62.83</v>
      </c>
      <c r="W252">
        <f t="shared" si="43"/>
        <v>2.9252440834000484</v>
      </c>
      <c r="X252" s="297">
        <f t="shared" si="44"/>
        <v>50.78</v>
      </c>
    </row>
    <row r="253" spans="1:24" x14ac:dyDescent="0.2">
      <c r="A253" t="s">
        <v>312</v>
      </c>
      <c r="B253">
        <v>2050</v>
      </c>
      <c r="C253" t="s">
        <v>300</v>
      </c>
      <c r="D253" t="s">
        <v>218</v>
      </c>
      <c r="E253">
        <v>428188457.57564199</v>
      </c>
      <c r="F253">
        <v>10186799.0848959</v>
      </c>
      <c r="G253">
        <v>82294140</v>
      </c>
      <c r="H253">
        <v>520669396.66053802</v>
      </c>
      <c r="I253">
        <v>15730.8939166666</v>
      </c>
      <c r="J253">
        <v>27918570.2642227</v>
      </c>
      <c r="K253">
        <v>0.202598238657549</v>
      </c>
      <c r="L253">
        <v>18.649572371826199</v>
      </c>
      <c r="M253" t="str">
        <f t="shared" si="35"/>
        <v>High Solar</v>
      </c>
      <c r="N253" t="str">
        <f t="shared" si="36"/>
        <v>Medium RE Cost</v>
      </c>
      <c r="O253">
        <f t="shared" si="34"/>
        <v>1857774234.0994</v>
      </c>
      <c r="P253">
        <f t="shared" si="37"/>
        <v>66.542599299223951</v>
      </c>
      <c r="Q253">
        <f t="shared" si="38"/>
        <v>48.26</v>
      </c>
      <c r="R253" s="229">
        <f t="shared" si="39"/>
        <v>1347350200.9513874</v>
      </c>
      <c r="S253" s="297">
        <f t="shared" si="40"/>
        <v>59.252144159925678</v>
      </c>
      <c r="T253" s="297">
        <f t="shared" si="41"/>
        <v>40.967447173496573</v>
      </c>
      <c r="V253" s="296">
        <f t="shared" si="42"/>
        <v>51.21</v>
      </c>
      <c r="W253">
        <f t="shared" si="43"/>
        <v>2.9476487950910193</v>
      </c>
      <c r="X253" s="297">
        <f t="shared" si="44"/>
        <v>43.92</v>
      </c>
    </row>
    <row r="254" spans="1:24" x14ac:dyDescent="0.2">
      <c r="A254" t="s">
        <v>313</v>
      </c>
      <c r="B254">
        <v>2030</v>
      </c>
      <c r="C254" t="s">
        <v>300</v>
      </c>
      <c r="D254" t="s">
        <v>220</v>
      </c>
      <c r="E254">
        <v>175659923.368799</v>
      </c>
      <c r="F254">
        <v>2410732.7221062598</v>
      </c>
      <c r="G254">
        <v>11125958</v>
      </c>
      <c r="H254">
        <v>189196614.09090599</v>
      </c>
      <c r="I254">
        <v>4370.2250833333301</v>
      </c>
      <c r="J254">
        <v>7839489.8077567602</v>
      </c>
      <c r="K254">
        <v>0.204776392694063</v>
      </c>
      <c r="L254">
        <v>24.133791704621601</v>
      </c>
      <c r="M254" t="str">
        <f t="shared" si="35"/>
        <v>High Solar</v>
      </c>
      <c r="N254" t="str">
        <f t="shared" si="36"/>
        <v>Low RE Cost</v>
      </c>
      <c r="O254">
        <f t="shared" si="34"/>
        <v>722146827.94767082</v>
      </c>
      <c r="P254">
        <f t="shared" si="37"/>
        <v>92.116559324197951</v>
      </c>
      <c r="Q254">
        <f t="shared" si="38"/>
        <v>68.290000000000006</v>
      </c>
      <c r="R254" s="229">
        <f t="shared" si="39"/>
        <v>535358758.97170919</v>
      </c>
      <c r="S254" s="297">
        <f t="shared" si="40"/>
        <v>87.11569804514663</v>
      </c>
      <c r="T254" s="297">
        <f t="shared" si="41"/>
        <v>63.289417770633833</v>
      </c>
      <c r="V254" s="296">
        <f t="shared" si="42"/>
        <v>69.709999999999994</v>
      </c>
      <c r="W254">
        <f t="shared" si="43"/>
        <v>1.4192196524053713</v>
      </c>
      <c r="X254" s="297">
        <f t="shared" si="44"/>
        <v>64.709999999999994</v>
      </c>
    </row>
    <row r="255" spans="1:24" x14ac:dyDescent="0.2">
      <c r="A255" t="s">
        <v>313</v>
      </c>
      <c r="B255">
        <v>2040</v>
      </c>
      <c r="C255" t="s">
        <v>300</v>
      </c>
      <c r="D255" t="s">
        <v>220</v>
      </c>
      <c r="E255">
        <v>307368525.91696203</v>
      </c>
      <c r="F255">
        <v>4661094.7447532499</v>
      </c>
      <c r="G255">
        <v>-2</v>
      </c>
      <c r="H255">
        <v>312029618.66171497</v>
      </c>
      <c r="I255">
        <v>10473.906000000001</v>
      </c>
      <c r="J255">
        <v>18764823.185694199</v>
      </c>
      <c r="K255">
        <v>0.20451807600619601</v>
      </c>
      <c r="L255">
        <v>16.628433722711399</v>
      </c>
      <c r="M255" t="str">
        <f t="shared" si="35"/>
        <v>High Solar</v>
      </c>
      <c r="N255" t="str">
        <f t="shared" si="36"/>
        <v>Low RE Cost</v>
      </c>
      <c r="O255">
        <f t="shared" si="34"/>
        <v>1227981040.1559095</v>
      </c>
      <c r="P255">
        <f t="shared" si="37"/>
        <v>65.440586783257814</v>
      </c>
      <c r="Q255">
        <f t="shared" si="38"/>
        <v>49.06</v>
      </c>
      <c r="R255" s="229">
        <f t="shared" si="39"/>
        <v>920602225.49015749</v>
      </c>
      <c r="S255" s="297">
        <f t="shared" si="40"/>
        <v>51.758222969109426</v>
      </c>
      <c r="T255" s="297">
        <f t="shared" si="41"/>
        <v>35.378184592233509</v>
      </c>
      <c r="V255" s="296">
        <f t="shared" si="42"/>
        <v>49.06</v>
      </c>
      <c r="W255">
        <f t="shared" si="43"/>
        <v>-1.0658240582435899E-7</v>
      </c>
      <c r="X255" s="297">
        <f t="shared" si="44"/>
        <v>35.380000000000003</v>
      </c>
    </row>
    <row r="256" spans="1:24" x14ac:dyDescent="0.2">
      <c r="A256" t="s">
        <v>313</v>
      </c>
      <c r="B256">
        <v>2050</v>
      </c>
      <c r="C256" t="s">
        <v>300</v>
      </c>
      <c r="D256" t="s">
        <v>220</v>
      </c>
      <c r="E256">
        <v>448746907.42945898</v>
      </c>
      <c r="F256">
        <v>3561607.3591257799</v>
      </c>
      <c r="G256">
        <v>-6</v>
      </c>
      <c r="H256">
        <v>452308508.78858399</v>
      </c>
      <c r="I256">
        <v>15730.8939166666</v>
      </c>
      <c r="J256">
        <v>27918570.2642227</v>
      </c>
      <c r="K256">
        <v>0.202598238657549</v>
      </c>
      <c r="L256">
        <v>16.200991114799699</v>
      </c>
      <c r="M256" t="str">
        <f t="shared" si="35"/>
        <v>High Solar</v>
      </c>
      <c r="N256" t="str">
        <f t="shared" si="36"/>
        <v>Low RE Cost</v>
      </c>
      <c r="O256">
        <f t="shared" si="34"/>
        <v>1496035802.9716711</v>
      </c>
      <c r="P256">
        <f t="shared" si="37"/>
        <v>53.585688264589336</v>
      </c>
      <c r="Q256">
        <f t="shared" si="38"/>
        <v>37.51</v>
      </c>
      <c r="R256" s="229">
        <f t="shared" si="39"/>
        <v>1047225570.6109934</v>
      </c>
      <c r="S256" s="297">
        <f t="shared" si="40"/>
        <v>44.676004856383202</v>
      </c>
      <c r="T256" s="297">
        <f t="shared" si="41"/>
        <v>28.602585007784345</v>
      </c>
      <c r="V256" s="296">
        <f t="shared" si="42"/>
        <v>37.51</v>
      </c>
      <c r="W256">
        <f t="shared" si="43"/>
        <v>-2.14910718679922E-7</v>
      </c>
      <c r="X256" s="297">
        <f t="shared" si="44"/>
        <v>28.6</v>
      </c>
    </row>
    <row r="257" spans="1:24" x14ac:dyDescent="0.2">
      <c r="A257" t="s">
        <v>314</v>
      </c>
      <c r="B257">
        <v>2030</v>
      </c>
      <c r="C257" t="s">
        <v>300</v>
      </c>
      <c r="D257" t="s">
        <v>222</v>
      </c>
      <c r="E257">
        <v>177002317.81550199</v>
      </c>
      <c r="F257">
        <v>5186516.3431202704</v>
      </c>
      <c r="G257">
        <v>20409741</v>
      </c>
      <c r="H257">
        <v>202598575.158622</v>
      </c>
      <c r="I257">
        <v>4370.2250833333301</v>
      </c>
      <c r="J257">
        <v>7839489.8077567602</v>
      </c>
      <c r="K257">
        <v>0.204776392694063</v>
      </c>
      <c r="L257">
        <v>25.843336763849301</v>
      </c>
      <c r="M257" t="str">
        <f t="shared" si="35"/>
        <v>High Solar</v>
      </c>
      <c r="N257" t="str">
        <f t="shared" si="36"/>
        <v>Medium RE Cost</v>
      </c>
      <c r="O257">
        <f t="shared" si="34"/>
        <v>796677109.68726099</v>
      </c>
      <c r="P257">
        <f t="shared" si="37"/>
        <v>101.62359148665404</v>
      </c>
      <c r="Q257">
        <f t="shared" si="38"/>
        <v>76.44</v>
      </c>
      <c r="R257" s="229">
        <f t="shared" si="39"/>
        <v>599250600.90492678</v>
      </c>
      <c r="S257" s="297">
        <f t="shared" si="40"/>
        <v>96.106608574655084</v>
      </c>
      <c r="T257" s="297">
        <f t="shared" si="41"/>
        <v>70.924860315964423</v>
      </c>
      <c r="V257" s="296">
        <f t="shared" si="42"/>
        <v>79.040000000000006</v>
      </c>
      <c r="W257">
        <f t="shared" si="43"/>
        <v>2.6034527119106197</v>
      </c>
      <c r="X257" s="297">
        <f t="shared" si="44"/>
        <v>73.53</v>
      </c>
    </row>
    <row r="258" spans="1:24" x14ac:dyDescent="0.2">
      <c r="A258" t="s">
        <v>314</v>
      </c>
      <c r="B258">
        <v>2040</v>
      </c>
      <c r="C258" t="s">
        <v>300</v>
      </c>
      <c r="D258" t="s">
        <v>222</v>
      </c>
      <c r="E258">
        <v>368386788.97162497</v>
      </c>
      <c r="F258">
        <v>8855874.5283072796</v>
      </c>
      <c r="G258">
        <v>4321946</v>
      </c>
      <c r="H258">
        <v>381564609.49993199</v>
      </c>
      <c r="I258">
        <v>10473.906000000001</v>
      </c>
      <c r="J258">
        <v>18764823.185694199</v>
      </c>
      <c r="K258">
        <v>0.20451807600619601</v>
      </c>
      <c r="L258">
        <v>20.334037028967298</v>
      </c>
      <c r="M258" t="str">
        <f t="shared" si="35"/>
        <v>High Solar</v>
      </c>
      <c r="N258" t="str">
        <f t="shared" si="36"/>
        <v>Medium RE Cost</v>
      </c>
      <c r="O258">
        <f t="shared" ref="O258:O321" si="45">SUMIFS($AH$2:$AH$19,$AE$2:$AE$19,M258,$AF$2:$AF$19,N258,$AG$2:$AG$19,B258)</f>
        <v>1475131307.2772543</v>
      </c>
      <c r="P258">
        <f t="shared" si="37"/>
        <v>78.611521818220766</v>
      </c>
      <c r="Q258">
        <f t="shared" si="38"/>
        <v>58.75</v>
      </c>
      <c r="R258" s="229">
        <f t="shared" si="39"/>
        <v>1102433362.1595342</v>
      </c>
      <c r="S258" s="297">
        <f t="shared" si="40"/>
        <v>66.57055908863569</v>
      </c>
      <c r="T258" s="297">
        <f t="shared" si="41"/>
        <v>46.708462266121096</v>
      </c>
      <c r="V258" s="296">
        <f t="shared" si="42"/>
        <v>58.98</v>
      </c>
      <c r="W258">
        <f t="shared" si="43"/>
        <v>0.23032170126148252</v>
      </c>
      <c r="X258" s="297">
        <f t="shared" si="44"/>
        <v>46.94</v>
      </c>
    </row>
    <row r="259" spans="1:24" x14ac:dyDescent="0.2">
      <c r="A259" t="s">
        <v>314</v>
      </c>
      <c r="B259">
        <v>2050</v>
      </c>
      <c r="C259" t="s">
        <v>300</v>
      </c>
      <c r="D259" t="s">
        <v>222</v>
      </c>
      <c r="E259" s="229">
        <v>514596537.41472</v>
      </c>
      <c r="F259" s="229">
        <v>3401209.0234104702</v>
      </c>
      <c r="G259" s="229">
        <v>12487290</v>
      </c>
      <c r="H259">
        <v>530485036.43813002</v>
      </c>
      <c r="I259">
        <v>15730.8939166666</v>
      </c>
      <c r="J259">
        <v>27918570.2642227</v>
      </c>
      <c r="K259">
        <v>0.202598238657549</v>
      </c>
      <c r="L259">
        <v>19.001153404977099</v>
      </c>
      <c r="M259" t="str">
        <f t="shared" ref="M259:M322" si="46">IF(ISNUMBER(SEARCH("High Solar",C259)),"High Solar","Normal")</f>
        <v>High Solar</v>
      </c>
      <c r="N259" t="str">
        <f t="shared" ref="N259:N322" si="47">IF(ISNUMBER(SEARCH("High RE/BESS Cost",D259)),"High RE Cost",IF(ISNUMBER(SEARCH("Low RE/BESS Cost",D259)),"Low RE Cost","Medium RE Cost"))</f>
        <v>Medium RE Cost</v>
      </c>
      <c r="O259">
        <f t="shared" si="45"/>
        <v>1857774234.0994</v>
      </c>
      <c r="P259">
        <f t="shared" ref="P259:P322" si="48">O259/J259</f>
        <v>66.542599299223951</v>
      </c>
      <c r="Q259">
        <f t="shared" ref="Q259:Q322" si="49">ROUND((O259-E259-G259)/J259,2)</f>
        <v>47.66</v>
      </c>
      <c r="R259" s="229">
        <f t="shared" ref="R259:R322" si="50">Q259*J259</f>
        <v>1330599058.7928538</v>
      </c>
      <c r="S259" s="297">
        <f t="shared" ref="S259:S322" si="51">IFERROR(SUMIFS($AJ$2:$AJ$19,$AE$2:$AE$19,M259,$AF$2:$AF$19,N259,$AG$2:$AG$19,B259)/8760/K259/1.0453,"")</f>
        <v>59.252144159925678</v>
      </c>
      <c r="T259" s="297">
        <f t="shared" ref="T259:T322" si="52">IFERROR(S259-E259/J259-G259/J259,"")</f>
        <v>40.372816800882106</v>
      </c>
      <c r="V259" s="296">
        <f t="shared" ref="V259:V322" si="53">ROUND(Q259+G259/J259,2)</f>
        <v>48.11</v>
      </c>
      <c r="W259">
        <f t="shared" ref="W259:W322" si="54">G259/J259</f>
        <v>0.44727541137743382</v>
      </c>
      <c r="X259" s="297">
        <f t="shared" ref="X259:X322" si="55">IFERROR(ROUND(W259+T259,2),"")</f>
        <v>40.82</v>
      </c>
    </row>
    <row r="260" spans="1:24" x14ac:dyDescent="0.2">
      <c r="A260" t="s">
        <v>315</v>
      </c>
      <c r="B260">
        <v>2030</v>
      </c>
      <c r="C260" t="s">
        <v>300</v>
      </c>
      <c r="D260" t="s">
        <v>224</v>
      </c>
      <c r="E260">
        <v>175116190.91203699</v>
      </c>
      <c r="F260">
        <v>3678736.7553634699</v>
      </c>
      <c r="G260">
        <v>21946725</v>
      </c>
      <c r="H260">
        <v>200741652.6674</v>
      </c>
      <c r="I260">
        <v>4370.2250833333301</v>
      </c>
      <c r="J260">
        <v>7839489.8077567602</v>
      </c>
      <c r="K260">
        <v>0.204776392694063</v>
      </c>
      <c r="L260">
        <v>25.606468990976499</v>
      </c>
      <c r="M260" t="str">
        <f t="shared" si="46"/>
        <v>High Solar</v>
      </c>
      <c r="N260" t="str">
        <f t="shared" si="47"/>
        <v>Medium RE Cost</v>
      </c>
      <c r="O260">
        <f t="shared" si="45"/>
        <v>796677109.68726099</v>
      </c>
      <c r="P260">
        <f t="shared" si="48"/>
        <v>101.62359148665404</v>
      </c>
      <c r="Q260">
        <f t="shared" si="49"/>
        <v>76.489999999999995</v>
      </c>
      <c r="R260" s="229">
        <f t="shared" si="50"/>
        <v>599642575.39531457</v>
      </c>
      <c r="S260" s="297">
        <f t="shared" si="51"/>
        <v>96.106608574655084</v>
      </c>
      <c r="T260" s="297">
        <f t="shared" si="52"/>
        <v>70.969396747802051</v>
      </c>
      <c r="V260" s="296">
        <f t="shared" si="53"/>
        <v>79.290000000000006</v>
      </c>
      <c r="W260">
        <f t="shared" si="54"/>
        <v>2.7995093479533422</v>
      </c>
      <c r="X260" s="297">
        <f t="shared" si="55"/>
        <v>73.77</v>
      </c>
    </row>
    <row r="261" spans="1:24" x14ac:dyDescent="0.2">
      <c r="A261" t="s">
        <v>315</v>
      </c>
      <c r="B261">
        <v>2040</v>
      </c>
      <c r="C261" t="s">
        <v>300</v>
      </c>
      <c r="D261" t="s">
        <v>224</v>
      </c>
      <c r="E261">
        <v>351638063.368258</v>
      </c>
      <c r="F261">
        <v>15500443.138627101</v>
      </c>
      <c r="G261">
        <v>7633098</v>
      </c>
      <c r="H261">
        <v>374771604.50688499</v>
      </c>
      <c r="I261">
        <v>10473.906000000001</v>
      </c>
      <c r="J261">
        <v>18764823.185694199</v>
      </c>
      <c r="K261">
        <v>0.20451807600619601</v>
      </c>
      <c r="L261">
        <v>19.972029621499399</v>
      </c>
      <c r="M261" t="str">
        <f t="shared" si="46"/>
        <v>High Solar</v>
      </c>
      <c r="N261" t="str">
        <f t="shared" si="47"/>
        <v>Medium RE Cost</v>
      </c>
      <c r="O261">
        <f t="shared" si="45"/>
        <v>1475131307.2772543</v>
      </c>
      <c r="P261">
        <f t="shared" si="48"/>
        <v>78.611521818220766</v>
      </c>
      <c r="Q261">
        <f t="shared" si="49"/>
        <v>59.47</v>
      </c>
      <c r="R261" s="229">
        <f t="shared" si="50"/>
        <v>1115944034.8532341</v>
      </c>
      <c r="S261" s="297">
        <f t="shared" si="51"/>
        <v>66.57055908863569</v>
      </c>
      <c r="T261" s="297">
        <f t="shared" si="52"/>
        <v>47.424566727665471</v>
      </c>
      <c r="V261" s="296">
        <f t="shared" si="53"/>
        <v>59.88</v>
      </c>
      <c r="W261">
        <f t="shared" si="54"/>
        <v>0.40677697436655147</v>
      </c>
      <c r="X261" s="297">
        <f t="shared" si="55"/>
        <v>47.83</v>
      </c>
    </row>
    <row r="262" spans="1:24" x14ac:dyDescent="0.2">
      <c r="A262" t="s">
        <v>315</v>
      </c>
      <c r="B262">
        <v>2050</v>
      </c>
      <c r="C262" t="s">
        <v>300</v>
      </c>
      <c r="D262" t="s">
        <v>224</v>
      </c>
      <c r="E262">
        <v>516094710.450409</v>
      </c>
      <c r="F262">
        <v>20355908.9935227</v>
      </c>
      <c r="G262">
        <v>20752175</v>
      </c>
      <c r="H262">
        <v>557202794.44393206</v>
      </c>
      <c r="I262">
        <v>15730.8939166666</v>
      </c>
      <c r="J262">
        <v>27918570.2642227</v>
      </c>
      <c r="K262">
        <v>0.202598238657549</v>
      </c>
      <c r="L262">
        <v>19.958142167401</v>
      </c>
      <c r="M262" t="str">
        <f t="shared" si="46"/>
        <v>High Solar</v>
      </c>
      <c r="N262" t="str">
        <f t="shared" si="47"/>
        <v>Medium RE Cost</v>
      </c>
      <c r="O262">
        <f t="shared" si="45"/>
        <v>1857774234.0994</v>
      </c>
      <c r="P262">
        <f t="shared" si="48"/>
        <v>66.542599299223951</v>
      </c>
      <c r="Q262">
        <f t="shared" si="49"/>
        <v>47.31</v>
      </c>
      <c r="R262" s="229">
        <f t="shared" si="50"/>
        <v>1320827559.200376</v>
      </c>
      <c r="S262" s="297">
        <f t="shared" si="51"/>
        <v>59.252144159925678</v>
      </c>
      <c r="T262" s="297">
        <f t="shared" si="52"/>
        <v>40.023119164388156</v>
      </c>
      <c r="V262" s="296">
        <f t="shared" si="53"/>
        <v>48.05</v>
      </c>
      <c r="W262">
        <f t="shared" si="54"/>
        <v>0.74331080723691834</v>
      </c>
      <c r="X262" s="297">
        <f t="shared" si="55"/>
        <v>40.770000000000003</v>
      </c>
    </row>
    <row r="263" spans="1:24" x14ac:dyDescent="0.2">
      <c r="A263" t="s">
        <v>316</v>
      </c>
      <c r="B263">
        <v>2030</v>
      </c>
      <c r="C263" t="s">
        <v>300</v>
      </c>
      <c r="D263" t="s">
        <v>226</v>
      </c>
      <c r="E263">
        <v>173866226.03205299</v>
      </c>
      <c r="F263">
        <v>7863918.9778966103</v>
      </c>
      <c r="G263">
        <v>20698243</v>
      </c>
      <c r="H263">
        <v>202428388.00995001</v>
      </c>
      <c r="I263">
        <v>4370.2250833333301</v>
      </c>
      <c r="J263">
        <v>7839489.8077567602</v>
      </c>
      <c r="K263">
        <v>0.204776392694063</v>
      </c>
      <c r="L263">
        <v>25.821627806653598</v>
      </c>
      <c r="M263" t="str">
        <f t="shared" si="46"/>
        <v>High Solar</v>
      </c>
      <c r="N263" t="str">
        <f t="shared" si="47"/>
        <v>Medium RE Cost</v>
      </c>
      <c r="O263">
        <f t="shared" si="45"/>
        <v>796677109.68726099</v>
      </c>
      <c r="P263">
        <f t="shared" si="48"/>
        <v>101.62359148665404</v>
      </c>
      <c r="Q263">
        <f t="shared" si="49"/>
        <v>76.81</v>
      </c>
      <c r="R263" s="229">
        <f t="shared" si="50"/>
        <v>602151212.13379681</v>
      </c>
      <c r="S263" s="297">
        <f t="shared" si="51"/>
        <v>96.106608574655084</v>
      </c>
      <c r="T263" s="297">
        <f t="shared" si="52"/>
        <v>71.28809693636687</v>
      </c>
      <c r="V263" s="296">
        <f t="shared" si="53"/>
        <v>79.45</v>
      </c>
      <c r="W263">
        <f t="shared" si="54"/>
        <v>2.6402538312531747</v>
      </c>
      <c r="X263" s="297">
        <f t="shared" si="55"/>
        <v>73.930000000000007</v>
      </c>
    </row>
    <row r="264" spans="1:24" x14ac:dyDescent="0.2">
      <c r="A264" t="s">
        <v>316</v>
      </c>
      <c r="B264">
        <v>2040</v>
      </c>
      <c r="C264" t="s">
        <v>300</v>
      </c>
      <c r="D264" t="s">
        <v>226</v>
      </c>
      <c r="E264">
        <v>380219339.46210599</v>
      </c>
      <c r="F264">
        <v>17989841.403845102</v>
      </c>
      <c r="G264">
        <v>0</v>
      </c>
      <c r="H264">
        <v>398209180.865951</v>
      </c>
      <c r="I264">
        <v>10473.906000000001</v>
      </c>
      <c r="J264">
        <v>18764823.185694199</v>
      </c>
      <c r="K264">
        <v>0.20451807600619601</v>
      </c>
      <c r="L264">
        <v>21.221046259020099</v>
      </c>
      <c r="M264" t="str">
        <f t="shared" si="46"/>
        <v>High Solar</v>
      </c>
      <c r="N264" t="str">
        <f t="shared" si="47"/>
        <v>Medium RE Cost</v>
      </c>
      <c r="O264">
        <f t="shared" si="45"/>
        <v>1475131307.2772543</v>
      </c>
      <c r="P264">
        <f t="shared" si="48"/>
        <v>78.611521818220766</v>
      </c>
      <c r="Q264">
        <f t="shared" si="49"/>
        <v>58.35</v>
      </c>
      <c r="R264" s="229">
        <f t="shared" si="50"/>
        <v>1094927432.8852565</v>
      </c>
      <c r="S264" s="297">
        <f t="shared" si="51"/>
        <v>66.57055908863569</v>
      </c>
      <c r="T264" s="297">
        <f t="shared" si="52"/>
        <v>46.308213118225744</v>
      </c>
      <c r="V264" s="296">
        <f t="shared" si="53"/>
        <v>58.35</v>
      </c>
      <c r="W264">
        <f t="shared" si="54"/>
        <v>0</v>
      </c>
      <c r="X264" s="297">
        <f t="shared" si="55"/>
        <v>46.31</v>
      </c>
    </row>
    <row r="265" spans="1:24" x14ac:dyDescent="0.2">
      <c r="A265" t="s">
        <v>316</v>
      </c>
      <c r="B265">
        <v>2050</v>
      </c>
      <c r="C265" t="s">
        <v>300</v>
      </c>
      <c r="D265" t="s">
        <v>226</v>
      </c>
      <c r="E265">
        <v>552400015.67340398</v>
      </c>
      <c r="F265">
        <v>11779342.8982387</v>
      </c>
      <c r="G265">
        <v>0</v>
      </c>
      <c r="H265">
        <v>564179358.57164299</v>
      </c>
      <c r="I265">
        <v>15730.8939166666</v>
      </c>
      <c r="J265">
        <v>27918570.2642227</v>
      </c>
      <c r="K265">
        <v>0.202598238657549</v>
      </c>
      <c r="L265">
        <v>20.208031902501499</v>
      </c>
      <c r="M265" t="str">
        <f t="shared" si="46"/>
        <v>High Solar</v>
      </c>
      <c r="N265" t="str">
        <f t="shared" si="47"/>
        <v>Medium RE Cost</v>
      </c>
      <c r="O265">
        <f t="shared" si="45"/>
        <v>1857774234.0994</v>
      </c>
      <c r="P265">
        <f t="shared" si="48"/>
        <v>66.542599299223951</v>
      </c>
      <c r="Q265">
        <f t="shared" si="49"/>
        <v>46.76</v>
      </c>
      <c r="R265" s="229">
        <f t="shared" si="50"/>
        <v>1305472345.5550535</v>
      </c>
      <c r="S265" s="297">
        <f t="shared" si="51"/>
        <v>59.252144159925678</v>
      </c>
      <c r="T265" s="297">
        <f t="shared" si="52"/>
        <v>39.466030098730442</v>
      </c>
      <c r="V265" s="296">
        <f t="shared" si="53"/>
        <v>46.76</v>
      </c>
      <c r="W265">
        <f t="shared" si="54"/>
        <v>0</v>
      </c>
      <c r="X265" s="297">
        <f t="shared" si="55"/>
        <v>39.47</v>
      </c>
    </row>
    <row r="266" spans="1:24" x14ac:dyDescent="0.2">
      <c r="A266" t="s">
        <v>317</v>
      </c>
      <c r="B266">
        <v>2030</v>
      </c>
      <c r="C266" t="s">
        <v>318</v>
      </c>
      <c r="D266" t="s">
        <v>212</v>
      </c>
      <c r="E266">
        <v>177002317.81550199</v>
      </c>
      <c r="F266">
        <v>5186516.3431202704</v>
      </c>
      <c r="G266">
        <v>20409741</v>
      </c>
      <c r="H266">
        <v>202598575.158622</v>
      </c>
      <c r="I266">
        <v>4370.2250833333301</v>
      </c>
      <c r="J266">
        <v>7839489.8077567602</v>
      </c>
      <c r="K266">
        <v>0.204776392694063</v>
      </c>
      <c r="L266">
        <v>25.843336763849301</v>
      </c>
      <c r="M266" t="str">
        <f t="shared" si="46"/>
        <v>High Solar</v>
      </c>
      <c r="N266" t="str">
        <f t="shared" si="47"/>
        <v>Medium RE Cost</v>
      </c>
      <c r="O266">
        <f t="shared" si="45"/>
        <v>796677109.68726099</v>
      </c>
      <c r="P266">
        <f t="shared" si="48"/>
        <v>101.62359148665404</v>
      </c>
      <c r="Q266">
        <f t="shared" si="49"/>
        <v>76.44</v>
      </c>
      <c r="R266" s="229">
        <f t="shared" si="50"/>
        <v>599250600.90492678</v>
      </c>
      <c r="S266" s="297">
        <f t="shared" si="51"/>
        <v>96.106608574655084</v>
      </c>
      <c r="T266" s="297">
        <f t="shared" si="52"/>
        <v>70.924860315964423</v>
      </c>
      <c r="V266" s="296">
        <f t="shared" si="53"/>
        <v>79.040000000000006</v>
      </c>
      <c r="W266">
        <f t="shared" si="54"/>
        <v>2.6034527119106197</v>
      </c>
      <c r="X266" s="297">
        <f t="shared" si="55"/>
        <v>73.53</v>
      </c>
    </row>
    <row r="267" spans="1:24" x14ac:dyDescent="0.2">
      <c r="A267" t="s">
        <v>317</v>
      </c>
      <c r="B267">
        <v>2040</v>
      </c>
      <c r="C267" t="s">
        <v>318</v>
      </c>
      <c r="D267" t="s">
        <v>212</v>
      </c>
      <c r="E267">
        <v>343269947.30603099</v>
      </c>
      <c r="F267">
        <v>10293803.4199134</v>
      </c>
      <c r="G267">
        <v>5763247</v>
      </c>
      <c r="H267">
        <v>359326997.72594398</v>
      </c>
      <c r="I267">
        <v>10473.906000000001</v>
      </c>
      <c r="J267">
        <v>18764823.185694199</v>
      </c>
      <c r="K267">
        <v>0.20451807600619601</v>
      </c>
      <c r="L267">
        <v>19.148967947637502</v>
      </c>
      <c r="M267" t="str">
        <f t="shared" si="46"/>
        <v>High Solar</v>
      </c>
      <c r="N267" t="str">
        <f t="shared" si="47"/>
        <v>Medium RE Cost</v>
      </c>
      <c r="O267">
        <f t="shared" si="45"/>
        <v>1475131307.2772543</v>
      </c>
      <c r="P267">
        <f t="shared" si="48"/>
        <v>78.611521818220766</v>
      </c>
      <c r="Q267">
        <f t="shared" si="49"/>
        <v>60.01</v>
      </c>
      <c r="R267" s="229">
        <f t="shared" si="50"/>
        <v>1126077039.3735089</v>
      </c>
      <c r="S267" s="297">
        <f t="shared" si="51"/>
        <v>66.57055908863569</v>
      </c>
      <c r="T267" s="297">
        <f t="shared" si="52"/>
        <v>47.97016030778682</v>
      </c>
      <c r="V267" s="296">
        <f t="shared" si="53"/>
        <v>60.32</v>
      </c>
      <c r="W267">
        <f t="shared" si="54"/>
        <v>0.30713036531000976</v>
      </c>
      <c r="X267" s="297">
        <f t="shared" si="55"/>
        <v>48.28</v>
      </c>
    </row>
    <row r="268" spans="1:24" x14ac:dyDescent="0.2">
      <c r="A268" t="s">
        <v>317</v>
      </c>
      <c r="B268">
        <v>2050</v>
      </c>
      <c r="C268" t="s">
        <v>318</v>
      </c>
      <c r="D268" t="s">
        <v>212</v>
      </c>
      <c r="E268">
        <v>514197863.35009098</v>
      </c>
      <c r="F268">
        <v>7762937.5886102198</v>
      </c>
      <c r="G268">
        <v>13101340</v>
      </c>
      <c r="H268">
        <v>535062140.93870097</v>
      </c>
      <c r="I268">
        <v>15730.8939166666</v>
      </c>
      <c r="J268">
        <v>27918570.2642227</v>
      </c>
      <c r="K268">
        <v>0.202598238657549</v>
      </c>
      <c r="L268">
        <v>19.165098207925599</v>
      </c>
      <c r="M268" t="str">
        <f t="shared" si="46"/>
        <v>High Solar</v>
      </c>
      <c r="N268" t="str">
        <f t="shared" si="47"/>
        <v>Medium RE Cost</v>
      </c>
      <c r="O268">
        <f t="shared" si="45"/>
        <v>1857774234.0994</v>
      </c>
      <c r="P268">
        <f t="shared" si="48"/>
        <v>66.542599299223951</v>
      </c>
      <c r="Q268">
        <f t="shared" si="49"/>
        <v>47.66</v>
      </c>
      <c r="R268" s="229">
        <f t="shared" si="50"/>
        <v>1330599058.7928538</v>
      </c>
      <c r="S268" s="297">
        <f t="shared" si="51"/>
        <v>59.252144159925678</v>
      </c>
      <c r="T268" s="297">
        <f t="shared" si="52"/>
        <v>40.365102368039281</v>
      </c>
      <c r="V268" s="296">
        <f t="shared" si="53"/>
        <v>48.13</v>
      </c>
      <c r="W268">
        <f t="shared" si="54"/>
        <v>0.4692697325116682</v>
      </c>
      <c r="X268" s="297">
        <f t="shared" si="55"/>
        <v>40.83</v>
      </c>
    </row>
    <row r="269" spans="1:24" x14ac:dyDescent="0.2">
      <c r="A269" t="s">
        <v>319</v>
      </c>
      <c r="B269">
        <v>2030</v>
      </c>
      <c r="C269" t="s">
        <v>318</v>
      </c>
      <c r="D269" t="s">
        <v>214</v>
      </c>
      <c r="E269">
        <v>200993192.949366</v>
      </c>
      <c r="F269">
        <v>2752076.5833707498</v>
      </c>
      <c r="G269">
        <v>779764</v>
      </c>
      <c r="H269">
        <v>204525033.532736</v>
      </c>
      <c r="I269">
        <v>4370.2250833333301</v>
      </c>
      <c r="J269">
        <v>7839489.8077567602</v>
      </c>
      <c r="K269">
        <v>0.204776392694063</v>
      </c>
      <c r="L269">
        <v>26.089074486756701</v>
      </c>
      <c r="M269" t="str">
        <f t="shared" si="46"/>
        <v>High Solar</v>
      </c>
      <c r="N269" t="str">
        <f t="shared" si="47"/>
        <v>Medium RE Cost</v>
      </c>
      <c r="O269">
        <f t="shared" si="45"/>
        <v>796677109.68726099</v>
      </c>
      <c r="P269">
        <f t="shared" si="48"/>
        <v>101.62359148665404</v>
      </c>
      <c r="Q269">
        <f t="shared" si="49"/>
        <v>75.89</v>
      </c>
      <c r="R269" s="229">
        <f t="shared" si="50"/>
        <v>594938881.51066053</v>
      </c>
      <c r="S269" s="297">
        <f t="shared" si="51"/>
        <v>96.106608574655084</v>
      </c>
      <c r="T269" s="297">
        <f t="shared" si="52"/>
        <v>70.368587109314021</v>
      </c>
      <c r="V269" s="296">
        <f t="shared" si="53"/>
        <v>75.989999999999995</v>
      </c>
      <c r="W269">
        <f t="shared" si="54"/>
        <v>9.9466166692182542E-2</v>
      </c>
      <c r="X269" s="297">
        <f t="shared" si="55"/>
        <v>70.47</v>
      </c>
    </row>
    <row r="270" spans="1:24" x14ac:dyDescent="0.2">
      <c r="A270" t="s">
        <v>319</v>
      </c>
      <c r="B270">
        <v>2040</v>
      </c>
      <c r="C270" t="s">
        <v>318</v>
      </c>
      <c r="D270" t="s">
        <v>214</v>
      </c>
      <c r="E270">
        <v>346520942.28888398</v>
      </c>
      <c r="F270">
        <v>6188765.1690118397</v>
      </c>
      <c r="G270">
        <v>0</v>
      </c>
      <c r="H270">
        <v>352709707.45789498</v>
      </c>
      <c r="I270">
        <v>10473.906000000001</v>
      </c>
      <c r="J270">
        <v>18764823.185694199</v>
      </c>
      <c r="K270">
        <v>0.20451807600619601</v>
      </c>
      <c r="L270">
        <v>18.7963245892341</v>
      </c>
      <c r="M270" t="str">
        <f t="shared" si="46"/>
        <v>High Solar</v>
      </c>
      <c r="N270" t="str">
        <f t="shared" si="47"/>
        <v>Medium RE Cost</v>
      </c>
      <c r="O270">
        <f t="shared" si="45"/>
        <v>1475131307.2772543</v>
      </c>
      <c r="P270">
        <f t="shared" si="48"/>
        <v>78.611521818220766</v>
      </c>
      <c r="Q270">
        <f t="shared" si="49"/>
        <v>60.15</v>
      </c>
      <c r="R270" s="229">
        <f t="shared" si="50"/>
        <v>1128704114.6195061</v>
      </c>
      <c r="S270" s="297">
        <f t="shared" si="51"/>
        <v>66.57055908863569</v>
      </c>
      <c r="T270" s="297">
        <f t="shared" si="52"/>
        <v>48.10404123979913</v>
      </c>
      <c r="V270" s="296">
        <f t="shared" si="53"/>
        <v>60.15</v>
      </c>
      <c r="W270">
        <f t="shared" si="54"/>
        <v>0</v>
      </c>
      <c r="X270" s="297">
        <f t="shared" si="55"/>
        <v>48.1</v>
      </c>
    </row>
    <row r="271" spans="1:24" x14ac:dyDescent="0.2">
      <c r="A271" t="s">
        <v>319</v>
      </c>
      <c r="B271">
        <v>2050</v>
      </c>
      <c r="C271" t="s">
        <v>318</v>
      </c>
      <c r="D271" t="s">
        <v>214</v>
      </c>
      <c r="E271">
        <v>485850973.89868301</v>
      </c>
      <c r="F271">
        <v>3853977.3865648001</v>
      </c>
      <c r="G271">
        <v>0</v>
      </c>
      <c r="H271">
        <v>489704951.28524798</v>
      </c>
      <c r="I271">
        <v>15730.8939166666</v>
      </c>
      <c r="J271">
        <v>27918570.2642227</v>
      </c>
      <c r="K271">
        <v>0.202598238657549</v>
      </c>
      <c r="L271">
        <v>17.540473836971401</v>
      </c>
      <c r="M271" t="str">
        <f t="shared" si="46"/>
        <v>High Solar</v>
      </c>
      <c r="N271" t="str">
        <f t="shared" si="47"/>
        <v>Medium RE Cost</v>
      </c>
      <c r="O271">
        <f t="shared" si="45"/>
        <v>1857774234.0994</v>
      </c>
      <c r="P271">
        <f t="shared" si="48"/>
        <v>66.542599299223951</v>
      </c>
      <c r="Q271">
        <f t="shared" si="49"/>
        <v>49.14</v>
      </c>
      <c r="R271" s="229">
        <f t="shared" si="50"/>
        <v>1371918542.7839036</v>
      </c>
      <c r="S271" s="297">
        <f t="shared" si="51"/>
        <v>59.252144159925678</v>
      </c>
      <c r="T271" s="297">
        <f t="shared" si="52"/>
        <v>41.849713831274684</v>
      </c>
      <c r="V271" s="296">
        <f t="shared" si="53"/>
        <v>49.14</v>
      </c>
      <c r="W271">
        <f t="shared" si="54"/>
        <v>0</v>
      </c>
      <c r="X271" s="297">
        <f t="shared" si="55"/>
        <v>41.85</v>
      </c>
    </row>
    <row r="272" spans="1:24" x14ac:dyDescent="0.2">
      <c r="A272" t="s">
        <v>320</v>
      </c>
      <c r="B272">
        <v>2030</v>
      </c>
      <c r="C272" t="s">
        <v>318</v>
      </c>
      <c r="D272" t="s">
        <v>216</v>
      </c>
      <c r="E272">
        <v>177810346.70505399</v>
      </c>
      <c r="F272">
        <v>26042643.6317316</v>
      </c>
      <c r="G272">
        <v>40840653</v>
      </c>
      <c r="H272">
        <v>244693643.336786</v>
      </c>
      <c r="I272">
        <v>4370.2250833333301</v>
      </c>
      <c r="J272">
        <v>7839489.8077567602</v>
      </c>
      <c r="K272">
        <v>0.204776392694063</v>
      </c>
      <c r="L272">
        <v>31.212955094944299</v>
      </c>
      <c r="M272" t="str">
        <f t="shared" si="46"/>
        <v>High Solar</v>
      </c>
      <c r="N272" t="str">
        <f t="shared" si="47"/>
        <v>High RE Cost</v>
      </c>
      <c r="O272">
        <f t="shared" si="45"/>
        <v>1037037209.9623756</v>
      </c>
      <c r="P272">
        <f t="shared" si="48"/>
        <v>132.28376276939377</v>
      </c>
      <c r="Q272">
        <f t="shared" si="49"/>
        <v>104.39</v>
      </c>
      <c r="R272" s="229">
        <f t="shared" si="50"/>
        <v>818364341.03172815</v>
      </c>
      <c r="S272" s="297">
        <f t="shared" si="51"/>
        <v>125.10228799510858</v>
      </c>
      <c r="T272" s="297">
        <f t="shared" si="52"/>
        <v>97.211314849291057</v>
      </c>
      <c r="V272" s="296">
        <f t="shared" si="53"/>
        <v>109.6</v>
      </c>
      <c r="W272">
        <f t="shared" si="54"/>
        <v>5.2096059822146001</v>
      </c>
      <c r="X272" s="297">
        <f t="shared" si="55"/>
        <v>102.42</v>
      </c>
    </row>
    <row r="273" spans="1:24" x14ac:dyDescent="0.2">
      <c r="A273" t="s">
        <v>320</v>
      </c>
      <c r="B273">
        <v>2040</v>
      </c>
      <c r="C273" t="s">
        <v>318</v>
      </c>
      <c r="D273" t="s">
        <v>216</v>
      </c>
      <c r="E273">
        <v>367219975.15336603</v>
      </c>
      <c r="F273">
        <v>14817832.621339399</v>
      </c>
      <c r="G273">
        <v>98320006</v>
      </c>
      <c r="H273">
        <v>480357813.77470499</v>
      </c>
      <c r="I273">
        <v>10473.906000000001</v>
      </c>
      <c r="J273">
        <v>18764823.185694199</v>
      </c>
      <c r="K273">
        <v>0.20451807600619601</v>
      </c>
      <c r="L273">
        <v>25.5988457243187</v>
      </c>
      <c r="M273" t="str">
        <f t="shared" si="46"/>
        <v>High Solar</v>
      </c>
      <c r="N273" t="str">
        <f t="shared" si="47"/>
        <v>High RE Cost</v>
      </c>
      <c r="O273">
        <f t="shared" si="45"/>
        <v>2156969266.5728054</v>
      </c>
      <c r="P273">
        <f t="shared" si="48"/>
        <v>114.94748686026635</v>
      </c>
      <c r="Q273">
        <f t="shared" si="49"/>
        <v>90.14</v>
      </c>
      <c r="R273" s="229">
        <f t="shared" si="50"/>
        <v>1691461161.9584751</v>
      </c>
      <c r="S273" s="297">
        <f t="shared" si="51"/>
        <v>105.43842332469075</v>
      </c>
      <c r="T273" s="297">
        <f t="shared" si="52"/>
        <v>80.629237725314496</v>
      </c>
      <c r="V273" s="296">
        <f t="shared" si="53"/>
        <v>95.38</v>
      </c>
      <c r="W273">
        <f t="shared" si="54"/>
        <v>5.2395913900727056</v>
      </c>
      <c r="X273" s="297">
        <f t="shared" si="55"/>
        <v>85.87</v>
      </c>
    </row>
    <row r="274" spans="1:24" x14ac:dyDescent="0.2">
      <c r="A274" t="s">
        <v>320</v>
      </c>
      <c r="B274">
        <v>2050</v>
      </c>
      <c r="C274" t="s">
        <v>318</v>
      </c>
      <c r="D274" t="s">
        <v>216</v>
      </c>
      <c r="E274">
        <v>556546744.15693402</v>
      </c>
      <c r="F274">
        <v>10402701.639716901</v>
      </c>
      <c r="G274">
        <v>59128210</v>
      </c>
      <c r="H274">
        <v>626077655.79665101</v>
      </c>
      <c r="I274">
        <v>15730.8939166666</v>
      </c>
      <c r="J274">
        <v>27918570.2642227</v>
      </c>
      <c r="K274">
        <v>0.202598238657549</v>
      </c>
      <c r="L274">
        <v>22.4251331594498</v>
      </c>
      <c r="M274" t="str">
        <f t="shared" si="46"/>
        <v>High Solar</v>
      </c>
      <c r="N274" t="str">
        <f t="shared" si="47"/>
        <v>High RE Cost</v>
      </c>
      <c r="O274">
        <f t="shared" si="45"/>
        <v>2481229862.8834763</v>
      </c>
      <c r="P274">
        <f t="shared" si="48"/>
        <v>88.873815507062034</v>
      </c>
      <c r="Q274">
        <f t="shared" si="49"/>
        <v>66.819999999999993</v>
      </c>
      <c r="R274" s="229">
        <f t="shared" si="50"/>
        <v>1865518865.0553606</v>
      </c>
      <c r="S274" s="297">
        <f t="shared" si="51"/>
        <v>79.943949986749161</v>
      </c>
      <c r="T274" s="297">
        <f t="shared" si="52"/>
        <v>57.891425508233375</v>
      </c>
      <c r="V274" s="296">
        <f t="shared" si="53"/>
        <v>68.94</v>
      </c>
      <c r="W274">
        <f t="shared" si="54"/>
        <v>2.1178810175595584</v>
      </c>
      <c r="X274" s="297">
        <f t="shared" si="55"/>
        <v>60.01</v>
      </c>
    </row>
    <row r="275" spans="1:24" x14ac:dyDescent="0.2">
      <c r="A275" t="s">
        <v>321</v>
      </c>
      <c r="B275">
        <v>2030</v>
      </c>
      <c r="C275" t="s">
        <v>322</v>
      </c>
      <c r="D275" t="s">
        <v>212</v>
      </c>
      <c r="E275">
        <v>177001982.52801001</v>
      </c>
      <c r="F275">
        <v>5186824.4387443801</v>
      </c>
      <c r="G275">
        <v>20409269</v>
      </c>
      <c r="H275">
        <v>202598075.96675399</v>
      </c>
      <c r="I275">
        <v>4370.2250833333301</v>
      </c>
      <c r="J275">
        <v>7839489.8077567602</v>
      </c>
      <c r="K275">
        <v>0.204776392694063</v>
      </c>
      <c r="L275">
        <v>25.843273087273399</v>
      </c>
      <c r="M275" t="str">
        <f t="shared" si="46"/>
        <v>High Solar</v>
      </c>
      <c r="N275" t="str">
        <f t="shared" si="47"/>
        <v>Medium RE Cost</v>
      </c>
      <c r="O275">
        <f t="shared" si="45"/>
        <v>796677109.68726099</v>
      </c>
      <c r="P275">
        <f t="shared" si="48"/>
        <v>101.62359148665404</v>
      </c>
      <c r="Q275">
        <f t="shared" si="49"/>
        <v>76.44</v>
      </c>
      <c r="R275" s="229">
        <f t="shared" si="50"/>
        <v>599250600.90492678</v>
      </c>
      <c r="S275" s="297">
        <f t="shared" si="51"/>
        <v>96.106608574655084</v>
      </c>
      <c r="T275" s="297">
        <f t="shared" si="52"/>
        <v>70.924963293009071</v>
      </c>
      <c r="V275" s="296">
        <f t="shared" si="53"/>
        <v>79.040000000000006</v>
      </c>
      <c r="W275">
        <f t="shared" si="54"/>
        <v>2.6033925039109187</v>
      </c>
      <c r="X275" s="297">
        <f t="shared" si="55"/>
        <v>73.53</v>
      </c>
    </row>
    <row r="276" spans="1:24" x14ac:dyDescent="0.2">
      <c r="A276" t="s">
        <v>321</v>
      </c>
      <c r="B276">
        <v>2040</v>
      </c>
      <c r="C276" t="s">
        <v>322</v>
      </c>
      <c r="D276" t="s">
        <v>212</v>
      </c>
      <c r="E276">
        <v>343269163.57336998</v>
      </c>
      <c r="F276">
        <v>10294027.6327243</v>
      </c>
      <c r="G276">
        <v>5763107</v>
      </c>
      <c r="H276">
        <v>359326298.20609403</v>
      </c>
      <c r="I276">
        <v>10473.906000000001</v>
      </c>
      <c r="J276">
        <v>18764823.185694199</v>
      </c>
      <c r="K276">
        <v>0.20451807600619601</v>
      </c>
      <c r="L276">
        <v>19.148930669383201</v>
      </c>
      <c r="M276" t="str">
        <f t="shared" si="46"/>
        <v>High Solar</v>
      </c>
      <c r="N276" t="str">
        <f t="shared" si="47"/>
        <v>Medium RE Cost</v>
      </c>
      <c r="O276">
        <f t="shared" si="45"/>
        <v>1475131307.2772543</v>
      </c>
      <c r="P276">
        <f t="shared" si="48"/>
        <v>78.611521818220766</v>
      </c>
      <c r="Q276">
        <f t="shared" si="49"/>
        <v>60.01</v>
      </c>
      <c r="R276" s="229">
        <f t="shared" si="50"/>
        <v>1126077039.3735089</v>
      </c>
      <c r="S276" s="297">
        <f t="shared" si="51"/>
        <v>66.57055908863569</v>
      </c>
      <c r="T276" s="297">
        <f t="shared" si="52"/>
        <v>47.970209534611499</v>
      </c>
      <c r="V276" s="296">
        <f t="shared" si="53"/>
        <v>60.32</v>
      </c>
      <c r="W276">
        <f t="shared" si="54"/>
        <v>0.30712290454160202</v>
      </c>
      <c r="X276" s="297">
        <f t="shared" si="55"/>
        <v>48.28</v>
      </c>
    </row>
    <row r="277" spans="1:24" x14ac:dyDescent="0.2">
      <c r="A277" t="s">
        <v>321</v>
      </c>
      <c r="B277">
        <v>2050</v>
      </c>
      <c r="C277" t="s">
        <v>322</v>
      </c>
      <c r="D277" t="s">
        <v>212</v>
      </c>
      <c r="E277">
        <v>497569623.05855101</v>
      </c>
      <c r="F277">
        <v>7954845.1376578603</v>
      </c>
      <c r="G277">
        <v>132450528</v>
      </c>
      <c r="H277">
        <v>637974996.19620895</v>
      </c>
      <c r="I277">
        <v>15730.8939166666</v>
      </c>
      <c r="J277">
        <v>27918570.2642227</v>
      </c>
      <c r="K277">
        <v>0.202598238657549</v>
      </c>
      <c r="L277">
        <v>22.851277488724602</v>
      </c>
      <c r="M277" t="str">
        <f t="shared" si="46"/>
        <v>High Solar</v>
      </c>
      <c r="N277" t="str">
        <f t="shared" si="47"/>
        <v>Medium RE Cost</v>
      </c>
      <c r="O277">
        <f t="shared" si="45"/>
        <v>1857774234.0994</v>
      </c>
      <c r="P277">
        <f t="shared" si="48"/>
        <v>66.542599299223951</v>
      </c>
      <c r="Q277">
        <f t="shared" si="49"/>
        <v>43.98</v>
      </c>
      <c r="R277" s="229">
        <f t="shared" si="50"/>
        <v>1227858720.2205143</v>
      </c>
      <c r="S277" s="297">
        <f t="shared" si="51"/>
        <v>59.252144159925678</v>
      </c>
      <c r="T277" s="297">
        <f t="shared" si="52"/>
        <v>36.685796918787972</v>
      </c>
      <c r="V277" s="296">
        <f t="shared" si="53"/>
        <v>48.72</v>
      </c>
      <c r="W277">
        <f t="shared" si="54"/>
        <v>4.744173027002522</v>
      </c>
      <c r="X277" s="297">
        <f t="shared" si="55"/>
        <v>41.43</v>
      </c>
    </row>
    <row r="278" spans="1:24" x14ac:dyDescent="0.2">
      <c r="A278" t="s">
        <v>323</v>
      </c>
      <c r="B278">
        <v>2030</v>
      </c>
      <c r="C278" t="s">
        <v>322</v>
      </c>
      <c r="D278" t="s">
        <v>214</v>
      </c>
      <c r="E278">
        <v>200993023.94802999</v>
      </c>
      <c r="F278">
        <v>2752051.9720111699</v>
      </c>
      <c r="G278">
        <v>779813</v>
      </c>
      <c r="H278">
        <v>204524888.92004099</v>
      </c>
      <c r="I278">
        <v>4370.2250833333301</v>
      </c>
      <c r="J278">
        <v>7839489.8077567602</v>
      </c>
      <c r="K278">
        <v>0.204776392694063</v>
      </c>
      <c r="L278">
        <v>26.0890560400595</v>
      </c>
      <c r="M278" t="str">
        <f t="shared" si="46"/>
        <v>High Solar</v>
      </c>
      <c r="N278" t="str">
        <f t="shared" si="47"/>
        <v>Medium RE Cost</v>
      </c>
      <c r="O278">
        <f t="shared" si="45"/>
        <v>796677109.68726099</v>
      </c>
      <c r="P278">
        <f t="shared" si="48"/>
        <v>101.62359148665404</v>
      </c>
      <c r="Q278">
        <f t="shared" si="49"/>
        <v>75.89</v>
      </c>
      <c r="R278" s="229">
        <f t="shared" si="50"/>
        <v>594938881.51066053</v>
      </c>
      <c r="S278" s="297">
        <f t="shared" si="51"/>
        <v>96.106608574655084</v>
      </c>
      <c r="T278" s="297">
        <f t="shared" si="52"/>
        <v>70.368602416602997</v>
      </c>
      <c r="V278" s="296">
        <f t="shared" si="53"/>
        <v>75.989999999999995</v>
      </c>
      <c r="W278">
        <f t="shared" si="54"/>
        <v>9.9472417098931148E-2</v>
      </c>
      <c r="X278" s="297">
        <f t="shared" si="55"/>
        <v>70.47</v>
      </c>
    </row>
    <row r="279" spans="1:24" x14ac:dyDescent="0.2">
      <c r="A279" t="s">
        <v>323</v>
      </c>
      <c r="B279">
        <v>2040</v>
      </c>
      <c r="C279" t="s">
        <v>322</v>
      </c>
      <c r="D279" t="s">
        <v>214</v>
      </c>
      <c r="E279">
        <v>346525781.82086903</v>
      </c>
      <c r="F279">
        <v>6188837.64006224</v>
      </c>
      <c r="G279">
        <v>0</v>
      </c>
      <c r="H279">
        <v>352714619.46093202</v>
      </c>
      <c r="I279">
        <v>10473.906000000001</v>
      </c>
      <c r="J279">
        <v>18764823.185694199</v>
      </c>
      <c r="K279">
        <v>0.20451807600619601</v>
      </c>
      <c r="L279">
        <v>18.796586355784601</v>
      </c>
      <c r="M279" t="str">
        <f t="shared" si="46"/>
        <v>High Solar</v>
      </c>
      <c r="N279" t="str">
        <f t="shared" si="47"/>
        <v>Medium RE Cost</v>
      </c>
      <c r="O279">
        <f t="shared" si="45"/>
        <v>1475131307.2772543</v>
      </c>
      <c r="P279">
        <f t="shared" si="48"/>
        <v>78.611521818220766</v>
      </c>
      <c r="Q279">
        <f t="shared" si="49"/>
        <v>60.14</v>
      </c>
      <c r="R279" s="229">
        <f t="shared" si="50"/>
        <v>1128516466.3876491</v>
      </c>
      <c r="S279" s="297">
        <f t="shared" si="51"/>
        <v>66.57055908863569</v>
      </c>
      <c r="T279" s="297">
        <f t="shared" si="52"/>
        <v>48.10378333531812</v>
      </c>
      <c r="V279" s="296">
        <f t="shared" si="53"/>
        <v>60.14</v>
      </c>
      <c r="W279">
        <f t="shared" si="54"/>
        <v>0</v>
      </c>
      <c r="X279" s="297">
        <f t="shared" si="55"/>
        <v>48.1</v>
      </c>
    </row>
    <row r="280" spans="1:24" x14ac:dyDescent="0.2">
      <c r="A280" t="s">
        <v>323</v>
      </c>
      <c r="B280">
        <v>2050</v>
      </c>
      <c r="C280" t="s">
        <v>322</v>
      </c>
      <c r="D280" t="s">
        <v>214</v>
      </c>
      <c r="E280">
        <v>476690117.26463097</v>
      </c>
      <c r="F280">
        <v>3823483.6276042401</v>
      </c>
      <c r="G280">
        <v>171874408</v>
      </c>
      <c r="H280">
        <v>652388008.89223504</v>
      </c>
      <c r="I280">
        <v>15730.8939166666</v>
      </c>
      <c r="J280">
        <v>27918570.2642227</v>
      </c>
      <c r="K280">
        <v>0.202598238657549</v>
      </c>
      <c r="L280">
        <v>23.3675293081989</v>
      </c>
      <c r="M280" t="str">
        <f t="shared" si="46"/>
        <v>High Solar</v>
      </c>
      <c r="N280" t="str">
        <f t="shared" si="47"/>
        <v>Medium RE Cost</v>
      </c>
      <c r="O280">
        <f t="shared" si="45"/>
        <v>1857774234.0994</v>
      </c>
      <c r="P280">
        <f t="shared" si="48"/>
        <v>66.542599299223951</v>
      </c>
      <c r="Q280">
        <f t="shared" si="49"/>
        <v>43.31</v>
      </c>
      <c r="R280" s="229">
        <f t="shared" si="50"/>
        <v>1209153278.1434853</v>
      </c>
      <c r="S280" s="297">
        <f t="shared" si="51"/>
        <v>59.252144159925678</v>
      </c>
      <c r="T280" s="297">
        <f t="shared" si="52"/>
        <v>36.021566120771638</v>
      </c>
      <c r="V280" s="296">
        <f t="shared" si="53"/>
        <v>49.47</v>
      </c>
      <c r="W280">
        <f t="shared" si="54"/>
        <v>6.1562754243276885</v>
      </c>
      <c r="X280" s="297">
        <f t="shared" si="55"/>
        <v>42.18</v>
      </c>
    </row>
    <row r="281" spans="1:24" x14ac:dyDescent="0.2">
      <c r="A281" t="s">
        <v>324</v>
      </c>
      <c r="B281">
        <v>2030</v>
      </c>
      <c r="C281" t="s">
        <v>322</v>
      </c>
      <c r="D281" t="s">
        <v>216</v>
      </c>
      <c r="E281">
        <v>177810376.00868601</v>
      </c>
      <c r="F281">
        <v>26042725.206353098</v>
      </c>
      <c r="G281">
        <v>40839723</v>
      </c>
      <c r="H281">
        <v>244692824.21503901</v>
      </c>
      <c r="I281">
        <v>4370.2250833333301</v>
      </c>
      <c r="J281">
        <v>7839489.8077567602</v>
      </c>
      <c r="K281">
        <v>0.204776392694063</v>
      </c>
      <c r="L281">
        <v>31.2128506083302</v>
      </c>
      <c r="M281" t="str">
        <f t="shared" si="46"/>
        <v>High Solar</v>
      </c>
      <c r="N281" t="str">
        <f t="shared" si="47"/>
        <v>High RE Cost</v>
      </c>
      <c r="O281">
        <f t="shared" si="45"/>
        <v>1037037209.9623756</v>
      </c>
      <c r="P281">
        <f t="shared" si="48"/>
        <v>132.28376276939377</v>
      </c>
      <c r="Q281">
        <f t="shared" si="49"/>
        <v>104.39</v>
      </c>
      <c r="R281" s="229">
        <f t="shared" si="50"/>
        <v>818364341.03172815</v>
      </c>
      <c r="S281" s="297">
        <f t="shared" si="51"/>
        <v>125.10228799510858</v>
      </c>
      <c r="T281" s="297">
        <f t="shared" si="52"/>
        <v>97.211429741508539</v>
      </c>
      <c r="V281" s="296">
        <f t="shared" si="53"/>
        <v>109.6</v>
      </c>
      <c r="W281">
        <f t="shared" si="54"/>
        <v>5.2094873520456977</v>
      </c>
      <c r="X281" s="297">
        <f t="shared" si="55"/>
        <v>102.42</v>
      </c>
    </row>
    <row r="282" spans="1:24" x14ac:dyDescent="0.2">
      <c r="A282" t="s">
        <v>324</v>
      </c>
      <c r="B282">
        <v>2040</v>
      </c>
      <c r="C282" t="s">
        <v>322</v>
      </c>
      <c r="D282" t="s">
        <v>216</v>
      </c>
      <c r="E282">
        <v>367206553.959346</v>
      </c>
      <c r="F282">
        <v>14817806.5538821</v>
      </c>
      <c r="G282">
        <v>98327154</v>
      </c>
      <c r="H282">
        <v>480351514.513228</v>
      </c>
      <c r="I282">
        <v>10473.906000000001</v>
      </c>
      <c r="J282">
        <v>18764823.185694199</v>
      </c>
      <c r="K282">
        <v>0.20451807600619601</v>
      </c>
      <c r="L282">
        <v>25.598510029097099</v>
      </c>
      <c r="M282" t="str">
        <f t="shared" si="46"/>
        <v>High Solar</v>
      </c>
      <c r="N282" t="str">
        <f t="shared" si="47"/>
        <v>High RE Cost</v>
      </c>
      <c r="O282">
        <f t="shared" si="45"/>
        <v>2156969266.5728054</v>
      </c>
      <c r="P282">
        <f t="shared" si="48"/>
        <v>114.94748686026635</v>
      </c>
      <c r="Q282">
        <f t="shared" si="49"/>
        <v>90.14</v>
      </c>
      <c r="R282" s="229">
        <f t="shared" si="50"/>
        <v>1691461161.9584751</v>
      </c>
      <c r="S282" s="297">
        <f t="shared" si="51"/>
        <v>105.43842332469075</v>
      </c>
      <c r="T282" s="297">
        <f t="shared" si="52"/>
        <v>80.629572031369932</v>
      </c>
      <c r="V282" s="296">
        <f t="shared" si="53"/>
        <v>95.38</v>
      </c>
      <c r="W282">
        <f t="shared" si="54"/>
        <v>5.239972315591122</v>
      </c>
      <c r="X282" s="297">
        <f t="shared" si="55"/>
        <v>85.87</v>
      </c>
    </row>
    <row r="283" spans="1:24" x14ac:dyDescent="0.2">
      <c r="A283" t="s">
        <v>324</v>
      </c>
      <c r="B283">
        <v>2050</v>
      </c>
      <c r="C283" t="s">
        <v>322</v>
      </c>
      <c r="D283" t="s">
        <v>216</v>
      </c>
      <c r="E283">
        <v>533995121.20538998</v>
      </c>
      <c r="F283">
        <v>10433317.892002201</v>
      </c>
      <c r="G283">
        <v>291444794</v>
      </c>
      <c r="H283">
        <v>835873233.09739196</v>
      </c>
      <c r="I283">
        <v>15730.8939166666</v>
      </c>
      <c r="J283">
        <v>27918570.2642227</v>
      </c>
      <c r="K283">
        <v>0.202598238657549</v>
      </c>
      <c r="L283">
        <v>29.939686208378301</v>
      </c>
      <c r="M283" t="str">
        <f t="shared" si="46"/>
        <v>High Solar</v>
      </c>
      <c r="N283" t="str">
        <f t="shared" si="47"/>
        <v>High RE Cost</v>
      </c>
      <c r="O283">
        <f t="shared" si="45"/>
        <v>2481229862.8834763</v>
      </c>
      <c r="P283">
        <f t="shared" si="48"/>
        <v>88.873815507062034</v>
      </c>
      <c r="Q283">
        <f t="shared" si="49"/>
        <v>59.31</v>
      </c>
      <c r="R283" s="229">
        <f t="shared" si="50"/>
        <v>1655850402.3710485</v>
      </c>
      <c r="S283" s="297">
        <f t="shared" si="51"/>
        <v>79.943949986749161</v>
      </c>
      <c r="T283" s="297">
        <f t="shared" si="52"/>
        <v>50.377969086101793</v>
      </c>
      <c r="V283" s="296">
        <f t="shared" si="53"/>
        <v>69.75</v>
      </c>
      <c r="W283">
        <f t="shared" si="54"/>
        <v>10.439101689010302</v>
      </c>
      <c r="X283" s="297">
        <f t="shared" si="55"/>
        <v>60.82</v>
      </c>
    </row>
    <row r="284" spans="1:24" x14ac:dyDescent="0.2">
      <c r="A284" t="s">
        <v>325</v>
      </c>
      <c r="B284">
        <v>2030</v>
      </c>
      <c r="C284" t="s">
        <v>322</v>
      </c>
      <c r="D284" t="s">
        <v>218</v>
      </c>
      <c r="E284">
        <v>149035749.55116901</v>
      </c>
      <c r="F284">
        <v>20815889.488262501</v>
      </c>
      <c r="G284">
        <v>34662451</v>
      </c>
      <c r="H284">
        <v>204514090.03943101</v>
      </c>
      <c r="I284">
        <v>4370.2250833333301</v>
      </c>
      <c r="J284">
        <v>7839489.8077567602</v>
      </c>
      <c r="K284">
        <v>0.204776392694063</v>
      </c>
      <c r="L284">
        <v>26.087678542176999</v>
      </c>
      <c r="M284" t="str">
        <f t="shared" si="46"/>
        <v>High Solar</v>
      </c>
      <c r="N284" t="str">
        <f t="shared" si="47"/>
        <v>Medium RE Cost</v>
      </c>
      <c r="O284">
        <f t="shared" si="45"/>
        <v>796677109.68726099</v>
      </c>
      <c r="P284">
        <f t="shared" si="48"/>
        <v>101.62359148665404</v>
      </c>
      <c r="Q284">
        <f t="shared" si="49"/>
        <v>78.19</v>
      </c>
      <c r="R284" s="229">
        <f t="shared" si="50"/>
        <v>612969708.06850111</v>
      </c>
      <c r="S284" s="297">
        <f t="shared" si="51"/>
        <v>96.106608574655084</v>
      </c>
      <c r="T284" s="297">
        <f t="shared" si="52"/>
        <v>72.674190769939102</v>
      </c>
      <c r="V284" s="296">
        <f t="shared" si="53"/>
        <v>82.61</v>
      </c>
      <c r="W284">
        <f t="shared" si="54"/>
        <v>4.4215187276222156</v>
      </c>
      <c r="X284" s="297">
        <f t="shared" si="55"/>
        <v>77.099999999999994</v>
      </c>
    </row>
    <row r="285" spans="1:24" x14ac:dyDescent="0.2">
      <c r="A285" t="s">
        <v>325</v>
      </c>
      <c r="B285">
        <v>2040</v>
      </c>
      <c r="C285" t="s">
        <v>322</v>
      </c>
      <c r="D285" t="s">
        <v>218</v>
      </c>
      <c r="E285">
        <v>266288321.79462901</v>
      </c>
      <c r="F285">
        <v>9889331.0250150599</v>
      </c>
      <c r="G285">
        <v>56150873</v>
      </c>
      <c r="H285">
        <v>332328525.81964397</v>
      </c>
      <c r="I285">
        <v>10473.906000000001</v>
      </c>
      <c r="J285">
        <v>18764823.185694199</v>
      </c>
      <c r="K285">
        <v>0.20451807600619601</v>
      </c>
      <c r="L285">
        <v>17.7101869029601</v>
      </c>
      <c r="M285" t="str">
        <f t="shared" si="46"/>
        <v>High Solar</v>
      </c>
      <c r="N285" t="str">
        <f t="shared" si="47"/>
        <v>Medium RE Cost</v>
      </c>
      <c r="O285">
        <f t="shared" si="45"/>
        <v>1475131307.2772543</v>
      </c>
      <c r="P285">
        <f t="shared" si="48"/>
        <v>78.611521818220766</v>
      </c>
      <c r="Q285">
        <f t="shared" si="49"/>
        <v>61.43</v>
      </c>
      <c r="R285" s="229">
        <f t="shared" si="50"/>
        <v>1152723088.2971947</v>
      </c>
      <c r="S285" s="297">
        <f t="shared" si="51"/>
        <v>66.57055908863569</v>
      </c>
      <c r="T285" s="297">
        <f t="shared" si="52"/>
        <v>49.387386531995347</v>
      </c>
      <c r="V285" s="296">
        <f t="shared" si="53"/>
        <v>64.42</v>
      </c>
      <c r="W285">
        <f t="shared" si="54"/>
        <v>2.9923475667390211</v>
      </c>
      <c r="X285" s="297">
        <f t="shared" si="55"/>
        <v>52.38</v>
      </c>
    </row>
    <row r="286" spans="1:24" x14ac:dyDescent="0.2">
      <c r="A286" t="s">
        <v>325</v>
      </c>
      <c r="B286">
        <v>2050</v>
      </c>
      <c r="C286" t="s">
        <v>322</v>
      </c>
      <c r="D286" t="s">
        <v>218</v>
      </c>
      <c r="E286">
        <v>366257114.68318897</v>
      </c>
      <c r="F286">
        <v>10479951.2649651</v>
      </c>
      <c r="G286">
        <v>281678909</v>
      </c>
      <c r="H286">
        <v>658415974.94815397</v>
      </c>
      <c r="I286">
        <v>15730.8939166666</v>
      </c>
      <c r="J286">
        <v>27918570.2642227</v>
      </c>
      <c r="K286">
        <v>0.202598238657549</v>
      </c>
      <c r="L286">
        <v>23.583441727741501</v>
      </c>
      <c r="M286" t="str">
        <f t="shared" si="46"/>
        <v>High Solar</v>
      </c>
      <c r="N286" t="str">
        <f t="shared" si="47"/>
        <v>Medium RE Cost</v>
      </c>
      <c r="O286">
        <f t="shared" si="45"/>
        <v>1857774234.0994</v>
      </c>
      <c r="P286">
        <f t="shared" si="48"/>
        <v>66.542599299223951</v>
      </c>
      <c r="Q286">
        <f t="shared" si="49"/>
        <v>43.33</v>
      </c>
      <c r="R286" s="229">
        <f t="shared" si="50"/>
        <v>1209711649.5487695</v>
      </c>
      <c r="S286" s="297">
        <f t="shared" si="51"/>
        <v>59.252144159925678</v>
      </c>
      <c r="T286" s="297">
        <f t="shared" si="52"/>
        <v>36.044078075198158</v>
      </c>
      <c r="V286" s="296">
        <f t="shared" si="53"/>
        <v>53.42</v>
      </c>
      <c r="W286">
        <f t="shared" si="54"/>
        <v>10.089302795027724</v>
      </c>
      <c r="X286" s="297">
        <f t="shared" si="55"/>
        <v>46.13</v>
      </c>
    </row>
    <row r="287" spans="1:24" x14ac:dyDescent="0.2">
      <c r="A287" t="s">
        <v>326</v>
      </c>
      <c r="B287">
        <v>2030</v>
      </c>
      <c r="C287" t="s">
        <v>322</v>
      </c>
      <c r="D287" t="s">
        <v>220</v>
      </c>
      <c r="E287">
        <v>175659895.796864</v>
      </c>
      <c r="F287">
        <v>2410744.2909661098</v>
      </c>
      <c r="G287">
        <v>11125899</v>
      </c>
      <c r="H287">
        <v>189196539.08783001</v>
      </c>
      <c r="I287">
        <v>4370.2250833333301</v>
      </c>
      <c r="J287">
        <v>7839489.8077567602</v>
      </c>
      <c r="K287">
        <v>0.204776392694063</v>
      </c>
      <c r="L287">
        <v>24.1337821372802</v>
      </c>
      <c r="M287" t="str">
        <f t="shared" si="46"/>
        <v>High Solar</v>
      </c>
      <c r="N287" t="str">
        <f t="shared" si="47"/>
        <v>Low RE Cost</v>
      </c>
      <c r="O287">
        <f t="shared" si="45"/>
        <v>722146827.94767082</v>
      </c>
      <c r="P287">
        <f t="shared" si="48"/>
        <v>92.116559324197951</v>
      </c>
      <c r="Q287">
        <f t="shared" si="49"/>
        <v>68.290000000000006</v>
      </c>
      <c r="R287" s="229">
        <f t="shared" si="50"/>
        <v>535358758.97170919</v>
      </c>
      <c r="S287" s="297">
        <f t="shared" si="51"/>
        <v>87.11569804514663</v>
      </c>
      <c r="T287" s="297">
        <f t="shared" si="52"/>
        <v>63.289428813691117</v>
      </c>
      <c r="V287" s="296">
        <f t="shared" si="53"/>
        <v>69.709999999999994</v>
      </c>
      <c r="W287">
        <f t="shared" si="54"/>
        <v>1.4192121264054087</v>
      </c>
      <c r="X287" s="297">
        <f t="shared" si="55"/>
        <v>64.709999999999994</v>
      </c>
    </row>
    <row r="288" spans="1:24" x14ac:dyDescent="0.2">
      <c r="A288" t="s">
        <v>326</v>
      </c>
      <c r="B288">
        <v>2040</v>
      </c>
      <c r="C288" t="s">
        <v>322</v>
      </c>
      <c r="D288" t="s">
        <v>220</v>
      </c>
      <c r="E288">
        <v>291393736.48473901</v>
      </c>
      <c r="F288">
        <v>4184058.8567653601</v>
      </c>
      <c r="G288">
        <v>0</v>
      </c>
      <c r="H288">
        <v>295577795.34150398</v>
      </c>
      <c r="I288">
        <v>10473.906000000001</v>
      </c>
      <c r="J288">
        <v>18764823.185694199</v>
      </c>
      <c r="K288">
        <v>0.20451807600619601</v>
      </c>
      <c r="L288">
        <v>15.7516962678787</v>
      </c>
      <c r="M288" t="str">
        <f t="shared" si="46"/>
        <v>High Solar</v>
      </c>
      <c r="N288" t="str">
        <f t="shared" si="47"/>
        <v>Low RE Cost</v>
      </c>
      <c r="O288">
        <f t="shared" si="45"/>
        <v>1227981040.1559095</v>
      </c>
      <c r="P288">
        <f t="shared" si="48"/>
        <v>65.440586783257814</v>
      </c>
      <c r="Q288">
        <f t="shared" si="49"/>
        <v>49.91</v>
      </c>
      <c r="R288" s="229">
        <f t="shared" si="50"/>
        <v>936552325.19799745</v>
      </c>
      <c r="S288" s="297">
        <f t="shared" si="51"/>
        <v>51.758222969109426</v>
      </c>
      <c r="T288" s="297">
        <f t="shared" si="52"/>
        <v>36.229500230763037</v>
      </c>
      <c r="V288" s="296">
        <f t="shared" si="53"/>
        <v>49.91</v>
      </c>
      <c r="W288">
        <f t="shared" si="54"/>
        <v>0</v>
      </c>
      <c r="X288" s="297">
        <f t="shared" si="55"/>
        <v>36.229999999999997</v>
      </c>
    </row>
    <row r="289" spans="1:24" x14ac:dyDescent="0.2">
      <c r="A289" t="s">
        <v>326</v>
      </c>
      <c r="B289">
        <v>2050</v>
      </c>
      <c r="C289" t="s">
        <v>322</v>
      </c>
      <c r="D289" t="s">
        <v>220</v>
      </c>
      <c r="E289">
        <v>424669430.02667898</v>
      </c>
      <c r="F289">
        <v>3815146.1720277602</v>
      </c>
      <c r="G289">
        <v>87783003</v>
      </c>
      <c r="H289">
        <v>516267579.19870698</v>
      </c>
      <c r="I289">
        <v>15730.8939166666</v>
      </c>
      <c r="J289">
        <v>27918570.2642227</v>
      </c>
      <c r="K289">
        <v>0.202598238657549</v>
      </c>
      <c r="L289">
        <v>18.4919060794562</v>
      </c>
      <c r="M289" t="str">
        <f t="shared" si="46"/>
        <v>High Solar</v>
      </c>
      <c r="N289" t="str">
        <f t="shared" si="47"/>
        <v>Low RE Cost</v>
      </c>
      <c r="O289">
        <f t="shared" si="45"/>
        <v>1496035802.9716711</v>
      </c>
      <c r="P289">
        <f t="shared" si="48"/>
        <v>53.585688264589336</v>
      </c>
      <c r="Q289">
        <f t="shared" si="49"/>
        <v>35.229999999999997</v>
      </c>
      <c r="R289" s="229">
        <f t="shared" si="50"/>
        <v>983571230.40856564</v>
      </c>
      <c r="S289" s="297">
        <f t="shared" si="51"/>
        <v>44.676004856383202</v>
      </c>
      <c r="T289" s="297">
        <f t="shared" si="52"/>
        <v>26.320751411210171</v>
      </c>
      <c r="V289" s="296">
        <f t="shared" si="53"/>
        <v>38.369999999999997</v>
      </c>
      <c r="W289">
        <f t="shared" si="54"/>
        <v>3.1442513771019578</v>
      </c>
      <c r="X289" s="297">
        <f t="shared" si="55"/>
        <v>29.47</v>
      </c>
    </row>
    <row r="290" spans="1:24" x14ac:dyDescent="0.2">
      <c r="A290" t="s">
        <v>327</v>
      </c>
      <c r="B290">
        <v>2030</v>
      </c>
      <c r="C290" t="s">
        <v>322</v>
      </c>
      <c r="D290" t="s">
        <v>222</v>
      </c>
      <c r="E290">
        <v>177001982.52801001</v>
      </c>
      <c r="F290">
        <v>5186824.4387443801</v>
      </c>
      <c r="G290">
        <v>20409269</v>
      </c>
      <c r="H290">
        <v>202598075.96675399</v>
      </c>
      <c r="I290">
        <v>4370.2250833333301</v>
      </c>
      <c r="J290">
        <v>7839489.8077567602</v>
      </c>
      <c r="K290">
        <v>0.204776392694063</v>
      </c>
      <c r="L290">
        <v>25.843273087273399</v>
      </c>
      <c r="M290" t="str">
        <f t="shared" si="46"/>
        <v>High Solar</v>
      </c>
      <c r="N290" t="str">
        <f t="shared" si="47"/>
        <v>Medium RE Cost</v>
      </c>
      <c r="O290">
        <f t="shared" si="45"/>
        <v>796677109.68726099</v>
      </c>
      <c r="P290">
        <f t="shared" si="48"/>
        <v>101.62359148665404</v>
      </c>
      <c r="Q290">
        <f t="shared" si="49"/>
        <v>76.44</v>
      </c>
      <c r="R290" s="229">
        <f t="shared" si="50"/>
        <v>599250600.90492678</v>
      </c>
      <c r="S290" s="297">
        <f t="shared" si="51"/>
        <v>96.106608574655084</v>
      </c>
      <c r="T290" s="297">
        <f t="shared" si="52"/>
        <v>70.924963293009071</v>
      </c>
      <c r="V290" s="296">
        <f t="shared" si="53"/>
        <v>79.040000000000006</v>
      </c>
      <c r="W290">
        <f t="shared" si="54"/>
        <v>2.6033925039109187</v>
      </c>
      <c r="X290" s="297">
        <f t="shared" si="55"/>
        <v>73.53</v>
      </c>
    </row>
    <row r="291" spans="1:24" x14ac:dyDescent="0.2">
      <c r="A291" t="s">
        <v>327</v>
      </c>
      <c r="B291">
        <v>2040</v>
      </c>
      <c r="C291" t="s">
        <v>322</v>
      </c>
      <c r="D291" t="s">
        <v>222</v>
      </c>
      <c r="E291">
        <v>337740037.90626699</v>
      </c>
      <c r="F291">
        <v>8474591.3110181894</v>
      </c>
      <c r="G291">
        <v>6802243</v>
      </c>
      <c r="H291">
        <v>353016872.21728498</v>
      </c>
      <c r="I291">
        <v>10473.906000000001</v>
      </c>
      <c r="J291">
        <v>18764823.185694199</v>
      </c>
      <c r="K291">
        <v>0.20451807600619601</v>
      </c>
      <c r="L291">
        <v>18.812693768754201</v>
      </c>
      <c r="M291" t="str">
        <f t="shared" si="46"/>
        <v>High Solar</v>
      </c>
      <c r="N291" t="str">
        <f t="shared" si="47"/>
        <v>Medium RE Cost</v>
      </c>
      <c r="O291">
        <f t="shared" si="45"/>
        <v>1475131307.2772543</v>
      </c>
      <c r="P291">
        <f t="shared" si="48"/>
        <v>78.611521818220766</v>
      </c>
      <c r="Q291">
        <f t="shared" si="49"/>
        <v>60.25</v>
      </c>
      <c r="R291" s="229">
        <f t="shared" si="50"/>
        <v>1130580596.9380755</v>
      </c>
      <c r="S291" s="297">
        <f t="shared" si="51"/>
        <v>66.57055908863569</v>
      </c>
      <c r="T291" s="297">
        <f t="shared" si="52"/>
        <v>48.209486485034667</v>
      </c>
      <c r="V291" s="296">
        <f t="shared" si="53"/>
        <v>60.61</v>
      </c>
      <c r="W291">
        <f t="shared" si="54"/>
        <v>0.3624997119709526</v>
      </c>
      <c r="X291" s="297">
        <f t="shared" si="55"/>
        <v>48.57</v>
      </c>
    </row>
    <row r="292" spans="1:24" x14ac:dyDescent="0.2">
      <c r="A292" t="s">
        <v>327</v>
      </c>
      <c r="B292">
        <v>2050</v>
      </c>
      <c r="C292" t="s">
        <v>322</v>
      </c>
      <c r="D292" t="s">
        <v>222</v>
      </c>
      <c r="E292">
        <v>459943906.765742</v>
      </c>
      <c r="F292">
        <v>3969987.0409089802</v>
      </c>
      <c r="G292">
        <v>185637262</v>
      </c>
      <c r="H292">
        <v>649551155.806651</v>
      </c>
      <c r="I292">
        <v>15730.8939166666</v>
      </c>
      <c r="J292">
        <v>27918570.2642227</v>
      </c>
      <c r="K292">
        <v>0.202598238657549</v>
      </c>
      <c r="L292">
        <v>23.265917618963499</v>
      </c>
      <c r="M292" t="str">
        <f t="shared" si="46"/>
        <v>High Solar</v>
      </c>
      <c r="N292" t="str">
        <f t="shared" si="47"/>
        <v>Medium RE Cost</v>
      </c>
      <c r="O292">
        <f t="shared" si="45"/>
        <v>1857774234.0994</v>
      </c>
      <c r="P292">
        <f t="shared" si="48"/>
        <v>66.542599299223951</v>
      </c>
      <c r="Q292">
        <f t="shared" si="49"/>
        <v>43.42</v>
      </c>
      <c r="R292" s="229">
        <f t="shared" si="50"/>
        <v>1212224320.8725498</v>
      </c>
      <c r="S292" s="297">
        <f t="shared" si="51"/>
        <v>59.252144159925678</v>
      </c>
      <c r="T292" s="297">
        <f t="shared" si="52"/>
        <v>36.128425335647407</v>
      </c>
      <c r="V292" s="296">
        <f t="shared" si="53"/>
        <v>50.07</v>
      </c>
      <c r="W292">
        <f t="shared" si="54"/>
        <v>6.6492395650321621</v>
      </c>
      <c r="X292" s="297">
        <f t="shared" si="55"/>
        <v>42.78</v>
      </c>
    </row>
    <row r="293" spans="1:24" x14ac:dyDescent="0.2">
      <c r="A293" t="s">
        <v>328</v>
      </c>
      <c r="B293">
        <v>2030</v>
      </c>
      <c r="C293" t="s">
        <v>322</v>
      </c>
      <c r="D293" t="s">
        <v>224</v>
      </c>
      <c r="E293">
        <v>175118120.56219199</v>
      </c>
      <c r="F293">
        <v>3679027.0099807</v>
      </c>
      <c r="G293">
        <v>21946509</v>
      </c>
      <c r="H293">
        <v>200743656.57217199</v>
      </c>
      <c r="I293">
        <v>4370.2250833333301</v>
      </c>
      <c r="J293">
        <v>7839489.8077567602</v>
      </c>
      <c r="K293">
        <v>0.204776392694063</v>
      </c>
      <c r="L293">
        <v>25.606724607709399</v>
      </c>
      <c r="M293" t="str">
        <f t="shared" si="46"/>
        <v>High Solar</v>
      </c>
      <c r="N293" t="str">
        <f t="shared" si="47"/>
        <v>Medium RE Cost</v>
      </c>
      <c r="O293">
        <f t="shared" si="45"/>
        <v>796677109.68726099</v>
      </c>
      <c r="P293">
        <f t="shared" si="48"/>
        <v>101.62359148665404</v>
      </c>
      <c r="Q293">
        <f t="shared" si="49"/>
        <v>76.489999999999995</v>
      </c>
      <c r="R293" s="229">
        <f t="shared" si="50"/>
        <v>599642575.39531457</v>
      </c>
      <c r="S293" s="297">
        <f t="shared" si="51"/>
        <v>96.106608574655084</v>
      </c>
      <c r="T293" s="297">
        <f t="shared" si="52"/>
        <v>70.969178155751166</v>
      </c>
      <c r="V293" s="296">
        <f t="shared" si="53"/>
        <v>79.290000000000006</v>
      </c>
      <c r="W293">
        <f t="shared" si="54"/>
        <v>2.7994817951399198</v>
      </c>
      <c r="X293" s="297">
        <f t="shared" si="55"/>
        <v>73.77</v>
      </c>
    </row>
    <row r="294" spans="1:24" x14ac:dyDescent="0.2">
      <c r="A294" t="s">
        <v>328</v>
      </c>
      <c r="B294">
        <v>2040</v>
      </c>
      <c r="C294" t="s">
        <v>322</v>
      </c>
      <c r="D294" t="s">
        <v>224</v>
      </c>
      <c r="E294">
        <v>328271927.924586</v>
      </c>
      <c r="F294">
        <v>16783138.009654298</v>
      </c>
      <c r="G294">
        <v>9218326</v>
      </c>
      <c r="H294">
        <v>354273391.93423998</v>
      </c>
      <c r="I294">
        <v>10473.906000000001</v>
      </c>
      <c r="J294">
        <v>18764823.185694199</v>
      </c>
      <c r="K294">
        <v>0.20451807600619601</v>
      </c>
      <c r="L294">
        <v>18.879655215953601</v>
      </c>
      <c r="M294" t="str">
        <f t="shared" si="46"/>
        <v>High Solar</v>
      </c>
      <c r="N294" t="str">
        <f t="shared" si="47"/>
        <v>Medium RE Cost</v>
      </c>
      <c r="O294">
        <f t="shared" si="45"/>
        <v>1475131307.2772543</v>
      </c>
      <c r="P294">
        <f t="shared" si="48"/>
        <v>78.611521818220766</v>
      </c>
      <c r="Q294">
        <f t="shared" si="49"/>
        <v>60.63</v>
      </c>
      <c r="R294" s="229">
        <f t="shared" si="50"/>
        <v>1137711229.7486393</v>
      </c>
      <c r="S294" s="297">
        <f t="shared" si="51"/>
        <v>66.57055908863569</v>
      </c>
      <c r="T294" s="297">
        <f t="shared" si="52"/>
        <v>48.585297485857595</v>
      </c>
      <c r="V294" s="296">
        <f t="shared" si="53"/>
        <v>61.12</v>
      </c>
      <c r="W294">
        <f t="shared" si="54"/>
        <v>0.49125568137661996</v>
      </c>
      <c r="X294" s="297">
        <f t="shared" si="55"/>
        <v>49.08</v>
      </c>
    </row>
    <row r="295" spans="1:24" x14ac:dyDescent="0.2">
      <c r="A295" t="s">
        <v>328</v>
      </c>
      <c r="B295">
        <v>2050</v>
      </c>
      <c r="C295" t="s">
        <v>322</v>
      </c>
      <c r="D295" t="s">
        <v>224</v>
      </c>
      <c r="E295">
        <v>465631111.026474</v>
      </c>
      <c r="F295">
        <v>21277390.088270798</v>
      </c>
      <c r="G295">
        <v>183457392</v>
      </c>
      <c r="H295">
        <v>670365893.11474502</v>
      </c>
      <c r="I295">
        <v>15730.8939166666</v>
      </c>
      <c r="J295">
        <v>27918570.2642227</v>
      </c>
      <c r="K295">
        <v>0.202598238657549</v>
      </c>
      <c r="L295">
        <v>24.0114693112995</v>
      </c>
      <c r="M295" t="str">
        <f t="shared" si="46"/>
        <v>High Solar</v>
      </c>
      <c r="N295" t="str">
        <f t="shared" si="47"/>
        <v>Medium RE Cost</v>
      </c>
      <c r="O295">
        <f t="shared" si="45"/>
        <v>1857774234.0994</v>
      </c>
      <c r="P295">
        <f t="shared" si="48"/>
        <v>66.542599299223951</v>
      </c>
      <c r="Q295">
        <f t="shared" si="49"/>
        <v>43.29</v>
      </c>
      <c r="R295" s="229">
        <f t="shared" si="50"/>
        <v>1208594906.7382007</v>
      </c>
      <c r="S295" s="297">
        <f t="shared" si="51"/>
        <v>59.252144159925678</v>
      </c>
      <c r="T295" s="297">
        <f t="shared" si="52"/>
        <v>36.002798047876638</v>
      </c>
      <c r="V295" s="296">
        <f t="shared" si="53"/>
        <v>49.86</v>
      </c>
      <c r="W295">
        <f t="shared" si="54"/>
        <v>6.5711599936440281</v>
      </c>
      <c r="X295" s="297">
        <f t="shared" si="55"/>
        <v>42.57</v>
      </c>
    </row>
    <row r="296" spans="1:24" x14ac:dyDescent="0.2">
      <c r="A296" t="s">
        <v>329</v>
      </c>
      <c r="B296">
        <v>2030</v>
      </c>
      <c r="C296" t="s">
        <v>322</v>
      </c>
      <c r="D296" t="s">
        <v>226</v>
      </c>
      <c r="E296">
        <v>173865971.64316499</v>
      </c>
      <c r="F296">
        <v>7863915.9624413</v>
      </c>
      <c r="G296">
        <v>20698230</v>
      </c>
      <c r="H296">
        <v>202428117.60560599</v>
      </c>
      <c r="I296">
        <v>4370.2250833333301</v>
      </c>
      <c r="J296">
        <v>7839489.8077567602</v>
      </c>
      <c r="K296">
        <v>0.204776392694063</v>
      </c>
      <c r="L296">
        <v>25.821593314059001</v>
      </c>
      <c r="M296" t="str">
        <f t="shared" si="46"/>
        <v>High Solar</v>
      </c>
      <c r="N296" t="str">
        <f t="shared" si="47"/>
        <v>Medium RE Cost</v>
      </c>
      <c r="O296">
        <f t="shared" si="45"/>
        <v>796677109.68726099</v>
      </c>
      <c r="P296">
        <f t="shared" si="48"/>
        <v>101.62359148665404</v>
      </c>
      <c r="Q296">
        <f t="shared" si="49"/>
        <v>76.81</v>
      </c>
      <c r="R296" s="229">
        <f t="shared" si="50"/>
        <v>602151212.13379681</v>
      </c>
      <c r="S296" s="297">
        <f t="shared" si="51"/>
        <v>96.106608574655084</v>
      </c>
      <c r="T296" s="297">
        <f t="shared" si="52"/>
        <v>71.288131044311967</v>
      </c>
      <c r="V296" s="296">
        <f t="shared" si="53"/>
        <v>79.45</v>
      </c>
      <c r="W296">
        <f t="shared" si="54"/>
        <v>2.6402521729819965</v>
      </c>
      <c r="X296" s="297">
        <f t="shared" si="55"/>
        <v>73.930000000000007</v>
      </c>
    </row>
    <row r="297" spans="1:24" x14ac:dyDescent="0.2">
      <c r="A297" t="s">
        <v>329</v>
      </c>
      <c r="B297">
        <v>2040</v>
      </c>
      <c r="C297" t="s">
        <v>322</v>
      </c>
      <c r="D297" t="s">
        <v>226</v>
      </c>
      <c r="E297">
        <v>364814122.34596199</v>
      </c>
      <c r="F297">
        <v>18028954.328878101</v>
      </c>
      <c r="G297">
        <v>0</v>
      </c>
      <c r="H297">
        <v>382843076.67483997</v>
      </c>
      <c r="I297">
        <v>10473.906000000001</v>
      </c>
      <c r="J297">
        <v>18764823.185694199</v>
      </c>
      <c r="K297">
        <v>0.20451807600619601</v>
      </c>
      <c r="L297">
        <v>20.4021680826019</v>
      </c>
      <c r="M297" t="str">
        <f t="shared" si="46"/>
        <v>High Solar</v>
      </c>
      <c r="N297" t="str">
        <f t="shared" si="47"/>
        <v>Medium RE Cost</v>
      </c>
      <c r="O297">
        <f t="shared" si="45"/>
        <v>1475131307.2772543</v>
      </c>
      <c r="P297">
        <f t="shared" si="48"/>
        <v>78.611521818220766</v>
      </c>
      <c r="Q297">
        <f t="shared" si="49"/>
        <v>59.17</v>
      </c>
      <c r="R297" s="229">
        <f t="shared" si="50"/>
        <v>1110314587.8975258</v>
      </c>
      <c r="S297" s="297">
        <f t="shared" si="51"/>
        <v>66.57055908863569</v>
      </c>
      <c r="T297" s="297">
        <f t="shared" si="52"/>
        <v>47.129175669468353</v>
      </c>
      <c r="V297" s="296">
        <f t="shared" si="53"/>
        <v>59.17</v>
      </c>
      <c r="W297">
        <f t="shared" si="54"/>
        <v>0</v>
      </c>
      <c r="X297" s="297">
        <f t="shared" si="55"/>
        <v>47.13</v>
      </c>
    </row>
    <row r="298" spans="1:24" x14ac:dyDescent="0.2">
      <c r="A298" t="s">
        <v>329</v>
      </c>
      <c r="B298">
        <v>2050</v>
      </c>
      <c r="C298" t="s">
        <v>322</v>
      </c>
      <c r="D298" t="s">
        <v>226</v>
      </c>
      <c r="E298">
        <v>528735356.82568198</v>
      </c>
      <c r="F298">
        <v>13414437.8420649</v>
      </c>
      <c r="G298">
        <v>130984895</v>
      </c>
      <c r="H298">
        <v>673134689.66774702</v>
      </c>
      <c r="I298">
        <v>15730.8939166666</v>
      </c>
      <c r="J298">
        <v>27918570.2642227</v>
      </c>
      <c r="K298">
        <v>0.202598238657549</v>
      </c>
      <c r="L298">
        <v>24.110643320813601</v>
      </c>
      <c r="M298" t="str">
        <f t="shared" si="46"/>
        <v>High Solar</v>
      </c>
      <c r="N298" t="str">
        <f t="shared" si="47"/>
        <v>Medium RE Cost</v>
      </c>
      <c r="O298">
        <f t="shared" si="45"/>
        <v>1857774234.0994</v>
      </c>
      <c r="P298">
        <f t="shared" si="48"/>
        <v>66.542599299223951</v>
      </c>
      <c r="Q298">
        <f t="shared" si="49"/>
        <v>42.91</v>
      </c>
      <c r="R298" s="229">
        <f t="shared" si="50"/>
        <v>1197985850.037796</v>
      </c>
      <c r="S298" s="297">
        <f t="shared" si="51"/>
        <v>59.252144159925678</v>
      </c>
      <c r="T298" s="297">
        <f t="shared" si="52"/>
        <v>35.621985251999604</v>
      </c>
      <c r="V298" s="296">
        <f t="shared" si="53"/>
        <v>47.6</v>
      </c>
      <c r="W298">
        <f t="shared" si="54"/>
        <v>4.6916763201106866</v>
      </c>
      <c r="X298" s="297">
        <f t="shared" si="55"/>
        <v>40.31</v>
      </c>
    </row>
    <row r="299" spans="1:24" x14ac:dyDescent="0.2">
      <c r="A299" t="s">
        <v>330</v>
      </c>
      <c r="B299">
        <v>2030</v>
      </c>
      <c r="C299" t="s">
        <v>318</v>
      </c>
      <c r="D299" t="s">
        <v>218</v>
      </c>
      <c r="E299">
        <v>149036794.95133901</v>
      </c>
      <c r="F299">
        <v>20816567.672027599</v>
      </c>
      <c r="G299">
        <v>34662153</v>
      </c>
      <c r="H299">
        <v>204515515.62336701</v>
      </c>
      <c r="I299">
        <v>4370.2250833333301</v>
      </c>
      <c r="J299">
        <v>7839489.8077567602</v>
      </c>
      <c r="K299">
        <v>0.204776392694063</v>
      </c>
      <c r="L299">
        <v>26.087860388696399</v>
      </c>
      <c r="M299" t="str">
        <f t="shared" si="46"/>
        <v>High Solar</v>
      </c>
      <c r="N299" t="str">
        <f t="shared" si="47"/>
        <v>Medium RE Cost</v>
      </c>
      <c r="O299">
        <f t="shared" si="45"/>
        <v>796677109.68726099</v>
      </c>
      <c r="P299">
        <f t="shared" si="48"/>
        <v>101.62359148665404</v>
      </c>
      <c r="Q299">
        <f t="shared" si="49"/>
        <v>78.19</v>
      </c>
      <c r="R299" s="229">
        <f t="shared" si="50"/>
        <v>612969708.06850111</v>
      </c>
      <c r="S299" s="297">
        <f t="shared" si="51"/>
        <v>96.106608574655084</v>
      </c>
      <c r="T299" s="297">
        <f t="shared" si="52"/>
        <v>72.674095432080605</v>
      </c>
      <c r="V299" s="296">
        <f t="shared" si="53"/>
        <v>82.61</v>
      </c>
      <c r="W299">
        <f t="shared" si="54"/>
        <v>4.4214807149444386</v>
      </c>
      <c r="X299" s="297">
        <f t="shared" si="55"/>
        <v>77.099999999999994</v>
      </c>
    </row>
    <row r="300" spans="1:24" x14ac:dyDescent="0.2">
      <c r="A300" t="s">
        <v>330</v>
      </c>
      <c r="B300">
        <v>2040</v>
      </c>
      <c r="C300" t="s">
        <v>318</v>
      </c>
      <c r="D300" t="s">
        <v>218</v>
      </c>
      <c r="E300">
        <v>266286228.29842901</v>
      </c>
      <c r="F300">
        <v>9889364.2314866409</v>
      </c>
      <c r="G300">
        <v>56150175</v>
      </c>
      <c r="H300">
        <v>332325767.52991498</v>
      </c>
      <c r="I300">
        <v>10473.906000000001</v>
      </c>
      <c r="J300">
        <v>18764823.185694199</v>
      </c>
      <c r="K300">
        <v>0.20451807600619601</v>
      </c>
      <c r="L300">
        <v>17.710039910382399</v>
      </c>
      <c r="M300" t="str">
        <f t="shared" si="46"/>
        <v>High Solar</v>
      </c>
      <c r="N300" t="str">
        <f t="shared" si="47"/>
        <v>Medium RE Cost</v>
      </c>
      <c r="O300">
        <f t="shared" si="45"/>
        <v>1475131307.2772543</v>
      </c>
      <c r="P300">
        <f t="shared" si="48"/>
        <v>78.611521818220766</v>
      </c>
      <c r="Q300">
        <f t="shared" si="49"/>
        <v>61.43</v>
      </c>
      <c r="R300" s="229">
        <f t="shared" si="50"/>
        <v>1152723088.2971947</v>
      </c>
      <c r="S300" s="297">
        <f t="shared" si="51"/>
        <v>66.57055908863569</v>
      </c>
      <c r="T300" s="297">
        <f t="shared" si="52"/>
        <v>49.387535294185767</v>
      </c>
      <c r="V300" s="296">
        <f t="shared" si="53"/>
        <v>64.42</v>
      </c>
      <c r="W300">
        <f t="shared" si="54"/>
        <v>2.9923103694793882</v>
      </c>
      <c r="X300" s="297">
        <f t="shared" si="55"/>
        <v>52.38</v>
      </c>
    </row>
    <row r="301" spans="1:24" x14ac:dyDescent="0.2">
      <c r="A301" t="s">
        <v>330</v>
      </c>
      <c r="B301">
        <v>2050</v>
      </c>
      <c r="C301" t="s">
        <v>318</v>
      </c>
      <c r="D301" t="s">
        <v>218</v>
      </c>
      <c r="E301">
        <v>399657969.28312498</v>
      </c>
      <c r="F301">
        <v>10471300.204579899</v>
      </c>
      <c r="G301">
        <v>84786417</v>
      </c>
      <c r="H301">
        <v>494915686.48770499</v>
      </c>
      <c r="I301">
        <v>15730.8939166666</v>
      </c>
      <c r="J301">
        <v>27918570.2642227</v>
      </c>
      <c r="K301">
        <v>0.202598238657549</v>
      </c>
      <c r="L301">
        <v>17.727114311506501</v>
      </c>
      <c r="M301" t="str">
        <f t="shared" si="46"/>
        <v>High Solar</v>
      </c>
      <c r="N301" t="str">
        <f t="shared" si="47"/>
        <v>Medium RE Cost</v>
      </c>
      <c r="O301">
        <f t="shared" si="45"/>
        <v>1857774234.0994</v>
      </c>
      <c r="P301">
        <f t="shared" si="48"/>
        <v>66.542599299223951</v>
      </c>
      <c r="Q301">
        <f t="shared" si="49"/>
        <v>49.19</v>
      </c>
      <c r="R301" s="229">
        <f t="shared" si="50"/>
        <v>1373314471.2971146</v>
      </c>
      <c r="S301" s="297">
        <f t="shared" si="51"/>
        <v>59.252144159925678</v>
      </c>
      <c r="T301" s="297">
        <f t="shared" si="52"/>
        <v>41.900095623832328</v>
      </c>
      <c r="V301" s="296">
        <f t="shared" si="53"/>
        <v>52.23</v>
      </c>
      <c r="W301">
        <f t="shared" si="54"/>
        <v>3.036918301960926</v>
      </c>
      <c r="X301" s="297">
        <f t="shared" si="55"/>
        <v>44.94</v>
      </c>
    </row>
    <row r="302" spans="1:24" x14ac:dyDescent="0.2">
      <c r="A302" t="s">
        <v>331</v>
      </c>
      <c r="B302">
        <v>2030</v>
      </c>
      <c r="C302" t="s">
        <v>318</v>
      </c>
      <c r="D302" t="s">
        <v>220</v>
      </c>
      <c r="E302">
        <v>175659946.46932501</v>
      </c>
      <c r="F302">
        <v>2410734.4579596701</v>
      </c>
      <c r="G302">
        <v>11126028</v>
      </c>
      <c r="H302">
        <v>189196708.92728499</v>
      </c>
      <c r="I302">
        <v>4370.2250833333301</v>
      </c>
      <c r="J302">
        <v>7839489.8077567602</v>
      </c>
      <c r="K302">
        <v>0.204776392694063</v>
      </c>
      <c r="L302">
        <v>24.133803801885701</v>
      </c>
      <c r="M302" t="str">
        <f t="shared" si="46"/>
        <v>High Solar</v>
      </c>
      <c r="N302" t="str">
        <f t="shared" si="47"/>
        <v>Low RE Cost</v>
      </c>
      <c r="O302">
        <f t="shared" si="45"/>
        <v>722146827.94767082</v>
      </c>
      <c r="P302">
        <f t="shared" si="48"/>
        <v>92.116559324197951</v>
      </c>
      <c r="Q302">
        <f t="shared" si="49"/>
        <v>68.290000000000006</v>
      </c>
      <c r="R302" s="229">
        <f t="shared" si="50"/>
        <v>535358758.97170919</v>
      </c>
      <c r="S302" s="297">
        <f t="shared" si="51"/>
        <v>87.11569804514663</v>
      </c>
      <c r="T302" s="297">
        <f t="shared" si="52"/>
        <v>63.289405894793923</v>
      </c>
      <c r="V302" s="296">
        <f t="shared" si="53"/>
        <v>69.709999999999994</v>
      </c>
      <c r="W302">
        <f t="shared" si="54"/>
        <v>1.4192285815578694</v>
      </c>
      <c r="X302" s="297">
        <f t="shared" si="55"/>
        <v>64.709999999999994</v>
      </c>
    </row>
    <row r="303" spans="1:24" x14ac:dyDescent="0.2">
      <c r="A303" t="s">
        <v>331</v>
      </c>
      <c r="B303">
        <v>2040</v>
      </c>
      <c r="C303" t="s">
        <v>318</v>
      </c>
      <c r="D303" t="s">
        <v>220</v>
      </c>
      <c r="E303">
        <v>291394026.27645499</v>
      </c>
      <c r="F303">
        <v>4184047.8465953702</v>
      </c>
      <c r="G303">
        <v>-1</v>
      </c>
      <c r="H303">
        <v>295578073.12304997</v>
      </c>
      <c r="I303">
        <v>10473.906000000001</v>
      </c>
      <c r="J303">
        <v>18764823.185694199</v>
      </c>
      <c r="K303">
        <v>0.20451807600619601</v>
      </c>
      <c r="L303">
        <v>15.7517110711914</v>
      </c>
      <c r="M303" t="str">
        <f t="shared" si="46"/>
        <v>High Solar</v>
      </c>
      <c r="N303" t="str">
        <f t="shared" si="47"/>
        <v>Low RE Cost</v>
      </c>
      <c r="O303">
        <f t="shared" si="45"/>
        <v>1227981040.1559095</v>
      </c>
      <c r="P303">
        <f t="shared" si="48"/>
        <v>65.440586783257814</v>
      </c>
      <c r="Q303">
        <f t="shared" si="49"/>
        <v>49.91</v>
      </c>
      <c r="R303" s="229">
        <f t="shared" si="50"/>
        <v>936552325.19799745</v>
      </c>
      <c r="S303" s="297">
        <f t="shared" si="51"/>
        <v>51.758222969109426</v>
      </c>
      <c r="T303" s="297">
        <f t="shared" si="52"/>
        <v>36.229484840705098</v>
      </c>
      <c r="V303" s="296">
        <f t="shared" si="53"/>
        <v>49.91</v>
      </c>
      <c r="W303">
        <f t="shared" si="54"/>
        <v>-5.3291202912179497E-8</v>
      </c>
      <c r="X303" s="297">
        <f t="shared" si="55"/>
        <v>36.229999999999997</v>
      </c>
    </row>
    <row r="304" spans="1:24" x14ac:dyDescent="0.2">
      <c r="A304" t="s">
        <v>331</v>
      </c>
      <c r="B304">
        <v>2050</v>
      </c>
      <c r="C304" t="s">
        <v>318</v>
      </c>
      <c r="D304" t="s">
        <v>220</v>
      </c>
      <c r="E304">
        <v>435765074.43367898</v>
      </c>
      <c r="F304">
        <v>3772141.8030289202</v>
      </c>
      <c r="G304">
        <v>-3</v>
      </c>
      <c r="H304">
        <v>439537213.23670799</v>
      </c>
      <c r="I304">
        <v>15730.8939166666</v>
      </c>
      <c r="J304">
        <v>27918570.2642227</v>
      </c>
      <c r="K304">
        <v>0.202598238657549</v>
      </c>
      <c r="L304">
        <v>15.7435430638784</v>
      </c>
      <c r="M304" t="str">
        <f t="shared" si="46"/>
        <v>High Solar</v>
      </c>
      <c r="N304" t="str">
        <f t="shared" si="47"/>
        <v>Low RE Cost</v>
      </c>
      <c r="O304">
        <f t="shared" si="45"/>
        <v>1496035802.9716711</v>
      </c>
      <c r="P304">
        <f t="shared" si="48"/>
        <v>53.585688264589336</v>
      </c>
      <c r="Q304">
        <f t="shared" si="49"/>
        <v>37.979999999999997</v>
      </c>
      <c r="R304" s="229">
        <f t="shared" si="50"/>
        <v>1060347298.6351781</v>
      </c>
      <c r="S304" s="297">
        <f t="shared" si="51"/>
        <v>44.676004856383202</v>
      </c>
      <c r="T304" s="297">
        <f t="shared" si="52"/>
        <v>29.067574076813287</v>
      </c>
      <c r="V304" s="296">
        <f t="shared" si="53"/>
        <v>37.979999999999997</v>
      </c>
      <c r="W304">
        <f t="shared" si="54"/>
        <v>-1.07455359339961E-7</v>
      </c>
      <c r="X304" s="297">
        <f t="shared" si="55"/>
        <v>29.07</v>
      </c>
    </row>
    <row r="305" spans="1:24" x14ac:dyDescent="0.2">
      <c r="A305" t="s">
        <v>332</v>
      </c>
      <c r="B305">
        <v>2030</v>
      </c>
      <c r="C305" t="s">
        <v>318</v>
      </c>
      <c r="D305" t="s">
        <v>222</v>
      </c>
      <c r="E305">
        <v>177002317.81550199</v>
      </c>
      <c r="F305">
        <v>5186516.3431202704</v>
      </c>
      <c r="G305">
        <v>20409741</v>
      </c>
      <c r="H305">
        <v>202598575.158622</v>
      </c>
      <c r="I305">
        <v>4370.2250833333301</v>
      </c>
      <c r="J305">
        <v>7839489.8077567602</v>
      </c>
      <c r="K305">
        <v>0.204776392694063</v>
      </c>
      <c r="L305">
        <v>25.843336763849301</v>
      </c>
      <c r="M305" t="str">
        <f t="shared" si="46"/>
        <v>High Solar</v>
      </c>
      <c r="N305" t="str">
        <f t="shared" si="47"/>
        <v>Medium RE Cost</v>
      </c>
      <c r="O305">
        <f t="shared" si="45"/>
        <v>796677109.68726099</v>
      </c>
      <c r="P305">
        <f t="shared" si="48"/>
        <v>101.62359148665404</v>
      </c>
      <c r="Q305">
        <f t="shared" si="49"/>
        <v>76.44</v>
      </c>
      <c r="R305" s="229">
        <f t="shared" si="50"/>
        <v>599250600.90492678</v>
      </c>
      <c r="S305" s="297">
        <f t="shared" si="51"/>
        <v>96.106608574655084</v>
      </c>
      <c r="T305" s="297">
        <f t="shared" si="52"/>
        <v>70.924860315964423</v>
      </c>
      <c r="V305" s="296">
        <f t="shared" si="53"/>
        <v>79.040000000000006</v>
      </c>
      <c r="W305">
        <f t="shared" si="54"/>
        <v>2.6034527119106197</v>
      </c>
      <c r="X305" s="297">
        <f t="shared" si="55"/>
        <v>73.53</v>
      </c>
    </row>
    <row r="306" spans="1:24" x14ac:dyDescent="0.2">
      <c r="A306" t="s">
        <v>332</v>
      </c>
      <c r="B306">
        <v>2040</v>
      </c>
      <c r="C306" t="s">
        <v>318</v>
      </c>
      <c r="D306" t="s">
        <v>222</v>
      </c>
      <c r="E306">
        <v>337739516.849868</v>
      </c>
      <c r="F306">
        <v>8474590.1169929095</v>
      </c>
      <c r="G306">
        <v>6802189</v>
      </c>
      <c r="H306">
        <v>353016295.96686101</v>
      </c>
      <c r="I306">
        <v>10473.906000000001</v>
      </c>
      <c r="J306">
        <v>18764823.185694199</v>
      </c>
      <c r="K306">
        <v>0.20451807600619601</v>
      </c>
      <c r="L306">
        <v>18.812663059675899</v>
      </c>
      <c r="M306" t="str">
        <f t="shared" si="46"/>
        <v>High Solar</v>
      </c>
      <c r="N306" t="str">
        <f t="shared" si="47"/>
        <v>Medium RE Cost</v>
      </c>
      <c r="O306">
        <f t="shared" si="45"/>
        <v>1475131307.2772543</v>
      </c>
      <c r="P306">
        <f t="shared" si="48"/>
        <v>78.611521818220766</v>
      </c>
      <c r="Q306">
        <f t="shared" si="49"/>
        <v>60.25</v>
      </c>
      <c r="R306" s="229">
        <f t="shared" si="50"/>
        <v>1130580596.9380755</v>
      </c>
      <c r="S306" s="297">
        <f t="shared" si="51"/>
        <v>66.57055908863569</v>
      </c>
      <c r="T306" s="297">
        <f t="shared" si="52"/>
        <v>48.209517130481913</v>
      </c>
      <c r="V306" s="296">
        <f t="shared" si="53"/>
        <v>60.61</v>
      </c>
      <c r="W306">
        <f t="shared" si="54"/>
        <v>0.36249683424599533</v>
      </c>
      <c r="X306" s="297">
        <f t="shared" si="55"/>
        <v>48.57</v>
      </c>
    </row>
    <row r="307" spans="1:24" x14ac:dyDescent="0.2">
      <c r="A307" t="s">
        <v>332</v>
      </c>
      <c r="B307">
        <v>2050</v>
      </c>
      <c r="C307" t="s">
        <v>318</v>
      </c>
      <c r="D307" t="s">
        <v>222</v>
      </c>
      <c r="E307">
        <v>478311505.83005899</v>
      </c>
      <c r="F307">
        <v>3974066.1686716499</v>
      </c>
      <c r="G307">
        <v>16089015</v>
      </c>
      <c r="H307">
        <v>498374586.99873102</v>
      </c>
      <c r="I307">
        <v>15730.8939166666</v>
      </c>
      <c r="J307">
        <v>27918570.2642227</v>
      </c>
      <c r="K307">
        <v>0.202598238657549</v>
      </c>
      <c r="L307">
        <v>17.8510067772844</v>
      </c>
      <c r="M307" t="str">
        <f t="shared" si="46"/>
        <v>High Solar</v>
      </c>
      <c r="N307" t="str">
        <f t="shared" si="47"/>
        <v>Medium RE Cost</v>
      </c>
      <c r="O307">
        <f t="shared" si="45"/>
        <v>1857774234.0994</v>
      </c>
      <c r="P307">
        <f t="shared" si="48"/>
        <v>66.542599299223951</v>
      </c>
      <c r="Q307">
        <f t="shared" si="49"/>
        <v>48.83</v>
      </c>
      <c r="R307" s="229">
        <f t="shared" si="50"/>
        <v>1363263786.0019944</v>
      </c>
      <c r="S307" s="297">
        <f t="shared" si="51"/>
        <v>59.252144159925678</v>
      </c>
      <c r="T307" s="297">
        <f t="shared" si="52"/>
        <v>41.543482285373059</v>
      </c>
      <c r="V307" s="296">
        <f t="shared" si="53"/>
        <v>49.41</v>
      </c>
      <c r="W307">
        <f t="shared" si="54"/>
        <v>0.5762836294170075</v>
      </c>
      <c r="X307" s="297">
        <f t="shared" si="55"/>
        <v>42.12</v>
      </c>
    </row>
    <row r="308" spans="1:24" x14ac:dyDescent="0.2">
      <c r="A308" t="s">
        <v>333</v>
      </c>
      <c r="B308">
        <v>2030</v>
      </c>
      <c r="C308" t="s">
        <v>318</v>
      </c>
      <c r="D308" t="s">
        <v>224</v>
      </c>
      <c r="E308">
        <v>175116190.91203699</v>
      </c>
      <c r="F308">
        <v>3678736.7553634699</v>
      </c>
      <c r="G308">
        <v>21946725</v>
      </c>
      <c r="H308">
        <v>200741652.6674</v>
      </c>
      <c r="I308">
        <v>4370.2250833333301</v>
      </c>
      <c r="J308">
        <v>7839489.8077567602</v>
      </c>
      <c r="K308">
        <v>0.204776392694063</v>
      </c>
      <c r="L308">
        <v>25.606468990976499</v>
      </c>
      <c r="M308" t="str">
        <f t="shared" si="46"/>
        <v>High Solar</v>
      </c>
      <c r="N308" t="str">
        <f t="shared" si="47"/>
        <v>Medium RE Cost</v>
      </c>
      <c r="O308">
        <f t="shared" si="45"/>
        <v>796677109.68726099</v>
      </c>
      <c r="P308">
        <f t="shared" si="48"/>
        <v>101.62359148665404</v>
      </c>
      <c r="Q308">
        <f t="shared" si="49"/>
        <v>76.489999999999995</v>
      </c>
      <c r="R308" s="229">
        <f t="shared" si="50"/>
        <v>599642575.39531457</v>
      </c>
      <c r="S308" s="297">
        <f t="shared" si="51"/>
        <v>96.106608574655084</v>
      </c>
      <c r="T308" s="297">
        <f t="shared" si="52"/>
        <v>70.969396747802051</v>
      </c>
      <c r="V308" s="296">
        <f t="shared" si="53"/>
        <v>79.290000000000006</v>
      </c>
      <c r="W308">
        <f t="shared" si="54"/>
        <v>2.7995093479533422</v>
      </c>
      <c r="X308" s="297">
        <f t="shared" si="55"/>
        <v>73.77</v>
      </c>
    </row>
    <row r="309" spans="1:24" x14ac:dyDescent="0.2">
      <c r="A309" t="s">
        <v>333</v>
      </c>
      <c r="B309">
        <v>2040</v>
      </c>
      <c r="C309" t="s">
        <v>318</v>
      </c>
      <c r="D309" t="s">
        <v>224</v>
      </c>
      <c r="E309">
        <v>328270565.49223697</v>
      </c>
      <c r="F309">
        <v>16782910.051374599</v>
      </c>
      <c r="G309">
        <v>9217466</v>
      </c>
      <c r="H309">
        <v>354270941.543612</v>
      </c>
      <c r="I309">
        <v>10473.906000000001</v>
      </c>
      <c r="J309">
        <v>18764823.185694199</v>
      </c>
      <c r="K309">
        <v>0.20451807600619601</v>
      </c>
      <c r="L309">
        <v>18.879524631689399</v>
      </c>
      <c r="M309" t="str">
        <f t="shared" si="46"/>
        <v>High Solar</v>
      </c>
      <c r="N309" t="str">
        <f t="shared" si="47"/>
        <v>Medium RE Cost</v>
      </c>
      <c r="O309">
        <f t="shared" si="45"/>
        <v>1475131307.2772543</v>
      </c>
      <c r="P309">
        <f t="shared" si="48"/>
        <v>78.611521818220766</v>
      </c>
      <c r="Q309">
        <f t="shared" si="49"/>
        <v>60.63</v>
      </c>
      <c r="R309" s="229">
        <f t="shared" si="50"/>
        <v>1137711229.7486393</v>
      </c>
      <c r="S309" s="297">
        <f t="shared" si="51"/>
        <v>66.57055908863569</v>
      </c>
      <c r="T309" s="297">
        <f t="shared" si="52"/>
        <v>48.585415921950869</v>
      </c>
      <c r="V309" s="296">
        <f t="shared" si="53"/>
        <v>61.12</v>
      </c>
      <c r="W309">
        <f t="shared" si="54"/>
        <v>0.4912098509421155</v>
      </c>
      <c r="X309" s="297">
        <f t="shared" si="55"/>
        <v>49.08</v>
      </c>
    </row>
    <row r="310" spans="1:24" x14ac:dyDescent="0.2">
      <c r="A310" t="s">
        <v>333</v>
      </c>
      <c r="B310">
        <v>2050</v>
      </c>
      <c r="C310" t="s">
        <v>318</v>
      </c>
      <c r="D310" t="s">
        <v>224</v>
      </c>
      <c r="E310">
        <v>482193490.76616001</v>
      </c>
      <c r="F310">
        <v>21272475.291376799</v>
      </c>
      <c r="G310">
        <v>23740263</v>
      </c>
      <c r="H310">
        <v>527206229.05753702</v>
      </c>
      <c r="I310">
        <v>15730.8939166666</v>
      </c>
      <c r="J310">
        <v>27918570.2642227</v>
      </c>
      <c r="K310">
        <v>0.202598238657549</v>
      </c>
      <c r="L310">
        <v>18.883711596547698</v>
      </c>
      <c r="M310" t="str">
        <f t="shared" si="46"/>
        <v>High Solar</v>
      </c>
      <c r="N310" t="str">
        <f t="shared" si="47"/>
        <v>Medium RE Cost</v>
      </c>
      <c r="O310">
        <f t="shared" si="45"/>
        <v>1857774234.0994</v>
      </c>
      <c r="P310">
        <f t="shared" si="48"/>
        <v>66.542599299223951</v>
      </c>
      <c r="Q310">
        <f t="shared" si="49"/>
        <v>48.42</v>
      </c>
      <c r="R310" s="229">
        <f t="shared" si="50"/>
        <v>1351817172.1936631</v>
      </c>
      <c r="S310" s="297">
        <f t="shared" si="51"/>
        <v>59.252144159925678</v>
      </c>
      <c r="T310" s="297">
        <f t="shared" si="52"/>
        <v>41.130379722206321</v>
      </c>
      <c r="V310" s="296">
        <f t="shared" si="53"/>
        <v>49.27</v>
      </c>
      <c r="W310">
        <f t="shared" si="54"/>
        <v>0.85033949716339352</v>
      </c>
      <c r="X310" s="297">
        <f t="shared" si="55"/>
        <v>41.98</v>
      </c>
    </row>
    <row r="311" spans="1:24" x14ac:dyDescent="0.2">
      <c r="A311" t="s">
        <v>334</v>
      </c>
      <c r="B311">
        <v>2030</v>
      </c>
      <c r="C311" t="s">
        <v>318</v>
      </c>
      <c r="D311" t="s">
        <v>226</v>
      </c>
      <c r="E311">
        <v>173866226.03205299</v>
      </c>
      <c r="F311">
        <v>7863918.9778966103</v>
      </c>
      <c r="G311">
        <v>20698243</v>
      </c>
      <c r="H311">
        <v>202428388.00995001</v>
      </c>
      <c r="I311">
        <v>4370.2250833333301</v>
      </c>
      <c r="J311">
        <v>7839489.8077567602</v>
      </c>
      <c r="K311">
        <v>0.204776392694063</v>
      </c>
      <c r="L311">
        <v>25.821627806653598</v>
      </c>
      <c r="M311" t="str">
        <f t="shared" si="46"/>
        <v>High Solar</v>
      </c>
      <c r="N311" t="str">
        <f t="shared" si="47"/>
        <v>Medium RE Cost</v>
      </c>
      <c r="O311">
        <f t="shared" si="45"/>
        <v>796677109.68726099</v>
      </c>
      <c r="P311">
        <f t="shared" si="48"/>
        <v>101.62359148665404</v>
      </c>
      <c r="Q311">
        <f t="shared" si="49"/>
        <v>76.81</v>
      </c>
      <c r="R311" s="229">
        <f t="shared" si="50"/>
        <v>602151212.13379681</v>
      </c>
      <c r="S311" s="297">
        <f t="shared" si="51"/>
        <v>96.106608574655084</v>
      </c>
      <c r="T311" s="297">
        <f t="shared" si="52"/>
        <v>71.28809693636687</v>
      </c>
      <c r="V311" s="296">
        <f t="shared" si="53"/>
        <v>79.45</v>
      </c>
      <c r="W311">
        <f t="shared" si="54"/>
        <v>2.6402538312531747</v>
      </c>
      <c r="X311" s="297">
        <f t="shared" si="55"/>
        <v>73.930000000000007</v>
      </c>
    </row>
    <row r="312" spans="1:24" x14ac:dyDescent="0.2">
      <c r="A312" t="s">
        <v>334</v>
      </c>
      <c r="B312">
        <v>2040</v>
      </c>
      <c r="C312" t="s">
        <v>318</v>
      </c>
      <c r="D312" t="s">
        <v>226</v>
      </c>
      <c r="E312">
        <v>364812485.94855899</v>
      </c>
      <c r="F312">
        <v>18028952.0288084</v>
      </c>
      <c r="G312">
        <v>0</v>
      </c>
      <c r="H312">
        <v>382841437.977368</v>
      </c>
      <c r="I312">
        <v>10473.906000000001</v>
      </c>
      <c r="J312">
        <v>18764823.185694199</v>
      </c>
      <c r="K312">
        <v>0.20451807600619601</v>
      </c>
      <c r="L312">
        <v>20.402080754442402</v>
      </c>
      <c r="M312" t="str">
        <f t="shared" si="46"/>
        <v>High Solar</v>
      </c>
      <c r="N312" t="str">
        <f t="shared" si="47"/>
        <v>Medium RE Cost</v>
      </c>
      <c r="O312">
        <f t="shared" si="45"/>
        <v>1475131307.2772543</v>
      </c>
      <c r="P312">
        <f t="shared" si="48"/>
        <v>78.611521818220766</v>
      </c>
      <c r="Q312">
        <f t="shared" si="49"/>
        <v>59.17</v>
      </c>
      <c r="R312" s="229">
        <f t="shared" si="50"/>
        <v>1110314587.8975258</v>
      </c>
      <c r="S312" s="297">
        <f t="shared" si="51"/>
        <v>66.57055908863569</v>
      </c>
      <c r="T312" s="297">
        <f t="shared" si="52"/>
        <v>47.129262875054401</v>
      </c>
      <c r="V312" s="296">
        <f t="shared" si="53"/>
        <v>59.17</v>
      </c>
      <c r="W312">
        <f t="shared" si="54"/>
        <v>0</v>
      </c>
      <c r="X312" s="297">
        <f t="shared" si="55"/>
        <v>47.13</v>
      </c>
    </row>
    <row r="313" spans="1:24" x14ac:dyDescent="0.2">
      <c r="A313" t="s">
        <v>334</v>
      </c>
      <c r="B313">
        <v>2050</v>
      </c>
      <c r="C313" t="s">
        <v>318</v>
      </c>
      <c r="D313" t="s">
        <v>226</v>
      </c>
      <c r="E313">
        <v>538697358.00512004</v>
      </c>
      <c r="F313">
        <v>13632348.200092399</v>
      </c>
      <c r="G313">
        <v>0</v>
      </c>
      <c r="H313">
        <v>552329706.205212</v>
      </c>
      <c r="I313">
        <v>15730.8939166666</v>
      </c>
      <c r="J313">
        <v>27918570.2642227</v>
      </c>
      <c r="K313">
        <v>0.202598238657549</v>
      </c>
      <c r="L313">
        <v>19.783595684805299</v>
      </c>
      <c r="M313" t="str">
        <f t="shared" si="46"/>
        <v>High Solar</v>
      </c>
      <c r="N313" t="str">
        <f t="shared" si="47"/>
        <v>Medium RE Cost</v>
      </c>
      <c r="O313">
        <f t="shared" si="45"/>
        <v>1857774234.0994</v>
      </c>
      <c r="P313">
        <f t="shared" si="48"/>
        <v>66.542599299223951</v>
      </c>
      <c r="Q313">
        <f t="shared" si="49"/>
        <v>47.25</v>
      </c>
      <c r="R313" s="229">
        <f t="shared" si="50"/>
        <v>1319152444.9845226</v>
      </c>
      <c r="S313" s="297">
        <f t="shared" si="51"/>
        <v>59.252144159925678</v>
      </c>
      <c r="T313" s="297">
        <f t="shared" si="52"/>
        <v>39.956838099949749</v>
      </c>
      <c r="V313" s="296">
        <f t="shared" si="53"/>
        <v>47.25</v>
      </c>
      <c r="W313">
        <f t="shared" si="54"/>
        <v>0</v>
      </c>
      <c r="X313" s="297">
        <f t="shared" si="55"/>
        <v>39.96</v>
      </c>
    </row>
    <row r="314" spans="1:24" x14ac:dyDescent="0.2">
      <c r="A314" t="s">
        <v>335</v>
      </c>
      <c r="B314">
        <v>2030</v>
      </c>
      <c r="C314" t="s">
        <v>336</v>
      </c>
      <c r="D314" t="s">
        <v>212</v>
      </c>
      <c r="E314">
        <v>82298176.599732697</v>
      </c>
      <c r="F314">
        <v>2576707.5369007201</v>
      </c>
      <c r="G314">
        <v>9918646</v>
      </c>
      <c r="H314">
        <v>94793530.136633396</v>
      </c>
      <c r="I314">
        <v>1960.4601499999901</v>
      </c>
      <c r="J314">
        <v>3516754.18802818</v>
      </c>
      <c r="K314">
        <v>0.204776392694063</v>
      </c>
      <c r="L314">
        <v>26.9548353590739</v>
      </c>
      <c r="M314" t="str">
        <f t="shared" si="46"/>
        <v>Normal</v>
      </c>
      <c r="N314" t="str">
        <f t="shared" si="47"/>
        <v>Medium RE Cost</v>
      </c>
      <c r="O314">
        <f t="shared" si="45"/>
        <v>340002960.96679091</v>
      </c>
      <c r="P314">
        <f t="shared" si="48"/>
        <v>96.68090028135525</v>
      </c>
      <c r="Q314">
        <f t="shared" si="49"/>
        <v>70.459999999999994</v>
      </c>
      <c r="R314" s="229">
        <f t="shared" si="50"/>
        <v>247790500.08846554</v>
      </c>
      <c r="S314" s="297">
        <f t="shared" si="51"/>
        <v>96.706681854764057</v>
      </c>
      <c r="T314" s="297">
        <f t="shared" si="52"/>
        <v>70.484541304349861</v>
      </c>
      <c r="V314" s="296">
        <f t="shared" si="53"/>
        <v>73.28</v>
      </c>
      <c r="W314">
        <f t="shared" si="54"/>
        <v>2.8203978639636786</v>
      </c>
      <c r="X314" s="297">
        <f t="shared" si="55"/>
        <v>73.3</v>
      </c>
    </row>
    <row r="315" spans="1:24" x14ac:dyDescent="0.2">
      <c r="A315" t="s">
        <v>335</v>
      </c>
      <c r="B315">
        <v>2040</v>
      </c>
      <c r="C315" t="s">
        <v>336</v>
      </c>
      <c r="D315" t="s">
        <v>212</v>
      </c>
      <c r="E315">
        <v>78854785.430607706</v>
      </c>
      <c r="F315">
        <v>3216849.1830617799</v>
      </c>
      <c r="G315">
        <v>1293448</v>
      </c>
      <c r="H315">
        <v>83365082.6136695</v>
      </c>
      <c r="I315">
        <v>1960.4601499999901</v>
      </c>
      <c r="J315">
        <v>3516754.18802818</v>
      </c>
      <c r="K315">
        <v>0.204776392694063</v>
      </c>
      <c r="L315">
        <v>23.705120732481902</v>
      </c>
      <c r="M315" t="str">
        <f t="shared" si="46"/>
        <v>Normal</v>
      </c>
      <c r="N315" t="str">
        <f t="shared" si="47"/>
        <v>Medium RE Cost</v>
      </c>
      <c r="O315">
        <f t="shared" si="45"/>
        <v>317964169.10794711</v>
      </c>
      <c r="P315">
        <f t="shared" si="48"/>
        <v>90.414101215936114</v>
      </c>
      <c r="Q315">
        <f t="shared" si="49"/>
        <v>67.62</v>
      </c>
      <c r="R315" s="229">
        <f t="shared" si="50"/>
        <v>237802918.19446555</v>
      </c>
      <c r="S315" s="297" t="str">
        <f t="shared" si="51"/>
        <v/>
      </c>
      <c r="T315" s="297" t="str">
        <f t="shared" si="52"/>
        <v/>
      </c>
      <c r="V315" s="296">
        <f t="shared" si="53"/>
        <v>67.989999999999995</v>
      </c>
      <c r="W315">
        <f t="shared" si="54"/>
        <v>0.36779596492788352</v>
      </c>
      <c r="X315" s="297" t="str">
        <f t="shared" si="55"/>
        <v/>
      </c>
    </row>
    <row r="316" spans="1:24" x14ac:dyDescent="0.2">
      <c r="A316" t="s">
        <v>335</v>
      </c>
      <c r="B316">
        <v>2050</v>
      </c>
      <c r="C316" t="s">
        <v>336</v>
      </c>
      <c r="D316" t="s">
        <v>212</v>
      </c>
      <c r="E316">
        <v>78037720.126457497</v>
      </c>
      <c r="F316">
        <v>1120848.2221031301</v>
      </c>
      <c r="G316">
        <v>2865217</v>
      </c>
      <c r="H316">
        <v>82023785.348560601</v>
      </c>
      <c r="I316">
        <v>1960.4601499999901</v>
      </c>
      <c r="J316">
        <v>3516754.18802818</v>
      </c>
      <c r="K316">
        <v>0.204776392694063</v>
      </c>
      <c r="L316">
        <v>23.323718680079399</v>
      </c>
      <c r="M316" t="str">
        <f t="shared" si="46"/>
        <v>Normal</v>
      </c>
      <c r="N316" t="str">
        <f t="shared" si="47"/>
        <v>Medium RE Cost</v>
      </c>
      <c r="O316">
        <f t="shared" si="45"/>
        <v>311640347.21392971</v>
      </c>
      <c r="P316">
        <f t="shared" si="48"/>
        <v>88.615902776151756</v>
      </c>
      <c r="Q316">
        <f t="shared" si="49"/>
        <v>65.61</v>
      </c>
      <c r="R316" s="229">
        <f t="shared" si="50"/>
        <v>230734242.27652889</v>
      </c>
      <c r="S316" s="297" t="str">
        <f t="shared" si="51"/>
        <v/>
      </c>
      <c r="T316" s="297" t="str">
        <f t="shared" si="52"/>
        <v/>
      </c>
      <c r="V316" s="296">
        <f t="shared" si="53"/>
        <v>66.42</v>
      </c>
      <c r="W316">
        <f t="shared" si="54"/>
        <v>0.81473337253818912</v>
      </c>
      <c r="X316" s="297" t="str">
        <f t="shared" si="55"/>
        <v/>
      </c>
    </row>
    <row r="317" spans="1:24" x14ac:dyDescent="0.2">
      <c r="A317" t="s">
        <v>337</v>
      </c>
      <c r="B317">
        <v>2030</v>
      </c>
      <c r="C317" t="s">
        <v>336</v>
      </c>
      <c r="D317" t="s">
        <v>214</v>
      </c>
      <c r="E317">
        <v>94608361.206727698</v>
      </c>
      <c r="F317">
        <v>1500284.46788489</v>
      </c>
      <c r="G317">
        <v>640973</v>
      </c>
      <c r="H317">
        <v>96749618.674612597</v>
      </c>
      <c r="I317">
        <v>1960.4601499999901</v>
      </c>
      <c r="J317">
        <v>3516754.18802818</v>
      </c>
      <c r="K317">
        <v>0.204776392694063</v>
      </c>
      <c r="L317">
        <v>27.5110552235837</v>
      </c>
      <c r="M317" t="str">
        <f t="shared" si="46"/>
        <v>Normal</v>
      </c>
      <c r="N317" t="str">
        <f t="shared" si="47"/>
        <v>Medium RE Cost</v>
      </c>
      <c r="O317">
        <f t="shared" si="45"/>
        <v>340002960.96679091</v>
      </c>
      <c r="P317">
        <f t="shared" si="48"/>
        <v>96.68090028135525</v>
      </c>
      <c r="Q317">
        <f t="shared" si="49"/>
        <v>69.599999999999994</v>
      </c>
      <c r="R317" s="229">
        <f t="shared" si="50"/>
        <v>244766091.4867613</v>
      </c>
      <c r="S317" s="297">
        <f t="shared" si="51"/>
        <v>96.706681854764057</v>
      </c>
      <c r="T317" s="297">
        <f t="shared" si="52"/>
        <v>69.622237189573127</v>
      </c>
      <c r="V317" s="296">
        <f t="shared" si="53"/>
        <v>69.78</v>
      </c>
      <c r="W317">
        <f t="shared" si="54"/>
        <v>0.1822626677127494</v>
      </c>
      <c r="X317" s="297">
        <f t="shared" si="55"/>
        <v>69.8</v>
      </c>
    </row>
    <row r="318" spans="1:24" x14ac:dyDescent="0.2">
      <c r="A318" t="s">
        <v>337</v>
      </c>
      <c r="B318">
        <v>2040</v>
      </c>
      <c r="C318" t="s">
        <v>336</v>
      </c>
      <c r="D318" t="s">
        <v>214</v>
      </c>
      <c r="E318">
        <v>78625952.617436901</v>
      </c>
      <c r="F318">
        <v>1602205.7233553501</v>
      </c>
      <c r="G318">
        <v>0</v>
      </c>
      <c r="H318">
        <v>80228158.340792194</v>
      </c>
      <c r="I318">
        <v>1960.4601499999901</v>
      </c>
      <c r="J318">
        <v>3516754.18802818</v>
      </c>
      <c r="K318">
        <v>0.204776392694063</v>
      </c>
      <c r="L318">
        <v>22.8131265511552</v>
      </c>
      <c r="M318" t="str">
        <f t="shared" si="46"/>
        <v>Normal</v>
      </c>
      <c r="N318" t="str">
        <f t="shared" si="47"/>
        <v>Medium RE Cost</v>
      </c>
      <c r="O318">
        <f t="shared" si="45"/>
        <v>317964169.10794711</v>
      </c>
      <c r="P318">
        <f t="shared" si="48"/>
        <v>90.414101215936114</v>
      </c>
      <c r="Q318">
        <f t="shared" si="49"/>
        <v>68.06</v>
      </c>
      <c r="R318" s="229">
        <f t="shared" si="50"/>
        <v>239350290.03719795</v>
      </c>
      <c r="S318" s="297" t="str">
        <f t="shared" si="51"/>
        <v/>
      </c>
      <c r="T318" s="297" t="str">
        <f t="shared" si="52"/>
        <v/>
      </c>
      <c r="V318" s="296">
        <f t="shared" si="53"/>
        <v>68.06</v>
      </c>
      <c r="W318">
        <f t="shared" si="54"/>
        <v>0</v>
      </c>
      <c r="X318" s="297" t="str">
        <f t="shared" si="55"/>
        <v/>
      </c>
    </row>
    <row r="319" spans="1:24" x14ac:dyDescent="0.2">
      <c r="A319" t="s">
        <v>337</v>
      </c>
      <c r="B319">
        <v>2050</v>
      </c>
      <c r="C319" t="s">
        <v>336</v>
      </c>
      <c r="D319" t="s">
        <v>214</v>
      </c>
      <c r="E319">
        <v>75320684.121446297</v>
      </c>
      <c r="F319">
        <v>632841.62028526096</v>
      </c>
      <c r="G319">
        <v>0</v>
      </c>
      <c r="H319">
        <v>75953525.741731495</v>
      </c>
      <c r="I319">
        <v>1960.4601499999901</v>
      </c>
      <c r="J319">
        <v>3516754.18802818</v>
      </c>
      <c r="K319">
        <v>0.204776392694063</v>
      </c>
      <c r="L319">
        <v>21.597621465922799</v>
      </c>
      <c r="M319" t="str">
        <f t="shared" si="46"/>
        <v>Normal</v>
      </c>
      <c r="N319" t="str">
        <f t="shared" si="47"/>
        <v>Medium RE Cost</v>
      </c>
      <c r="O319">
        <f t="shared" si="45"/>
        <v>311640347.21392971</v>
      </c>
      <c r="P319">
        <f t="shared" si="48"/>
        <v>88.615902776151756</v>
      </c>
      <c r="Q319">
        <f t="shared" si="49"/>
        <v>67.2</v>
      </c>
      <c r="R319" s="229">
        <f t="shared" si="50"/>
        <v>236325881.43549371</v>
      </c>
      <c r="S319" s="297" t="str">
        <f t="shared" si="51"/>
        <v/>
      </c>
      <c r="T319" s="297" t="str">
        <f t="shared" si="52"/>
        <v/>
      </c>
      <c r="V319" s="296">
        <f t="shared" si="53"/>
        <v>67.2</v>
      </c>
      <c r="W319">
        <f t="shared" si="54"/>
        <v>0</v>
      </c>
      <c r="X319" s="297" t="str">
        <f t="shared" si="55"/>
        <v/>
      </c>
    </row>
    <row r="320" spans="1:24" x14ac:dyDescent="0.2">
      <c r="A320" t="s">
        <v>338</v>
      </c>
      <c r="B320">
        <v>2030</v>
      </c>
      <c r="C320" t="s">
        <v>336</v>
      </c>
      <c r="D320" t="s">
        <v>216</v>
      </c>
      <c r="E320">
        <v>82943221.064298496</v>
      </c>
      <c r="F320">
        <v>13312244.486887001</v>
      </c>
      <c r="G320">
        <v>18604972</v>
      </c>
      <c r="H320">
        <v>114860437.551185</v>
      </c>
      <c r="I320">
        <v>1960.4601499999901</v>
      </c>
      <c r="J320">
        <v>3516754.18802818</v>
      </c>
      <c r="K320">
        <v>0.204776392694063</v>
      </c>
      <c r="L320">
        <v>32.660922944855301</v>
      </c>
      <c r="M320" t="str">
        <f t="shared" si="46"/>
        <v>Normal</v>
      </c>
      <c r="N320" t="str">
        <f t="shared" si="47"/>
        <v>High RE Cost</v>
      </c>
      <c r="O320">
        <f t="shared" si="45"/>
        <v>438930410.85372549</v>
      </c>
      <c r="P320">
        <f t="shared" si="48"/>
        <v>124.81122858911864</v>
      </c>
      <c r="Q320">
        <f t="shared" si="49"/>
        <v>95.94</v>
      </c>
      <c r="R320" s="229">
        <f t="shared" si="50"/>
        <v>337397396.79942358</v>
      </c>
      <c r="S320" s="297">
        <f t="shared" si="51"/>
        <v>124.84451158340961</v>
      </c>
      <c r="T320" s="297">
        <f t="shared" si="52"/>
        <v>95.968966795550585</v>
      </c>
      <c r="V320" s="296">
        <f t="shared" si="53"/>
        <v>101.23</v>
      </c>
      <c r="W320">
        <f t="shared" si="54"/>
        <v>5.2903817000731808</v>
      </c>
      <c r="X320" s="297">
        <f t="shared" si="55"/>
        <v>101.26</v>
      </c>
    </row>
    <row r="321" spans="1:24" x14ac:dyDescent="0.2">
      <c r="A321" t="s">
        <v>338</v>
      </c>
      <c r="B321">
        <v>2040</v>
      </c>
      <c r="C321" t="s">
        <v>336</v>
      </c>
      <c r="D321" t="s">
        <v>216</v>
      </c>
      <c r="E321">
        <v>82335006.779934898</v>
      </c>
      <c r="F321">
        <v>3233152.12500375</v>
      </c>
      <c r="G321">
        <v>19346570</v>
      </c>
      <c r="H321">
        <v>104914728.904938</v>
      </c>
      <c r="I321">
        <v>1960.4601499999901</v>
      </c>
      <c r="J321">
        <v>3516754.18802818</v>
      </c>
      <c r="K321">
        <v>0.204776392694063</v>
      </c>
      <c r="L321">
        <v>29.832829733193101</v>
      </c>
      <c r="M321" t="str">
        <f t="shared" si="46"/>
        <v>Normal</v>
      </c>
      <c r="N321" t="str">
        <f t="shared" si="47"/>
        <v>High RE Cost</v>
      </c>
      <c r="O321">
        <f t="shared" si="45"/>
        <v>424159287.62446445</v>
      </c>
      <c r="P321">
        <f t="shared" si="48"/>
        <v>120.6110137206626</v>
      </c>
      <c r="Q321">
        <f t="shared" si="49"/>
        <v>91.7</v>
      </c>
      <c r="R321" s="229">
        <f t="shared" si="50"/>
        <v>322486359.04218411</v>
      </c>
      <c r="S321" s="297" t="str">
        <f t="shared" si="51"/>
        <v/>
      </c>
      <c r="T321" s="297" t="str">
        <f t="shared" si="52"/>
        <v/>
      </c>
      <c r="V321" s="296">
        <f t="shared" si="53"/>
        <v>97.2</v>
      </c>
      <c r="W321">
        <f t="shared" si="54"/>
        <v>5.5012573997523235</v>
      </c>
      <c r="X321" s="297" t="str">
        <f t="shared" si="55"/>
        <v/>
      </c>
    </row>
    <row r="322" spans="1:24" x14ac:dyDescent="0.2">
      <c r="A322" t="s">
        <v>338</v>
      </c>
      <c r="B322">
        <v>2050</v>
      </c>
      <c r="C322" t="s">
        <v>336</v>
      </c>
      <c r="D322" t="s">
        <v>216</v>
      </c>
      <c r="E322">
        <v>85451486.148057297</v>
      </c>
      <c r="F322">
        <v>1351523.3338981101</v>
      </c>
      <c r="G322">
        <v>10178473</v>
      </c>
      <c r="H322">
        <v>96981482.481955394</v>
      </c>
      <c r="I322">
        <v>1960.4601499999901</v>
      </c>
      <c r="J322">
        <v>3516754.18802818</v>
      </c>
      <c r="K322">
        <v>0.204776392694063</v>
      </c>
      <c r="L322">
        <v>27.5769864189263</v>
      </c>
      <c r="M322" t="str">
        <f t="shared" si="46"/>
        <v>Normal</v>
      </c>
      <c r="N322" t="str">
        <f t="shared" si="47"/>
        <v>High RE Cost</v>
      </c>
      <c r="O322">
        <f t="shared" ref="O322:O385" si="56">SUMIFS($AH$2:$AH$19,$AE$2:$AE$19,M322,$AF$2:$AF$19,N322,$AG$2:$AG$19,B322)</f>
        <v>406117526.52104861</v>
      </c>
      <c r="P322">
        <f t="shared" si="48"/>
        <v>115.48078279214502</v>
      </c>
      <c r="Q322">
        <f t="shared" si="49"/>
        <v>88.29</v>
      </c>
      <c r="R322" s="229">
        <f t="shared" si="50"/>
        <v>310494227.26100802</v>
      </c>
      <c r="S322" s="297" t="str">
        <f t="shared" si="51"/>
        <v/>
      </c>
      <c r="T322" s="297" t="str">
        <f t="shared" si="52"/>
        <v/>
      </c>
      <c r="V322" s="296">
        <f t="shared" si="53"/>
        <v>91.18</v>
      </c>
      <c r="W322">
        <f t="shared" si="54"/>
        <v>2.8942804801796513</v>
      </c>
      <c r="X322" s="297" t="str">
        <f t="shared" si="55"/>
        <v/>
      </c>
    </row>
    <row r="323" spans="1:24" x14ac:dyDescent="0.2">
      <c r="A323" t="s">
        <v>339</v>
      </c>
      <c r="B323">
        <v>2030</v>
      </c>
      <c r="C323" t="s">
        <v>340</v>
      </c>
      <c r="D323" t="s">
        <v>212</v>
      </c>
      <c r="E323">
        <v>82298201.571373895</v>
      </c>
      <c r="F323">
        <v>2576766.0213479199</v>
      </c>
      <c r="G323">
        <v>9918607</v>
      </c>
      <c r="H323">
        <v>94793574.592721805</v>
      </c>
      <c r="I323">
        <v>1960.4601499999901</v>
      </c>
      <c r="J323">
        <v>3516754.18802818</v>
      </c>
      <c r="K323">
        <v>0.204776392694063</v>
      </c>
      <c r="L323">
        <v>26.954848000300998</v>
      </c>
      <c r="M323" t="str">
        <f t="shared" ref="M323:M386" si="57">IF(ISNUMBER(SEARCH("High Solar",C323)),"High Solar","Normal")</f>
        <v>Normal</v>
      </c>
      <c r="N323" t="str">
        <f t="shared" ref="N323:N386" si="58">IF(ISNUMBER(SEARCH("High RE/BESS Cost",D323)),"High RE Cost",IF(ISNUMBER(SEARCH("Low RE/BESS Cost",D323)),"Low RE Cost","Medium RE Cost"))</f>
        <v>Medium RE Cost</v>
      </c>
      <c r="O323">
        <f t="shared" si="56"/>
        <v>340002960.96679091</v>
      </c>
      <c r="P323">
        <f t="shared" ref="P323:P386" si="59">O323/J323</f>
        <v>96.68090028135525</v>
      </c>
      <c r="Q323">
        <f t="shared" ref="Q323:Q386" si="60">ROUND((O323-E323-G323)/J323,2)</f>
        <v>70.459999999999994</v>
      </c>
      <c r="R323" s="229">
        <f t="shared" ref="R323:R386" si="61">Q323*J323</f>
        <v>247790500.08846554</v>
      </c>
      <c r="S323" s="297">
        <f t="shared" ref="S323:S386" si="62">IFERROR(SUMIFS($AJ$2:$AJ$19,$AE$2:$AE$19,M323,$AF$2:$AF$19,N323,$AG$2:$AG$19,B323)/8760/K323/1.0453,"")</f>
        <v>96.706681854764057</v>
      </c>
      <c r="T323" s="297">
        <f t="shared" ref="T323:T386" si="63">IFERROR(S323-E323/J323-G323/J323,"")</f>
        <v>70.484545293357343</v>
      </c>
      <c r="V323" s="296">
        <f t="shared" ref="V323:V386" si="64">ROUND(Q323+G323/J323,2)</f>
        <v>73.28</v>
      </c>
      <c r="W323">
        <f t="shared" ref="W323:W386" si="65">G323/J323</f>
        <v>2.8203867741922828</v>
      </c>
      <c r="X323" s="297">
        <f t="shared" ref="X323:X386" si="66">IFERROR(ROUND(W323+T323,2),"")</f>
        <v>73.3</v>
      </c>
    </row>
    <row r="324" spans="1:24" x14ac:dyDescent="0.2">
      <c r="A324" t="s">
        <v>339</v>
      </c>
      <c r="B324">
        <v>2040</v>
      </c>
      <c r="C324" t="s">
        <v>340</v>
      </c>
      <c r="D324" t="s">
        <v>212</v>
      </c>
      <c r="E324">
        <v>70979683.641934499</v>
      </c>
      <c r="F324">
        <v>2756089.8947013598</v>
      </c>
      <c r="G324">
        <v>24909208</v>
      </c>
      <c r="H324">
        <v>98644981.536635801</v>
      </c>
      <c r="I324">
        <v>1960.4601499999901</v>
      </c>
      <c r="J324">
        <v>3516754.18802818</v>
      </c>
      <c r="K324">
        <v>0.204776392694063</v>
      </c>
      <c r="L324">
        <v>28.050007553114</v>
      </c>
      <c r="M324" t="str">
        <f t="shared" si="57"/>
        <v>Normal</v>
      </c>
      <c r="N324" t="str">
        <f t="shared" si="58"/>
        <v>Medium RE Cost</v>
      </c>
      <c r="O324">
        <f t="shared" si="56"/>
        <v>317964169.10794711</v>
      </c>
      <c r="P324">
        <f t="shared" si="59"/>
        <v>90.414101215936114</v>
      </c>
      <c r="Q324">
        <f t="shared" si="60"/>
        <v>63.15</v>
      </c>
      <c r="R324" s="229">
        <f t="shared" si="61"/>
        <v>222083026.97397956</v>
      </c>
      <c r="S324" s="297" t="str">
        <f t="shared" si="62"/>
        <v/>
      </c>
      <c r="T324" s="297" t="str">
        <f t="shared" si="63"/>
        <v/>
      </c>
      <c r="V324" s="296">
        <f t="shared" si="64"/>
        <v>70.23</v>
      </c>
      <c r="W324">
        <f t="shared" si="65"/>
        <v>7.0830108299284982</v>
      </c>
      <c r="X324" s="297" t="str">
        <f t="shared" si="66"/>
        <v/>
      </c>
    </row>
    <row r="325" spans="1:24" x14ac:dyDescent="0.2">
      <c r="A325" t="s">
        <v>339</v>
      </c>
      <c r="B325">
        <v>2050</v>
      </c>
      <c r="C325" t="s">
        <v>340</v>
      </c>
      <c r="D325" t="s">
        <v>212</v>
      </c>
      <c r="E325">
        <v>52537041.543199398</v>
      </c>
      <c r="F325">
        <v>1166750.3756730601</v>
      </c>
      <c r="G325">
        <v>126206237</v>
      </c>
      <c r="H325">
        <v>179910028.918872</v>
      </c>
      <c r="I325">
        <v>1960.4601499999901</v>
      </c>
      <c r="J325">
        <v>3516754.18802818</v>
      </c>
      <c r="K325">
        <v>0.204776392694063</v>
      </c>
      <c r="L325">
        <v>51.157976730738298</v>
      </c>
      <c r="M325" t="str">
        <f t="shared" si="57"/>
        <v>Normal</v>
      </c>
      <c r="N325" t="str">
        <f t="shared" si="58"/>
        <v>Medium RE Cost</v>
      </c>
      <c r="O325">
        <f t="shared" si="56"/>
        <v>311640347.21392971</v>
      </c>
      <c r="P325">
        <f t="shared" si="59"/>
        <v>88.615902776151756</v>
      </c>
      <c r="Q325">
        <f t="shared" si="60"/>
        <v>37.79</v>
      </c>
      <c r="R325" s="229">
        <f t="shared" si="61"/>
        <v>132898140.76558492</v>
      </c>
      <c r="S325" s="297" t="str">
        <f t="shared" si="62"/>
        <v/>
      </c>
      <c r="T325" s="297" t="str">
        <f t="shared" si="63"/>
        <v/>
      </c>
      <c r="V325" s="296">
        <f t="shared" si="64"/>
        <v>73.680000000000007</v>
      </c>
      <c r="W325">
        <f t="shared" si="65"/>
        <v>35.88713633430347</v>
      </c>
      <c r="X325" s="297" t="str">
        <f t="shared" si="66"/>
        <v/>
      </c>
    </row>
    <row r="326" spans="1:24" x14ac:dyDescent="0.2">
      <c r="A326" t="s">
        <v>341</v>
      </c>
      <c r="B326">
        <v>2030</v>
      </c>
      <c r="C326" t="s">
        <v>340</v>
      </c>
      <c r="D326" t="s">
        <v>214</v>
      </c>
      <c r="E326">
        <v>94608305.380427495</v>
      </c>
      <c r="F326">
        <v>1500274.8906449699</v>
      </c>
      <c r="G326">
        <v>640990</v>
      </c>
      <c r="H326">
        <v>96749570.271072403</v>
      </c>
      <c r="I326">
        <v>1960.4601499999901</v>
      </c>
      <c r="J326">
        <v>3516754.18802818</v>
      </c>
      <c r="K326">
        <v>0.204776392694063</v>
      </c>
      <c r="L326">
        <v>27.5110414598864</v>
      </c>
      <c r="M326" t="str">
        <f t="shared" si="57"/>
        <v>Normal</v>
      </c>
      <c r="N326" t="str">
        <f t="shared" si="58"/>
        <v>Medium RE Cost</v>
      </c>
      <c r="O326">
        <f t="shared" si="56"/>
        <v>340002960.96679091</v>
      </c>
      <c r="P326">
        <f t="shared" si="59"/>
        <v>96.68090028135525</v>
      </c>
      <c r="Q326">
        <f t="shared" si="60"/>
        <v>69.599999999999994</v>
      </c>
      <c r="R326" s="229">
        <f t="shared" si="61"/>
        <v>244766091.4867613</v>
      </c>
      <c r="S326" s="297">
        <f t="shared" si="62"/>
        <v>96.706681854764057</v>
      </c>
      <c r="T326" s="297">
        <f t="shared" si="63"/>
        <v>69.622248229952447</v>
      </c>
      <c r="V326" s="296">
        <f t="shared" si="64"/>
        <v>69.78</v>
      </c>
      <c r="W326">
        <f t="shared" si="65"/>
        <v>0.18226750171566547</v>
      </c>
      <c r="X326" s="297">
        <f t="shared" si="66"/>
        <v>69.8</v>
      </c>
    </row>
    <row r="327" spans="1:24" x14ac:dyDescent="0.2">
      <c r="A327" t="s">
        <v>341</v>
      </c>
      <c r="B327">
        <v>2040</v>
      </c>
      <c r="C327" t="s">
        <v>340</v>
      </c>
      <c r="D327" t="s">
        <v>214</v>
      </c>
      <c r="E327">
        <v>69034910.6875128</v>
      </c>
      <c r="F327">
        <v>1551548.0690526201</v>
      </c>
      <c r="G327">
        <v>24070348</v>
      </c>
      <c r="H327">
        <v>94656806.756565407</v>
      </c>
      <c r="I327">
        <v>1960.4601499999901</v>
      </c>
      <c r="J327">
        <v>3516754.18802818</v>
      </c>
      <c r="K327">
        <v>0.204776392694063</v>
      </c>
      <c r="L327">
        <v>26.915957640371399</v>
      </c>
      <c r="M327" t="str">
        <f t="shared" si="57"/>
        <v>Normal</v>
      </c>
      <c r="N327" t="str">
        <f t="shared" si="58"/>
        <v>Medium RE Cost</v>
      </c>
      <c r="O327">
        <f t="shared" si="56"/>
        <v>317964169.10794711</v>
      </c>
      <c r="P327">
        <f t="shared" si="59"/>
        <v>90.414101215936114</v>
      </c>
      <c r="Q327">
        <f t="shared" si="60"/>
        <v>63.94</v>
      </c>
      <c r="R327" s="229">
        <f t="shared" si="61"/>
        <v>224861262.78252181</v>
      </c>
      <c r="S327" s="297" t="str">
        <f t="shared" si="62"/>
        <v/>
      </c>
      <c r="T327" s="297" t="str">
        <f t="shared" si="63"/>
        <v/>
      </c>
      <c r="V327" s="296">
        <f t="shared" si="64"/>
        <v>70.78</v>
      </c>
      <c r="W327">
        <f t="shared" si="65"/>
        <v>6.8444783778010025</v>
      </c>
      <c r="X327" s="297" t="str">
        <f t="shared" si="66"/>
        <v/>
      </c>
    </row>
    <row r="328" spans="1:24" x14ac:dyDescent="0.2">
      <c r="A328" t="s">
        <v>341</v>
      </c>
      <c r="B328">
        <v>2050</v>
      </c>
      <c r="C328" t="s">
        <v>340</v>
      </c>
      <c r="D328" t="s">
        <v>214</v>
      </c>
      <c r="E328">
        <v>54905325.713770099</v>
      </c>
      <c r="F328">
        <v>551826.91495807504</v>
      </c>
      <c r="G328">
        <v>104809054</v>
      </c>
      <c r="H328">
        <v>160266206.628728</v>
      </c>
      <c r="I328">
        <v>1960.4601499999901</v>
      </c>
      <c r="J328">
        <v>3516754.18802818</v>
      </c>
      <c r="K328">
        <v>0.204776392694063</v>
      </c>
      <c r="L328">
        <v>45.5721947170235</v>
      </c>
      <c r="M328" t="str">
        <f t="shared" si="57"/>
        <v>Normal</v>
      </c>
      <c r="N328" t="str">
        <f t="shared" si="58"/>
        <v>Medium RE Cost</v>
      </c>
      <c r="O328">
        <f t="shared" si="56"/>
        <v>311640347.21392971</v>
      </c>
      <c r="P328">
        <f t="shared" si="59"/>
        <v>88.615902776151756</v>
      </c>
      <c r="Q328">
        <f t="shared" si="60"/>
        <v>43.2</v>
      </c>
      <c r="R328" s="229">
        <f t="shared" si="61"/>
        <v>151923780.92281738</v>
      </c>
      <c r="S328" s="297" t="str">
        <f t="shared" si="62"/>
        <v/>
      </c>
      <c r="T328" s="297" t="str">
        <f t="shared" si="63"/>
        <v/>
      </c>
      <c r="V328" s="296">
        <f t="shared" si="64"/>
        <v>73</v>
      </c>
      <c r="W328">
        <f t="shared" si="65"/>
        <v>29.802780745038572</v>
      </c>
      <c r="X328" s="297" t="str">
        <f t="shared" si="66"/>
        <v/>
      </c>
    </row>
    <row r="329" spans="1:24" x14ac:dyDescent="0.2">
      <c r="A329" t="s">
        <v>342</v>
      </c>
      <c r="B329">
        <v>2030</v>
      </c>
      <c r="C329" t="s">
        <v>340</v>
      </c>
      <c r="D329" t="s">
        <v>216</v>
      </c>
      <c r="E329">
        <v>82942872.947795197</v>
      </c>
      <c r="F329">
        <v>13312328.2847957</v>
      </c>
      <c r="G329">
        <v>18604949</v>
      </c>
      <c r="H329">
        <v>114860150.23259</v>
      </c>
      <c r="I329">
        <v>1960.4601499999901</v>
      </c>
      <c r="J329">
        <v>3516754.18802818</v>
      </c>
      <c r="K329">
        <v>0.204776392694063</v>
      </c>
      <c r="L329">
        <v>32.660841244918501</v>
      </c>
      <c r="M329" t="str">
        <f t="shared" si="57"/>
        <v>Normal</v>
      </c>
      <c r="N329" t="str">
        <f t="shared" si="58"/>
        <v>High RE Cost</v>
      </c>
      <c r="O329">
        <f t="shared" si="56"/>
        <v>438930410.85372549</v>
      </c>
      <c r="P329">
        <f t="shared" si="59"/>
        <v>124.81122858911864</v>
      </c>
      <c r="Q329">
        <f t="shared" si="60"/>
        <v>95.94</v>
      </c>
      <c r="R329" s="229">
        <f t="shared" si="61"/>
        <v>337397396.79942358</v>
      </c>
      <c r="S329" s="297">
        <f t="shared" si="62"/>
        <v>124.84451158340961</v>
      </c>
      <c r="T329" s="297">
        <f t="shared" si="63"/>
        <v>95.969072323683477</v>
      </c>
      <c r="V329" s="296">
        <f t="shared" si="64"/>
        <v>101.23</v>
      </c>
      <c r="W329">
        <f t="shared" si="65"/>
        <v>5.290375159951588</v>
      </c>
      <c r="X329" s="297">
        <f t="shared" si="66"/>
        <v>101.26</v>
      </c>
    </row>
    <row r="330" spans="1:24" x14ac:dyDescent="0.2">
      <c r="A330" t="s">
        <v>342</v>
      </c>
      <c r="B330">
        <v>2040</v>
      </c>
      <c r="C330" t="s">
        <v>340</v>
      </c>
      <c r="D330" t="s">
        <v>216</v>
      </c>
      <c r="E330">
        <v>74787717.911895305</v>
      </c>
      <c r="F330">
        <v>3102382.9830848598</v>
      </c>
      <c r="G330">
        <v>56589601</v>
      </c>
      <c r="H330">
        <v>134479701.89498001</v>
      </c>
      <c r="I330">
        <v>1960.4601499999901</v>
      </c>
      <c r="J330">
        <v>3516754.18802818</v>
      </c>
      <c r="K330">
        <v>0.204776392694063</v>
      </c>
      <c r="L330">
        <v>38.239721830083802</v>
      </c>
      <c r="M330" t="str">
        <f t="shared" si="57"/>
        <v>Normal</v>
      </c>
      <c r="N330" t="str">
        <f t="shared" si="58"/>
        <v>High RE Cost</v>
      </c>
      <c r="O330">
        <f t="shared" si="56"/>
        <v>424159287.62446445</v>
      </c>
      <c r="P330">
        <f t="shared" si="59"/>
        <v>120.6110137206626</v>
      </c>
      <c r="Q330">
        <f t="shared" si="60"/>
        <v>83.25</v>
      </c>
      <c r="R330" s="229">
        <f t="shared" si="61"/>
        <v>292769786.153346</v>
      </c>
      <c r="S330" s="297" t="str">
        <f t="shared" si="62"/>
        <v/>
      </c>
      <c r="T330" s="297" t="str">
        <f t="shared" si="63"/>
        <v/>
      </c>
      <c r="V330" s="296">
        <f t="shared" si="64"/>
        <v>99.34</v>
      </c>
      <c r="W330">
        <f t="shared" si="65"/>
        <v>16.091429191338904</v>
      </c>
      <c r="X330" s="297" t="str">
        <f t="shared" si="66"/>
        <v/>
      </c>
    </row>
    <row r="331" spans="1:24" x14ac:dyDescent="0.2">
      <c r="A331" t="s">
        <v>342</v>
      </c>
      <c r="B331">
        <v>2050</v>
      </c>
      <c r="C331" t="s">
        <v>340</v>
      </c>
      <c r="D331" t="s">
        <v>216</v>
      </c>
      <c r="E331">
        <v>45324559.629767098</v>
      </c>
      <c r="F331">
        <v>1134530.59030034</v>
      </c>
      <c r="G331">
        <v>248001560</v>
      </c>
      <c r="H331">
        <v>294460650.22006702</v>
      </c>
      <c r="I331">
        <v>1960.4601499999901</v>
      </c>
      <c r="J331">
        <v>3516754.18802818</v>
      </c>
      <c r="K331">
        <v>0.204776392694063</v>
      </c>
      <c r="L331">
        <v>83.730802460540801</v>
      </c>
      <c r="M331" t="str">
        <f t="shared" si="57"/>
        <v>Normal</v>
      </c>
      <c r="N331" t="str">
        <f t="shared" si="58"/>
        <v>High RE Cost</v>
      </c>
      <c r="O331">
        <f t="shared" si="56"/>
        <v>406117526.52104861</v>
      </c>
      <c r="P331">
        <f t="shared" si="59"/>
        <v>115.48078279214502</v>
      </c>
      <c r="Q331">
        <f t="shared" si="60"/>
        <v>32.07</v>
      </c>
      <c r="R331" s="229">
        <f t="shared" si="61"/>
        <v>112782306.81006373</v>
      </c>
      <c r="S331" s="297" t="str">
        <f t="shared" si="62"/>
        <v/>
      </c>
      <c r="T331" s="297" t="str">
        <f t="shared" si="63"/>
        <v/>
      </c>
      <c r="V331" s="296">
        <f t="shared" si="64"/>
        <v>102.59</v>
      </c>
      <c r="W331">
        <f t="shared" si="65"/>
        <v>70.520015542813013</v>
      </c>
      <c r="X331" s="297" t="str">
        <f t="shared" si="66"/>
        <v/>
      </c>
    </row>
    <row r="332" spans="1:24" x14ac:dyDescent="0.2">
      <c r="A332" t="s">
        <v>343</v>
      </c>
      <c r="B332">
        <v>2030</v>
      </c>
      <c r="C332" t="s">
        <v>340</v>
      </c>
      <c r="D332" t="s">
        <v>218</v>
      </c>
      <c r="E332">
        <v>69518336.815071806</v>
      </c>
      <c r="F332">
        <v>10249208.797694201</v>
      </c>
      <c r="G332">
        <v>15708529</v>
      </c>
      <c r="H332">
        <v>95476074.612766102</v>
      </c>
      <c r="I332">
        <v>1960.4601499999901</v>
      </c>
      <c r="J332">
        <v>3516754.18802818</v>
      </c>
      <c r="K332">
        <v>0.204776392694063</v>
      </c>
      <c r="L332">
        <v>27.148919005424901</v>
      </c>
      <c r="M332" t="str">
        <f t="shared" si="57"/>
        <v>Normal</v>
      </c>
      <c r="N332" t="str">
        <f t="shared" si="58"/>
        <v>Medium RE Cost</v>
      </c>
      <c r="O332">
        <f t="shared" si="56"/>
        <v>340002960.96679091</v>
      </c>
      <c r="P332">
        <f t="shared" si="59"/>
        <v>96.68090028135525</v>
      </c>
      <c r="Q332">
        <f t="shared" si="60"/>
        <v>72.45</v>
      </c>
      <c r="R332" s="229">
        <f t="shared" si="61"/>
        <v>254788840.92264166</v>
      </c>
      <c r="S332" s="297">
        <f t="shared" si="62"/>
        <v>96.706681854764057</v>
      </c>
      <c r="T332" s="297">
        <f t="shared" si="63"/>
        <v>72.472157273773107</v>
      </c>
      <c r="V332" s="296">
        <f t="shared" si="64"/>
        <v>76.92</v>
      </c>
      <c r="W332">
        <f t="shared" si="65"/>
        <v>4.4667691172375239</v>
      </c>
      <c r="X332" s="297">
        <f t="shared" si="66"/>
        <v>76.94</v>
      </c>
    </row>
    <row r="333" spans="1:24" x14ac:dyDescent="0.2">
      <c r="A333" t="s">
        <v>343</v>
      </c>
      <c r="B333">
        <v>2040</v>
      </c>
      <c r="C333" t="s">
        <v>340</v>
      </c>
      <c r="D333" t="s">
        <v>218</v>
      </c>
      <c r="E333">
        <v>52369016.871360101</v>
      </c>
      <c r="F333">
        <v>1969503.08925223</v>
      </c>
      <c r="G333">
        <v>47813979</v>
      </c>
      <c r="H333">
        <v>102152498.960612</v>
      </c>
      <c r="I333">
        <v>1960.4601499999901</v>
      </c>
      <c r="J333">
        <v>3516754.18802818</v>
      </c>
      <c r="K333">
        <v>0.204776392694063</v>
      </c>
      <c r="L333">
        <v>29.047381050504502</v>
      </c>
      <c r="M333" t="str">
        <f t="shared" si="57"/>
        <v>Normal</v>
      </c>
      <c r="N333" t="str">
        <f t="shared" si="58"/>
        <v>Medium RE Cost</v>
      </c>
      <c r="O333">
        <f t="shared" si="56"/>
        <v>317964169.10794711</v>
      </c>
      <c r="P333">
        <f t="shared" si="59"/>
        <v>90.414101215936114</v>
      </c>
      <c r="Q333">
        <f t="shared" si="60"/>
        <v>61.93</v>
      </c>
      <c r="R333" s="229">
        <f t="shared" si="61"/>
        <v>217792586.86458519</v>
      </c>
      <c r="S333" s="297" t="str">
        <f t="shared" si="62"/>
        <v/>
      </c>
      <c r="T333" s="297" t="str">
        <f t="shared" si="63"/>
        <v/>
      </c>
      <c r="V333" s="296">
        <f t="shared" si="64"/>
        <v>75.53</v>
      </c>
      <c r="W333">
        <f t="shared" si="65"/>
        <v>13.596053759676893</v>
      </c>
      <c r="X333" s="297" t="str">
        <f t="shared" si="66"/>
        <v/>
      </c>
    </row>
    <row r="334" spans="1:24" x14ac:dyDescent="0.2">
      <c r="A334" t="s">
        <v>343</v>
      </c>
      <c r="B334">
        <v>2050</v>
      </c>
      <c r="C334" t="s">
        <v>340</v>
      </c>
      <c r="D334" t="s">
        <v>218</v>
      </c>
      <c r="E334">
        <v>35467237.312676601</v>
      </c>
      <c r="F334">
        <v>1418616.01183241</v>
      </c>
      <c r="G334">
        <v>147851654</v>
      </c>
      <c r="H334">
        <v>184737507.32450899</v>
      </c>
      <c r="I334">
        <v>1960.4601499999901</v>
      </c>
      <c r="J334">
        <v>3516754.18802818</v>
      </c>
      <c r="K334">
        <v>0.204776392694063</v>
      </c>
      <c r="L334">
        <v>52.530685241919002</v>
      </c>
      <c r="M334" t="str">
        <f t="shared" si="57"/>
        <v>Normal</v>
      </c>
      <c r="N334" t="str">
        <f t="shared" si="58"/>
        <v>Medium RE Cost</v>
      </c>
      <c r="O334">
        <f t="shared" si="56"/>
        <v>311640347.21392971</v>
      </c>
      <c r="P334">
        <f t="shared" si="59"/>
        <v>88.615902776151756</v>
      </c>
      <c r="Q334">
        <f t="shared" si="60"/>
        <v>36.49</v>
      </c>
      <c r="R334" s="229">
        <f t="shared" si="61"/>
        <v>128326360.32114829</v>
      </c>
      <c r="S334" s="297" t="str">
        <f t="shared" si="62"/>
        <v/>
      </c>
      <c r="T334" s="297" t="str">
        <f t="shared" si="63"/>
        <v/>
      </c>
      <c r="V334" s="296">
        <f t="shared" si="64"/>
        <v>78.53</v>
      </c>
      <c r="W334">
        <f t="shared" si="65"/>
        <v>42.042078034148702</v>
      </c>
      <c r="X334" s="297" t="str">
        <f t="shared" si="66"/>
        <v/>
      </c>
    </row>
    <row r="335" spans="1:24" x14ac:dyDescent="0.2">
      <c r="A335" t="s">
        <v>344</v>
      </c>
      <c r="B335">
        <v>2030</v>
      </c>
      <c r="C335" t="s">
        <v>340</v>
      </c>
      <c r="D335" t="s">
        <v>220</v>
      </c>
      <c r="E335">
        <v>81650876.426441401</v>
      </c>
      <c r="F335">
        <v>1680618.72005371</v>
      </c>
      <c r="G335">
        <v>5732967</v>
      </c>
      <c r="H335">
        <v>89064462.146495104</v>
      </c>
      <c r="I335">
        <v>1960.4601499999901</v>
      </c>
      <c r="J335">
        <v>3516754.18802818</v>
      </c>
      <c r="K335">
        <v>0.204776392694063</v>
      </c>
      <c r="L335">
        <v>25.3257570431537</v>
      </c>
      <c r="M335" t="str">
        <f t="shared" si="57"/>
        <v>Normal</v>
      </c>
      <c r="N335" t="str">
        <f t="shared" si="58"/>
        <v>Low RE Cost</v>
      </c>
      <c r="O335">
        <f t="shared" si="56"/>
        <v>308653204.24954498</v>
      </c>
      <c r="P335">
        <f t="shared" si="59"/>
        <v>87.766499376120663</v>
      </c>
      <c r="Q335">
        <f t="shared" si="60"/>
        <v>62.92</v>
      </c>
      <c r="R335" s="229">
        <f t="shared" si="61"/>
        <v>221274173.5107331</v>
      </c>
      <c r="S335" s="297">
        <f t="shared" si="62"/>
        <v>87.789903775954699</v>
      </c>
      <c r="T335" s="297">
        <f t="shared" si="63"/>
        <v>62.94203589712609</v>
      </c>
      <c r="V335" s="296">
        <f t="shared" si="64"/>
        <v>64.55</v>
      </c>
      <c r="W335">
        <f t="shared" si="65"/>
        <v>1.6301870115108714</v>
      </c>
      <c r="X335" s="297">
        <f t="shared" si="66"/>
        <v>64.569999999999993</v>
      </c>
    </row>
    <row r="336" spans="1:24" x14ac:dyDescent="0.2">
      <c r="A336" t="s">
        <v>344</v>
      </c>
      <c r="B336">
        <v>2040</v>
      </c>
      <c r="C336" t="s">
        <v>340</v>
      </c>
      <c r="D336" t="s">
        <v>220</v>
      </c>
      <c r="E336">
        <v>55252152.963149503</v>
      </c>
      <c r="F336">
        <v>1105755.95526914</v>
      </c>
      <c r="G336">
        <v>27543151</v>
      </c>
      <c r="H336">
        <v>83901059.918418601</v>
      </c>
      <c r="I336">
        <v>1960.4601499999901</v>
      </c>
      <c r="J336">
        <v>3516754.18802818</v>
      </c>
      <c r="K336">
        <v>0.204776392694063</v>
      </c>
      <c r="L336">
        <v>23.857527547429001</v>
      </c>
      <c r="M336" t="str">
        <f t="shared" si="57"/>
        <v>Normal</v>
      </c>
      <c r="N336" t="str">
        <f t="shared" si="58"/>
        <v>Low RE Cost</v>
      </c>
      <c r="O336">
        <f t="shared" si="56"/>
        <v>281756933.38277984</v>
      </c>
      <c r="P336">
        <f t="shared" si="59"/>
        <v>80.118461034878024</v>
      </c>
      <c r="Q336">
        <f t="shared" si="60"/>
        <v>56.58</v>
      </c>
      <c r="R336" s="229">
        <f t="shared" si="61"/>
        <v>198977951.95863441</v>
      </c>
      <c r="S336" s="297" t="str">
        <f t="shared" si="62"/>
        <v/>
      </c>
      <c r="T336" s="297" t="str">
        <f t="shared" si="63"/>
        <v/>
      </c>
      <c r="V336" s="296">
        <f t="shared" si="64"/>
        <v>64.41</v>
      </c>
      <c r="W336">
        <f t="shared" si="65"/>
        <v>7.8319807206779091</v>
      </c>
      <c r="X336" s="297" t="str">
        <f t="shared" si="66"/>
        <v/>
      </c>
    </row>
    <row r="337" spans="1:24" x14ac:dyDescent="0.2">
      <c r="A337" t="s">
        <v>344</v>
      </c>
      <c r="B337">
        <v>2050</v>
      </c>
      <c r="C337" t="s">
        <v>340</v>
      </c>
      <c r="D337" t="s">
        <v>220</v>
      </c>
      <c r="E337">
        <v>47368466.782032698</v>
      </c>
      <c r="F337">
        <v>644052.77592306398</v>
      </c>
      <c r="G337">
        <v>108142026</v>
      </c>
      <c r="H337">
        <v>156154545.557955</v>
      </c>
      <c r="I337">
        <v>1960.4601499999901</v>
      </c>
      <c r="J337">
        <v>3516754.18802818</v>
      </c>
      <c r="K337">
        <v>0.204776392694063</v>
      </c>
      <c r="L337">
        <v>44.4030310931429</v>
      </c>
      <c r="M337" t="str">
        <f t="shared" si="57"/>
        <v>Normal</v>
      </c>
      <c r="N337" t="str">
        <f t="shared" si="58"/>
        <v>Low RE Cost</v>
      </c>
      <c r="O337">
        <f t="shared" si="56"/>
        <v>275418236.05994487</v>
      </c>
      <c r="P337">
        <f t="shared" si="59"/>
        <v>78.316032720606486</v>
      </c>
      <c r="Q337">
        <f t="shared" si="60"/>
        <v>34.1</v>
      </c>
      <c r="R337" s="229">
        <f t="shared" si="61"/>
        <v>119921317.81176095</v>
      </c>
      <c r="S337" s="297" t="str">
        <f t="shared" si="62"/>
        <v/>
      </c>
      <c r="T337" s="297" t="str">
        <f t="shared" si="63"/>
        <v/>
      </c>
      <c r="V337" s="296">
        <f t="shared" si="64"/>
        <v>64.849999999999994</v>
      </c>
      <c r="W337">
        <f t="shared" si="65"/>
        <v>30.750521707812194</v>
      </c>
      <c r="X337" s="297" t="str">
        <f t="shared" si="66"/>
        <v/>
      </c>
    </row>
    <row r="338" spans="1:24" x14ac:dyDescent="0.2">
      <c r="A338" t="s">
        <v>345</v>
      </c>
      <c r="B338">
        <v>2030</v>
      </c>
      <c r="C338" t="s">
        <v>340</v>
      </c>
      <c r="D338" t="s">
        <v>222</v>
      </c>
      <c r="E338">
        <v>82298201.571373895</v>
      </c>
      <c r="F338">
        <v>2576766.0213479199</v>
      </c>
      <c r="G338">
        <v>9918607</v>
      </c>
      <c r="H338">
        <v>94793574.592721805</v>
      </c>
      <c r="I338">
        <v>1960.4601499999901</v>
      </c>
      <c r="J338">
        <v>3516754.18802818</v>
      </c>
      <c r="K338">
        <v>0.204776392694063</v>
      </c>
      <c r="L338">
        <v>26.954848000300998</v>
      </c>
      <c r="M338" t="str">
        <f t="shared" si="57"/>
        <v>Normal</v>
      </c>
      <c r="N338" t="str">
        <f t="shared" si="58"/>
        <v>Medium RE Cost</v>
      </c>
      <c r="O338">
        <f t="shared" si="56"/>
        <v>340002960.96679091</v>
      </c>
      <c r="P338">
        <f t="shared" si="59"/>
        <v>96.68090028135525</v>
      </c>
      <c r="Q338">
        <f t="shared" si="60"/>
        <v>70.459999999999994</v>
      </c>
      <c r="R338" s="229">
        <f t="shared" si="61"/>
        <v>247790500.08846554</v>
      </c>
      <c r="S338" s="297">
        <f t="shared" si="62"/>
        <v>96.706681854764057</v>
      </c>
      <c r="T338" s="297">
        <f t="shared" si="63"/>
        <v>70.484545293357343</v>
      </c>
      <c r="V338" s="296">
        <f t="shared" si="64"/>
        <v>73.28</v>
      </c>
      <c r="W338">
        <f t="shared" si="65"/>
        <v>2.8203867741922828</v>
      </c>
      <c r="X338" s="297">
        <f t="shared" si="66"/>
        <v>73.3</v>
      </c>
    </row>
    <row r="339" spans="1:24" x14ac:dyDescent="0.2">
      <c r="A339" t="s">
        <v>345</v>
      </c>
      <c r="B339">
        <v>2040</v>
      </c>
      <c r="C339" t="s">
        <v>340</v>
      </c>
      <c r="D339" t="s">
        <v>222</v>
      </c>
      <c r="E339">
        <v>70468087.509002507</v>
      </c>
      <c r="F339">
        <v>2060073.66392019</v>
      </c>
      <c r="G339">
        <v>26127584</v>
      </c>
      <c r="H339">
        <v>98655745.172922701</v>
      </c>
      <c r="I339">
        <v>1960.4601499999901</v>
      </c>
      <c r="J339">
        <v>3516754.18802818</v>
      </c>
      <c r="K339">
        <v>0.204776392694063</v>
      </c>
      <c r="L339">
        <v>28.053068226596199</v>
      </c>
      <c r="M339" t="str">
        <f t="shared" si="57"/>
        <v>Normal</v>
      </c>
      <c r="N339" t="str">
        <f t="shared" si="58"/>
        <v>Medium RE Cost</v>
      </c>
      <c r="O339">
        <f t="shared" si="56"/>
        <v>317964169.10794711</v>
      </c>
      <c r="P339">
        <f t="shared" si="59"/>
        <v>90.414101215936114</v>
      </c>
      <c r="Q339">
        <f t="shared" si="60"/>
        <v>62.95</v>
      </c>
      <c r="R339" s="229">
        <f t="shared" si="61"/>
        <v>221379676.13637394</v>
      </c>
      <c r="S339" s="297" t="str">
        <f t="shared" si="62"/>
        <v/>
      </c>
      <c r="T339" s="297" t="str">
        <f t="shared" si="63"/>
        <v/>
      </c>
      <c r="V339" s="296">
        <f t="shared" si="64"/>
        <v>70.38</v>
      </c>
      <c r="W339">
        <f t="shared" si="65"/>
        <v>7.4294598379790537</v>
      </c>
      <c r="X339" s="297" t="str">
        <f t="shared" si="66"/>
        <v/>
      </c>
    </row>
    <row r="340" spans="1:24" x14ac:dyDescent="0.2">
      <c r="A340" t="s">
        <v>345</v>
      </c>
      <c r="B340">
        <v>2050</v>
      </c>
      <c r="C340" t="s">
        <v>340</v>
      </c>
      <c r="D340" t="s">
        <v>222</v>
      </c>
      <c r="E340" s="229">
        <v>49263575.950137898</v>
      </c>
      <c r="F340" s="229">
        <v>605375.76178793504</v>
      </c>
      <c r="G340" s="229">
        <v>132145989</v>
      </c>
      <c r="H340">
        <v>182014940.711925</v>
      </c>
      <c r="I340">
        <v>1960.4601499999901</v>
      </c>
      <c r="J340">
        <v>3516754.18802818</v>
      </c>
      <c r="K340">
        <v>0.204776392694063</v>
      </c>
      <c r="L340">
        <v>51.756514951071999</v>
      </c>
      <c r="M340" t="str">
        <f t="shared" si="57"/>
        <v>Normal</v>
      </c>
      <c r="N340" t="str">
        <f t="shared" si="58"/>
        <v>Medium RE Cost</v>
      </c>
      <c r="O340">
        <f t="shared" si="56"/>
        <v>311640347.21392971</v>
      </c>
      <c r="P340">
        <f t="shared" si="59"/>
        <v>88.615902776151756</v>
      </c>
      <c r="Q340">
        <f t="shared" si="60"/>
        <v>37.03</v>
      </c>
      <c r="R340" s="229">
        <f t="shared" si="61"/>
        <v>130225407.5826835</v>
      </c>
      <c r="S340" s="297" t="str">
        <f t="shared" si="62"/>
        <v/>
      </c>
      <c r="T340" s="297" t="str">
        <f t="shared" si="63"/>
        <v/>
      </c>
      <c r="V340" s="296">
        <f t="shared" si="64"/>
        <v>74.61</v>
      </c>
      <c r="W340">
        <f t="shared" si="65"/>
        <v>37.57612330422598</v>
      </c>
      <c r="X340" s="297" t="str">
        <f t="shared" si="66"/>
        <v/>
      </c>
    </row>
    <row r="341" spans="1:24" x14ac:dyDescent="0.2">
      <c r="A341" t="s">
        <v>346</v>
      </c>
      <c r="B341">
        <v>2030</v>
      </c>
      <c r="C341" t="s">
        <v>340</v>
      </c>
      <c r="D341" t="s">
        <v>224</v>
      </c>
      <c r="E341">
        <v>81136698.404751703</v>
      </c>
      <c r="F341">
        <v>2331252.2901898799</v>
      </c>
      <c r="G341">
        <v>10878882</v>
      </c>
      <c r="H341">
        <v>94346832.694941595</v>
      </c>
      <c r="I341">
        <v>1960.4601499999901</v>
      </c>
      <c r="J341">
        <v>3516754.18802818</v>
      </c>
      <c r="K341">
        <v>0.204776392694063</v>
      </c>
      <c r="L341">
        <v>26.8278155510895</v>
      </c>
      <c r="M341" t="str">
        <f t="shared" si="57"/>
        <v>Normal</v>
      </c>
      <c r="N341" t="str">
        <f t="shared" si="58"/>
        <v>Medium RE Cost</v>
      </c>
      <c r="O341">
        <f t="shared" si="56"/>
        <v>340002960.96679091</v>
      </c>
      <c r="P341">
        <f t="shared" si="59"/>
        <v>96.68090028135525</v>
      </c>
      <c r="Q341">
        <f t="shared" si="60"/>
        <v>70.52</v>
      </c>
      <c r="R341" s="229">
        <f t="shared" si="61"/>
        <v>248001505.33974725</v>
      </c>
      <c r="S341" s="297">
        <f t="shared" si="62"/>
        <v>96.706681854764057</v>
      </c>
      <c r="T341" s="297">
        <f t="shared" si="63"/>
        <v>70.541765148901206</v>
      </c>
      <c r="V341" s="296">
        <f t="shared" si="64"/>
        <v>73.61</v>
      </c>
      <c r="W341">
        <f t="shared" si="65"/>
        <v>3.0934439594994028</v>
      </c>
      <c r="X341" s="297">
        <f t="shared" si="66"/>
        <v>73.64</v>
      </c>
    </row>
    <row r="342" spans="1:24" x14ac:dyDescent="0.2">
      <c r="A342" t="s">
        <v>346</v>
      </c>
      <c r="B342">
        <v>2040</v>
      </c>
      <c r="C342" t="s">
        <v>340</v>
      </c>
      <c r="D342" t="s">
        <v>224</v>
      </c>
      <c r="E342">
        <v>67637193.660222396</v>
      </c>
      <c r="F342">
        <v>3907425.77211578</v>
      </c>
      <c r="G342">
        <v>28825148</v>
      </c>
      <c r="H342">
        <v>100369767.432338</v>
      </c>
      <c r="I342">
        <v>1960.4601499999901</v>
      </c>
      <c r="J342">
        <v>3516754.18802818</v>
      </c>
      <c r="K342">
        <v>0.204776392694063</v>
      </c>
      <c r="L342">
        <v>28.5404557913144</v>
      </c>
      <c r="M342" t="str">
        <f t="shared" si="57"/>
        <v>Normal</v>
      </c>
      <c r="N342" t="str">
        <f t="shared" si="58"/>
        <v>Medium RE Cost</v>
      </c>
      <c r="O342">
        <f t="shared" si="56"/>
        <v>317964169.10794711</v>
      </c>
      <c r="P342">
        <f t="shared" si="59"/>
        <v>90.414101215936114</v>
      </c>
      <c r="Q342">
        <f t="shared" si="60"/>
        <v>62.98</v>
      </c>
      <c r="R342" s="229">
        <f t="shared" si="61"/>
        <v>221485178.76201478</v>
      </c>
      <c r="S342" s="297" t="str">
        <f t="shared" si="62"/>
        <v/>
      </c>
      <c r="T342" s="297" t="str">
        <f t="shared" si="63"/>
        <v/>
      </c>
      <c r="V342" s="296">
        <f t="shared" si="64"/>
        <v>71.180000000000007</v>
      </c>
      <c r="W342">
        <f t="shared" si="65"/>
        <v>8.1965205581121552</v>
      </c>
      <c r="X342" s="297" t="str">
        <f t="shared" si="66"/>
        <v/>
      </c>
    </row>
    <row r="343" spans="1:24" x14ac:dyDescent="0.2">
      <c r="A343" t="s">
        <v>346</v>
      </c>
      <c r="B343">
        <v>2050</v>
      </c>
      <c r="C343" t="s">
        <v>340</v>
      </c>
      <c r="D343" t="s">
        <v>224</v>
      </c>
      <c r="E343">
        <v>52319718.974605002</v>
      </c>
      <c r="F343">
        <v>889337.80372091895</v>
      </c>
      <c r="G343">
        <v>120373572</v>
      </c>
      <c r="H343">
        <v>173582628.778326</v>
      </c>
      <c r="I343">
        <v>1960.4601499999901</v>
      </c>
      <c r="J343">
        <v>3516754.18802818</v>
      </c>
      <c r="K343">
        <v>0.204776392694063</v>
      </c>
      <c r="L343">
        <v>49.3587608054154</v>
      </c>
      <c r="M343" t="str">
        <f t="shared" si="57"/>
        <v>Normal</v>
      </c>
      <c r="N343" t="str">
        <f t="shared" si="58"/>
        <v>Medium RE Cost</v>
      </c>
      <c r="O343">
        <f t="shared" si="56"/>
        <v>311640347.21392971</v>
      </c>
      <c r="P343">
        <f t="shared" si="59"/>
        <v>88.615902776151756</v>
      </c>
      <c r="Q343">
        <f t="shared" si="60"/>
        <v>39.51</v>
      </c>
      <c r="R343" s="229">
        <f t="shared" si="61"/>
        <v>138946957.9689934</v>
      </c>
      <c r="S343" s="297" t="str">
        <f t="shared" si="62"/>
        <v/>
      </c>
      <c r="T343" s="297" t="str">
        <f t="shared" si="63"/>
        <v/>
      </c>
      <c r="V343" s="296">
        <f t="shared" si="64"/>
        <v>73.739999999999995</v>
      </c>
      <c r="W343">
        <f t="shared" si="65"/>
        <v>34.228599886161689</v>
      </c>
      <c r="X343" s="297" t="str">
        <f t="shared" si="66"/>
        <v/>
      </c>
    </row>
    <row r="344" spans="1:24" x14ac:dyDescent="0.2">
      <c r="A344" t="s">
        <v>347</v>
      </c>
      <c r="B344">
        <v>2030</v>
      </c>
      <c r="C344" t="s">
        <v>340</v>
      </c>
      <c r="D344" t="s">
        <v>226</v>
      </c>
      <c r="E344">
        <v>81093839.780542299</v>
      </c>
      <c r="F344">
        <v>5621432.8678442398</v>
      </c>
      <c r="G344">
        <v>9481860</v>
      </c>
      <c r="H344">
        <v>96197132.648386493</v>
      </c>
      <c r="I344">
        <v>1960.4601499999901</v>
      </c>
      <c r="J344">
        <v>3516754.18802818</v>
      </c>
      <c r="K344">
        <v>0.204776392694063</v>
      </c>
      <c r="L344">
        <v>27.353954102297799</v>
      </c>
      <c r="M344" t="str">
        <f t="shared" si="57"/>
        <v>Normal</v>
      </c>
      <c r="N344" t="str">
        <f t="shared" si="58"/>
        <v>Medium RE Cost</v>
      </c>
      <c r="O344">
        <f t="shared" si="56"/>
        <v>340002960.96679091</v>
      </c>
      <c r="P344">
        <f t="shared" si="59"/>
        <v>96.68090028135525</v>
      </c>
      <c r="Q344">
        <f t="shared" si="60"/>
        <v>70.930000000000007</v>
      </c>
      <c r="R344" s="229">
        <f t="shared" si="61"/>
        <v>249443374.55683884</v>
      </c>
      <c r="S344" s="297">
        <f t="shared" si="62"/>
        <v>96.706681854764057</v>
      </c>
      <c r="T344" s="297">
        <f t="shared" si="63"/>
        <v>70.951199686325253</v>
      </c>
      <c r="V344" s="296">
        <f t="shared" si="64"/>
        <v>73.63</v>
      </c>
      <c r="W344">
        <f t="shared" si="65"/>
        <v>2.696196405275745</v>
      </c>
      <c r="X344" s="297">
        <f t="shared" si="66"/>
        <v>73.650000000000006</v>
      </c>
    </row>
    <row r="345" spans="1:24" x14ac:dyDescent="0.2">
      <c r="A345" t="s">
        <v>347</v>
      </c>
      <c r="B345">
        <v>2040</v>
      </c>
      <c r="C345" t="s">
        <v>340</v>
      </c>
      <c r="D345" t="s">
        <v>226</v>
      </c>
      <c r="E345">
        <v>71645502.432091206</v>
      </c>
      <c r="F345">
        <v>3654114.4150076001</v>
      </c>
      <c r="G345">
        <v>25380054</v>
      </c>
      <c r="H345">
        <v>100679670.84709799</v>
      </c>
      <c r="I345">
        <v>1960.4601499999901</v>
      </c>
      <c r="J345">
        <v>3516754.18802818</v>
      </c>
      <c r="K345">
        <v>0.204776392694063</v>
      </c>
      <c r="L345">
        <v>28.628577791940899</v>
      </c>
      <c r="M345" t="str">
        <f t="shared" si="57"/>
        <v>Normal</v>
      </c>
      <c r="N345" t="str">
        <f t="shared" si="58"/>
        <v>Medium RE Cost</v>
      </c>
      <c r="O345">
        <f t="shared" si="56"/>
        <v>317964169.10794711</v>
      </c>
      <c r="P345">
        <f t="shared" si="59"/>
        <v>90.414101215936114</v>
      </c>
      <c r="Q345">
        <f t="shared" si="60"/>
        <v>62.82</v>
      </c>
      <c r="R345" s="229">
        <f t="shared" si="61"/>
        <v>220922498.09193027</v>
      </c>
      <c r="S345" s="297" t="str">
        <f t="shared" si="62"/>
        <v/>
      </c>
      <c r="T345" s="297" t="str">
        <f t="shared" si="63"/>
        <v/>
      </c>
      <c r="V345" s="296">
        <f t="shared" si="64"/>
        <v>70.040000000000006</v>
      </c>
      <c r="W345">
        <f t="shared" si="65"/>
        <v>7.2168973556353171</v>
      </c>
      <c r="X345" s="297" t="str">
        <f t="shared" si="66"/>
        <v/>
      </c>
    </row>
    <row r="346" spans="1:24" x14ac:dyDescent="0.2">
      <c r="A346" t="s">
        <v>347</v>
      </c>
      <c r="B346">
        <v>2050</v>
      </c>
      <c r="C346" t="s">
        <v>340</v>
      </c>
      <c r="D346" t="s">
        <v>226</v>
      </c>
      <c r="E346">
        <v>56205572.386889502</v>
      </c>
      <c r="F346">
        <v>2096323.1900307301</v>
      </c>
      <c r="G346">
        <v>129722032</v>
      </c>
      <c r="H346">
        <v>188023927.57692</v>
      </c>
      <c r="I346">
        <v>1960.4601499999901</v>
      </c>
      <c r="J346">
        <v>3516754.18802818</v>
      </c>
      <c r="K346">
        <v>0.204776392694063</v>
      </c>
      <c r="L346">
        <v>53.465189070363699</v>
      </c>
      <c r="M346" t="str">
        <f t="shared" si="57"/>
        <v>Normal</v>
      </c>
      <c r="N346" t="str">
        <f t="shared" si="58"/>
        <v>Medium RE Cost</v>
      </c>
      <c r="O346">
        <f t="shared" si="56"/>
        <v>311640347.21392971</v>
      </c>
      <c r="P346">
        <f t="shared" si="59"/>
        <v>88.615902776151756</v>
      </c>
      <c r="Q346">
        <f t="shared" si="60"/>
        <v>35.75</v>
      </c>
      <c r="R346" s="229">
        <f t="shared" si="61"/>
        <v>125723962.22200744</v>
      </c>
      <c r="S346" s="297" t="str">
        <f t="shared" si="62"/>
        <v/>
      </c>
      <c r="T346" s="297" t="str">
        <f t="shared" si="63"/>
        <v/>
      </c>
      <c r="V346" s="296">
        <f t="shared" si="64"/>
        <v>72.64</v>
      </c>
      <c r="W346">
        <f t="shared" si="65"/>
        <v>36.886863586201983</v>
      </c>
      <c r="X346" s="297" t="str">
        <f t="shared" si="66"/>
        <v/>
      </c>
    </row>
    <row r="347" spans="1:24" x14ac:dyDescent="0.2">
      <c r="A347" t="s">
        <v>348</v>
      </c>
      <c r="B347">
        <v>2030</v>
      </c>
      <c r="C347" t="s">
        <v>336</v>
      </c>
      <c r="D347" t="s">
        <v>218</v>
      </c>
      <c r="E347">
        <v>69518436.3958707</v>
      </c>
      <c r="F347">
        <v>10249242.912053401</v>
      </c>
      <c r="G347">
        <v>15708611</v>
      </c>
      <c r="H347">
        <v>95476290.307924196</v>
      </c>
      <c r="I347">
        <v>1960.4601499999901</v>
      </c>
      <c r="J347">
        <v>3516754.18802818</v>
      </c>
      <c r="K347">
        <v>0.204776392694063</v>
      </c>
      <c r="L347">
        <v>27.1489803390145</v>
      </c>
      <c r="M347" t="str">
        <f t="shared" si="57"/>
        <v>Normal</v>
      </c>
      <c r="N347" t="str">
        <f t="shared" si="58"/>
        <v>Medium RE Cost</v>
      </c>
      <c r="O347">
        <f t="shared" si="56"/>
        <v>340002960.96679091</v>
      </c>
      <c r="P347">
        <f t="shared" si="59"/>
        <v>96.68090028135525</v>
      </c>
      <c r="Q347">
        <f t="shared" si="60"/>
        <v>72.45</v>
      </c>
      <c r="R347" s="229">
        <f t="shared" si="61"/>
        <v>254788840.92264166</v>
      </c>
      <c r="S347" s="297">
        <f t="shared" si="62"/>
        <v>96.706681854764057</v>
      </c>
      <c r="T347" s="297">
        <f t="shared" si="63"/>
        <v>72.472105640707724</v>
      </c>
      <c r="V347" s="296">
        <f t="shared" si="64"/>
        <v>76.92</v>
      </c>
      <c r="W347">
        <f t="shared" si="65"/>
        <v>4.4667924341927661</v>
      </c>
      <c r="X347" s="297">
        <f t="shared" si="66"/>
        <v>76.94</v>
      </c>
    </row>
    <row r="348" spans="1:24" x14ac:dyDescent="0.2">
      <c r="A348" t="s">
        <v>348</v>
      </c>
      <c r="B348">
        <v>2040</v>
      </c>
      <c r="C348" t="s">
        <v>336</v>
      </c>
      <c r="D348" t="s">
        <v>218</v>
      </c>
      <c r="E348">
        <v>65321410.034741499</v>
      </c>
      <c r="F348">
        <v>2276238.8714105701</v>
      </c>
      <c r="G348">
        <v>10935652</v>
      </c>
      <c r="H348">
        <v>78533300.906152099</v>
      </c>
      <c r="I348">
        <v>1960.4601499999901</v>
      </c>
      <c r="J348">
        <v>3516754.18802818</v>
      </c>
      <c r="K348">
        <v>0.204776392694063</v>
      </c>
      <c r="L348">
        <v>22.3311885640165</v>
      </c>
      <c r="M348" t="str">
        <f t="shared" si="57"/>
        <v>Normal</v>
      </c>
      <c r="N348" t="str">
        <f t="shared" si="58"/>
        <v>Medium RE Cost</v>
      </c>
      <c r="O348">
        <f t="shared" si="56"/>
        <v>317964169.10794711</v>
      </c>
      <c r="P348">
        <f t="shared" si="59"/>
        <v>90.414101215936114</v>
      </c>
      <c r="Q348">
        <f t="shared" si="60"/>
        <v>68.73</v>
      </c>
      <c r="R348" s="229">
        <f t="shared" si="61"/>
        <v>241706515.34317684</v>
      </c>
      <c r="S348" s="297" t="str">
        <f t="shared" si="62"/>
        <v/>
      </c>
      <c r="T348" s="297" t="str">
        <f t="shared" si="63"/>
        <v/>
      </c>
      <c r="V348" s="296">
        <f t="shared" si="64"/>
        <v>71.84</v>
      </c>
      <c r="W348">
        <f t="shared" si="65"/>
        <v>3.1095866857079213</v>
      </c>
      <c r="X348" s="297" t="str">
        <f t="shared" si="66"/>
        <v/>
      </c>
    </row>
    <row r="349" spans="1:24" x14ac:dyDescent="0.2">
      <c r="A349" t="s">
        <v>348</v>
      </c>
      <c r="B349">
        <v>2050</v>
      </c>
      <c r="C349" t="s">
        <v>336</v>
      </c>
      <c r="D349" t="s">
        <v>218</v>
      </c>
      <c r="E349">
        <v>64388178.607886799</v>
      </c>
      <c r="F349">
        <v>1539084.49462096</v>
      </c>
      <c r="G349">
        <v>13029688</v>
      </c>
      <c r="H349">
        <v>78956951.102507696</v>
      </c>
      <c r="I349">
        <v>1960.4601499999901</v>
      </c>
      <c r="J349">
        <v>3516754.18802818</v>
      </c>
      <c r="K349">
        <v>0.204776392694063</v>
      </c>
      <c r="L349">
        <v>22.451654816050201</v>
      </c>
      <c r="M349" t="str">
        <f t="shared" si="57"/>
        <v>Normal</v>
      </c>
      <c r="N349" t="str">
        <f t="shared" si="58"/>
        <v>Medium RE Cost</v>
      </c>
      <c r="O349">
        <f t="shared" si="56"/>
        <v>311640347.21392971</v>
      </c>
      <c r="P349">
        <f t="shared" si="59"/>
        <v>88.615902776151756</v>
      </c>
      <c r="Q349">
        <f t="shared" si="60"/>
        <v>66.599999999999994</v>
      </c>
      <c r="R349" s="229">
        <f t="shared" si="61"/>
        <v>234215828.92267677</v>
      </c>
      <c r="S349" s="297" t="str">
        <f t="shared" si="62"/>
        <v/>
      </c>
      <c r="T349" s="297" t="str">
        <f t="shared" si="63"/>
        <v/>
      </c>
      <c r="V349" s="296">
        <f t="shared" si="64"/>
        <v>70.31</v>
      </c>
      <c r="W349">
        <f t="shared" si="65"/>
        <v>3.7050323404336818</v>
      </c>
      <c r="X349" s="297" t="str">
        <f t="shared" si="66"/>
        <v/>
      </c>
    </row>
    <row r="350" spans="1:24" x14ac:dyDescent="0.2">
      <c r="A350" t="s">
        <v>349</v>
      </c>
      <c r="B350">
        <v>2030</v>
      </c>
      <c r="C350" t="s">
        <v>336</v>
      </c>
      <c r="D350" t="s">
        <v>220</v>
      </c>
      <c r="E350">
        <v>81650865.139338702</v>
      </c>
      <c r="F350">
        <v>1680580.90748252</v>
      </c>
      <c r="G350">
        <v>5732790</v>
      </c>
      <c r="H350">
        <v>89064236.046821207</v>
      </c>
      <c r="I350">
        <v>1960.4601499999901</v>
      </c>
      <c r="J350">
        <v>3516754.18802818</v>
      </c>
      <c r="K350">
        <v>0.204776392694063</v>
      </c>
      <c r="L350">
        <v>25.325692751007601</v>
      </c>
      <c r="M350" t="str">
        <f t="shared" si="57"/>
        <v>Normal</v>
      </c>
      <c r="N350" t="str">
        <f t="shared" si="58"/>
        <v>Low RE Cost</v>
      </c>
      <c r="O350">
        <f t="shared" si="56"/>
        <v>308653204.24954498</v>
      </c>
      <c r="P350">
        <f t="shared" si="59"/>
        <v>87.766499376120663</v>
      </c>
      <c r="Q350">
        <f t="shared" si="60"/>
        <v>62.92</v>
      </c>
      <c r="R350" s="229">
        <f t="shared" si="61"/>
        <v>221274173.5107331</v>
      </c>
      <c r="S350" s="297">
        <f t="shared" si="62"/>
        <v>87.789903775954699</v>
      </c>
      <c r="T350" s="297">
        <f t="shared" si="63"/>
        <v>62.942089437149825</v>
      </c>
      <c r="V350" s="296">
        <f t="shared" si="64"/>
        <v>64.55</v>
      </c>
      <c r="W350">
        <f t="shared" si="65"/>
        <v>1.6301366810099218</v>
      </c>
      <c r="X350" s="297">
        <f t="shared" si="66"/>
        <v>64.569999999999993</v>
      </c>
    </row>
    <row r="351" spans="1:24" x14ac:dyDescent="0.2">
      <c r="A351" t="s">
        <v>349</v>
      </c>
      <c r="B351">
        <v>2040</v>
      </c>
      <c r="C351" t="s">
        <v>336</v>
      </c>
      <c r="D351" t="s">
        <v>220</v>
      </c>
      <c r="E351">
        <v>66309981.6070344</v>
      </c>
      <c r="F351">
        <v>1319694.4674160399</v>
      </c>
      <c r="G351">
        <v>0</v>
      </c>
      <c r="H351">
        <v>67629676.074450493</v>
      </c>
      <c r="I351">
        <v>1960.4601499999901</v>
      </c>
      <c r="J351">
        <v>3516754.18802818</v>
      </c>
      <c r="K351">
        <v>0.204776392694063</v>
      </c>
      <c r="L351">
        <v>19.230708903305501</v>
      </c>
      <c r="M351" t="str">
        <f t="shared" si="57"/>
        <v>Normal</v>
      </c>
      <c r="N351" t="str">
        <f t="shared" si="58"/>
        <v>Low RE Cost</v>
      </c>
      <c r="O351">
        <f t="shared" si="56"/>
        <v>281756933.38277984</v>
      </c>
      <c r="P351">
        <f t="shared" si="59"/>
        <v>80.118461034878024</v>
      </c>
      <c r="Q351">
        <f t="shared" si="60"/>
        <v>61.26</v>
      </c>
      <c r="R351" s="229">
        <f t="shared" si="61"/>
        <v>215436361.5586063</v>
      </c>
      <c r="S351" s="297" t="str">
        <f t="shared" si="62"/>
        <v/>
      </c>
      <c r="T351" s="297" t="str">
        <f t="shared" si="63"/>
        <v/>
      </c>
      <c r="V351" s="296">
        <f t="shared" si="64"/>
        <v>61.26</v>
      </c>
      <c r="W351">
        <f t="shared" si="65"/>
        <v>0</v>
      </c>
      <c r="X351" s="297" t="str">
        <f t="shared" si="66"/>
        <v/>
      </c>
    </row>
    <row r="352" spans="1:24" x14ac:dyDescent="0.2">
      <c r="A352" t="s">
        <v>349</v>
      </c>
      <c r="B352">
        <v>2050</v>
      </c>
      <c r="C352" t="s">
        <v>336</v>
      </c>
      <c r="D352" t="s">
        <v>220</v>
      </c>
      <c r="E352">
        <v>63905865.062509798</v>
      </c>
      <c r="F352">
        <v>463476.37555836502</v>
      </c>
      <c r="G352">
        <v>0</v>
      </c>
      <c r="H352">
        <v>64369341.438068099</v>
      </c>
      <c r="I352">
        <v>1960.4601499999901</v>
      </c>
      <c r="J352">
        <v>3516754.18802818</v>
      </c>
      <c r="K352">
        <v>0.204776392694063</v>
      </c>
      <c r="L352">
        <v>18.303622600975501</v>
      </c>
      <c r="M352" t="str">
        <f t="shared" si="57"/>
        <v>Normal</v>
      </c>
      <c r="N352" t="str">
        <f t="shared" si="58"/>
        <v>Low RE Cost</v>
      </c>
      <c r="O352">
        <f t="shared" si="56"/>
        <v>275418236.05994487</v>
      </c>
      <c r="P352">
        <f t="shared" si="59"/>
        <v>78.316032720606486</v>
      </c>
      <c r="Q352">
        <f t="shared" si="60"/>
        <v>60.14</v>
      </c>
      <c r="R352" s="229">
        <f t="shared" si="61"/>
        <v>211497596.86801475</v>
      </c>
      <c r="S352" s="297" t="str">
        <f t="shared" si="62"/>
        <v/>
      </c>
      <c r="T352" s="297" t="str">
        <f t="shared" si="63"/>
        <v/>
      </c>
      <c r="V352" s="296">
        <f t="shared" si="64"/>
        <v>60.14</v>
      </c>
      <c r="W352">
        <f t="shared" si="65"/>
        <v>0</v>
      </c>
      <c r="X352" s="297" t="str">
        <f t="shared" si="66"/>
        <v/>
      </c>
    </row>
    <row r="353" spans="1:24" x14ac:dyDescent="0.2">
      <c r="A353" t="s">
        <v>350</v>
      </c>
      <c r="B353">
        <v>2030</v>
      </c>
      <c r="C353" t="s">
        <v>336</v>
      </c>
      <c r="D353" t="s">
        <v>222</v>
      </c>
      <c r="E353">
        <v>82298176.599732697</v>
      </c>
      <c r="F353">
        <v>2576707.5369007201</v>
      </c>
      <c r="G353">
        <v>9918646</v>
      </c>
      <c r="H353">
        <v>94793530.136633396</v>
      </c>
      <c r="I353">
        <v>1960.4601499999901</v>
      </c>
      <c r="J353">
        <v>3516754.18802818</v>
      </c>
      <c r="K353">
        <v>0.204776392694063</v>
      </c>
      <c r="L353">
        <v>26.9548353590739</v>
      </c>
      <c r="M353" t="str">
        <f t="shared" si="57"/>
        <v>Normal</v>
      </c>
      <c r="N353" t="str">
        <f t="shared" si="58"/>
        <v>Medium RE Cost</v>
      </c>
      <c r="O353">
        <f t="shared" si="56"/>
        <v>340002960.96679091</v>
      </c>
      <c r="P353">
        <f t="shared" si="59"/>
        <v>96.68090028135525</v>
      </c>
      <c r="Q353">
        <f t="shared" si="60"/>
        <v>70.459999999999994</v>
      </c>
      <c r="R353" s="229">
        <f t="shared" si="61"/>
        <v>247790500.08846554</v>
      </c>
      <c r="S353" s="297">
        <f t="shared" si="62"/>
        <v>96.706681854764057</v>
      </c>
      <c r="T353" s="297">
        <f t="shared" si="63"/>
        <v>70.484541304349861</v>
      </c>
      <c r="V353" s="296">
        <f t="shared" si="64"/>
        <v>73.28</v>
      </c>
      <c r="W353">
        <f t="shared" si="65"/>
        <v>2.8203978639636786</v>
      </c>
      <c r="X353" s="297">
        <f t="shared" si="66"/>
        <v>73.3</v>
      </c>
    </row>
    <row r="354" spans="1:24" x14ac:dyDescent="0.2">
      <c r="A354" t="s">
        <v>350</v>
      </c>
      <c r="B354">
        <v>2040</v>
      </c>
      <c r="C354" t="s">
        <v>336</v>
      </c>
      <c r="D354" t="s">
        <v>222</v>
      </c>
      <c r="E354">
        <v>78261746.570174903</v>
      </c>
      <c r="F354">
        <v>2211599.9642138202</v>
      </c>
      <c r="G354">
        <v>1398909</v>
      </c>
      <c r="H354">
        <v>81872255.534388706</v>
      </c>
      <c r="I354">
        <v>1960.4601499999901</v>
      </c>
      <c r="J354">
        <v>3516754.18802818</v>
      </c>
      <c r="K354">
        <v>0.204776392694063</v>
      </c>
      <c r="L354">
        <v>23.280630705751399</v>
      </c>
      <c r="M354" t="str">
        <f t="shared" si="57"/>
        <v>Normal</v>
      </c>
      <c r="N354" t="str">
        <f t="shared" si="58"/>
        <v>Medium RE Cost</v>
      </c>
      <c r="O354">
        <f t="shared" si="56"/>
        <v>317964169.10794711</v>
      </c>
      <c r="P354">
        <f t="shared" si="59"/>
        <v>90.414101215936114</v>
      </c>
      <c r="Q354">
        <f t="shared" si="60"/>
        <v>67.760000000000005</v>
      </c>
      <c r="R354" s="229">
        <f t="shared" si="61"/>
        <v>238295263.78078949</v>
      </c>
      <c r="S354" s="297" t="str">
        <f t="shared" si="62"/>
        <v/>
      </c>
      <c r="T354" s="297" t="str">
        <f t="shared" si="63"/>
        <v/>
      </c>
      <c r="V354" s="296">
        <f t="shared" si="64"/>
        <v>68.16</v>
      </c>
      <c r="W354">
        <f t="shared" si="65"/>
        <v>0.39778412854734063</v>
      </c>
      <c r="X354" s="297" t="str">
        <f t="shared" si="66"/>
        <v/>
      </c>
    </row>
    <row r="355" spans="1:24" x14ac:dyDescent="0.2">
      <c r="A355" t="s">
        <v>350</v>
      </c>
      <c r="B355">
        <v>2050</v>
      </c>
      <c r="C355" t="s">
        <v>336</v>
      </c>
      <c r="D355" t="s">
        <v>222</v>
      </c>
      <c r="E355">
        <v>73833902.152148604</v>
      </c>
      <c r="F355">
        <v>622851.75447086897</v>
      </c>
      <c r="G355">
        <v>2828449</v>
      </c>
      <c r="H355">
        <v>77285202.906619504</v>
      </c>
      <c r="I355">
        <v>1960.4601499999901</v>
      </c>
      <c r="J355">
        <v>3516754.18802818</v>
      </c>
      <c r="K355">
        <v>0.204776392694063</v>
      </c>
      <c r="L355">
        <v>21.9762880128829</v>
      </c>
      <c r="M355" t="str">
        <f t="shared" si="57"/>
        <v>Normal</v>
      </c>
      <c r="N355" t="str">
        <f t="shared" si="58"/>
        <v>Medium RE Cost</v>
      </c>
      <c r="O355">
        <f t="shared" si="56"/>
        <v>311640347.21392971</v>
      </c>
      <c r="P355">
        <f t="shared" si="59"/>
        <v>88.615902776151756</v>
      </c>
      <c r="Q355">
        <f t="shared" si="60"/>
        <v>66.819999999999993</v>
      </c>
      <c r="R355" s="229">
        <f t="shared" si="61"/>
        <v>234989514.84404296</v>
      </c>
      <c r="S355" s="297" t="str">
        <f t="shared" si="62"/>
        <v/>
      </c>
      <c r="T355" s="297" t="str">
        <f t="shared" si="63"/>
        <v/>
      </c>
      <c r="V355" s="296">
        <f t="shared" si="64"/>
        <v>67.62</v>
      </c>
      <c r="W355">
        <f t="shared" si="65"/>
        <v>0.80427827729008605</v>
      </c>
      <c r="X355" s="297" t="str">
        <f t="shared" si="66"/>
        <v/>
      </c>
    </row>
    <row r="356" spans="1:24" x14ac:dyDescent="0.2">
      <c r="A356" t="s">
        <v>351</v>
      </c>
      <c r="B356">
        <v>2030</v>
      </c>
      <c r="C356" t="s">
        <v>336</v>
      </c>
      <c r="D356" t="s">
        <v>224</v>
      </c>
      <c r="E356">
        <v>81136916.906094998</v>
      </c>
      <c r="F356">
        <v>2331281.92764225</v>
      </c>
      <c r="G356">
        <v>10878397</v>
      </c>
      <c r="H356">
        <v>94346595.833737299</v>
      </c>
      <c r="I356">
        <v>1960.4601499999901</v>
      </c>
      <c r="J356">
        <v>3516754.18802818</v>
      </c>
      <c r="K356">
        <v>0.204776392694063</v>
      </c>
      <c r="L356">
        <v>26.8277481988688</v>
      </c>
      <c r="M356" t="str">
        <f t="shared" si="57"/>
        <v>Normal</v>
      </c>
      <c r="N356" t="str">
        <f t="shared" si="58"/>
        <v>Medium RE Cost</v>
      </c>
      <c r="O356">
        <f t="shared" si="56"/>
        <v>340002960.96679091</v>
      </c>
      <c r="P356">
        <f t="shared" si="59"/>
        <v>96.68090028135525</v>
      </c>
      <c r="Q356">
        <f t="shared" si="60"/>
        <v>70.52</v>
      </c>
      <c r="R356" s="229">
        <f t="shared" si="61"/>
        <v>248001505.33974725</v>
      </c>
      <c r="S356" s="297">
        <f t="shared" si="62"/>
        <v>96.706681854764057</v>
      </c>
      <c r="T356" s="297">
        <f t="shared" si="63"/>
        <v>70.541840928623756</v>
      </c>
      <c r="V356" s="296">
        <f t="shared" si="64"/>
        <v>73.61</v>
      </c>
      <c r="W356">
        <f t="shared" si="65"/>
        <v>3.0933060482397385</v>
      </c>
      <c r="X356" s="297">
        <f t="shared" si="66"/>
        <v>73.64</v>
      </c>
    </row>
    <row r="357" spans="1:24" x14ac:dyDescent="0.2">
      <c r="A357" t="s">
        <v>351</v>
      </c>
      <c r="B357">
        <v>2040</v>
      </c>
      <c r="C357" t="s">
        <v>336</v>
      </c>
      <c r="D357" t="s">
        <v>224</v>
      </c>
      <c r="E357">
        <v>76668380.077544495</v>
      </c>
      <c r="F357">
        <v>4022158.4409730299</v>
      </c>
      <c r="G357">
        <v>1997106</v>
      </c>
      <c r="H357">
        <v>82687644.518517494</v>
      </c>
      <c r="I357">
        <v>1960.4601499999901</v>
      </c>
      <c r="J357">
        <v>3516754.18802818</v>
      </c>
      <c r="K357">
        <v>0.204776392694063</v>
      </c>
      <c r="L357">
        <v>23.512489101457401</v>
      </c>
      <c r="M357" t="str">
        <f t="shared" si="57"/>
        <v>Normal</v>
      </c>
      <c r="N357" t="str">
        <f t="shared" si="58"/>
        <v>Medium RE Cost</v>
      </c>
      <c r="O357">
        <f t="shared" si="56"/>
        <v>317964169.10794711</v>
      </c>
      <c r="P357">
        <f t="shared" si="59"/>
        <v>90.414101215936114</v>
      </c>
      <c r="Q357">
        <f t="shared" si="60"/>
        <v>68.05</v>
      </c>
      <c r="R357" s="229">
        <f t="shared" si="61"/>
        <v>239315122.49531764</v>
      </c>
      <c r="S357" s="297" t="str">
        <f t="shared" si="62"/>
        <v/>
      </c>
      <c r="T357" s="297" t="str">
        <f t="shared" si="63"/>
        <v/>
      </c>
      <c r="V357" s="296">
        <f t="shared" si="64"/>
        <v>68.62</v>
      </c>
      <c r="W357">
        <f t="shared" si="65"/>
        <v>0.56788330751082827</v>
      </c>
      <c r="X357" s="297" t="str">
        <f t="shared" si="66"/>
        <v/>
      </c>
    </row>
    <row r="358" spans="1:24" x14ac:dyDescent="0.2">
      <c r="A358" t="s">
        <v>351</v>
      </c>
      <c r="B358">
        <v>2050</v>
      </c>
      <c r="C358" t="s">
        <v>336</v>
      </c>
      <c r="D358" t="s">
        <v>224</v>
      </c>
      <c r="E358">
        <v>74557393.415604293</v>
      </c>
      <c r="F358">
        <v>890290.03685660905</v>
      </c>
      <c r="G358">
        <v>4303751</v>
      </c>
      <c r="H358">
        <v>79751434.4524609</v>
      </c>
      <c r="I358">
        <v>1960.4601499999901</v>
      </c>
      <c r="J358">
        <v>3516754.18802818</v>
      </c>
      <c r="K358">
        <v>0.204776392694063</v>
      </c>
      <c r="L358">
        <v>22.6775686296053</v>
      </c>
      <c r="M358" t="str">
        <f t="shared" si="57"/>
        <v>Normal</v>
      </c>
      <c r="N358" t="str">
        <f t="shared" si="58"/>
        <v>Medium RE Cost</v>
      </c>
      <c r="O358">
        <f t="shared" si="56"/>
        <v>311640347.21392971</v>
      </c>
      <c r="P358">
        <f t="shared" si="59"/>
        <v>88.615902776151756</v>
      </c>
      <c r="Q358">
        <f t="shared" si="60"/>
        <v>66.19</v>
      </c>
      <c r="R358" s="229">
        <f t="shared" si="61"/>
        <v>232773959.70558524</v>
      </c>
      <c r="S358" s="297" t="str">
        <f t="shared" si="62"/>
        <v/>
      </c>
      <c r="T358" s="297" t="str">
        <f t="shared" si="63"/>
        <v/>
      </c>
      <c r="V358" s="296">
        <f t="shared" si="64"/>
        <v>67.41</v>
      </c>
      <c r="W358">
        <f t="shared" si="65"/>
        <v>1.2237849931766438</v>
      </c>
      <c r="X358" s="297" t="str">
        <f t="shared" si="66"/>
        <v/>
      </c>
    </row>
    <row r="359" spans="1:24" x14ac:dyDescent="0.2">
      <c r="A359" t="s">
        <v>352</v>
      </c>
      <c r="B359">
        <v>2030</v>
      </c>
      <c r="C359" t="s">
        <v>336</v>
      </c>
      <c r="D359" t="s">
        <v>226</v>
      </c>
      <c r="E359">
        <v>81093528.549576804</v>
      </c>
      <c r="F359">
        <v>5621371.11805462</v>
      </c>
      <c r="G359">
        <v>9481636</v>
      </c>
      <c r="H359">
        <v>96196535.667631403</v>
      </c>
      <c r="I359">
        <v>1960.4601499999901</v>
      </c>
      <c r="J359">
        <v>3516754.18802818</v>
      </c>
      <c r="K359">
        <v>0.204776392694063</v>
      </c>
      <c r="L359">
        <v>27.353784348961899</v>
      </c>
      <c r="M359" t="str">
        <f t="shared" si="57"/>
        <v>Normal</v>
      </c>
      <c r="N359" t="str">
        <f t="shared" si="58"/>
        <v>Medium RE Cost</v>
      </c>
      <c r="O359">
        <f t="shared" si="56"/>
        <v>340002960.96679091</v>
      </c>
      <c r="P359">
        <f t="shared" si="59"/>
        <v>96.68090028135525</v>
      </c>
      <c r="Q359">
        <f t="shared" si="60"/>
        <v>70.930000000000007</v>
      </c>
      <c r="R359" s="229">
        <f t="shared" si="61"/>
        <v>249443374.55683884</v>
      </c>
      <c r="S359" s="297">
        <f t="shared" si="62"/>
        <v>96.706681854764057</v>
      </c>
      <c r="T359" s="297">
        <f t="shared" si="63"/>
        <v>70.951351880916306</v>
      </c>
      <c r="V359" s="296">
        <f t="shared" si="64"/>
        <v>73.63</v>
      </c>
      <c r="W359">
        <f t="shared" si="65"/>
        <v>2.6961327101784978</v>
      </c>
      <c r="X359" s="297">
        <f t="shared" si="66"/>
        <v>73.650000000000006</v>
      </c>
    </row>
    <row r="360" spans="1:24" x14ac:dyDescent="0.2">
      <c r="A360" t="s">
        <v>352</v>
      </c>
      <c r="B360">
        <v>2040</v>
      </c>
      <c r="C360" t="s">
        <v>336</v>
      </c>
      <c r="D360" t="s">
        <v>226</v>
      </c>
      <c r="E360">
        <v>82661408.683470502</v>
      </c>
      <c r="F360">
        <v>3987954.2378430902</v>
      </c>
      <c r="G360">
        <v>335710</v>
      </c>
      <c r="H360">
        <v>86985072.921313599</v>
      </c>
      <c r="I360">
        <v>1960.4601499999901</v>
      </c>
      <c r="J360">
        <v>3516754.18802818</v>
      </c>
      <c r="K360">
        <v>0.204776392694063</v>
      </c>
      <c r="L360">
        <v>24.734476244438699</v>
      </c>
      <c r="M360" t="str">
        <f t="shared" si="57"/>
        <v>Normal</v>
      </c>
      <c r="N360" t="str">
        <f t="shared" si="58"/>
        <v>Medium RE Cost</v>
      </c>
      <c r="O360">
        <f t="shared" si="56"/>
        <v>317964169.10794711</v>
      </c>
      <c r="P360">
        <f t="shared" si="59"/>
        <v>90.414101215936114</v>
      </c>
      <c r="Q360">
        <f t="shared" si="60"/>
        <v>66.81</v>
      </c>
      <c r="R360" s="229">
        <f t="shared" si="61"/>
        <v>234954347.30216271</v>
      </c>
      <c r="S360" s="297" t="str">
        <f t="shared" si="62"/>
        <v/>
      </c>
      <c r="T360" s="297" t="str">
        <f t="shared" si="63"/>
        <v/>
      </c>
      <c r="V360" s="296">
        <f t="shared" si="64"/>
        <v>66.91</v>
      </c>
      <c r="W360">
        <f t="shared" si="65"/>
        <v>9.5460183467707849E-2</v>
      </c>
      <c r="X360" s="297" t="str">
        <f t="shared" si="66"/>
        <v/>
      </c>
    </row>
    <row r="361" spans="1:24" x14ac:dyDescent="0.2">
      <c r="A361" t="s">
        <v>352</v>
      </c>
      <c r="B361">
        <v>2050</v>
      </c>
      <c r="C361" t="s">
        <v>336</v>
      </c>
      <c r="D361" t="s">
        <v>226</v>
      </c>
      <c r="E361">
        <v>78223325.725032598</v>
      </c>
      <c r="F361">
        <v>2018362.5891165901</v>
      </c>
      <c r="G361">
        <v>479432</v>
      </c>
      <c r="H361">
        <v>80721120.314149201</v>
      </c>
      <c r="I361">
        <v>1960.4601499999901</v>
      </c>
      <c r="J361">
        <v>3516754.18802818</v>
      </c>
      <c r="K361">
        <v>0.204776392694063</v>
      </c>
      <c r="L361">
        <v>22.953301822726701</v>
      </c>
      <c r="M361" t="str">
        <f t="shared" si="57"/>
        <v>Normal</v>
      </c>
      <c r="N361" t="str">
        <f t="shared" si="58"/>
        <v>Medium RE Cost</v>
      </c>
      <c r="O361">
        <f t="shared" si="56"/>
        <v>311640347.21392971</v>
      </c>
      <c r="P361">
        <f t="shared" si="59"/>
        <v>88.615902776151756</v>
      </c>
      <c r="Q361">
        <f t="shared" si="60"/>
        <v>66.239999999999995</v>
      </c>
      <c r="R361" s="229">
        <f t="shared" si="61"/>
        <v>232949797.41498664</v>
      </c>
      <c r="S361" s="297" t="str">
        <f t="shared" si="62"/>
        <v/>
      </c>
      <c r="T361" s="297" t="str">
        <f t="shared" si="63"/>
        <v/>
      </c>
      <c r="V361" s="296">
        <f t="shared" si="64"/>
        <v>66.38</v>
      </c>
      <c r="W361">
        <f t="shared" si="65"/>
        <v>0.1363279815325433</v>
      </c>
      <c r="X361" s="297" t="str">
        <f t="shared" si="66"/>
        <v/>
      </c>
    </row>
    <row r="362" spans="1:24" x14ac:dyDescent="0.2">
      <c r="A362" t="s">
        <v>353</v>
      </c>
      <c r="B362">
        <v>2030</v>
      </c>
      <c r="C362" t="s">
        <v>354</v>
      </c>
      <c r="D362" t="s">
        <v>212</v>
      </c>
      <c r="E362">
        <v>82298176.599732697</v>
      </c>
      <c r="F362">
        <v>2576707.5369007201</v>
      </c>
      <c r="G362">
        <v>9918646</v>
      </c>
      <c r="H362">
        <v>94793530.136633396</v>
      </c>
      <c r="I362">
        <v>1960.4601499999901</v>
      </c>
      <c r="J362">
        <v>3516754.18802818</v>
      </c>
      <c r="K362">
        <v>0.204776392694063</v>
      </c>
      <c r="L362">
        <v>26.9548353590739</v>
      </c>
      <c r="M362" t="str">
        <f t="shared" si="57"/>
        <v>Normal</v>
      </c>
      <c r="N362" t="str">
        <f t="shared" si="58"/>
        <v>Medium RE Cost</v>
      </c>
      <c r="O362">
        <f t="shared" si="56"/>
        <v>340002960.96679091</v>
      </c>
      <c r="P362">
        <f t="shared" si="59"/>
        <v>96.68090028135525</v>
      </c>
      <c r="Q362">
        <f t="shared" si="60"/>
        <v>70.459999999999994</v>
      </c>
      <c r="R362" s="229">
        <f t="shared" si="61"/>
        <v>247790500.08846554</v>
      </c>
      <c r="S362" s="297">
        <f t="shared" si="62"/>
        <v>96.706681854764057</v>
      </c>
      <c r="T362" s="297">
        <f t="shared" si="63"/>
        <v>70.484541304349861</v>
      </c>
      <c r="V362" s="296">
        <f t="shared" si="64"/>
        <v>73.28</v>
      </c>
      <c r="W362">
        <f t="shared" si="65"/>
        <v>2.8203978639636786</v>
      </c>
      <c r="X362" s="297">
        <f t="shared" si="66"/>
        <v>73.3</v>
      </c>
    </row>
    <row r="363" spans="1:24" x14ac:dyDescent="0.2">
      <c r="A363" t="s">
        <v>353</v>
      </c>
      <c r="B363">
        <v>2040</v>
      </c>
      <c r="C363" t="s">
        <v>354</v>
      </c>
      <c r="D363" t="s">
        <v>212</v>
      </c>
      <c r="E363">
        <v>75107783.438357398</v>
      </c>
      <c r="F363">
        <v>3146904.8495922899</v>
      </c>
      <c r="G363">
        <v>1718534</v>
      </c>
      <c r="H363">
        <v>79973222.287949696</v>
      </c>
      <c r="I363">
        <v>1960.4601499999901</v>
      </c>
      <c r="J363">
        <v>3516754.18802818</v>
      </c>
      <c r="K363">
        <v>0.204776392694063</v>
      </c>
      <c r="L363">
        <v>22.740634690987601</v>
      </c>
      <c r="M363" t="str">
        <f t="shared" si="57"/>
        <v>Normal</v>
      </c>
      <c r="N363" t="str">
        <f t="shared" si="58"/>
        <v>Medium RE Cost</v>
      </c>
      <c r="O363">
        <f t="shared" si="56"/>
        <v>317964169.10794711</v>
      </c>
      <c r="P363">
        <f t="shared" si="59"/>
        <v>90.414101215936114</v>
      </c>
      <c r="Q363">
        <f t="shared" si="60"/>
        <v>68.569999999999993</v>
      </c>
      <c r="R363" s="229">
        <f t="shared" si="61"/>
        <v>241143834.67309228</v>
      </c>
      <c r="S363" s="297" t="str">
        <f t="shared" si="62"/>
        <v/>
      </c>
      <c r="T363" s="297" t="str">
        <f t="shared" si="63"/>
        <v/>
      </c>
      <c r="V363" s="296">
        <f t="shared" si="64"/>
        <v>69.06</v>
      </c>
      <c r="W363">
        <f t="shared" si="65"/>
        <v>0.48867049219711606</v>
      </c>
      <c r="X363" s="297" t="str">
        <f t="shared" si="66"/>
        <v/>
      </c>
    </row>
    <row r="364" spans="1:24" x14ac:dyDescent="0.2">
      <c r="A364" t="s">
        <v>353</v>
      </c>
      <c r="B364">
        <v>2050</v>
      </c>
      <c r="C364" t="s">
        <v>354</v>
      </c>
      <c r="D364" t="s">
        <v>212</v>
      </c>
      <c r="E364">
        <v>75288682.204467401</v>
      </c>
      <c r="F364">
        <v>1483306.6516515999</v>
      </c>
      <c r="G364">
        <v>3500089</v>
      </c>
      <c r="H364">
        <v>80272077.856119007</v>
      </c>
      <c r="I364">
        <v>1960.4601499999901</v>
      </c>
      <c r="J364">
        <v>3516754.18802818</v>
      </c>
      <c r="K364">
        <v>0.204776392694063</v>
      </c>
      <c r="L364">
        <v>22.8256152020471</v>
      </c>
      <c r="M364" t="str">
        <f t="shared" si="57"/>
        <v>Normal</v>
      </c>
      <c r="N364" t="str">
        <f t="shared" si="58"/>
        <v>Medium RE Cost</v>
      </c>
      <c r="O364">
        <f t="shared" si="56"/>
        <v>311640347.21392971</v>
      </c>
      <c r="P364">
        <f t="shared" si="59"/>
        <v>88.615902776151756</v>
      </c>
      <c r="Q364">
        <f t="shared" si="60"/>
        <v>66.209999999999994</v>
      </c>
      <c r="R364" s="229">
        <f t="shared" si="61"/>
        <v>232844294.78934577</v>
      </c>
      <c r="S364" s="297" t="str">
        <f t="shared" si="62"/>
        <v/>
      </c>
      <c r="T364" s="297" t="str">
        <f t="shared" si="63"/>
        <v/>
      </c>
      <c r="V364" s="296">
        <f t="shared" si="64"/>
        <v>67.209999999999994</v>
      </c>
      <c r="W364">
        <f t="shared" si="65"/>
        <v>0.99526120191029788</v>
      </c>
      <c r="X364" s="297" t="str">
        <f t="shared" si="66"/>
        <v/>
      </c>
    </row>
    <row r="365" spans="1:24" x14ac:dyDescent="0.2">
      <c r="A365" t="s">
        <v>355</v>
      </c>
      <c r="B365">
        <v>2030</v>
      </c>
      <c r="C365" t="s">
        <v>354</v>
      </c>
      <c r="D365" t="s">
        <v>214</v>
      </c>
      <c r="E365">
        <v>94608361.206727698</v>
      </c>
      <c r="F365">
        <v>1500284.46788489</v>
      </c>
      <c r="G365">
        <v>640973</v>
      </c>
      <c r="H365">
        <v>96749618.674612597</v>
      </c>
      <c r="I365">
        <v>1960.4601499999901</v>
      </c>
      <c r="J365">
        <v>3516754.18802818</v>
      </c>
      <c r="K365">
        <v>0.204776392694063</v>
      </c>
      <c r="L365">
        <v>27.5110552235837</v>
      </c>
      <c r="M365" t="str">
        <f t="shared" si="57"/>
        <v>Normal</v>
      </c>
      <c r="N365" t="str">
        <f t="shared" si="58"/>
        <v>Medium RE Cost</v>
      </c>
      <c r="O365">
        <f t="shared" si="56"/>
        <v>340002960.96679091</v>
      </c>
      <c r="P365">
        <f t="shared" si="59"/>
        <v>96.68090028135525</v>
      </c>
      <c r="Q365">
        <f t="shared" si="60"/>
        <v>69.599999999999994</v>
      </c>
      <c r="R365" s="229">
        <f t="shared" si="61"/>
        <v>244766091.4867613</v>
      </c>
      <c r="S365" s="297">
        <f t="shared" si="62"/>
        <v>96.706681854764057</v>
      </c>
      <c r="T365" s="297">
        <f t="shared" si="63"/>
        <v>69.622237189573127</v>
      </c>
      <c r="V365" s="296">
        <f t="shared" si="64"/>
        <v>69.78</v>
      </c>
      <c r="W365">
        <f t="shared" si="65"/>
        <v>0.1822626677127494</v>
      </c>
      <c r="X365" s="297">
        <f t="shared" si="66"/>
        <v>69.8</v>
      </c>
    </row>
    <row r="366" spans="1:24" x14ac:dyDescent="0.2">
      <c r="A366" t="s">
        <v>355</v>
      </c>
      <c r="B366">
        <v>2040</v>
      </c>
      <c r="C366" t="s">
        <v>354</v>
      </c>
      <c r="D366" t="s">
        <v>214</v>
      </c>
      <c r="E366">
        <v>76055257.216001406</v>
      </c>
      <c r="F366">
        <v>1731546.98137604</v>
      </c>
      <c r="G366">
        <v>0</v>
      </c>
      <c r="H366">
        <v>77786804.197377503</v>
      </c>
      <c r="I366">
        <v>1960.4601499999901</v>
      </c>
      <c r="J366">
        <v>3516754.18802818</v>
      </c>
      <c r="K366">
        <v>0.204776392694063</v>
      </c>
      <c r="L366">
        <v>22.118919901249001</v>
      </c>
      <c r="M366" t="str">
        <f t="shared" si="57"/>
        <v>Normal</v>
      </c>
      <c r="N366" t="str">
        <f t="shared" si="58"/>
        <v>Medium RE Cost</v>
      </c>
      <c r="O366">
        <f t="shared" si="56"/>
        <v>317964169.10794711</v>
      </c>
      <c r="P366">
        <f t="shared" si="59"/>
        <v>90.414101215936114</v>
      </c>
      <c r="Q366">
        <f t="shared" si="60"/>
        <v>68.790000000000006</v>
      </c>
      <c r="R366" s="229">
        <f t="shared" si="61"/>
        <v>241917520.59445852</v>
      </c>
      <c r="S366" s="297" t="str">
        <f t="shared" si="62"/>
        <v/>
      </c>
      <c r="T366" s="297" t="str">
        <f t="shared" si="63"/>
        <v/>
      </c>
      <c r="V366" s="296">
        <f t="shared" si="64"/>
        <v>68.790000000000006</v>
      </c>
      <c r="W366">
        <f t="shared" si="65"/>
        <v>0</v>
      </c>
      <c r="X366" s="297" t="str">
        <f t="shared" si="66"/>
        <v/>
      </c>
    </row>
    <row r="367" spans="1:24" x14ac:dyDescent="0.2">
      <c r="A367" t="s">
        <v>355</v>
      </c>
      <c r="B367">
        <v>2050</v>
      </c>
      <c r="C367" t="s">
        <v>354</v>
      </c>
      <c r="D367" t="s">
        <v>214</v>
      </c>
      <c r="E367">
        <v>75040333.210912704</v>
      </c>
      <c r="F367">
        <v>797355.63187349495</v>
      </c>
      <c r="G367">
        <v>0</v>
      </c>
      <c r="H367">
        <v>75837688.842786193</v>
      </c>
      <c r="I367">
        <v>1960.4601499999901</v>
      </c>
      <c r="J367">
        <v>3516754.18802818</v>
      </c>
      <c r="K367">
        <v>0.204776392694063</v>
      </c>
      <c r="L367">
        <v>21.564682883141099</v>
      </c>
      <c r="M367" t="str">
        <f t="shared" si="57"/>
        <v>Normal</v>
      </c>
      <c r="N367" t="str">
        <f t="shared" si="58"/>
        <v>Medium RE Cost</v>
      </c>
      <c r="O367">
        <f t="shared" si="56"/>
        <v>311640347.21392971</v>
      </c>
      <c r="P367">
        <f t="shared" si="59"/>
        <v>88.615902776151756</v>
      </c>
      <c r="Q367">
        <f t="shared" si="60"/>
        <v>67.28</v>
      </c>
      <c r="R367" s="229">
        <f t="shared" si="61"/>
        <v>236607221.77053595</v>
      </c>
      <c r="S367" s="297" t="str">
        <f t="shared" si="62"/>
        <v/>
      </c>
      <c r="T367" s="297" t="str">
        <f t="shared" si="63"/>
        <v/>
      </c>
      <c r="V367" s="296">
        <f t="shared" si="64"/>
        <v>67.28</v>
      </c>
      <c r="W367">
        <f t="shared" si="65"/>
        <v>0</v>
      </c>
      <c r="X367" s="297" t="str">
        <f t="shared" si="66"/>
        <v/>
      </c>
    </row>
    <row r="368" spans="1:24" x14ac:dyDescent="0.2">
      <c r="A368" t="s">
        <v>356</v>
      </c>
      <c r="B368">
        <v>2030</v>
      </c>
      <c r="C368" t="s">
        <v>354</v>
      </c>
      <c r="D368" t="s">
        <v>216</v>
      </c>
      <c r="E368">
        <v>82943022.591503099</v>
      </c>
      <c r="F368">
        <v>13312139.548944499</v>
      </c>
      <c r="G368">
        <v>18604592</v>
      </c>
      <c r="H368">
        <v>114859754.14044701</v>
      </c>
      <c r="I368">
        <v>1960.4601499999901</v>
      </c>
      <c r="J368">
        <v>3516754.18802818</v>
      </c>
      <c r="K368">
        <v>0.204776392694063</v>
      </c>
      <c r="L368">
        <v>32.660728614884697</v>
      </c>
      <c r="M368" t="str">
        <f t="shared" si="57"/>
        <v>Normal</v>
      </c>
      <c r="N368" t="str">
        <f t="shared" si="58"/>
        <v>High RE Cost</v>
      </c>
      <c r="O368">
        <f t="shared" si="56"/>
        <v>438930410.85372549</v>
      </c>
      <c r="P368">
        <f t="shared" si="59"/>
        <v>124.81122858911864</v>
      </c>
      <c r="Q368">
        <f t="shared" si="60"/>
        <v>95.94</v>
      </c>
      <c r="R368" s="229">
        <f t="shared" si="61"/>
        <v>337397396.79942358</v>
      </c>
      <c r="S368" s="297">
        <f t="shared" si="62"/>
        <v>124.84451158340961</v>
      </c>
      <c r="T368" s="297">
        <f t="shared" si="63"/>
        <v>95.969131286090573</v>
      </c>
      <c r="V368" s="296">
        <f t="shared" si="64"/>
        <v>101.23</v>
      </c>
      <c r="W368">
        <f t="shared" si="65"/>
        <v>5.290273645890351</v>
      </c>
      <c r="X368" s="297">
        <f t="shared" si="66"/>
        <v>101.26</v>
      </c>
    </row>
    <row r="369" spans="1:24" x14ac:dyDescent="0.2">
      <c r="A369" t="s">
        <v>356</v>
      </c>
      <c r="B369">
        <v>2040</v>
      </c>
      <c r="C369" t="s">
        <v>354</v>
      </c>
      <c r="D369" t="s">
        <v>216</v>
      </c>
      <c r="E369">
        <v>79163809.616568998</v>
      </c>
      <c r="F369">
        <v>3492086.2535584401</v>
      </c>
      <c r="G369">
        <v>19594412</v>
      </c>
      <c r="H369">
        <v>102250307.87012701</v>
      </c>
      <c r="I369">
        <v>1960.4601499999901</v>
      </c>
      <c r="J369">
        <v>3516754.18802818</v>
      </c>
      <c r="K369">
        <v>0.204776392694063</v>
      </c>
      <c r="L369">
        <v>29.075193318375899</v>
      </c>
      <c r="M369" t="str">
        <f t="shared" si="57"/>
        <v>Normal</v>
      </c>
      <c r="N369" t="str">
        <f t="shared" si="58"/>
        <v>High RE Cost</v>
      </c>
      <c r="O369">
        <f t="shared" si="56"/>
        <v>424159287.62446445</v>
      </c>
      <c r="P369">
        <f t="shared" si="59"/>
        <v>120.6110137206626</v>
      </c>
      <c r="Q369">
        <f t="shared" si="60"/>
        <v>92.53</v>
      </c>
      <c r="R369" s="229">
        <f t="shared" si="61"/>
        <v>325405265.01824749</v>
      </c>
      <c r="S369" s="297" t="str">
        <f t="shared" si="62"/>
        <v/>
      </c>
      <c r="T369" s="297" t="str">
        <f t="shared" si="63"/>
        <v/>
      </c>
      <c r="V369" s="296">
        <f t="shared" si="64"/>
        <v>98.1</v>
      </c>
      <c r="W369">
        <f t="shared" si="65"/>
        <v>5.5717320439124727</v>
      </c>
      <c r="X369" s="297" t="str">
        <f t="shared" si="66"/>
        <v/>
      </c>
    </row>
    <row r="370" spans="1:24" x14ac:dyDescent="0.2">
      <c r="A370" t="s">
        <v>356</v>
      </c>
      <c r="B370">
        <v>2050</v>
      </c>
      <c r="C370" t="s">
        <v>354</v>
      </c>
      <c r="D370" t="s">
        <v>216</v>
      </c>
      <c r="E370">
        <v>83957730.361090496</v>
      </c>
      <c r="F370">
        <v>1365406.7135637901</v>
      </c>
      <c r="G370">
        <v>10442922</v>
      </c>
      <c r="H370">
        <v>95766059.074654296</v>
      </c>
      <c r="I370">
        <v>1960.4601499999901</v>
      </c>
      <c r="J370">
        <v>3516754.18802818</v>
      </c>
      <c r="K370">
        <v>0.204776392694063</v>
      </c>
      <c r="L370">
        <v>27.2313769898002</v>
      </c>
      <c r="M370" t="str">
        <f t="shared" si="57"/>
        <v>Normal</v>
      </c>
      <c r="N370" t="str">
        <f t="shared" si="58"/>
        <v>High RE Cost</v>
      </c>
      <c r="O370">
        <f t="shared" si="56"/>
        <v>406117526.52104861</v>
      </c>
      <c r="P370">
        <f t="shared" si="59"/>
        <v>115.48078279214502</v>
      </c>
      <c r="Q370">
        <f t="shared" si="60"/>
        <v>88.64</v>
      </c>
      <c r="R370" s="229">
        <f t="shared" si="61"/>
        <v>311725091.22681791</v>
      </c>
      <c r="S370" s="297" t="str">
        <f t="shared" si="62"/>
        <v/>
      </c>
      <c r="T370" s="297" t="str">
        <f t="shared" si="63"/>
        <v/>
      </c>
      <c r="V370" s="296">
        <f t="shared" si="64"/>
        <v>91.61</v>
      </c>
      <c r="W370">
        <f t="shared" si="65"/>
        <v>2.9694773764825668</v>
      </c>
      <c r="X370" s="297" t="str">
        <f t="shared" si="66"/>
        <v/>
      </c>
    </row>
    <row r="371" spans="1:24" x14ac:dyDescent="0.2">
      <c r="A371" t="s">
        <v>357</v>
      </c>
      <c r="B371">
        <v>2030</v>
      </c>
      <c r="C371" t="s">
        <v>358</v>
      </c>
      <c r="D371" t="s">
        <v>212</v>
      </c>
      <c r="E371">
        <v>82298201.571373895</v>
      </c>
      <c r="F371">
        <v>2576766.0213479199</v>
      </c>
      <c r="G371">
        <v>9918607</v>
      </c>
      <c r="H371">
        <v>94793574.592721805</v>
      </c>
      <c r="I371">
        <v>1960.4601499999901</v>
      </c>
      <c r="J371">
        <v>3516754.18802818</v>
      </c>
      <c r="K371">
        <v>0.204776392694063</v>
      </c>
      <c r="L371">
        <v>26.954848000300998</v>
      </c>
      <c r="M371" t="str">
        <f t="shared" si="57"/>
        <v>Normal</v>
      </c>
      <c r="N371" t="str">
        <f t="shared" si="58"/>
        <v>Medium RE Cost</v>
      </c>
      <c r="O371">
        <f t="shared" si="56"/>
        <v>340002960.96679091</v>
      </c>
      <c r="P371">
        <f t="shared" si="59"/>
        <v>96.68090028135525</v>
      </c>
      <c r="Q371">
        <f t="shared" si="60"/>
        <v>70.459999999999994</v>
      </c>
      <c r="R371" s="229">
        <f t="shared" si="61"/>
        <v>247790500.08846554</v>
      </c>
      <c r="S371" s="297">
        <f t="shared" si="62"/>
        <v>96.706681854764057</v>
      </c>
      <c r="T371" s="297">
        <f t="shared" si="63"/>
        <v>70.484545293357343</v>
      </c>
      <c r="V371" s="296">
        <f t="shared" si="64"/>
        <v>73.28</v>
      </c>
      <c r="W371">
        <f t="shared" si="65"/>
        <v>2.8203867741922828</v>
      </c>
      <c r="X371" s="297">
        <f t="shared" si="66"/>
        <v>73.3</v>
      </c>
    </row>
    <row r="372" spans="1:24" x14ac:dyDescent="0.2">
      <c r="A372" t="s">
        <v>357</v>
      </c>
      <c r="B372">
        <v>2040</v>
      </c>
      <c r="C372" t="s">
        <v>358</v>
      </c>
      <c r="D372" t="s">
        <v>212</v>
      </c>
      <c r="E372">
        <v>67417613.957766205</v>
      </c>
      <c r="F372">
        <v>2341705.1547411601</v>
      </c>
      <c r="G372">
        <v>28766414</v>
      </c>
      <c r="H372">
        <v>98525733.112507403</v>
      </c>
      <c r="I372">
        <v>1960.4601499999901</v>
      </c>
      <c r="J372">
        <v>3516754.18802818</v>
      </c>
      <c r="K372">
        <v>0.204776392694063</v>
      </c>
      <c r="L372">
        <v>28.016098892527399</v>
      </c>
      <c r="M372" t="str">
        <f t="shared" si="57"/>
        <v>Normal</v>
      </c>
      <c r="N372" t="str">
        <f t="shared" si="58"/>
        <v>Medium RE Cost</v>
      </c>
      <c r="O372">
        <f t="shared" si="56"/>
        <v>317964169.10794711</v>
      </c>
      <c r="P372">
        <f t="shared" si="59"/>
        <v>90.414101215936114</v>
      </c>
      <c r="Q372">
        <f t="shared" si="60"/>
        <v>63.06</v>
      </c>
      <c r="R372" s="229">
        <f t="shared" si="61"/>
        <v>221766519.09705704</v>
      </c>
      <c r="S372" s="297" t="str">
        <f t="shared" si="62"/>
        <v/>
      </c>
      <c r="T372" s="297" t="str">
        <f t="shared" si="63"/>
        <v/>
      </c>
      <c r="V372" s="296">
        <f t="shared" si="64"/>
        <v>71.239999999999995</v>
      </c>
      <c r="W372">
        <f t="shared" si="65"/>
        <v>8.1798193623902762</v>
      </c>
      <c r="X372" s="297" t="str">
        <f t="shared" si="66"/>
        <v/>
      </c>
    </row>
    <row r="373" spans="1:24" x14ac:dyDescent="0.2">
      <c r="A373" t="s">
        <v>357</v>
      </c>
      <c r="B373">
        <v>2050</v>
      </c>
      <c r="C373" t="s">
        <v>358</v>
      </c>
      <c r="D373" t="s">
        <v>212</v>
      </c>
      <c r="E373">
        <v>55803994.718844801</v>
      </c>
      <c r="F373">
        <v>1291422.5916061201</v>
      </c>
      <c r="G373">
        <v>115426533</v>
      </c>
      <c r="H373">
        <v>172521950.31044999</v>
      </c>
      <c r="I373">
        <v>1960.4601499999901</v>
      </c>
      <c r="J373">
        <v>3516754.18802818</v>
      </c>
      <c r="K373">
        <v>0.204776392694063</v>
      </c>
      <c r="L373">
        <v>49.0571535814912</v>
      </c>
      <c r="M373" t="str">
        <f t="shared" si="57"/>
        <v>Normal</v>
      </c>
      <c r="N373" t="str">
        <f t="shared" si="58"/>
        <v>Medium RE Cost</v>
      </c>
      <c r="O373">
        <f t="shared" si="56"/>
        <v>311640347.21392971</v>
      </c>
      <c r="P373">
        <f t="shared" si="59"/>
        <v>88.615902776151756</v>
      </c>
      <c r="Q373">
        <f t="shared" si="60"/>
        <v>39.93</v>
      </c>
      <c r="R373" s="229">
        <f t="shared" si="61"/>
        <v>140423994.72796524</v>
      </c>
      <c r="S373" s="297" t="str">
        <f t="shared" si="62"/>
        <v/>
      </c>
      <c r="T373" s="297" t="str">
        <f t="shared" si="63"/>
        <v/>
      </c>
      <c r="V373" s="296">
        <f t="shared" si="64"/>
        <v>72.75</v>
      </c>
      <c r="W373">
        <f t="shared" si="65"/>
        <v>32.82189394781637</v>
      </c>
      <c r="X373" s="297" t="str">
        <f t="shared" si="66"/>
        <v/>
      </c>
    </row>
    <row r="374" spans="1:24" x14ac:dyDescent="0.2">
      <c r="A374" t="s">
        <v>359</v>
      </c>
      <c r="B374">
        <v>2030</v>
      </c>
      <c r="C374" t="s">
        <v>358</v>
      </c>
      <c r="D374" t="s">
        <v>214</v>
      </c>
      <c r="E374">
        <v>94608305.380427495</v>
      </c>
      <c r="F374">
        <v>1500274.8906449699</v>
      </c>
      <c r="G374">
        <v>640990</v>
      </c>
      <c r="H374">
        <v>96749570.271072403</v>
      </c>
      <c r="I374">
        <v>1960.4601499999901</v>
      </c>
      <c r="J374">
        <v>3516754.18802818</v>
      </c>
      <c r="K374">
        <v>0.204776392694063</v>
      </c>
      <c r="L374">
        <v>27.5110414598864</v>
      </c>
      <c r="M374" t="str">
        <f t="shared" si="57"/>
        <v>Normal</v>
      </c>
      <c r="N374" t="str">
        <f t="shared" si="58"/>
        <v>Medium RE Cost</v>
      </c>
      <c r="O374">
        <f t="shared" si="56"/>
        <v>340002960.96679091</v>
      </c>
      <c r="P374">
        <f t="shared" si="59"/>
        <v>96.68090028135525</v>
      </c>
      <c r="Q374">
        <f t="shared" si="60"/>
        <v>69.599999999999994</v>
      </c>
      <c r="R374" s="229">
        <f t="shared" si="61"/>
        <v>244766091.4867613</v>
      </c>
      <c r="S374" s="297">
        <f t="shared" si="62"/>
        <v>96.706681854764057</v>
      </c>
      <c r="T374" s="297">
        <f t="shared" si="63"/>
        <v>69.622248229952447</v>
      </c>
      <c r="V374" s="296">
        <f t="shared" si="64"/>
        <v>69.78</v>
      </c>
      <c r="W374">
        <f t="shared" si="65"/>
        <v>0.18226750171566547</v>
      </c>
      <c r="X374" s="297">
        <f t="shared" si="66"/>
        <v>69.8</v>
      </c>
    </row>
    <row r="375" spans="1:24" x14ac:dyDescent="0.2">
      <c r="A375" t="s">
        <v>359</v>
      </c>
      <c r="B375">
        <v>2040</v>
      </c>
      <c r="C375" t="s">
        <v>358</v>
      </c>
      <c r="D375" t="s">
        <v>214</v>
      </c>
      <c r="E375">
        <v>66596667.744371302</v>
      </c>
      <c r="F375">
        <v>1656988.71435374</v>
      </c>
      <c r="G375">
        <v>26326727</v>
      </c>
      <c r="H375">
        <v>94580383.458725095</v>
      </c>
      <c r="I375">
        <v>1960.4601499999901</v>
      </c>
      <c r="J375">
        <v>3516754.18802818</v>
      </c>
      <c r="K375">
        <v>0.204776392694063</v>
      </c>
      <c r="L375">
        <v>26.894226437747001</v>
      </c>
      <c r="M375" t="str">
        <f t="shared" si="57"/>
        <v>Normal</v>
      </c>
      <c r="N375" t="str">
        <f t="shared" si="58"/>
        <v>Medium RE Cost</v>
      </c>
      <c r="O375">
        <f t="shared" si="56"/>
        <v>317964169.10794711</v>
      </c>
      <c r="P375">
        <f t="shared" si="59"/>
        <v>90.414101215936114</v>
      </c>
      <c r="Q375">
        <f t="shared" si="60"/>
        <v>63.99</v>
      </c>
      <c r="R375" s="229">
        <f t="shared" si="61"/>
        <v>225037100.49192324</v>
      </c>
      <c r="S375" s="297" t="str">
        <f t="shared" si="62"/>
        <v/>
      </c>
      <c r="T375" s="297" t="str">
        <f t="shared" si="63"/>
        <v/>
      </c>
      <c r="V375" s="296">
        <f t="shared" si="64"/>
        <v>71.48</v>
      </c>
      <c r="W375">
        <f t="shared" si="65"/>
        <v>7.4860867699033626</v>
      </c>
      <c r="X375" s="297" t="str">
        <f t="shared" si="66"/>
        <v/>
      </c>
    </row>
    <row r="376" spans="1:24" x14ac:dyDescent="0.2">
      <c r="A376" t="s">
        <v>359</v>
      </c>
      <c r="B376">
        <v>2050</v>
      </c>
      <c r="C376" t="s">
        <v>358</v>
      </c>
      <c r="D376" t="s">
        <v>214</v>
      </c>
      <c r="E376">
        <v>55857980.331874996</v>
      </c>
      <c r="F376">
        <v>562420.03161267005</v>
      </c>
      <c r="G376">
        <v>102272367</v>
      </c>
      <c r="H376">
        <v>158692767.36348701</v>
      </c>
      <c r="I376">
        <v>1960.4601499999901</v>
      </c>
      <c r="J376">
        <v>3516754.18802818</v>
      </c>
      <c r="K376">
        <v>0.204776392694063</v>
      </c>
      <c r="L376">
        <v>45.124782364292997</v>
      </c>
      <c r="M376" t="str">
        <f t="shared" si="57"/>
        <v>Normal</v>
      </c>
      <c r="N376" t="str">
        <f t="shared" si="58"/>
        <v>Medium RE Cost</v>
      </c>
      <c r="O376">
        <f t="shared" si="56"/>
        <v>311640347.21392971</v>
      </c>
      <c r="P376">
        <f t="shared" si="59"/>
        <v>88.615902776151756</v>
      </c>
      <c r="Q376">
        <f t="shared" si="60"/>
        <v>43.65</v>
      </c>
      <c r="R376" s="229">
        <f t="shared" si="61"/>
        <v>153506320.30743006</v>
      </c>
      <c r="S376" s="297" t="str">
        <f t="shared" si="62"/>
        <v/>
      </c>
      <c r="T376" s="297" t="str">
        <f t="shared" si="63"/>
        <v/>
      </c>
      <c r="V376" s="296">
        <f t="shared" si="64"/>
        <v>72.73</v>
      </c>
      <c r="W376">
        <f t="shared" si="65"/>
        <v>29.081465900618834</v>
      </c>
      <c r="X376" s="297" t="str">
        <f t="shared" si="66"/>
        <v/>
      </c>
    </row>
    <row r="377" spans="1:24" x14ac:dyDescent="0.2">
      <c r="A377" t="s">
        <v>360</v>
      </c>
      <c r="B377">
        <v>2030</v>
      </c>
      <c r="C377" t="s">
        <v>358</v>
      </c>
      <c r="D377" t="s">
        <v>216</v>
      </c>
      <c r="E377">
        <v>82942872.947795197</v>
      </c>
      <c r="F377">
        <v>13312328.2847957</v>
      </c>
      <c r="G377">
        <v>18604949</v>
      </c>
      <c r="H377">
        <v>114860150.23259</v>
      </c>
      <c r="I377">
        <v>1960.4601499999901</v>
      </c>
      <c r="J377">
        <v>3516754.18802818</v>
      </c>
      <c r="K377">
        <v>0.204776392694063</v>
      </c>
      <c r="L377">
        <v>32.660841244918501</v>
      </c>
      <c r="M377" t="str">
        <f t="shared" si="57"/>
        <v>Normal</v>
      </c>
      <c r="N377" t="str">
        <f t="shared" si="58"/>
        <v>High RE Cost</v>
      </c>
      <c r="O377">
        <f t="shared" si="56"/>
        <v>438930410.85372549</v>
      </c>
      <c r="P377">
        <f t="shared" si="59"/>
        <v>124.81122858911864</v>
      </c>
      <c r="Q377">
        <f t="shared" si="60"/>
        <v>95.94</v>
      </c>
      <c r="R377" s="229">
        <f t="shared" si="61"/>
        <v>337397396.79942358</v>
      </c>
      <c r="S377" s="297">
        <f t="shared" si="62"/>
        <v>124.84451158340961</v>
      </c>
      <c r="T377" s="297">
        <f t="shared" si="63"/>
        <v>95.969072323683477</v>
      </c>
      <c r="V377" s="296">
        <f t="shared" si="64"/>
        <v>101.23</v>
      </c>
      <c r="W377">
        <f t="shared" si="65"/>
        <v>5.290375159951588</v>
      </c>
      <c r="X377" s="297">
        <f t="shared" si="66"/>
        <v>101.26</v>
      </c>
    </row>
    <row r="378" spans="1:24" x14ac:dyDescent="0.2">
      <c r="A378" t="s">
        <v>360</v>
      </c>
      <c r="B378">
        <v>2040</v>
      </c>
      <c r="C378" t="s">
        <v>358</v>
      </c>
      <c r="D378" t="s">
        <v>216</v>
      </c>
      <c r="E378">
        <v>71578979.3509662</v>
      </c>
      <c r="F378">
        <v>3220292.0161393899</v>
      </c>
      <c r="G378">
        <v>58951580</v>
      </c>
      <c r="H378">
        <v>133750851.36710501</v>
      </c>
      <c r="I378">
        <v>1960.4601499999901</v>
      </c>
      <c r="J378">
        <v>3516754.18802818</v>
      </c>
      <c r="K378">
        <v>0.204776392694063</v>
      </c>
      <c r="L378">
        <v>38.032470913782802</v>
      </c>
      <c r="M378" t="str">
        <f t="shared" si="57"/>
        <v>Normal</v>
      </c>
      <c r="N378" t="str">
        <f t="shared" si="58"/>
        <v>High RE Cost</v>
      </c>
      <c r="O378">
        <f t="shared" si="56"/>
        <v>424159287.62446445</v>
      </c>
      <c r="P378">
        <f t="shared" si="59"/>
        <v>120.6110137206626</v>
      </c>
      <c r="Q378">
        <f t="shared" si="60"/>
        <v>83.49</v>
      </c>
      <c r="R378" s="229">
        <f t="shared" si="61"/>
        <v>293613807.15847272</v>
      </c>
      <c r="S378" s="297" t="str">
        <f t="shared" si="62"/>
        <v/>
      </c>
      <c r="T378" s="297" t="str">
        <f t="shared" si="63"/>
        <v/>
      </c>
      <c r="V378" s="296">
        <f t="shared" si="64"/>
        <v>100.25</v>
      </c>
      <c r="W378">
        <f t="shared" si="65"/>
        <v>16.763065272143386</v>
      </c>
      <c r="X378" s="297" t="str">
        <f t="shared" si="66"/>
        <v/>
      </c>
    </row>
    <row r="379" spans="1:24" x14ac:dyDescent="0.2">
      <c r="A379" t="s">
        <v>360</v>
      </c>
      <c r="B379">
        <v>2050</v>
      </c>
      <c r="C379" t="s">
        <v>358</v>
      </c>
      <c r="D379" t="s">
        <v>216</v>
      </c>
      <c r="E379">
        <v>54225071.624185704</v>
      </c>
      <c r="F379">
        <v>1333244.46926485</v>
      </c>
      <c r="G379">
        <v>230970975</v>
      </c>
      <c r="H379">
        <v>286529291.09345001</v>
      </c>
      <c r="I379">
        <v>1960.4601499999901</v>
      </c>
      <c r="J379">
        <v>3516754.18802818</v>
      </c>
      <c r="K379">
        <v>0.204776392694063</v>
      </c>
      <c r="L379">
        <v>81.475495804870405</v>
      </c>
      <c r="M379" t="str">
        <f t="shared" si="57"/>
        <v>Normal</v>
      </c>
      <c r="N379" t="str">
        <f t="shared" si="58"/>
        <v>High RE Cost</v>
      </c>
      <c r="O379">
        <f t="shared" si="56"/>
        <v>406117526.52104861</v>
      </c>
      <c r="P379">
        <f t="shared" si="59"/>
        <v>115.48078279214502</v>
      </c>
      <c r="Q379">
        <f t="shared" si="60"/>
        <v>34.380000000000003</v>
      </c>
      <c r="R379" s="229">
        <f t="shared" si="61"/>
        <v>120906008.98440884</v>
      </c>
      <c r="S379" s="297" t="str">
        <f t="shared" si="62"/>
        <v/>
      </c>
      <c r="T379" s="297" t="str">
        <f t="shared" si="63"/>
        <v/>
      </c>
      <c r="V379" s="296">
        <f t="shared" si="64"/>
        <v>100.06</v>
      </c>
      <c r="W379">
        <f t="shared" si="65"/>
        <v>65.677315686799204</v>
      </c>
      <c r="X379" s="297" t="str">
        <f t="shared" si="66"/>
        <v/>
      </c>
    </row>
    <row r="380" spans="1:24" x14ac:dyDescent="0.2">
      <c r="A380" t="s">
        <v>361</v>
      </c>
      <c r="B380">
        <v>2030</v>
      </c>
      <c r="C380" t="s">
        <v>358</v>
      </c>
      <c r="D380" t="s">
        <v>218</v>
      </c>
      <c r="E380">
        <v>69518336.815071806</v>
      </c>
      <c r="F380">
        <v>10249208.797694201</v>
      </c>
      <c r="G380">
        <v>15708529</v>
      </c>
      <c r="H380">
        <v>95476074.612766102</v>
      </c>
      <c r="I380">
        <v>1960.4601499999901</v>
      </c>
      <c r="J380">
        <v>3516754.18802818</v>
      </c>
      <c r="K380">
        <v>0.204776392694063</v>
      </c>
      <c r="L380">
        <v>27.148919005424901</v>
      </c>
      <c r="M380" t="str">
        <f t="shared" si="57"/>
        <v>Normal</v>
      </c>
      <c r="N380" t="str">
        <f t="shared" si="58"/>
        <v>Medium RE Cost</v>
      </c>
      <c r="O380">
        <f t="shared" si="56"/>
        <v>340002960.96679091</v>
      </c>
      <c r="P380">
        <f t="shared" si="59"/>
        <v>96.68090028135525</v>
      </c>
      <c r="Q380">
        <f t="shared" si="60"/>
        <v>72.45</v>
      </c>
      <c r="R380" s="229">
        <f t="shared" si="61"/>
        <v>254788840.92264166</v>
      </c>
      <c r="S380" s="297">
        <f t="shared" si="62"/>
        <v>96.706681854764057</v>
      </c>
      <c r="T380" s="297">
        <f t="shared" si="63"/>
        <v>72.472157273773107</v>
      </c>
      <c r="V380" s="296">
        <f t="shared" si="64"/>
        <v>76.92</v>
      </c>
      <c r="W380">
        <f t="shared" si="65"/>
        <v>4.4667691172375239</v>
      </c>
      <c r="X380" s="297">
        <f t="shared" si="66"/>
        <v>76.94</v>
      </c>
    </row>
    <row r="381" spans="1:24" x14ac:dyDescent="0.2">
      <c r="A381" t="s">
        <v>361</v>
      </c>
      <c r="B381">
        <v>2040</v>
      </c>
      <c r="C381" t="s">
        <v>358</v>
      </c>
      <c r="D381" t="s">
        <v>218</v>
      </c>
      <c r="E381">
        <v>53227459.219919503</v>
      </c>
      <c r="F381">
        <v>2132788.4875221201</v>
      </c>
      <c r="G381">
        <v>43015506</v>
      </c>
      <c r="H381">
        <v>98375753.707441598</v>
      </c>
      <c r="I381">
        <v>1960.4601499999901</v>
      </c>
      <c r="J381">
        <v>3516754.18802818</v>
      </c>
      <c r="K381">
        <v>0.204776392694063</v>
      </c>
      <c r="L381">
        <v>27.9734517818546</v>
      </c>
      <c r="M381" t="str">
        <f t="shared" si="57"/>
        <v>Normal</v>
      </c>
      <c r="N381" t="str">
        <f t="shared" si="58"/>
        <v>Medium RE Cost</v>
      </c>
      <c r="O381">
        <f t="shared" si="56"/>
        <v>317964169.10794711</v>
      </c>
      <c r="P381">
        <f t="shared" si="59"/>
        <v>90.414101215936114</v>
      </c>
      <c r="Q381">
        <f t="shared" si="60"/>
        <v>63.05</v>
      </c>
      <c r="R381" s="229">
        <f t="shared" si="61"/>
        <v>221731351.55517673</v>
      </c>
      <c r="S381" s="297" t="str">
        <f t="shared" si="62"/>
        <v/>
      </c>
      <c r="T381" s="297" t="str">
        <f t="shared" si="63"/>
        <v/>
      </c>
      <c r="V381" s="296">
        <f t="shared" si="64"/>
        <v>75.28</v>
      </c>
      <c r="W381">
        <f t="shared" si="65"/>
        <v>12.231593025874378</v>
      </c>
      <c r="X381" s="297" t="str">
        <f t="shared" si="66"/>
        <v/>
      </c>
    </row>
    <row r="382" spans="1:24" x14ac:dyDescent="0.2">
      <c r="A382" t="s">
        <v>361</v>
      </c>
      <c r="B382">
        <v>2050</v>
      </c>
      <c r="C382" t="s">
        <v>358</v>
      </c>
      <c r="D382" t="s">
        <v>218</v>
      </c>
      <c r="E382">
        <v>35974523.851730503</v>
      </c>
      <c r="F382">
        <v>1535459.4563770101</v>
      </c>
      <c r="G382">
        <v>147966794</v>
      </c>
      <c r="H382">
        <v>185476777.30810699</v>
      </c>
      <c r="I382">
        <v>1960.4601499999901</v>
      </c>
      <c r="J382">
        <v>3516754.18802818</v>
      </c>
      <c r="K382">
        <v>0.204776392694063</v>
      </c>
      <c r="L382">
        <v>52.740898962887997</v>
      </c>
      <c r="M382" t="str">
        <f t="shared" si="57"/>
        <v>Normal</v>
      </c>
      <c r="N382" t="str">
        <f t="shared" si="58"/>
        <v>Medium RE Cost</v>
      </c>
      <c r="O382">
        <f t="shared" si="56"/>
        <v>311640347.21392971</v>
      </c>
      <c r="P382">
        <f t="shared" si="59"/>
        <v>88.615902776151756</v>
      </c>
      <c r="Q382">
        <f t="shared" si="60"/>
        <v>36.31</v>
      </c>
      <c r="R382" s="229">
        <f t="shared" si="61"/>
        <v>127693344.56730323</v>
      </c>
      <c r="S382" s="297" t="str">
        <f t="shared" si="62"/>
        <v/>
      </c>
      <c r="T382" s="297" t="str">
        <f t="shared" si="63"/>
        <v/>
      </c>
      <c r="V382" s="296">
        <f t="shared" si="64"/>
        <v>78.38</v>
      </c>
      <c r="W382">
        <f t="shared" si="65"/>
        <v>42.074818451546072</v>
      </c>
      <c r="X382" s="297" t="str">
        <f t="shared" si="66"/>
        <v/>
      </c>
    </row>
    <row r="383" spans="1:24" x14ac:dyDescent="0.2">
      <c r="A383" t="s">
        <v>362</v>
      </c>
      <c r="B383">
        <v>2030</v>
      </c>
      <c r="C383" t="s">
        <v>358</v>
      </c>
      <c r="D383" t="s">
        <v>220</v>
      </c>
      <c r="E383">
        <v>81650905.706634998</v>
      </c>
      <c r="F383">
        <v>1680532.94835378</v>
      </c>
      <c r="G383">
        <v>5732920</v>
      </c>
      <c r="H383">
        <v>89064358.654988796</v>
      </c>
      <c r="I383">
        <v>1960.4601499999901</v>
      </c>
      <c r="J383">
        <v>3516754.18802818</v>
      </c>
      <c r="K383">
        <v>0.204776392694063</v>
      </c>
      <c r="L383">
        <v>25.325727615021801</v>
      </c>
      <c r="M383" t="str">
        <f t="shared" si="57"/>
        <v>Normal</v>
      </c>
      <c r="N383" t="str">
        <f t="shared" si="58"/>
        <v>Low RE Cost</v>
      </c>
      <c r="O383">
        <f t="shared" si="56"/>
        <v>308653204.24954498</v>
      </c>
      <c r="P383">
        <f t="shared" si="59"/>
        <v>87.766499376120663</v>
      </c>
      <c r="Q383">
        <f t="shared" si="60"/>
        <v>62.92</v>
      </c>
      <c r="R383" s="229">
        <f t="shared" si="61"/>
        <v>221274173.5107331</v>
      </c>
      <c r="S383" s="297">
        <f t="shared" si="62"/>
        <v>87.789903775954699</v>
      </c>
      <c r="T383" s="297">
        <f t="shared" si="63"/>
        <v>62.942040935808208</v>
      </c>
      <c r="V383" s="296">
        <f t="shared" si="64"/>
        <v>64.55</v>
      </c>
      <c r="W383">
        <f t="shared" si="65"/>
        <v>1.630173646914574</v>
      </c>
      <c r="X383" s="297">
        <f t="shared" si="66"/>
        <v>64.569999999999993</v>
      </c>
    </row>
    <row r="384" spans="1:24" x14ac:dyDescent="0.2">
      <c r="A384" t="s">
        <v>362</v>
      </c>
      <c r="B384">
        <v>2040</v>
      </c>
      <c r="C384" t="s">
        <v>358</v>
      </c>
      <c r="D384" t="s">
        <v>220</v>
      </c>
      <c r="E384">
        <v>57619312.247929603</v>
      </c>
      <c r="F384">
        <v>1094590.92141682</v>
      </c>
      <c r="G384">
        <v>19267270</v>
      </c>
      <c r="H384">
        <v>77981173.169346496</v>
      </c>
      <c r="I384">
        <v>1960.4601499999901</v>
      </c>
      <c r="J384">
        <v>3516754.18802818</v>
      </c>
      <c r="K384">
        <v>0.204776392694063</v>
      </c>
      <c r="L384">
        <v>22.174189323442501</v>
      </c>
      <c r="M384" t="str">
        <f t="shared" si="57"/>
        <v>Normal</v>
      </c>
      <c r="N384" t="str">
        <f t="shared" si="58"/>
        <v>Low RE Cost</v>
      </c>
      <c r="O384">
        <f t="shared" si="56"/>
        <v>281756933.38277984</v>
      </c>
      <c r="P384">
        <f t="shared" si="59"/>
        <v>80.118461034878024</v>
      </c>
      <c r="Q384">
        <f t="shared" si="60"/>
        <v>58.26</v>
      </c>
      <c r="R384" s="229">
        <f t="shared" si="61"/>
        <v>204886098.99452177</v>
      </c>
      <c r="S384" s="297" t="str">
        <f t="shared" si="62"/>
        <v/>
      </c>
      <c r="T384" s="297" t="str">
        <f t="shared" si="63"/>
        <v/>
      </c>
      <c r="V384" s="296">
        <f t="shared" si="64"/>
        <v>63.74</v>
      </c>
      <c r="W384">
        <f t="shared" si="65"/>
        <v>5.4787081979144601</v>
      </c>
      <c r="X384" s="297" t="str">
        <f t="shared" si="66"/>
        <v/>
      </c>
    </row>
    <row r="385" spans="1:24" x14ac:dyDescent="0.2">
      <c r="A385" t="s">
        <v>362</v>
      </c>
      <c r="B385">
        <v>2050</v>
      </c>
      <c r="C385" t="s">
        <v>358</v>
      </c>
      <c r="D385" t="s">
        <v>220</v>
      </c>
      <c r="E385">
        <v>51310997.049771801</v>
      </c>
      <c r="F385">
        <v>593302.88981211896</v>
      </c>
      <c r="G385">
        <v>84749854</v>
      </c>
      <c r="H385">
        <v>136654153.939583</v>
      </c>
      <c r="I385">
        <v>1960.4601499999901</v>
      </c>
      <c r="J385">
        <v>3516754.18802818</v>
      </c>
      <c r="K385">
        <v>0.204776392694063</v>
      </c>
      <c r="L385">
        <v>38.858034037404501</v>
      </c>
      <c r="M385" t="str">
        <f t="shared" si="57"/>
        <v>Normal</v>
      </c>
      <c r="N385" t="str">
        <f t="shared" si="58"/>
        <v>Low RE Cost</v>
      </c>
      <c r="O385">
        <f t="shared" si="56"/>
        <v>275418236.05994487</v>
      </c>
      <c r="P385">
        <f t="shared" si="59"/>
        <v>78.316032720606486</v>
      </c>
      <c r="Q385">
        <f t="shared" si="60"/>
        <v>39.630000000000003</v>
      </c>
      <c r="R385" s="229">
        <f t="shared" si="61"/>
        <v>139368968.47155678</v>
      </c>
      <c r="S385" s="297" t="str">
        <f t="shared" si="62"/>
        <v/>
      </c>
      <c r="T385" s="297" t="str">
        <f t="shared" si="63"/>
        <v/>
      </c>
      <c r="V385" s="296">
        <f t="shared" si="64"/>
        <v>63.73</v>
      </c>
      <c r="W385">
        <f t="shared" si="65"/>
        <v>24.098884786576072</v>
      </c>
      <c r="X385" s="297" t="str">
        <f t="shared" si="66"/>
        <v/>
      </c>
    </row>
    <row r="386" spans="1:24" x14ac:dyDescent="0.2">
      <c r="A386" t="s">
        <v>363</v>
      </c>
      <c r="B386">
        <v>2030</v>
      </c>
      <c r="C386" t="s">
        <v>358</v>
      </c>
      <c r="D386" t="s">
        <v>222</v>
      </c>
      <c r="E386">
        <v>82298201.571373895</v>
      </c>
      <c r="F386">
        <v>2576766.0213479199</v>
      </c>
      <c r="G386">
        <v>9918607</v>
      </c>
      <c r="H386">
        <v>94793574.592721805</v>
      </c>
      <c r="I386">
        <v>1960.4601499999901</v>
      </c>
      <c r="J386">
        <v>3516754.18802818</v>
      </c>
      <c r="K386">
        <v>0.204776392694063</v>
      </c>
      <c r="L386">
        <v>26.954848000300998</v>
      </c>
      <c r="M386" t="str">
        <f t="shared" si="57"/>
        <v>Normal</v>
      </c>
      <c r="N386" t="str">
        <f t="shared" si="58"/>
        <v>Medium RE Cost</v>
      </c>
      <c r="O386">
        <f t="shared" ref="O386:O409" si="67">SUMIFS($AH$2:$AH$19,$AE$2:$AE$19,M386,$AF$2:$AF$19,N386,$AG$2:$AG$19,B386)</f>
        <v>340002960.96679091</v>
      </c>
      <c r="P386">
        <f t="shared" si="59"/>
        <v>96.68090028135525</v>
      </c>
      <c r="Q386">
        <f t="shared" si="60"/>
        <v>70.459999999999994</v>
      </c>
      <c r="R386" s="229">
        <f t="shared" si="61"/>
        <v>247790500.08846554</v>
      </c>
      <c r="S386" s="297">
        <f t="shared" si="62"/>
        <v>96.706681854764057</v>
      </c>
      <c r="T386" s="297">
        <f t="shared" si="63"/>
        <v>70.484545293357343</v>
      </c>
      <c r="V386" s="296">
        <f t="shared" si="64"/>
        <v>73.28</v>
      </c>
      <c r="W386">
        <f t="shared" si="65"/>
        <v>2.8203867741922828</v>
      </c>
      <c r="X386" s="297">
        <f t="shared" si="66"/>
        <v>73.3</v>
      </c>
    </row>
    <row r="387" spans="1:24" x14ac:dyDescent="0.2">
      <c r="A387" t="s">
        <v>363</v>
      </c>
      <c r="B387">
        <v>2040</v>
      </c>
      <c r="C387" t="s">
        <v>358</v>
      </c>
      <c r="D387" t="s">
        <v>222</v>
      </c>
      <c r="E387">
        <v>66721048.233598001</v>
      </c>
      <c r="F387">
        <v>2037326.2134654501</v>
      </c>
      <c r="G387">
        <v>29627173</v>
      </c>
      <c r="H387">
        <v>98385547.447063401</v>
      </c>
      <c r="I387">
        <v>1960.4601499999901</v>
      </c>
      <c r="J387">
        <v>3516754.18802818</v>
      </c>
      <c r="K387">
        <v>0.204776392694063</v>
      </c>
      <c r="L387">
        <v>27.976236662201099</v>
      </c>
      <c r="M387" t="str">
        <f t="shared" ref="M387:M409" si="68">IF(ISNUMBER(SEARCH("High Solar",C387)),"High Solar","Normal")</f>
        <v>Normal</v>
      </c>
      <c r="N387" t="str">
        <f t="shared" ref="N387:N409" si="69">IF(ISNUMBER(SEARCH("High RE/BESS Cost",D387)),"High RE Cost",IF(ISNUMBER(SEARCH("Low RE/BESS Cost",D387)),"Low RE Cost","Medium RE Cost"))</f>
        <v>Medium RE Cost</v>
      </c>
      <c r="O387">
        <f t="shared" si="67"/>
        <v>317964169.10794711</v>
      </c>
      <c r="P387">
        <f t="shared" ref="P387:P409" si="70">O387/J387</f>
        <v>90.414101215936114</v>
      </c>
      <c r="Q387">
        <f t="shared" ref="Q387:Q409" si="71">ROUND((O387-E387-G387)/J387,2)</f>
        <v>63.02</v>
      </c>
      <c r="R387" s="229">
        <f t="shared" ref="R387:R409" si="72">Q387*J387</f>
        <v>221625848.92953593</v>
      </c>
      <c r="S387" s="297" t="str">
        <f t="shared" ref="S387:S409" si="73">IFERROR(SUMIFS($AJ$2:$AJ$19,$AE$2:$AE$19,M387,$AF$2:$AF$19,N387,$AG$2:$AG$19,B387)/8760/K387/1.0453,"")</f>
        <v/>
      </c>
      <c r="T387" s="297" t="str">
        <f t="shared" ref="T387:T409" si="74">IFERROR(S387-E387/J387-G387/J387,"")</f>
        <v/>
      </c>
      <c r="V387" s="296">
        <f t="shared" ref="V387:V409" si="75">ROUND(Q387+G387/J387,2)</f>
        <v>71.44</v>
      </c>
      <c r="W387">
        <f t="shared" ref="W387:W409" si="76">G387/J387</f>
        <v>8.4245788633329965</v>
      </c>
      <c r="X387" s="297" t="str">
        <f t="shared" ref="X387:X409" si="77">IFERROR(ROUND(W387+T387,2),"")</f>
        <v/>
      </c>
    </row>
    <row r="388" spans="1:24" x14ac:dyDescent="0.2">
      <c r="A388" t="s">
        <v>363</v>
      </c>
      <c r="B388">
        <v>2050</v>
      </c>
      <c r="C388" t="s">
        <v>358</v>
      </c>
      <c r="D388" t="s">
        <v>222</v>
      </c>
      <c r="E388">
        <v>50887505.648402102</v>
      </c>
      <c r="F388">
        <v>537163.43604716496</v>
      </c>
      <c r="G388">
        <v>127740776</v>
      </c>
      <c r="H388">
        <v>179165445.08444899</v>
      </c>
      <c r="I388">
        <v>1960.4601499999901</v>
      </c>
      <c r="J388">
        <v>3516754.18802818</v>
      </c>
      <c r="K388">
        <v>0.204776392694063</v>
      </c>
      <c r="L388">
        <v>50.946251999746899</v>
      </c>
      <c r="M388" t="str">
        <f t="shared" si="68"/>
        <v>Normal</v>
      </c>
      <c r="N388" t="str">
        <f t="shared" si="69"/>
        <v>Medium RE Cost</v>
      </c>
      <c r="O388">
        <f t="shared" si="67"/>
        <v>311640347.21392971</v>
      </c>
      <c r="P388">
        <f t="shared" si="70"/>
        <v>88.615902776151756</v>
      </c>
      <c r="Q388">
        <f t="shared" si="71"/>
        <v>37.82</v>
      </c>
      <c r="R388" s="229">
        <f t="shared" si="72"/>
        <v>133003643.39122577</v>
      </c>
      <c r="S388" s="297" t="str">
        <f t="shared" si="73"/>
        <v/>
      </c>
      <c r="T388" s="297" t="str">
        <f t="shared" si="74"/>
        <v/>
      </c>
      <c r="V388" s="296">
        <f t="shared" si="75"/>
        <v>74.14</v>
      </c>
      <c r="W388">
        <f t="shared" si="76"/>
        <v>36.323487275527604</v>
      </c>
      <c r="X388" s="297" t="str">
        <f t="shared" si="77"/>
        <v/>
      </c>
    </row>
    <row r="389" spans="1:24" x14ac:dyDescent="0.2">
      <c r="A389" t="s">
        <v>364</v>
      </c>
      <c r="B389">
        <v>2030</v>
      </c>
      <c r="C389" t="s">
        <v>358</v>
      </c>
      <c r="D389" t="s">
        <v>224</v>
      </c>
      <c r="E389">
        <v>81136698.404751703</v>
      </c>
      <c r="F389">
        <v>2331252.2901898799</v>
      </c>
      <c r="G389">
        <v>10878882</v>
      </c>
      <c r="H389">
        <v>94346832.694941595</v>
      </c>
      <c r="I389">
        <v>1960.4601499999901</v>
      </c>
      <c r="J389">
        <v>3516754.18802818</v>
      </c>
      <c r="K389">
        <v>0.204776392694063</v>
      </c>
      <c r="L389">
        <v>26.8278155510895</v>
      </c>
      <c r="M389" t="str">
        <f t="shared" si="68"/>
        <v>Normal</v>
      </c>
      <c r="N389" t="str">
        <f t="shared" si="69"/>
        <v>Medium RE Cost</v>
      </c>
      <c r="O389">
        <f t="shared" si="67"/>
        <v>340002960.96679091</v>
      </c>
      <c r="P389">
        <f t="shared" si="70"/>
        <v>96.68090028135525</v>
      </c>
      <c r="Q389">
        <f t="shared" si="71"/>
        <v>70.52</v>
      </c>
      <c r="R389" s="229">
        <f t="shared" si="72"/>
        <v>248001505.33974725</v>
      </c>
      <c r="S389" s="297">
        <f t="shared" si="73"/>
        <v>96.706681854764057</v>
      </c>
      <c r="T389" s="297">
        <f t="shared" si="74"/>
        <v>70.541765148901206</v>
      </c>
      <c r="V389" s="296">
        <f t="shared" si="75"/>
        <v>73.61</v>
      </c>
      <c r="W389">
        <f t="shared" si="76"/>
        <v>3.0934439594994028</v>
      </c>
      <c r="X389" s="297">
        <f t="shared" si="77"/>
        <v>73.64</v>
      </c>
    </row>
    <row r="390" spans="1:24" x14ac:dyDescent="0.2">
      <c r="A390" t="s">
        <v>364</v>
      </c>
      <c r="B390">
        <v>2040</v>
      </c>
      <c r="C390" t="s">
        <v>358</v>
      </c>
      <c r="D390" t="s">
        <v>224</v>
      </c>
      <c r="E390">
        <v>64807325.085386001</v>
      </c>
      <c r="F390">
        <v>3955050.9513702099</v>
      </c>
      <c r="G390">
        <v>31471285</v>
      </c>
      <c r="H390">
        <v>100233661.03675599</v>
      </c>
      <c r="I390">
        <v>1960.4601499999901</v>
      </c>
      <c r="J390">
        <v>3516754.18802818</v>
      </c>
      <c r="K390">
        <v>0.204776392694063</v>
      </c>
      <c r="L390">
        <v>28.501753514071002</v>
      </c>
      <c r="M390" t="str">
        <f t="shared" si="68"/>
        <v>Normal</v>
      </c>
      <c r="N390" t="str">
        <f t="shared" si="69"/>
        <v>Medium RE Cost</v>
      </c>
      <c r="O390">
        <f t="shared" si="67"/>
        <v>317964169.10794711</v>
      </c>
      <c r="P390">
        <f t="shared" si="70"/>
        <v>90.414101215936114</v>
      </c>
      <c r="Q390">
        <f t="shared" si="71"/>
        <v>63.04</v>
      </c>
      <c r="R390" s="229">
        <f t="shared" si="72"/>
        <v>221696184.01329646</v>
      </c>
      <c r="S390" s="297" t="str">
        <f t="shared" si="73"/>
        <v/>
      </c>
      <c r="T390" s="297" t="str">
        <f t="shared" si="74"/>
        <v/>
      </c>
      <c r="V390" s="296">
        <f t="shared" si="75"/>
        <v>71.989999999999995</v>
      </c>
      <c r="W390">
        <f t="shared" si="76"/>
        <v>8.9489578507179459</v>
      </c>
      <c r="X390" s="297" t="str">
        <f t="shared" si="77"/>
        <v/>
      </c>
    </row>
    <row r="391" spans="1:24" x14ac:dyDescent="0.2">
      <c r="A391" t="s">
        <v>364</v>
      </c>
      <c r="B391">
        <v>2050</v>
      </c>
      <c r="C391" t="s">
        <v>358</v>
      </c>
      <c r="D391" t="s">
        <v>224</v>
      </c>
      <c r="E391">
        <v>54801907.103789002</v>
      </c>
      <c r="F391">
        <v>891242.00650645501</v>
      </c>
      <c r="G391">
        <v>119239091</v>
      </c>
      <c r="H391">
        <v>174932240.110295</v>
      </c>
      <c r="I391">
        <v>1960.4601499999901</v>
      </c>
      <c r="J391">
        <v>3516754.18802818</v>
      </c>
      <c r="K391">
        <v>0.204776392694063</v>
      </c>
      <c r="L391">
        <v>49.742526988609001</v>
      </c>
      <c r="M391" t="str">
        <f t="shared" si="68"/>
        <v>Normal</v>
      </c>
      <c r="N391" t="str">
        <f t="shared" si="69"/>
        <v>Medium RE Cost</v>
      </c>
      <c r="O391">
        <f t="shared" si="67"/>
        <v>311640347.21392971</v>
      </c>
      <c r="P391">
        <f t="shared" si="70"/>
        <v>88.615902776151756</v>
      </c>
      <c r="Q391">
        <f t="shared" si="71"/>
        <v>39.130000000000003</v>
      </c>
      <c r="R391" s="229">
        <f t="shared" si="72"/>
        <v>137610591.3775427</v>
      </c>
      <c r="S391" s="297" t="str">
        <f t="shared" si="73"/>
        <v/>
      </c>
      <c r="T391" s="297" t="str">
        <f t="shared" si="74"/>
        <v/>
      </c>
      <c r="V391" s="296">
        <f t="shared" si="75"/>
        <v>73.040000000000006</v>
      </c>
      <c r="W391">
        <f t="shared" si="76"/>
        <v>33.906006682501896</v>
      </c>
      <c r="X391" s="297" t="str">
        <f t="shared" si="77"/>
        <v/>
      </c>
    </row>
    <row r="392" spans="1:24" x14ac:dyDescent="0.2">
      <c r="A392" t="s">
        <v>365</v>
      </c>
      <c r="B392">
        <v>2030</v>
      </c>
      <c r="C392" t="s">
        <v>358</v>
      </c>
      <c r="D392" t="s">
        <v>226</v>
      </c>
      <c r="E392">
        <v>81093839.780542299</v>
      </c>
      <c r="F392">
        <v>5621432.8678442398</v>
      </c>
      <c r="G392">
        <v>9481860</v>
      </c>
      <c r="H392">
        <v>96197132.648386493</v>
      </c>
      <c r="I392">
        <v>1960.4601499999901</v>
      </c>
      <c r="J392">
        <v>3516754.18802818</v>
      </c>
      <c r="K392">
        <v>0.204776392694063</v>
      </c>
      <c r="L392">
        <v>27.353954102297799</v>
      </c>
      <c r="M392" t="str">
        <f t="shared" si="68"/>
        <v>Normal</v>
      </c>
      <c r="N392" t="str">
        <f t="shared" si="69"/>
        <v>Medium RE Cost</v>
      </c>
      <c r="O392">
        <f t="shared" si="67"/>
        <v>340002960.96679091</v>
      </c>
      <c r="P392">
        <f t="shared" si="70"/>
        <v>96.68090028135525</v>
      </c>
      <c r="Q392">
        <f t="shared" si="71"/>
        <v>70.930000000000007</v>
      </c>
      <c r="R392" s="229">
        <f t="shared" si="72"/>
        <v>249443374.55683884</v>
      </c>
      <c r="S392" s="297">
        <f t="shared" si="73"/>
        <v>96.706681854764057</v>
      </c>
      <c r="T392" s="297">
        <f t="shared" si="74"/>
        <v>70.951199686325253</v>
      </c>
      <c r="V392" s="296">
        <f t="shared" si="75"/>
        <v>73.63</v>
      </c>
      <c r="W392">
        <f t="shared" si="76"/>
        <v>2.696196405275745</v>
      </c>
      <c r="X392" s="297">
        <f t="shared" si="77"/>
        <v>73.650000000000006</v>
      </c>
    </row>
    <row r="393" spans="1:24" x14ac:dyDescent="0.2">
      <c r="A393" t="s">
        <v>365</v>
      </c>
      <c r="B393">
        <v>2040</v>
      </c>
      <c r="C393" t="s">
        <v>358</v>
      </c>
      <c r="D393" t="s">
        <v>226</v>
      </c>
      <c r="E393">
        <v>69705236.338012099</v>
      </c>
      <c r="F393">
        <v>3572850.9390501399</v>
      </c>
      <c r="G393">
        <v>26455277</v>
      </c>
      <c r="H393">
        <v>99733364.277062297</v>
      </c>
      <c r="I393">
        <v>1960.4601499999901</v>
      </c>
      <c r="J393">
        <v>3516754.18802818</v>
      </c>
      <c r="K393">
        <v>0.204776392694063</v>
      </c>
      <c r="L393">
        <v>28.359492573173601</v>
      </c>
      <c r="M393" t="str">
        <f t="shared" si="68"/>
        <v>Normal</v>
      </c>
      <c r="N393" t="str">
        <f t="shared" si="69"/>
        <v>Medium RE Cost</v>
      </c>
      <c r="O393">
        <f t="shared" si="67"/>
        <v>317964169.10794711</v>
      </c>
      <c r="P393">
        <f t="shared" si="70"/>
        <v>90.414101215936114</v>
      </c>
      <c r="Q393">
        <f t="shared" si="71"/>
        <v>63.07</v>
      </c>
      <c r="R393" s="229">
        <f t="shared" si="72"/>
        <v>221801686.63893732</v>
      </c>
      <c r="S393" s="297" t="str">
        <f t="shared" si="73"/>
        <v/>
      </c>
      <c r="T393" s="297" t="str">
        <f t="shared" si="74"/>
        <v/>
      </c>
      <c r="V393" s="296">
        <f t="shared" si="75"/>
        <v>70.59</v>
      </c>
      <c r="W393">
        <f t="shared" si="76"/>
        <v>7.5226403625421687</v>
      </c>
      <c r="X393" s="297" t="str">
        <f t="shared" si="77"/>
        <v/>
      </c>
    </row>
    <row r="394" spans="1:24" x14ac:dyDescent="0.2">
      <c r="A394" t="s">
        <v>365</v>
      </c>
      <c r="B394">
        <v>2050</v>
      </c>
      <c r="C394" t="s">
        <v>358</v>
      </c>
      <c r="D394" t="s">
        <v>226</v>
      </c>
      <c r="E394">
        <v>58551987.437063903</v>
      </c>
      <c r="F394">
        <v>2144463.8911020202</v>
      </c>
      <c r="G394">
        <v>125160451</v>
      </c>
      <c r="H394">
        <v>185856902.32816499</v>
      </c>
      <c r="I394">
        <v>1960.4601499999901</v>
      </c>
      <c r="J394">
        <v>3516754.18802818</v>
      </c>
      <c r="K394">
        <v>0.204776392694063</v>
      </c>
      <c r="L394">
        <v>52.848988695560301</v>
      </c>
      <c r="M394" t="str">
        <f t="shared" si="68"/>
        <v>Normal</v>
      </c>
      <c r="N394" t="str">
        <f t="shared" si="69"/>
        <v>Medium RE Cost</v>
      </c>
      <c r="O394">
        <f t="shared" si="67"/>
        <v>311640347.21392971</v>
      </c>
      <c r="P394">
        <f t="shared" si="70"/>
        <v>88.615902776151756</v>
      </c>
      <c r="Q394">
        <f t="shared" si="71"/>
        <v>36.380000000000003</v>
      </c>
      <c r="R394" s="229">
        <f t="shared" si="72"/>
        <v>127939517.3604652</v>
      </c>
      <c r="S394" s="297" t="str">
        <f t="shared" si="73"/>
        <v/>
      </c>
      <c r="T394" s="297" t="str">
        <f t="shared" si="74"/>
        <v/>
      </c>
      <c r="V394" s="296">
        <f t="shared" si="75"/>
        <v>71.97</v>
      </c>
      <c r="W394">
        <f t="shared" si="76"/>
        <v>35.589763829975446</v>
      </c>
      <c r="X394" s="297" t="str">
        <f t="shared" si="77"/>
        <v/>
      </c>
    </row>
    <row r="395" spans="1:24" x14ac:dyDescent="0.2">
      <c r="A395" t="s">
        <v>366</v>
      </c>
      <c r="B395">
        <v>2030</v>
      </c>
      <c r="C395" t="s">
        <v>354</v>
      </c>
      <c r="D395" t="s">
        <v>218</v>
      </c>
      <c r="E395">
        <v>69518436.3958707</v>
      </c>
      <c r="F395">
        <v>10249242.912053401</v>
      </c>
      <c r="G395">
        <v>15708611</v>
      </c>
      <c r="H395">
        <v>95476290.307924196</v>
      </c>
      <c r="I395">
        <v>1960.4601499999901</v>
      </c>
      <c r="J395">
        <v>3516754.18802818</v>
      </c>
      <c r="K395">
        <v>0.204776392694063</v>
      </c>
      <c r="L395">
        <v>27.1489803390145</v>
      </c>
      <c r="M395" t="str">
        <f t="shared" si="68"/>
        <v>Normal</v>
      </c>
      <c r="N395" t="str">
        <f t="shared" si="69"/>
        <v>Medium RE Cost</v>
      </c>
      <c r="O395">
        <f t="shared" si="67"/>
        <v>340002960.96679091</v>
      </c>
      <c r="P395">
        <f t="shared" si="70"/>
        <v>96.68090028135525</v>
      </c>
      <c r="Q395">
        <f t="shared" si="71"/>
        <v>72.45</v>
      </c>
      <c r="R395" s="229">
        <f t="shared" si="72"/>
        <v>254788840.92264166</v>
      </c>
      <c r="S395" s="297">
        <f t="shared" si="73"/>
        <v>96.706681854764057</v>
      </c>
      <c r="T395" s="297">
        <f t="shared" si="74"/>
        <v>72.472105640707724</v>
      </c>
      <c r="V395" s="296">
        <f t="shared" si="75"/>
        <v>76.92</v>
      </c>
      <c r="W395">
        <f t="shared" si="76"/>
        <v>4.4667924341927661</v>
      </c>
      <c r="X395" s="297">
        <f t="shared" si="77"/>
        <v>76.94</v>
      </c>
    </row>
    <row r="396" spans="1:24" x14ac:dyDescent="0.2">
      <c r="A396" t="s">
        <v>366</v>
      </c>
      <c r="B396">
        <v>2040</v>
      </c>
      <c r="C396" t="s">
        <v>354</v>
      </c>
      <c r="D396" t="s">
        <v>218</v>
      </c>
      <c r="E396">
        <v>62302390.474759102</v>
      </c>
      <c r="F396">
        <v>2377551.5169269601</v>
      </c>
      <c r="G396">
        <v>11290785</v>
      </c>
      <c r="H396">
        <v>75970726.991686106</v>
      </c>
      <c r="I396">
        <v>1960.4601499999901</v>
      </c>
      <c r="J396">
        <v>3516754.18802818</v>
      </c>
      <c r="K396">
        <v>0.204776392694063</v>
      </c>
      <c r="L396">
        <v>21.602512694889899</v>
      </c>
      <c r="M396" t="str">
        <f t="shared" si="68"/>
        <v>Normal</v>
      </c>
      <c r="N396" t="str">
        <f t="shared" si="69"/>
        <v>Medium RE Cost</v>
      </c>
      <c r="O396">
        <f t="shared" si="67"/>
        <v>317964169.10794711</v>
      </c>
      <c r="P396">
        <f t="shared" si="70"/>
        <v>90.414101215936114</v>
      </c>
      <c r="Q396">
        <f t="shared" si="71"/>
        <v>69.489999999999995</v>
      </c>
      <c r="R396" s="229">
        <f t="shared" si="72"/>
        <v>244379248.52607822</v>
      </c>
      <c r="S396" s="297" t="str">
        <f t="shared" si="73"/>
        <v/>
      </c>
      <c r="T396" s="297" t="str">
        <f t="shared" si="74"/>
        <v/>
      </c>
      <c r="V396" s="296">
        <f t="shared" si="75"/>
        <v>72.7</v>
      </c>
      <c r="W396">
        <f t="shared" si="76"/>
        <v>3.2105698596837859</v>
      </c>
      <c r="X396" s="297" t="str">
        <f t="shared" si="77"/>
        <v/>
      </c>
    </row>
    <row r="397" spans="1:24" x14ac:dyDescent="0.2">
      <c r="A397" t="s">
        <v>366</v>
      </c>
      <c r="B397">
        <v>2050</v>
      </c>
      <c r="C397" t="s">
        <v>354</v>
      </c>
      <c r="D397" t="s">
        <v>218</v>
      </c>
      <c r="E397">
        <v>62062677.643901601</v>
      </c>
      <c r="F397">
        <v>1583795.5651374699</v>
      </c>
      <c r="G397">
        <v>13119684</v>
      </c>
      <c r="H397">
        <v>76766157.209039107</v>
      </c>
      <c r="I397">
        <v>1960.4601499999901</v>
      </c>
      <c r="J397">
        <v>3516754.18802818</v>
      </c>
      <c r="K397">
        <v>0.204776392694063</v>
      </c>
      <c r="L397">
        <v>21.828695753137399</v>
      </c>
      <c r="M397" t="str">
        <f t="shared" si="68"/>
        <v>Normal</v>
      </c>
      <c r="N397" t="str">
        <f t="shared" si="69"/>
        <v>Medium RE Cost</v>
      </c>
      <c r="O397">
        <f t="shared" si="67"/>
        <v>311640347.21392971</v>
      </c>
      <c r="P397">
        <f t="shared" si="70"/>
        <v>88.615902776151756</v>
      </c>
      <c r="Q397">
        <f t="shared" si="71"/>
        <v>67.239999999999995</v>
      </c>
      <c r="R397" s="229">
        <f t="shared" si="72"/>
        <v>236466551.6030148</v>
      </c>
      <c r="S397" s="297" t="str">
        <f t="shared" si="73"/>
        <v/>
      </c>
      <c r="T397" s="297" t="str">
        <f t="shared" si="74"/>
        <v/>
      </c>
      <c r="V397" s="296">
        <f t="shared" si="75"/>
        <v>70.97</v>
      </c>
      <c r="W397">
        <f t="shared" si="76"/>
        <v>3.7306229831650866</v>
      </c>
      <c r="X397" s="297" t="str">
        <f t="shared" si="77"/>
        <v/>
      </c>
    </row>
    <row r="398" spans="1:24" x14ac:dyDescent="0.2">
      <c r="A398" t="s">
        <v>367</v>
      </c>
      <c r="B398">
        <v>2030</v>
      </c>
      <c r="C398" t="s">
        <v>354</v>
      </c>
      <c r="D398" t="s">
        <v>220</v>
      </c>
      <c r="E398">
        <v>81650865.139338702</v>
      </c>
      <c r="F398">
        <v>1680580.90748252</v>
      </c>
      <c r="G398">
        <v>5732790</v>
      </c>
      <c r="H398">
        <v>89064236.046821207</v>
      </c>
      <c r="I398">
        <v>1960.4601499999901</v>
      </c>
      <c r="J398">
        <v>3516754.18802818</v>
      </c>
      <c r="K398">
        <v>0.204776392694063</v>
      </c>
      <c r="L398">
        <v>25.325692751007601</v>
      </c>
      <c r="M398" t="str">
        <f t="shared" si="68"/>
        <v>Normal</v>
      </c>
      <c r="N398" t="str">
        <f t="shared" si="69"/>
        <v>Low RE Cost</v>
      </c>
      <c r="O398">
        <f t="shared" si="67"/>
        <v>308653204.24954498</v>
      </c>
      <c r="P398">
        <f t="shared" si="70"/>
        <v>87.766499376120663</v>
      </c>
      <c r="Q398">
        <f t="shared" si="71"/>
        <v>62.92</v>
      </c>
      <c r="R398" s="229">
        <f t="shared" si="72"/>
        <v>221274173.5107331</v>
      </c>
      <c r="S398" s="297">
        <f t="shared" si="73"/>
        <v>87.789903775954699</v>
      </c>
      <c r="T398" s="297">
        <f t="shared" si="74"/>
        <v>62.942089437149825</v>
      </c>
      <c r="V398" s="296">
        <f t="shared" si="75"/>
        <v>64.55</v>
      </c>
      <c r="W398">
        <f t="shared" si="76"/>
        <v>1.6301366810099218</v>
      </c>
      <c r="X398" s="297">
        <f t="shared" si="77"/>
        <v>64.569999999999993</v>
      </c>
    </row>
    <row r="399" spans="1:24" x14ac:dyDescent="0.2">
      <c r="A399" t="s">
        <v>367</v>
      </c>
      <c r="B399">
        <v>2040</v>
      </c>
      <c r="C399" t="s">
        <v>354</v>
      </c>
      <c r="D399" t="s">
        <v>220</v>
      </c>
      <c r="E399">
        <v>64724069.362528503</v>
      </c>
      <c r="F399">
        <v>1392710.96584166</v>
      </c>
      <c r="G399">
        <v>0</v>
      </c>
      <c r="H399">
        <v>66116780.328370199</v>
      </c>
      <c r="I399">
        <v>1960.4601499999901</v>
      </c>
      <c r="J399">
        <v>3516754.18802818</v>
      </c>
      <c r="K399">
        <v>0.204776392694063</v>
      </c>
      <c r="L399">
        <v>18.800512288702599</v>
      </c>
      <c r="M399" t="str">
        <f t="shared" si="68"/>
        <v>Normal</v>
      </c>
      <c r="N399" t="str">
        <f t="shared" si="69"/>
        <v>Low RE Cost</v>
      </c>
      <c r="O399">
        <f t="shared" si="67"/>
        <v>281756933.38277984</v>
      </c>
      <c r="P399">
        <f t="shared" si="70"/>
        <v>80.118461034878024</v>
      </c>
      <c r="Q399">
        <f t="shared" si="71"/>
        <v>61.71</v>
      </c>
      <c r="R399" s="229">
        <f t="shared" si="72"/>
        <v>217018900.94321901</v>
      </c>
      <c r="S399" s="297" t="str">
        <f t="shared" si="73"/>
        <v/>
      </c>
      <c r="T399" s="297" t="str">
        <f t="shared" si="74"/>
        <v/>
      </c>
      <c r="V399" s="296">
        <f t="shared" si="75"/>
        <v>61.71</v>
      </c>
      <c r="W399">
        <f t="shared" si="76"/>
        <v>0</v>
      </c>
      <c r="X399" s="297" t="str">
        <f t="shared" si="77"/>
        <v/>
      </c>
    </row>
    <row r="400" spans="1:24" x14ac:dyDescent="0.2">
      <c r="A400" t="s">
        <v>367</v>
      </c>
      <c r="B400">
        <v>2050</v>
      </c>
      <c r="C400" t="s">
        <v>354</v>
      </c>
      <c r="D400" t="s">
        <v>220</v>
      </c>
      <c r="E400">
        <v>63081312.358115099</v>
      </c>
      <c r="F400">
        <v>500796.68461404898</v>
      </c>
      <c r="G400">
        <v>0</v>
      </c>
      <c r="H400">
        <v>63582109.042729199</v>
      </c>
      <c r="I400">
        <v>1960.4601499999901</v>
      </c>
      <c r="J400">
        <v>3516754.18802818</v>
      </c>
      <c r="K400">
        <v>0.204776392694063</v>
      </c>
      <c r="L400">
        <v>18.0797706189351</v>
      </c>
      <c r="M400" t="str">
        <f t="shared" si="68"/>
        <v>Normal</v>
      </c>
      <c r="N400" t="str">
        <f t="shared" si="69"/>
        <v>Low RE Cost</v>
      </c>
      <c r="O400">
        <f t="shared" si="67"/>
        <v>275418236.05994487</v>
      </c>
      <c r="P400">
        <f t="shared" si="70"/>
        <v>78.316032720606486</v>
      </c>
      <c r="Q400">
        <f t="shared" si="71"/>
        <v>60.38</v>
      </c>
      <c r="R400" s="229">
        <f t="shared" si="72"/>
        <v>212341617.87314153</v>
      </c>
      <c r="S400" s="297" t="str">
        <f t="shared" si="73"/>
        <v/>
      </c>
      <c r="T400" s="297" t="str">
        <f t="shared" si="74"/>
        <v/>
      </c>
      <c r="V400" s="296">
        <f t="shared" si="75"/>
        <v>60.38</v>
      </c>
      <c r="W400">
        <f t="shared" si="76"/>
        <v>0</v>
      </c>
      <c r="X400" s="297" t="str">
        <f t="shared" si="77"/>
        <v/>
      </c>
    </row>
    <row r="401" spans="1:24" x14ac:dyDescent="0.2">
      <c r="A401" t="s">
        <v>368</v>
      </c>
      <c r="B401">
        <v>2030</v>
      </c>
      <c r="C401" t="s">
        <v>354</v>
      </c>
      <c r="D401" t="s">
        <v>222</v>
      </c>
      <c r="E401">
        <v>82298176.599732697</v>
      </c>
      <c r="F401">
        <v>2576707.5369007201</v>
      </c>
      <c r="G401">
        <v>9918646</v>
      </c>
      <c r="H401">
        <v>94793530.136633396</v>
      </c>
      <c r="I401">
        <v>1960.4601499999901</v>
      </c>
      <c r="J401">
        <v>3516754.18802818</v>
      </c>
      <c r="K401">
        <v>0.204776392694063</v>
      </c>
      <c r="L401">
        <v>26.9548353590739</v>
      </c>
      <c r="M401" t="str">
        <f t="shared" si="68"/>
        <v>Normal</v>
      </c>
      <c r="N401" t="str">
        <f t="shared" si="69"/>
        <v>Medium RE Cost</v>
      </c>
      <c r="O401">
        <f t="shared" si="67"/>
        <v>340002960.96679091</v>
      </c>
      <c r="P401">
        <f t="shared" si="70"/>
        <v>96.68090028135525</v>
      </c>
      <c r="Q401">
        <f t="shared" si="71"/>
        <v>70.459999999999994</v>
      </c>
      <c r="R401" s="229">
        <f t="shared" si="72"/>
        <v>247790500.08846554</v>
      </c>
      <c r="S401" s="297">
        <f t="shared" si="73"/>
        <v>96.706681854764057</v>
      </c>
      <c r="T401" s="297">
        <f t="shared" si="74"/>
        <v>70.484541304349861</v>
      </c>
      <c r="V401" s="296">
        <f t="shared" si="75"/>
        <v>73.28</v>
      </c>
      <c r="W401">
        <f t="shared" si="76"/>
        <v>2.8203978639636786</v>
      </c>
      <c r="X401" s="297">
        <f t="shared" si="77"/>
        <v>73.3</v>
      </c>
    </row>
    <row r="402" spans="1:24" x14ac:dyDescent="0.2">
      <c r="A402" t="s">
        <v>368</v>
      </c>
      <c r="B402">
        <v>2040</v>
      </c>
      <c r="C402" t="s">
        <v>354</v>
      </c>
      <c r="D402" t="s">
        <v>222</v>
      </c>
      <c r="E402">
        <v>74508802.848728493</v>
      </c>
      <c r="F402">
        <v>2188799.1014143801</v>
      </c>
      <c r="G402">
        <v>1765371</v>
      </c>
      <c r="H402">
        <v>78462972.950142905</v>
      </c>
      <c r="I402">
        <v>1960.4601499999901</v>
      </c>
      <c r="J402">
        <v>3516754.18802818</v>
      </c>
      <c r="K402">
        <v>0.204776392694063</v>
      </c>
      <c r="L402">
        <v>22.3111905908148</v>
      </c>
      <c r="M402" t="str">
        <f t="shared" si="68"/>
        <v>Normal</v>
      </c>
      <c r="N402" t="str">
        <f t="shared" si="69"/>
        <v>Medium RE Cost</v>
      </c>
      <c r="O402">
        <f t="shared" si="67"/>
        <v>317964169.10794711</v>
      </c>
      <c r="P402">
        <f t="shared" si="70"/>
        <v>90.414101215936114</v>
      </c>
      <c r="Q402">
        <f t="shared" si="71"/>
        <v>68.73</v>
      </c>
      <c r="R402" s="229">
        <f t="shared" si="72"/>
        <v>241706515.34317684</v>
      </c>
      <c r="S402" s="297" t="str">
        <f t="shared" si="73"/>
        <v/>
      </c>
      <c r="T402" s="297" t="str">
        <f t="shared" si="74"/>
        <v/>
      </c>
      <c r="V402" s="296">
        <f t="shared" si="75"/>
        <v>69.23</v>
      </c>
      <c r="W402">
        <f t="shared" si="76"/>
        <v>0.50198873893709117</v>
      </c>
      <c r="X402" s="297" t="str">
        <f t="shared" si="77"/>
        <v/>
      </c>
    </row>
    <row r="403" spans="1:24" x14ac:dyDescent="0.2">
      <c r="A403" t="s">
        <v>368</v>
      </c>
      <c r="B403">
        <v>2050</v>
      </c>
      <c r="C403" t="s">
        <v>354</v>
      </c>
      <c r="D403" t="s">
        <v>222</v>
      </c>
      <c r="E403">
        <v>71454725.184583306</v>
      </c>
      <c r="F403">
        <v>666358.98169093102</v>
      </c>
      <c r="G403">
        <v>3597109</v>
      </c>
      <c r="H403">
        <v>75718193.166274294</v>
      </c>
      <c r="I403">
        <v>1960.4601499999901</v>
      </c>
      <c r="J403">
        <v>3516754.18802818</v>
      </c>
      <c r="K403">
        <v>0.204776392694063</v>
      </c>
      <c r="L403">
        <v>21.5307039155696</v>
      </c>
      <c r="M403" t="str">
        <f t="shared" si="68"/>
        <v>Normal</v>
      </c>
      <c r="N403" t="str">
        <f t="shared" si="69"/>
        <v>Medium RE Cost</v>
      </c>
      <c r="O403">
        <f t="shared" si="67"/>
        <v>311640347.21392971</v>
      </c>
      <c r="P403">
        <f t="shared" si="70"/>
        <v>88.615902776151756</v>
      </c>
      <c r="Q403">
        <f t="shared" si="71"/>
        <v>67.27</v>
      </c>
      <c r="R403" s="229">
        <f t="shared" si="72"/>
        <v>236572054.22865567</v>
      </c>
      <c r="S403" s="297" t="str">
        <f t="shared" si="73"/>
        <v/>
      </c>
      <c r="T403" s="297" t="str">
        <f t="shared" si="74"/>
        <v/>
      </c>
      <c r="V403" s="296">
        <f t="shared" si="75"/>
        <v>68.290000000000006</v>
      </c>
      <c r="W403">
        <f t="shared" si="76"/>
        <v>1.0228491409053739</v>
      </c>
      <c r="X403" s="297" t="str">
        <f t="shared" si="77"/>
        <v/>
      </c>
    </row>
    <row r="404" spans="1:24" x14ac:dyDescent="0.2">
      <c r="A404" t="s">
        <v>369</v>
      </c>
      <c r="B404">
        <v>2030</v>
      </c>
      <c r="C404" t="s">
        <v>354</v>
      </c>
      <c r="D404" t="s">
        <v>224</v>
      </c>
      <c r="E404">
        <v>81136916.906094998</v>
      </c>
      <c r="F404">
        <v>2331281.92764225</v>
      </c>
      <c r="G404">
        <v>10878397</v>
      </c>
      <c r="H404">
        <v>94346595.833737299</v>
      </c>
      <c r="I404">
        <v>1960.4601499999901</v>
      </c>
      <c r="J404">
        <v>3516754.18802818</v>
      </c>
      <c r="K404">
        <v>0.204776392694063</v>
      </c>
      <c r="L404">
        <v>26.8277481988688</v>
      </c>
      <c r="M404" t="str">
        <f t="shared" si="68"/>
        <v>Normal</v>
      </c>
      <c r="N404" t="str">
        <f t="shared" si="69"/>
        <v>Medium RE Cost</v>
      </c>
      <c r="O404">
        <f t="shared" si="67"/>
        <v>340002960.96679091</v>
      </c>
      <c r="P404">
        <f t="shared" si="70"/>
        <v>96.68090028135525</v>
      </c>
      <c r="Q404">
        <f t="shared" si="71"/>
        <v>70.52</v>
      </c>
      <c r="R404" s="229">
        <f t="shared" si="72"/>
        <v>248001505.33974725</v>
      </c>
      <c r="S404" s="297">
        <f t="shared" si="73"/>
        <v>96.706681854764057</v>
      </c>
      <c r="T404" s="297">
        <f t="shared" si="74"/>
        <v>70.541840928623756</v>
      </c>
      <c r="V404" s="296">
        <f t="shared" si="75"/>
        <v>73.61</v>
      </c>
      <c r="W404">
        <f t="shared" si="76"/>
        <v>3.0933060482397385</v>
      </c>
      <c r="X404" s="297">
        <f t="shared" si="77"/>
        <v>73.64</v>
      </c>
    </row>
    <row r="405" spans="1:24" x14ac:dyDescent="0.2">
      <c r="A405" t="s">
        <v>369</v>
      </c>
      <c r="B405">
        <v>2040</v>
      </c>
      <c r="C405" t="s">
        <v>354</v>
      </c>
      <c r="D405" t="s">
        <v>224</v>
      </c>
      <c r="E405">
        <v>72763113.377899304</v>
      </c>
      <c r="F405">
        <v>4095579.1925550499</v>
      </c>
      <c r="G405">
        <v>2476959</v>
      </c>
      <c r="H405">
        <v>79335651.570454299</v>
      </c>
      <c r="I405">
        <v>1960.4601499999901</v>
      </c>
      <c r="J405">
        <v>3516754.18802818</v>
      </c>
      <c r="K405">
        <v>0.204776392694063</v>
      </c>
      <c r="L405">
        <v>22.559339472895399</v>
      </c>
      <c r="M405" t="str">
        <f t="shared" si="68"/>
        <v>Normal</v>
      </c>
      <c r="N405" t="str">
        <f t="shared" si="69"/>
        <v>Medium RE Cost</v>
      </c>
      <c r="O405">
        <f t="shared" si="67"/>
        <v>317964169.10794711</v>
      </c>
      <c r="P405">
        <f t="shared" si="70"/>
        <v>90.414101215936114</v>
      </c>
      <c r="Q405">
        <f t="shared" si="71"/>
        <v>69.02</v>
      </c>
      <c r="R405" s="229">
        <f t="shared" si="72"/>
        <v>242726374.05770499</v>
      </c>
      <c r="S405" s="297" t="str">
        <f t="shared" si="73"/>
        <v/>
      </c>
      <c r="T405" s="297" t="str">
        <f t="shared" si="74"/>
        <v/>
      </c>
      <c r="V405" s="296">
        <f t="shared" si="75"/>
        <v>69.72</v>
      </c>
      <c r="W405">
        <f t="shared" si="76"/>
        <v>0.70433100170382223</v>
      </c>
      <c r="X405" s="297" t="str">
        <f t="shared" si="77"/>
        <v/>
      </c>
    </row>
    <row r="406" spans="1:24" x14ac:dyDescent="0.2">
      <c r="A406" t="s">
        <v>369</v>
      </c>
      <c r="B406">
        <v>2050</v>
      </c>
      <c r="C406" t="s">
        <v>354</v>
      </c>
      <c r="D406" t="s">
        <v>224</v>
      </c>
      <c r="E406">
        <v>71744434.946201295</v>
      </c>
      <c r="F406">
        <v>948307.32364971295</v>
      </c>
      <c r="G406">
        <v>5032537</v>
      </c>
      <c r="H406">
        <v>77725279.269850999</v>
      </c>
      <c r="I406">
        <v>1960.4601499999901</v>
      </c>
      <c r="J406">
        <v>3516754.18802818</v>
      </c>
      <c r="K406">
        <v>0.204776392694063</v>
      </c>
      <c r="L406">
        <v>22.101425096597598</v>
      </c>
      <c r="M406" t="str">
        <f t="shared" si="68"/>
        <v>Normal</v>
      </c>
      <c r="N406" t="str">
        <f t="shared" si="69"/>
        <v>Medium RE Cost</v>
      </c>
      <c r="O406">
        <f t="shared" si="67"/>
        <v>311640347.21392971</v>
      </c>
      <c r="P406">
        <f t="shared" si="70"/>
        <v>88.615902776151756</v>
      </c>
      <c r="Q406">
        <f t="shared" si="71"/>
        <v>66.78</v>
      </c>
      <c r="R406" s="229">
        <f t="shared" si="72"/>
        <v>234848844.67652187</v>
      </c>
      <c r="S406" s="297" t="str">
        <f t="shared" si="73"/>
        <v/>
      </c>
      <c r="T406" s="297" t="str">
        <f t="shared" si="74"/>
        <v/>
      </c>
      <c r="V406" s="296">
        <f t="shared" si="75"/>
        <v>68.209999999999994</v>
      </c>
      <c r="W406">
        <f t="shared" si="76"/>
        <v>1.4310175607757529</v>
      </c>
      <c r="X406" s="297" t="str">
        <f t="shared" si="77"/>
        <v/>
      </c>
    </row>
    <row r="407" spans="1:24" x14ac:dyDescent="0.2">
      <c r="A407" t="s">
        <v>370</v>
      </c>
      <c r="B407">
        <v>2030</v>
      </c>
      <c r="C407" t="s">
        <v>354</v>
      </c>
      <c r="D407" t="s">
        <v>226</v>
      </c>
      <c r="E407">
        <v>81093528.549576804</v>
      </c>
      <c r="F407">
        <v>5621371.11805462</v>
      </c>
      <c r="G407">
        <v>9481636</v>
      </c>
      <c r="H407">
        <v>96196535.667631403</v>
      </c>
      <c r="I407">
        <v>1960.4601499999901</v>
      </c>
      <c r="J407">
        <v>3516754.18802818</v>
      </c>
      <c r="K407">
        <v>0.204776392694063</v>
      </c>
      <c r="L407">
        <v>27.353784348961899</v>
      </c>
      <c r="M407" t="str">
        <f t="shared" si="68"/>
        <v>Normal</v>
      </c>
      <c r="N407" t="str">
        <f t="shared" si="69"/>
        <v>Medium RE Cost</v>
      </c>
      <c r="O407">
        <f t="shared" si="67"/>
        <v>340002960.96679091</v>
      </c>
      <c r="P407">
        <f t="shared" si="70"/>
        <v>96.68090028135525</v>
      </c>
      <c r="Q407">
        <f t="shared" si="71"/>
        <v>70.930000000000007</v>
      </c>
      <c r="R407" s="229">
        <f t="shared" si="72"/>
        <v>249443374.55683884</v>
      </c>
      <c r="S407" s="297">
        <f t="shared" si="73"/>
        <v>96.706681854764057</v>
      </c>
      <c r="T407" s="297">
        <f t="shared" si="74"/>
        <v>70.951351880916306</v>
      </c>
      <c r="V407" s="296">
        <f t="shared" si="75"/>
        <v>73.63</v>
      </c>
      <c r="W407">
        <f t="shared" si="76"/>
        <v>2.6961327101784978</v>
      </c>
      <c r="X407" s="297">
        <f t="shared" si="77"/>
        <v>73.650000000000006</v>
      </c>
    </row>
    <row r="408" spans="1:24" x14ac:dyDescent="0.2">
      <c r="A408" t="s">
        <v>370</v>
      </c>
      <c r="B408">
        <v>2040</v>
      </c>
      <c r="C408" t="s">
        <v>354</v>
      </c>
      <c r="D408" t="s">
        <v>226</v>
      </c>
      <c r="E408">
        <v>77832470.9576464</v>
      </c>
      <c r="F408">
        <v>3992647.5864998498</v>
      </c>
      <c r="G408">
        <v>576299</v>
      </c>
      <c r="H408">
        <v>82401417.544146195</v>
      </c>
      <c r="I408">
        <v>1960.4601499999901</v>
      </c>
      <c r="J408">
        <v>3516754.18802818</v>
      </c>
      <c r="K408">
        <v>0.204776392694063</v>
      </c>
      <c r="L408">
        <v>23.431099570353499</v>
      </c>
      <c r="M408" t="str">
        <f t="shared" si="68"/>
        <v>Normal</v>
      </c>
      <c r="N408" t="str">
        <f t="shared" si="69"/>
        <v>Medium RE Cost</v>
      </c>
      <c r="O408">
        <f t="shared" si="67"/>
        <v>317964169.10794711</v>
      </c>
      <c r="P408">
        <f t="shared" si="70"/>
        <v>90.414101215936114</v>
      </c>
      <c r="Q408">
        <f t="shared" si="71"/>
        <v>68.12</v>
      </c>
      <c r="R408" s="229">
        <f t="shared" si="72"/>
        <v>239561295.28847963</v>
      </c>
      <c r="S408" s="297" t="str">
        <f t="shared" si="73"/>
        <v/>
      </c>
      <c r="T408" s="297" t="str">
        <f t="shared" si="74"/>
        <v/>
      </c>
      <c r="V408" s="296">
        <f t="shared" si="75"/>
        <v>68.28</v>
      </c>
      <c r="W408">
        <f t="shared" si="76"/>
        <v>0.16387241450137488</v>
      </c>
      <c r="X408" s="297" t="str">
        <f t="shared" si="77"/>
        <v/>
      </c>
    </row>
    <row r="409" spans="1:24" x14ac:dyDescent="0.2">
      <c r="A409" t="s">
        <v>370</v>
      </c>
      <c r="B409">
        <v>2050</v>
      </c>
      <c r="C409" t="s">
        <v>354</v>
      </c>
      <c r="D409" t="s">
        <v>226</v>
      </c>
      <c r="E409">
        <v>77273853.086585402</v>
      </c>
      <c r="F409">
        <v>2482845.7817263301</v>
      </c>
      <c r="G409">
        <v>1411914</v>
      </c>
      <c r="H409">
        <v>81168612.868311793</v>
      </c>
      <c r="I409">
        <v>1960.4601499999901</v>
      </c>
      <c r="J409">
        <v>3516754.18802818</v>
      </c>
      <c r="K409">
        <v>0.204776392694063</v>
      </c>
      <c r="L409">
        <v>23.080547723417201</v>
      </c>
      <c r="M409" t="str">
        <f t="shared" si="68"/>
        <v>Normal</v>
      </c>
      <c r="N409" t="str">
        <f t="shared" si="69"/>
        <v>Medium RE Cost</v>
      </c>
      <c r="O409">
        <f t="shared" si="67"/>
        <v>311640347.21392971</v>
      </c>
      <c r="P409">
        <f t="shared" si="70"/>
        <v>88.615902776151756</v>
      </c>
      <c r="Q409">
        <f t="shared" si="71"/>
        <v>66.239999999999995</v>
      </c>
      <c r="R409" s="229">
        <f t="shared" si="72"/>
        <v>232949797.41498664</v>
      </c>
      <c r="S409" s="297" t="str">
        <f t="shared" si="73"/>
        <v/>
      </c>
      <c r="T409" s="297" t="str">
        <f t="shared" si="74"/>
        <v/>
      </c>
      <c r="V409" s="296">
        <f t="shared" si="75"/>
        <v>66.64</v>
      </c>
      <c r="W409">
        <f t="shared" si="76"/>
        <v>0.40148214077812772</v>
      </c>
      <c r="X409" s="297" t="str">
        <f t="shared" si="77"/>
        <v/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1109-9E35-7A4F-A46F-B2FB0FFC7A4B}">
  <dimension ref="A1:C193"/>
  <sheetViews>
    <sheetView workbookViewId="0">
      <selection activeCell="G7" sqref="G7"/>
    </sheetView>
  </sheetViews>
  <sheetFormatPr baseColWidth="10" defaultRowHeight="16" x14ac:dyDescent="0.2"/>
  <cols>
    <col min="1" max="1" width="25.1640625" customWidth="1"/>
    <col min="2" max="2" width="21.83203125" customWidth="1"/>
  </cols>
  <sheetData>
    <row r="1" spans="1:3" ht="33" customHeight="1" x14ac:dyDescent="0.2">
      <c r="A1" t="s">
        <v>388</v>
      </c>
      <c r="B1" t="s">
        <v>387</v>
      </c>
    </row>
    <row r="2" spans="1:3" x14ac:dyDescent="0.2">
      <c r="A2">
        <v>94.08</v>
      </c>
      <c r="B2" s="297">
        <v>87.475611160681126</v>
      </c>
      <c r="C2">
        <f>B2/A2</f>
        <v>0.92980028869771603</v>
      </c>
    </row>
    <row r="3" spans="1:3" x14ac:dyDescent="0.2">
      <c r="A3">
        <v>97.24</v>
      </c>
      <c r="B3" s="297">
        <v>101.53985851770113</v>
      </c>
      <c r="C3">
        <f t="shared" ref="C3:C66" si="0">B3/A3</f>
        <v>1.0442190304165069</v>
      </c>
    </row>
    <row r="4" spans="1:3" x14ac:dyDescent="0.2">
      <c r="A4">
        <v>90.55</v>
      </c>
      <c r="B4" s="297">
        <v>97.660090375267998</v>
      </c>
      <c r="C4">
        <f t="shared" si="0"/>
        <v>1.0785211526810381</v>
      </c>
    </row>
    <row r="5" spans="1:3" x14ac:dyDescent="0.2">
      <c r="A5">
        <v>93.86</v>
      </c>
      <c r="B5" s="297">
        <v>87.255644334249325</v>
      </c>
      <c r="C5">
        <f t="shared" si="0"/>
        <v>0.92963609987480633</v>
      </c>
    </row>
    <row r="6" spans="1:3" x14ac:dyDescent="0.2">
      <c r="A6">
        <v>96.97</v>
      </c>
      <c r="B6" s="297">
        <v>101.26743644537133</v>
      </c>
      <c r="C6">
        <f t="shared" si="0"/>
        <v>1.0443171748517204</v>
      </c>
    </row>
    <row r="7" spans="1:3" x14ac:dyDescent="0.2">
      <c r="A7">
        <v>89.53</v>
      </c>
      <c r="B7" s="297">
        <v>96.637954574256696</v>
      </c>
      <c r="C7">
        <f t="shared" si="0"/>
        <v>1.0793918750615068</v>
      </c>
    </row>
    <row r="8" spans="1:3" x14ac:dyDescent="0.2">
      <c r="A8">
        <v>111.02</v>
      </c>
      <c r="B8" s="297">
        <v>103.28520346386992</v>
      </c>
      <c r="C8">
        <f t="shared" si="0"/>
        <v>0.93032970153008399</v>
      </c>
    </row>
    <row r="9" spans="1:3" x14ac:dyDescent="0.2">
      <c r="A9">
        <v>124.63</v>
      </c>
      <c r="B9" s="297">
        <v>136.58726447727642</v>
      </c>
      <c r="C9">
        <f t="shared" si="0"/>
        <v>1.0959421044473756</v>
      </c>
    </row>
    <row r="10" spans="1:3" x14ac:dyDescent="0.2">
      <c r="A10">
        <v>112.73</v>
      </c>
      <c r="B10" s="297">
        <v>122.9289581292544</v>
      </c>
      <c r="C10">
        <f t="shared" si="0"/>
        <v>1.0904724397166183</v>
      </c>
    </row>
    <row r="11" spans="1:3" x14ac:dyDescent="0.2">
      <c r="A11">
        <v>94.08</v>
      </c>
      <c r="B11" s="297">
        <v>87.475638284737428</v>
      </c>
      <c r="C11">
        <f t="shared" si="0"/>
        <v>0.92980057700613761</v>
      </c>
    </row>
    <row r="12" spans="1:3" x14ac:dyDescent="0.2">
      <c r="A12">
        <v>97.24</v>
      </c>
      <c r="B12" s="297">
        <v>101.53983930245013</v>
      </c>
      <c r="C12">
        <f t="shared" si="0"/>
        <v>1.044218832810059</v>
      </c>
    </row>
    <row r="13" spans="1:3" x14ac:dyDescent="0.2">
      <c r="A13">
        <v>90.55</v>
      </c>
      <c r="B13" s="297">
        <v>97.660018966183699</v>
      </c>
      <c r="C13">
        <f t="shared" si="0"/>
        <v>1.0785203640660816</v>
      </c>
    </row>
    <row r="14" spans="1:3" x14ac:dyDescent="0.2">
      <c r="A14">
        <v>93.86</v>
      </c>
      <c r="B14" s="297">
        <v>87.255490929878633</v>
      </c>
      <c r="C14">
        <f t="shared" si="0"/>
        <v>0.9296344654792098</v>
      </c>
    </row>
    <row r="15" spans="1:3" x14ac:dyDescent="0.2">
      <c r="A15">
        <v>96.97</v>
      </c>
      <c r="B15" s="297">
        <v>101.26760694369864</v>
      </c>
      <c r="C15">
        <f t="shared" si="0"/>
        <v>1.0443189331102263</v>
      </c>
    </row>
    <row r="16" spans="1:3" x14ac:dyDescent="0.2">
      <c r="A16">
        <v>89.36</v>
      </c>
      <c r="B16" s="297">
        <v>96.469686667208308</v>
      </c>
      <c r="C16">
        <f t="shared" si="0"/>
        <v>1.0795622948434234</v>
      </c>
    </row>
    <row r="17" spans="1:3" x14ac:dyDescent="0.2">
      <c r="A17">
        <v>111.02</v>
      </c>
      <c r="B17" s="297">
        <v>103.28509357412652</v>
      </c>
      <c r="C17">
        <f t="shared" si="0"/>
        <v>0.9303287117107415</v>
      </c>
    </row>
    <row r="18" spans="1:3" x14ac:dyDescent="0.2">
      <c r="A18">
        <v>124.63</v>
      </c>
      <c r="B18" s="297">
        <v>136.58721998324091</v>
      </c>
      <c r="C18">
        <f t="shared" si="0"/>
        <v>1.0959417474383448</v>
      </c>
    </row>
    <row r="19" spans="1:3" x14ac:dyDescent="0.2">
      <c r="A19">
        <v>108.73</v>
      </c>
      <c r="B19" s="297">
        <v>118.9251853169462</v>
      </c>
      <c r="C19">
        <f t="shared" si="0"/>
        <v>1.0937660748362568</v>
      </c>
    </row>
    <row r="20" spans="1:3" x14ac:dyDescent="0.2">
      <c r="A20">
        <v>93.77</v>
      </c>
      <c r="B20" s="297">
        <v>87.166107639008032</v>
      </c>
      <c r="C20">
        <f t="shared" si="0"/>
        <v>0.92957350580151477</v>
      </c>
    </row>
    <row r="21" spans="1:3" x14ac:dyDescent="0.2">
      <c r="A21">
        <v>97.18</v>
      </c>
      <c r="B21" s="297">
        <v>101.47560010323244</v>
      </c>
      <c r="C21">
        <f t="shared" si="0"/>
        <v>1.0442025118669729</v>
      </c>
    </row>
    <row r="22" spans="1:3" x14ac:dyDescent="0.2">
      <c r="A22">
        <v>90.22</v>
      </c>
      <c r="B22" s="297">
        <v>97.3247047689824</v>
      </c>
      <c r="C22">
        <f t="shared" si="0"/>
        <v>1.0787486673573754</v>
      </c>
    </row>
    <row r="23" spans="1:3" x14ac:dyDescent="0.2">
      <c r="A23">
        <v>88.34</v>
      </c>
      <c r="B23" s="297">
        <v>82.171538273463014</v>
      </c>
      <c r="C23">
        <f t="shared" si="0"/>
        <v>0.93017362772767731</v>
      </c>
    </row>
    <row r="24" spans="1:3" x14ac:dyDescent="0.2">
      <c r="A24">
        <v>83.9</v>
      </c>
      <c r="B24" s="297">
        <v>83.908036335885484</v>
      </c>
      <c r="C24">
        <f t="shared" si="0"/>
        <v>1.0000957846947018</v>
      </c>
    </row>
    <row r="25" spans="1:3" x14ac:dyDescent="0.2">
      <c r="A25">
        <v>72.92</v>
      </c>
      <c r="B25" s="297">
        <v>75.662172466613598</v>
      </c>
      <c r="C25">
        <f t="shared" si="0"/>
        <v>1.0376052175893253</v>
      </c>
    </row>
    <row r="26" spans="1:3" x14ac:dyDescent="0.2">
      <c r="A26">
        <v>94.08</v>
      </c>
      <c r="B26" s="297">
        <v>87.475638284737428</v>
      </c>
      <c r="C26">
        <f t="shared" si="0"/>
        <v>0.92980057700613761</v>
      </c>
    </row>
    <row r="27" spans="1:3" x14ac:dyDescent="0.2">
      <c r="A27">
        <v>97.15</v>
      </c>
      <c r="B27" s="297">
        <v>101.44459430175402</v>
      </c>
      <c r="C27">
        <f t="shared" si="0"/>
        <v>1.0442058085615442</v>
      </c>
    </row>
    <row r="28" spans="1:3" x14ac:dyDescent="0.2">
      <c r="A28">
        <v>89.33</v>
      </c>
      <c r="B28" s="297">
        <v>96.441112508862801</v>
      </c>
      <c r="C28">
        <f t="shared" si="0"/>
        <v>1.0796049760311519</v>
      </c>
    </row>
    <row r="29" spans="1:3" x14ac:dyDescent="0.2">
      <c r="A29">
        <v>94.42</v>
      </c>
      <c r="B29" s="297">
        <v>87.816600538234724</v>
      </c>
      <c r="C29">
        <f t="shared" si="0"/>
        <v>0.93006355155935949</v>
      </c>
    </row>
    <row r="30" spans="1:3" x14ac:dyDescent="0.2">
      <c r="A30">
        <v>95.49</v>
      </c>
      <c r="B30" s="297">
        <v>99.787203881738535</v>
      </c>
      <c r="C30">
        <f t="shared" si="0"/>
        <v>1.0450016114958482</v>
      </c>
    </row>
    <row r="31" spans="1:3" x14ac:dyDescent="0.2">
      <c r="A31">
        <v>87.01</v>
      </c>
      <c r="B31" s="297">
        <v>94.119176123345298</v>
      </c>
      <c r="C31">
        <f t="shared" si="0"/>
        <v>1.0817052766733168</v>
      </c>
    </row>
    <row r="32" spans="1:3" x14ac:dyDescent="0.2">
      <c r="A32">
        <v>93.93</v>
      </c>
      <c r="B32" s="297">
        <v>87.325862558403728</v>
      </c>
      <c r="C32">
        <f t="shared" si="0"/>
        <v>0.92969086083683294</v>
      </c>
    </row>
    <row r="33" spans="1:3" x14ac:dyDescent="0.2">
      <c r="A33">
        <v>97.04</v>
      </c>
      <c r="B33" s="297">
        <v>101.34234304999033</v>
      </c>
      <c r="C33">
        <f t="shared" si="0"/>
        <v>1.0443357692703044</v>
      </c>
    </row>
    <row r="34" spans="1:3" x14ac:dyDescent="0.2">
      <c r="A34">
        <v>89.71</v>
      </c>
      <c r="B34" s="297">
        <v>96.81591045862001</v>
      </c>
      <c r="C34">
        <f t="shared" si="0"/>
        <v>1.0792097922039907</v>
      </c>
    </row>
    <row r="35" spans="1:3" x14ac:dyDescent="0.2">
      <c r="A35">
        <v>93.77</v>
      </c>
      <c r="B35" s="297">
        <v>87.166052711167936</v>
      </c>
      <c r="C35">
        <f t="shared" si="0"/>
        <v>0.92957292002951841</v>
      </c>
    </row>
    <row r="36" spans="1:3" x14ac:dyDescent="0.2">
      <c r="A36">
        <v>97.18</v>
      </c>
      <c r="B36" s="297">
        <v>101.47584398735484</v>
      </c>
      <c r="C36">
        <f t="shared" si="0"/>
        <v>1.0442050214792635</v>
      </c>
    </row>
    <row r="37" spans="1:3" x14ac:dyDescent="0.2">
      <c r="A37">
        <v>90.34</v>
      </c>
      <c r="B37" s="297">
        <v>97.444972754034097</v>
      </c>
      <c r="C37">
        <f t="shared" si="0"/>
        <v>1.0786470307065983</v>
      </c>
    </row>
    <row r="38" spans="1:3" x14ac:dyDescent="0.2">
      <c r="A38">
        <v>88.34</v>
      </c>
      <c r="B38" s="297">
        <v>82.17155470801012</v>
      </c>
      <c r="C38">
        <f t="shared" si="0"/>
        <v>0.93017381376511343</v>
      </c>
    </row>
    <row r="39" spans="1:3" x14ac:dyDescent="0.2">
      <c r="A39">
        <v>83.9</v>
      </c>
      <c r="B39" s="297">
        <v>83.90688864739468</v>
      </c>
      <c r="C39">
        <f t="shared" si="0"/>
        <v>1.0000821054516649</v>
      </c>
    </row>
    <row r="40" spans="1:3" x14ac:dyDescent="0.2">
      <c r="A40">
        <v>72.92</v>
      </c>
      <c r="B40" s="297">
        <v>75.6620667929283</v>
      </c>
      <c r="C40">
        <f t="shared" si="0"/>
        <v>1.0376037684164605</v>
      </c>
    </row>
    <row r="41" spans="1:3" x14ac:dyDescent="0.2">
      <c r="A41">
        <v>94.08</v>
      </c>
      <c r="B41" s="297">
        <v>87.475611160681126</v>
      </c>
      <c r="C41">
        <f t="shared" si="0"/>
        <v>0.92980028869771603</v>
      </c>
    </row>
    <row r="42" spans="1:3" x14ac:dyDescent="0.2">
      <c r="A42">
        <v>97.15</v>
      </c>
      <c r="B42" s="297">
        <v>101.44462048063494</v>
      </c>
      <c r="C42">
        <f t="shared" si="0"/>
        <v>1.0442060780302103</v>
      </c>
    </row>
    <row r="43" spans="1:3" x14ac:dyDescent="0.2">
      <c r="A43">
        <v>89.34</v>
      </c>
      <c r="B43" s="297">
        <v>96.442568631305107</v>
      </c>
      <c r="C43">
        <f t="shared" si="0"/>
        <v>1.0795004324077133</v>
      </c>
    </row>
    <row r="44" spans="1:3" x14ac:dyDescent="0.2">
      <c r="A44">
        <v>94.42</v>
      </c>
      <c r="B44" s="297">
        <v>87.81678987108593</v>
      </c>
      <c r="C44">
        <f t="shared" si="0"/>
        <v>0.93006555677913505</v>
      </c>
    </row>
    <row r="45" spans="1:3" x14ac:dyDescent="0.2">
      <c r="A45">
        <v>95.49</v>
      </c>
      <c r="B45" s="297">
        <v>99.787353204975133</v>
      </c>
      <c r="C45">
        <f t="shared" si="0"/>
        <v>1.045003175253693</v>
      </c>
    </row>
    <row r="46" spans="1:3" x14ac:dyDescent="0.2">
      <c r="A46">
        <v>87.01</v>
      </c>
      <c r="B46" s="297">
        <v>94.118738296715804</v>
      </c>
      <c r="C46">
        <f t="shared" si="0"/>
        <v>1.0817002447617032</v>
      </c>
    </row>
    <row r="47" spans="1:3" x14ac:dyDescent="0.2">
      <c r="A47">
        <v>93.93</v>
      </c>
      <c r="B47" s="297">
        <v>87.325856886007131</v>
      </c>
      <c r="C47">
        <f t="shared" si="0"/>
        <v>0.9296908004472173</v>
      </c>
    </row>
    <row r="48" spans="1:3" x14ac:dyDescent="0.2">
      <c r="A48">
        <v>97.04</v>
      </c>
      <c r="B48" s="297">
        <v>101.34232484313193</v>
      </c>
      <c r="C48">
        <f t="shared" si="0"/>
        <v>1.044335581648103</v>
      </c>
    </row>
    <row r="49" spans="1:3" x14ac:dyDescent="0.2">
      <c r="A49">
        <v>89.71</v>
      </c>
      <c r="B49" s="297">
        <v>96.816013550475205</v>
      </c>
      <c r="C49">
        <f t="shared" si="0"/>
        <v>1.0792109413719231</v>
      </c>
    </row>
    <row r="50" spans="1:3" x14ac:dyDescent="0.2">
      <c r="A50">
        <v>94.08</v>
      </c>
      <c r="B50" s="297">
        <v>87.475611160681126</v>
      </c>
      <c r="C50">
        <f t="shared" si="0"/>
        <v>0.92980028869771603</v>
      </c>
    </row>
    <row r="51" spans="1:3" x14ac:dyDescent="0.2">
      <c r="A51">
        <v>97.24</v>
      </c>
      <c r="B51" s="297">
        <v>101.53984867744293</v>
      </c>
      <c r="C51">
        <f t="shared" si="0"/>
        <v>1.044218929220927</v>
      </c>
    </row>
    <row r="52" spans="1:3" x14ac:dyDescent="0.2">
      <c r="A52">
        <v>90.55</v>
      </c>
      <c r="B52" s="297">
        <v>97.660017969684304</v>
      </c>
      <c r="C52">
        <f t="shared" si="0"/>
        <v>1.0785203530611187</v>
      </c>
    </row>
    <row r="53" spans="1:3" x14ac:dyDescent="0.2">
      <c r="A53">
        <v>93.86</v>
      </c>
      <c r="B53" s="297">
        <v>87.255644334249325</v>
      </c>
      <c r="C53">
        <f t="shared" si="0"/>
        <v>0.92963609987480633</v>
      </c>
    </row>
    <row r="54" spans="1:3" x14ac:dyDescent="0.2">
      <c r="A54">
        <v>96.97</v>
      </c>
      <c r="B54" s="297">
        <v>101.26756494406503</v>
      </c>
      <c r="C54">
        <f t="shared" si="0"/>
        <v>1.0443184999903581</v>
      </c>
    </row>
    <row r="55" spans="1:3" x14ac:dyDescent="0.2">
      <c r="A55">
        <v>89.53</v>
      </c>
      <c r="B55" s="297">
        <v>96.637425736470504</v>
      </c>
      <c r="C55">
        <f t="shared" si="0"/>
        <v>1.0793859682393667</v>
      </c>
    </row>
    <row r="56" spans="1:3" x14ac:dyDescent="0.2">
      <c r="A56">
        <v>111.02</v>
      </c>
      <c r="B56" s="297">
        <v>103.28495326926512</v>
      </c>
      <c r="C56">
        <f t="shared" si="0"/>
        <v>0.93032744793068922</v>
      </c>
    </row>
    <row r="57" spans="1:3" x14ac:dyDescent="0.2">
      <c r="A57">
        <v>124.63</v>
      </c>
      <c r="B57" s="297">
        <v>136.58561555081673</v>
      </c>
      <c r="C57">
        <f t="shared" si="0"/>
        <v>1.0959288738731985</v>
      </c>
    </row>
    <row r="58" spans="1:3" x14ac:dyDescent="0.2">
      <c r="A58">
        <v>112.73</v>
      </c>
      <c r="B58" s="297">
        <v>122.92866997972109</v>
      </c>
      <c r="C58">
        <f t="shared" si="0"/>
        <v>1.0904698836132449</v>
      </c>
    </row>
    <row r="59" spans="1:3" x14ac:dyDescent="0.2">
      <c r="A59">
        <v>94.08</v>
      </c>
      <c r="B59" s="297">
        <v>87.475638284737428</v>
      </c>
      <c r="C59">
        <f t="shared" si="0"/>
        <v>0.92980057700613761</v>
      </c>
    </row>
    <row r="60" spans="1:3" x14ac:dyDescent="0.2">
      <c r="A60">
        <v>97.24</v>
      </c>
      <c r="B60" s="297">
        <v>101.53985355443723</v>
      </c>
      <c r="C60">
        <f t="shared" si="0"/>
        <v>1.0442189793751258</v>
      </c>
    </row>
    <row r="61" spans="1:3" x14ac:dyDescent="0.2">
      <c r="A61">
        <v>90.55</v>
      </c>
      <c r="B61" s="297">
        <v>97.659989479894904</v>
      </c>
      <c r="C61">
        <f t="shared" si="0"/>
        <v>1.078520038430645</v>
      </c>
    </row>
    <row r="62" spans="1:3" x14ac:dyDescent="0.2">
      <c r="A62">
        <v>93.86</v>
      </c>
      <c r="B62" s="297">
        <v>87.255490929878633</v>
      </c>
      <c r="C62">
        <f t="shared" si="0"/>
        <v>0.9296344654792098</v>
      </c>
    </row>
    <row r="63" spans="1:3" x14ac:dyDescent="0.2">
      <c r="A63">
        <v>96.97</v>
      </c>
      <c r="B63" s="297">
        <v>101.26754300284662</v>
      </c>
      <c r="C63">
        <f t="shared" si="0"/>
        <v>1.0443182737222505</v>
      </c>
    </row>
    <row r="64" spans="1:3" x14ac:dyDescent="0.2">
      <c r="A64">
        <v>89.36</v>
      </c>
      <c r="B64" s="297">
        <v>96.4709693352616</v>
      </c>
      <c r="C64">
        <f t="shared" si="0"/>
        <v>1.0795766487831424</v>
      </c>
    </row>
    <row r="65" spans="1:3" x14ac:dyDescent="0.2">
      <c r="A65">
        <v>111.02</v>
      </c>
      <c r="B65" s="297">
        <v>103.28509357412652</v>
      </c>
      <c r="C65">
        <f t="shared" si="0"/>
        <v>0.9303287117107415</v>
      </c>
    </row>
    <row r="66" spans="1:3" x14ac:dyDescent="0.2">
      <c r="A66">
        <v>124.63</v>
      </c>
      <c r="B66" s="297">
        <v>136.58716261850702</v>
      </c>
      <c r="C66">
        <f t="shared" si="0"/>
        <v>1.0959412871580441</v>
      </c>
    </row>
    <row r="67" spans="1:3" x14ac:dyDescent="0.2">
      <c r="A67">
        <v>108.73</v>
      </c>
      <c r="B67" s="297">
        <v>118.925424101574</v>
      </c>
      <c r="C67">
        <f t="shared" ref="C67:C130" si="1">B67/A67</f>
        <v>1.0937682709608572</v>
      </c>
    </row>
    <row r="68" spans="1:3" x14ac:dyDescent="0.2">
      <c r="A68">
        <v>93.77</v>
      </c>
      <c r="B68" s="297">
        <v>87.166107639008032</v>
      </c>
      <c r="C68">
        <f t="shared" si="1"/>
        <v>0.92957350580151477</v>
      </c>
    </row>
    <row r="69" spans="1:3" x14ac:dyDescent="0.2">
      <c r="A69">
        <v>97.18</v>
      </c>
      <c r="B69" s="297">
        <v>101.47575672892283</v>
      </c>
      <c r="C69">
        <f t="shared" si="1"/>
        <v>1.0442041235740154</v>
      </c>
    </row>
    <row r="70" spans="1:3" x14ac:dyDescent="0.2">
      <c r="A70">
        <v>90.22</v>
      </c>
      <c r="B70" s="297">
        <v>97.324701570750307</v>
      </c>
      <c r="C70">
        <f t="shared" si="1"/>
        <v>1.078748631908117</v>
      </c>
    </row>
    <row r="71" spans="1:3" x14ac:dyDescent="0.2">
      <c r="A71">
        <v>88.34</v>
      </c>
      <c r="B71" s="297">
        <v>82.171538273463014</v>
      </c>
      <c r="C71">
        <f t="shared" si="1"/>
        <v>0.93017362772767731</v>
      </c>
    </row>
    <row r="72" spans="1:3" x14ac:dyDescent="0.2">
      <c r="A72">
        <v>83.9</v>
      </c>
      <c r="B72" s="297">
        <v>83.907463339355388</v>
      </c>
      <c r="C72">
        <f t="shared" si="1"/>
        <v>1.0000889551770606</v>
      </c>
    </row>
    <row r="73" spans="1:3" x14ac:dyDescent="0.2">
      <c r="A73">
        <v>72.92</v>
      </c>
      <c r="B73" s="297">
        <v>75.661515382639095</v>
      </c>
      <c r="C73">
        <f t="shared" si="1"/>
        <v>1.0375962065638933</v>
      </c>
    </row>
    <row r="74" spans="1:3" x14ac:dyDescent="0.2">
      <c r="A74">
        <v>94.08</v>
      </c>
      <c r="B74" s="297">
        <v>87.475638284737428</v>
      </c>
      <c r="C74">
        <f t="shared" si="1"/>
        <v>0.92980057700613761</v>
      </c>
    </row>
    <row r="75" spans="1:3" x14ac:dyDescent="0.2">
      <c r="A75">
        <v>97.15</v>
      </c>
      <c r="B75" s="297">
        <v>101.44465533074762</v>
      </c>
      <c r="C75">
        <f t="shared" si="1"/>
        <v>1.0442064367549935</v>
      </c>
    </row>
    <row r="76" spans="1:3" x14ac:dyDescent="0.2">
      <c r="A76">
        <v>89.33</v>
      </c>
      <c r="B76" s="297">
        <v>96.441653316073598</v>
      </c>
      <c r="C76">
        <f t="shared" si="1"/>
        <v>1.07961103006911</v>
      </c>
    </row>
    <row r="77" spans="1:3" x14ac:dyDescent="0.2">
      <c r="A77">
        <v>94.42</v>
      </c>
      <c r="B77" s="297">
        <v>87.816600538234724</v>
      </c>
      <c r="C77">
        <f t="shared" si="1"/>
        <v>0.93006355155935949</v>
      </c>
    </row>
    <row r="78" spans="1:3" x14ac:dyDescent="0.2">
      <c r="A78">
        <v>95.49</v>
      </c>
      <c r="B78" s="297">
        <v>99.787164076890235</v>
      </c>
      <c r="C78">
        <f t="shared" si="1"/>
        <v>1.0450011946475048</v>
      </c>
    </row>
    <row r="79" spans="1:3" x14ac:dyDescent="0.2">
      <c r="A79">
        <v>87.01</v>
      </c>
      <c r="B79" s="297">
        <v>94.1190388475665</v>
      </c>
      <c r="C79">
        <f t="shared" si="1"/>
        <v>1.0817036989721469</v>
      </c>
    </row>
    <row r="80" spans="1:3" x14ac:dyDescent="0.2">
      <c r="A80">
        <v>93.93</v>
      </c>
      <c r="B80" s="297">
        <v>87.325862558403728</v>
      </c>
      <c r="C80">
        <f t="shared" si="1"/>
        <v>0.92969086083683294</v>
      </c>
    </row>
    <row r="81" spans="1:3" x14ac:dyDescent="0.2">
      <c r="A81">
        <v>97.04</v>
      </c>
      <c r="B81" s="297">
        <v>101.34231643847933</v>
      </c>
      <c r="C81">
        <f t="shared" si="1"/>
        <v>1.0443354950379156</v>
      </c>
    </row>
    <row r="82" spans="1:3" x14ac:dyDescent="0.2">
      <c r="A82">
        <v>89.71</v>
      </c>
      <c r="B82" s="297">
        <v>96.815919022290998</v>
      </c>
      <c r="C82">
        <f t="shared" si="1"/>
        <v>1.0792098876634824</v>
      </c>
    </row>
    <row r="83" spans="1:3" x14ac:dyDescent="0.2">
      <c r="A83">
        <v>93.77</v>
      </c>
      <c r="B83" s="297">
        <v>87.166052711167936</v>
      </c>
      <c r="C83">
        <f t="shared" si="1"/>
        <v>0.92957292002951841</v>
      </c>
    </row>
    <row r="84" spans="1:3" x14ac:dyDescent="0.2">
      <c r="A84">
        <v>97.18</v>
      </c>
      <c r="B84" s="297">
        <v>101.47542480095943</v>
      </c>
      <c r="C84">
        <f t="shared" si="1"/>
        <v>1.0442007079744744</v>
      </c>
    </row>
    <row r="85" spans="1:3" x14ac:dyDescent="0.2">
      <c r="A85">
        <v>90.34</v>
      </c>
      <c r="B85" s="297">
        <v>97.444877564026598</v>
      </c>
      <c r="C85">
        <f t="shared" si="1"/>
        <v>1.0786459770204404</v>
      </c>
    </row>
    <row r="86" spans="1:3" x14ac:dyDescent="0.2">
      <c r="A86">
        <v>88.34</v>
      </c>
      <c r="B86" s="297">
        <v>82.17155470801012</v>
      </c>
      <c r="C86">
        <f t="shared" si="1"/>
        <v>0.93017381376511343</v>
      </c>
    </row>
    <row r="87" spans="1:3" x14ac:dyDescent="0.2">
      <c r="A87">
        <v>83.9</v>
      </c>
      <c r="B87" s="297">
        <v>83.906598013279591</v>
      </c>
      <c r="C87">
        <f t="shared" si="1"/>
        <v>1.0000786413978497</v>
      </c>
    </row>
    <row r="88" spans="1:3" x14ac:dyDescent="0.2">
      <c r="A88">
        <v>72.92</v>
      </c>
      <c r="B88" s="297">
        <v>75.661440041104399</v>
      </c>
      <c r="C88">
        <f t="shared" si="1"/>
        <v>1.0375951733557927</v>
      </c>
    </row>
    <row r="89" spans="1:3" x14ac:dyDescent="0.2">
      <c r="A89">
        <v>94.08</v>
      </c>
      <c r="B89" s="297">
        <v>87.475611160681126</v>
      </c>
      <c r="C89">
        <f t="shared" si="1"/>
        <v>0.92980028869771603</v>
      </c>
    </row>
    <row r="90" spans="1:3" x14ac:dyDescent="0.2">
      <c r="A90">
        <v>97.15</v>
      </c>
      <c r="B90" s="297">
        <v>101.44458545432433</v>
      </c>
      <c r="C90">
        <f t="shared" si="1"/>
        <v>1.0442057174917583</v>
      </c>
    </row>
    <row r="91" spans="1:3" x14ac:dyDescent="0.2">
      <c r="A91">
        <v>89.33</v>
      </c>
      <c r="B91" s="297">
        <v>96.44178842913081</v>
      </c>
      <c r="C91">
        <f t="shared" si="1"/>
        <v>1.0796125425851428</v>
      </c>
    </row>
    <row r="92" spans="1:3" x14ac:dyDescent="0.2">
      <c r="A92">
        <v>94.42</v>
      </c>
      <c r="B92" s="297">
        <v>87.81678987108593</v>
      </c>
      <c r="C92">
        <f t="shared" si="1"/>
        <v>0.93006555677913505</v>
      </c>
    </row>
    <row r="93" spans="1:3" x14ac:dyDescent="0.2">
      <c r="A93">
        <v>95.49</v>
      </c>
      <c r="B93" s="297">
        <v>99.787313450983632</v>
      </c>
      <c r="C93">
        <f t="shared" si="1"/>
        <v>1.0450027589379374</v>
      </c>
    </row>
    <row r="94" spans="1:3" x14ac:dyDescent="0.2">
      <c r="A94">
        <v>87.01</v>
      </c>
      <c r="B94" s="297">
        <v>94.118663721622909</v>
      </c>
      <c r="C94">
        <f t="shared" si="1"/>
        <v>1.0816993876752432</v>
      </c>
    </row>
    <row r="95" spans="1:3" x14ac:dyDescent="0.2">
      <c r="A95">
        <v>93.93</v>
      </c>
      <c r="B95" s="297">
        <v>87.325856886007131</v>
      </c>
      <c r="C95">
        <f t="shared" si="1"/>
        <v>0.9296908004472173</v>
      </c>
    </row>
    <row r="96" spans="1:3" x14ac:dyDescent="0.2">
      <c r="A96">
        <v>97.04</v>
      </c>
      <c r="B96" s="297">
        <v>101.34232092258873</v>
      </c>
      <c r="C96">
        <f t="shared" si="1"/>
        <v>1.0443355412467923</v>
      </c>
    </row>
    <row r="97" spans="1:3" x14ac:dyDescent="0.2">
      <c r="A97">
        <v>89.71</v>
      </c>
      <c r="B97" s="297">
        <v>96.816197899805701</v>
      </c>
      <c r="C97">
        <f t="shared" si="1"/>
        <v>1.0792129963193144</v>
      </c>
    </row>
    <row r="98" spans="1:3" x14ac:dyDescent="0.2">
      <c r="A98">
        <v>95.73</v>
      </c>
      <c r="B98" s="297">
        <v>89.126938592587436</v>
      </c>
      <c r="C98">
        <f t="shared" si="1"/>
        <v>0.93102411566475951</v>
      </c>
    </row>
    <row r="99" spans="1:3" x14ac:dyDescent="0.2">
      <c r="A99">
        <v>98.94</v>
      </c>
      <c r="B99" s="297">
        <v>103.24116828245363</v>
      </c>
      <c r="C99">
        <f t="shared" si="1"/>
        <v>1.0434724912315911</v>
      </c>
    </row>
    <row r="100" spans="1:3" x14ac:dyDescent="0.2">
      <c r="A100">
        <v>91.27</v>
      </c>
      <c r="B100" s="297">
        <v>98.380856479122201</v>
      </c>
      <c r="C100">
        <f t="shared" si="1"/>
        <v>1.0779101181014814</v>
      </c>
    </row>
    <row r="101" spans="1:3" x14ac:dyDescent="0.2">
      <c r="A101">
        <v>95.48</v>
      </c>
      <c r="B101" s="297">
        <v>88.881200869680029</v>
      </c>
      <c r="C101">
        <f t="shared" si="1"/>
        <v>0.93088815322245522</v>
      </c>
    </row>
    <row r="102" spans="1:3" x14ac:dyDescent="0.2">
      <c r="A102">
        <v>99.66</v>
      </c>
      <c r="B102" s="297">
        <v>103.96237552386603</v>
      </c>
      <c r="C102">
        <f t="shared" si="1"/>
        <v>1.0431705350578571</v>
      </c>
    </row>
    <row r="103" spans="1:3" x14ac:dyDescent="0.2">
      <c r="A103">
        <v>92.84</v>
      </c>
      <c r="B103" s="297">
        <v>99.951601271616298</v>
      </c>
      <c r="C103">
        <f t="shared" si="1"/>
        <v>1.076600616885139</v>
      </c>
    </row>
    <row r="104" spans="1:3" x14ac:dyDescent="0.2">
      <c r="A104">
        <v>111.25</v>
      </c>
      <c r="B104" s="297">
        <v>103.51408781373092</v>
      </c>
      <c r="C104">
        <f t="shared" si="1"/>
        <v>0.93046371068522182</v>
      </c>
    </row>
    <row r="105" spans="1:3" x14ac:dyDescent="0.2">
      <c r="A105">
        <v>127.03</v>
      </c>
      <c r="B105" s="297">
        <v>138.98696810211504</v>
      </c>
      <c r="C105">
        <f t="shared" si="1"/>
        <v>1.0941271203819181</v>
      </c>
    </row>
    <row r="106" spans="1:3" x14ac:dyDescent="0.2">
      <c r="A106">
        <v>112.69</v>
      </c>
      <c r="B106" s="297">
        <v>122.8932850847508</v>
      </c>
      <c r="C106">
        <f t="shared" si="1"/>
        <v>1.0905429504370467</v>
      </c>
    </row>
    <row r="107" spans="1:3" x14ac:dyDescent="0.2">
      <c r="A107">
        <v>95.73</v>
      </c>
      <c r="B107" s="297">
        <v>89.127002269163327</v>
      </c>
      <c r="C107">
        <f t="shared" si="1"/>
        <v>0.93102478083321139</v>
      </c>
    </row>
    <row r="108" spans="1:3" x14ac:dyDescent="0.2">
      <c r="A108">
        <v>93.54</v>
      </c>
      <c r="B108" s="297">
        <v>97.835696165656529</v>
      </c>
      <c r="C108">
        <f t="shared" si="1"/>
        <v>1.0459236280271169</v>
      </c>
    </row>
    <row r="109" spans="1:3" x14ac:dyDescent="0.2">
      <c r="A109">
        <v>75.12</v>
      </c>
      <c r="B109" s="297">
        <v>82.227702972856605</v>
      </c>
      <c r="C109">
        <f t="shared" si="1"/>
        <v>1.0946179841967065</v>
      </c>
    </row>
    <row r="110" spans="1:3" x14ac:dyDescent="0.2">
      <c r="A110">
        <v>95.48</v>
      </c>
      <c r="B110" s="297">
        <v>88.881219316377226</v>
      </c>
      <c r="C110">
        <f t="shared" si="1"/>
        <v>0.93088834642204887</v>
      </c>
    </row>
    <row r="111" spans="1:3" x14ac:dyDescent="0.2">
      <c r="A111">
        <v>99.4</v>
      </c>
      <c r="B111" s="297">
        <v>103.69875464282214</v>
      </c>
      <c r="C111">
        <f t="shared" si="1"/>
        <v>1.0432470285998203</v>
      </c>
    </row>
    <row r="112" spans="1:3" x14ac:dyDescent="0.2">
      <c r="A112">
        <v>75</v>
      </c>
      <c r="B112" s="297">
        <v>82.103121615075793</v>
      </c>
      <c r="C112">
        <f t="shared" si="1"/>
        <v>1.0947082882010106</v>
      </c>
    </row>
    <row r="113" spans="1:3" x14ac:dyDescent="0.2">
      <c r="A113">
        <v>111.25</v>
      </c>
      <c r="B113" s="297">
        <v>103.51419212463182</v>
      </c>
      <c r="C113">
        <f t="shared" si="1"/>
        <v>0.93046464831129727</v>
      </c>
    </row>
    <row r="114" spans="1:3" x14ac:dyDescent="0.2">
      <c r="A114">
        <v>121.91</v>
      </c>
      <c r="B114" s="297">
        <v>133.86523334687902</v>
      </c>
      <c r="C114">
        <f t="shared" si="1"/>
        <v>1.0980660597726111</v>
      </c>
    </row>
    <row r="115" spans="1:3" x14ac:dyDescent="0.2">
      <c r="A115">
        <v>93.24</v>
      </c>
      <c r="B115" s="297">
        <v>103.4389720677077</v>
      </c>
      <c r="C115">
        <f t="shared" si="1"/>
        <v>1.1093840848102499</v>
      </c>
    </row>
    <row r="116" spans="1:3" x14ac:dyDescent="0.2">
      <c r="A116">
        <v>95.48</v>
      </c>
      <c r="B116" s="297">
        <v>88.882596814259728</v>
      </c>
      <c r="C116">
        <f t="shared" si="1"/>
        <v>0.93090277350502437</v>
      </c>
    </row>
    <row r="117" spans="1:3" x14ac:dyDescent="0.2">
      <c r="A117">
        <v>90.96</v>
      </c>
      <c r="B117" s="297">
        <v>95.260103101753927</v>
      </c>
      <c r="C117">
        <f t="shared" si="1"/>
        <v>1.04727466030952</v>
      </c>
    </row>
    <row r="118" spans="1:3" x14ac:dyDescent="0.2">
      <c r="A118">
        <v>67.83</v>
      </c>
      <c r="B118" s="297">
        <v>74.937303477187299</v>
      </c>
      <c r="C118">
        <f t="shared" si="1"/>
        <v>1.1047811215861316</v>
      </c>
    </row>
    <row r="119" spans="1:3" x14ac:dyDescent="0.2">
      <c r="A119">
        <v>89.42</v>
      </c>
      <c r="B119" s="297">
        <v>83.250917861829521</v>
      </c>
      <c r="C119">
        <f t="shared" si="1"/>
        <v>0.93101004095090045</v>
      </c>
    </row>
    <row r="120" spans="1:3" x14ac:dyDescent="0.2">
      <c r="A120">
        <v>80.25</v>
      </c>
      <c r="B120" s="297">
        <v>80.260075158346183</v>
      </c>
      <c r="C120">
        <f t="shared" si="1"/>
        <v>1.0001255471445007</v>
      </c>
    </row>
    <row r="121" spans="1:3" x14ac:dyDescent="0.2">
      <c r="A121">
        <v>52.94</v>
      </c>
      <c r="B121" s="297">
        <v>55.684502010959797</v>
      </c>
      <c r="C121">
        <f t="shared" si="1"/>
        <v>1.0518417455791425</v>
      </c>
    </row>
    <row r="122" spans="1:3" x14ac:dyDescent="0.2">
      <c r="A122">
        <v>95.73</v>
      </c>
      <c r="B122" s="297">
        <v>89.127002269163327</v>
      </c>
      <c r="C122">
        <f t="shared" si="1"/>
        <v>0.93102478083321139</v>
      </c>
    </row>
    <row r="123" spans="1:3" x14ac:dyDescent="0.2">
      <c r="A123">
        <v>93.81</v>
      </c>
      <c r="B123" s="297">
        <v>98.104635490835932</v>
      </c>
      <c r="C123">
        <f t="shared" si="1"/>
        <v>1.0457801459421803</v>
      </c>
    </row>
    <row r="124" spans="1:3" x14ac:dyDescent="0.2">
      <c r="A124">
        <v>70.569999999999993</v>
      </c>
      <c r="B124" s="297">
        <v>77.677240329368303</v>
      </c>
      <c r="C124">
        <f t="shared" si="1"/>
        <v>1.1007119219125452</v>
      </c>
    </row>
    <row r="125" spans="1:3" x14ac:dyDescent="0.2">
      <c r="A125">
        <v>95.96</v>
      </c>
      <c r="B125" s="297">
        <v>89.363550748727334</v>
      </c>
      <c r="C125">
        <f t="shared" si="1"/>
        <v>0.93125834460949708</v>
      </c>
    </row>
    <row r="126" spans="1:3" x14ac:dyDescent="0.2">
      <c r="A126">
        <v>93.63</v>
      </c>
      <c r="B126" s="297">
        <v>97.930110095862233</v>
      </c>
      <c r="C126">
        <f t="shared" si="1"/>
        <v>1.0459266271052252</v>
      </c>
    </row>
    <row r="127" spans="1:3" x14ac:dyDescent="0.2">
      <c r="A127">
        <v>67.67</v>
      </c>
      <c r="B127" s="297">
        <v>74.777071293581713</v>
      </c>
      <c r="C127">
        <f t="shared" si="1"/>
        <v>1.1050254365831493</v>
      </c>
    </row>
    <row r="128" spans="1:3" x14ac:dyDescent="0.2">
      <c r="A128">
        <v>95.75</v>
      </c>
      <c r="B128" s="297">
        <v>89.148682042377729</v>
      </c>
      <c r="C128">
        <f t="shared" si="1"/>
        <v>0.93105673151308332</v>
      </c>
    </row>
    <row r="129" spans="1:3" x14ac:dyDescent="0.2">
      <c r="A129">
        <v>92.03</v>
      </c>
      <c r="B129" s="297">
        <v>96.323354290883728</v>
      </c>
      <c r="C129">
        <f t="shared" si="1"/>
        <v>1.0466516819611402</v>
      </c>
    </row>
    <row r="130" spans="1:3" x14ac:dyDescent="0.2">
      <c r="A130">
        <v>67.63</v>
      </c>
      <c r="B130" s="297">
        <v>74.736936523975004</v>
      </c>
      <c r="C130">
        <f t="shared" si="1"/>
        <v>1.1050855614960078</v>
      </c>
    </row>
    <row r="131" spans="1:3" x14ac:dyDescent="0.2">
      <c r="A131">
        <v>95.48</v>
      </c>
      <c r="B131" s="297">
        <v>88.882414967740331</v>
      </c>
      <c r="C131">
        <f t="shared" ref="C131:C193" si="2">B131/A131</f>
        <v>0.93090086895412993</v>
      </c>
    </row>
    <row r="132" spans="1:3" x14ac:dyDescent="0.2">
      <c r="A132">
        <v>100.31</v>
      </c>
      <c r="B132" s="297">
        <v>104.60631768527823</v>
      </c>
      <c r="C132">
        <f t="shared" si="2"/>
        <v>1.0428304026047077</v>
      </c>
    </row>
    <row r="133" spans="1:3" x14ac:dyDescent="0.2">
      <c r="A133">
        <v>93.1</v>
      </c>
      <c r="B133" s="297">
        <v>100.21026163427901</v>
      </c>
      <c r="C133">
        <f t="shared" si="2"/>
        <v>1.0763723054165308</v>
      </c>
    </row>
    <row r="134" spans="1:3" x14ac:dyDescent="0.2">
      <c r="A134">
        <v>89.42</v>
      </c>
      <c r="B134" s="297">
        <v>83.250908294488113</v>
      </c>
      <c r="C134">
        <f t="shared" si="2"/>
        <v>0.93100993395759457</v>
      </c>
    </row>
    <row r="135" spans="1:3" x14ac:dyDescent="0.2">
      <c r="A135">
        <v>86.84</v>
      </c>
      <c r="B135" s="297">
        <v>86.84590095692738</v>
      </c>
      <c r="C135">
        <f t="shared" si="2"/>
        <v>1.0000679520604259</v>
      </c>
    </row>
    <row r="136" spans="1:3" x14ac:dyDescent="0.2">
      <c r="A136">
        <v>77.27</v>
      </c>
      <c r="B136" s="297">
        <v>80.009301155208789</v>
      </c>
      <c r="C136">
        <f t="shared" si="2"/>
        <v>1.0354510308684974</v>
      </c>
    </row>
    <row r="137" spans="1:3" x14ac:dyDescent="0.2">
      <c r="A137">
        <v>95.73</v>
      </c>
      <c r="B137" s="297">
        <v>89.126938592587436</v>
      </c>
      <c r="C137">
        <f t="shared" si="2"/>
        <v>0.93102411566475951</v>
      </c>
    </row>
    <row r="138" spans="1:3" x14ac:dyDescent="0.2">
      <c r="A138">
        <v>99.18</v>
      </c>
      <c r="B138" s="297">
        <v>103.47715529757413</v>
      </c>
      <c r="C138">
        <f t="shared" si="2"/>
        <v>1.0433268330063936</v>
      </c>
    </row>
    <row r="139" spans="1:3" x14ac:dyDescent="0.2">
      <c r="A139">
        <v>92.75</v>
      </c>
      <c r="B139" s="297">
        <v>99.8586806011281</v>
      </c>
      <c r="C139">
        <f t="shared" si="2"/>
        <v>1.0766434566159364</v>
      </c>
    </row>
    <row r="140" spans="1:3" x14ac:dyDescent="0.2">
      <c r="A140">
        <v>95.96</v>
      </c>
      <c r="B140" s="297">
        <v>89.363806365460235</v>
      </c>
      <c r="C140">
        <f t="shared" si="2"/>
        <v>0.93126100839370818</v>
      </c>
    </row>
    <row r="141" spans="1:3" x14ac:dyDescent="0.2">
      <c r="A141">
        <v>99.54</v>
      </c>
      <c r="B141" s="297">
        <v>103.83916270504203</v>
      </c>
      <c r="C141">
        <f t="shared" si="2"/>
        <v>1.0431903024416518</v>
      </c>
    </row>
    <row r="142" spans="1:3" x14ac:dyDescent="0.2">
      <c r="A142">
        <v>91.79</v>
      </c>
      <c r="B142" s="297">
        <v>98.90169183870421</v>
      </c>
      <c r="C142">
        <f t="shared" si="2"/>
        <v>1.077477849860597</v>
      </c>
    </row>
    <row r="143" spans="1:3" x14ac:dyDescent="0.2">
      <c r="A143">
        <v>95.75</v>
      </c>
      <c r="B143" s="297">
        <v>89.148647549783135</v>
      </c>
      <c r="C143">
        <f t="shared" si="2"/>
        <v>0.9310563712771085</v>
      </c>
    </row>
    <row r="144" spans="1:3" x14ac:dyDescent="0.2">
      <c r="A144">
        <v>98.29</v>
      </c>
      <c r="B144" s="297">
        <v>102.59014606752133</v>
      </c>
      <c r="C144">
        <f t="shared" si="2"/>
        <v>1.043749578466999</v>
      </c>
    </row>
    <row r="145" spans="1:3" x14ac:dyDescent="0.2">
      <c r="A145">
        <v>91.54</v>
      </c>
      <c r="B145" s="297">
        <v>98.6518021036037</v>
      </c>
      <c r="C145">
        <f t="shared" si="2"/>
        <v>1.0776906500284433</v>
      </c>
    </row>
    <row r="146" spans="1:3" x14ac:dyDescent="0.2">
      <c r="A146">
        <v>95.73</v>
      </c>
      <c r="B146" s="297">
        <v>89.126938592587436</v>
      </c>
      <c r="C146">
        <f t="shared" si="2"/>
        <v>0.93102411566475951</v>
      </c>
    </row>
    <row r="147" spans="1:3" x14ac:dyDescent="0.2">
      <c r="A147">
        <v>100.36</v>
      </c>
      <c r="B147" s="297">
        <v>104.66222437890393</v>
      </c>
      <c r="C147">
        <f t="shared" si="2"/>
        <v>1.0428679192796326</v>
      </c>
    </row>
    <row r="148" spans="1:3" x14ac:dyDescent="0.2">
      <c r="A148">
        <v>92.59</v>
      </c>
      <c r="B148" s="297">
        <v>99.694735798179607</v>
      </c>
      <c r="C148">
        <f t="shared" si="2"/>
        <v>1.0767332951526041</v>
      </c>
    </row>
    <row r="149" spans="1:3" x14ac:dyDescent="0.2">
      <c r="A149">
        <v>95.48</v>
      </c>
      <c r="B149" s="297">
        <v>88.881200869680029</v>
      </c>
      <c r="C149">
        <f t="shared" si="2"/>
        <v>0.93088815322245522</v>
      </c>
    </row>
    <row r="150" spans="1:3" x14ac:dyDescent="0.2">
      <c r="A150">
        <v>100.72</v>
      </c>
      <c r="B150" s="297">
        <v>105.01486773730733</v>
      </c>
      <c r="C150">
        <f t="shared" si="2"/>
        <v>1.0426416574395088</v>
      </c>
    </row>
    <row r="151" spans="1:3" x14ac:dyDescent="0.2">
      <c r="A151">
        <v>94.21</v>
      </c>
      <c r="B151" s="297">
        <v>101.3193601691338</v>
      </c>
      <c r="C151">
        <f t="shared" si="2"/>
        <v>1.0754629038226706</v>
      </c>
    </row>
    <row r="152" spans="1:3" x14ac:dyDescent="0.2">
      <c r="A152">
        <v>111.25</v>
      </c>
      <c r="B152" s="297">
        <v>103.51408763801771</v>
      </c>
      <c r="C152">
        <f t="shared" si="2"/>
        <v>0.93046370910577725</v>
      </c>
    </row>
    <row r="153" spans="1:3" x14ac:dyDescent="0.2">
      <c r="A153">
        <v>128.56</v>
      </c>
      <c r="B153" s="297">
        <v>140.51363987309134</v>
      </c>
      <c r="C153">
        <f t="shared" si="2"/>
        <v>1.0929810195480034</v>
      </c>
    </row>
    <row r="154" spans="1:3" x14ac:dyDescent="0.2">
      <c r="A154">
        <v>113.93</v>
      </c>
      <c r="B154" s="297">
        <v>124.1335417000134</v>
      </c>
      <c r="C154">
        <f t="shared" si="2"/>
        <v>1.0895597445801228</v>
      </c>
    </row>
    <row r="155" spans="1:3" x14ac:dyDescent="0.2">
      <c r="A155">
        <v>95.73</v>
      </c>
      <c r="B155" s="297">
        <v>89.127002269163327</v>
      </c>
      <c r="C155">
        <f t="shared" si="2"/>
        <v>0.93102478083321139</v>
      </c>
    </row>
    <row r="156" spans="1:3" x14ac:dyDescent="0.2">
      <c r="A156">
        <v>100.36</v>
      </c>
      <c r="B156" s="297">
        <v>104.66226165715823</v>
      </c>
      <c r="C156">
        <f t="shared" si="2"/>
        <v>1.0428682907249724</v>
      </c>
    </row>
    <row r="157" spans="1:3" x14ac:dyDescent="0.2">
      <c r="A157">
        <v>88.9</v>
      </c>
      <c r="B157" s="297">
        <v>96.008556517380597</v>
      </c>
      <c r="C157">
        <f t="shared" si="2"/>
        <v>1.0799612656623239</v>
      </c>
    </row>
    <row r="158" spans="1:3" x14ac:dyDescent="0.2">
      <c r="A158">
        <v>95.48</v>
      </c>
      <c r="B158" s="297">
        <v>88.881219316377226</v>
      </c>
      <c r="C158">
        <f t="shared" si="2"/>
        <v>0.93088834642204887</v>
      </c>
    </row>
    <row r="159" spans="1:3" x14ac:dyDescent="0.2">
      <c r="A159">
        <v>100.72</v>
      </c>
      <c r="B159" s="297">
        <v>105.01460597075683</v>
      </c>
      <c r="C159">
        <f t="shared" si="2"/>
        <v>1.0426390584864658</v>
      </c>
    </row>
    <row r="160" spans="1:3" x14ac:dyDescent="0.2">
      <c r="A160">
        <v>88.38</v>
      </c>
      <c r="B160" s="297">
        <v>95.492304697906306</v>
      </c>
      <c r="C160">
        <f t="shared" si="2"/>
        <v>1.0804741423162063</v>
      </c>
    </row>
    <row r="161" spans="1:3" x14ac:dyDescent="0.2">
      <c r="A161">
        <v>111.25</v>
      </c>
      <c r="B161" s="297">
        <v>103.51419212463182</v>
      </c>
      <c r="C161">
        <f t="shared" si="2"/>
        <v>0.93046464831129727</v>
      </c>
    </row>
    <row r="162" spans="1:3" x14ac:dyDescent="0.2">
      <c r="A162">
        <v>128.56</v>
      </c>
      <c r="B162" s="297">
        <v>140.51397556831293</v>
      </c>
      <c r="C162">
        <f t="shared" si="2"/>
        <v>1.0929836307429444</v>
      </c>
    </row>
    <row r="163" spans="1:3" x14ac:dyDescent="0.2">
      <c r="A163">
        <v>106.42</v>
      </c>
      <c r="B163" s="297">
        <v>116.61898865108489</v>
      </c>
      <c r="C163">
        <f t="shared" si="2"/>
        <v>1.0958371419947839</v>
      </c>
    </row>
    <row r="164" spans="1:3" x14ac:dyDescent="0.2">
      <c r="A164">
        <v>95.48</v>
      </c>
      <c r="B164" s="297">
        <v>88.882596814259728</v>
      </c>
      <c r="C164">
        <f t="shared" si="2"/>
        <v>0.93090277350502437</v>
      </c>
    </row>
    <row r="165" spans="1:3" x14ac:dyDescent="0.2">
      <c r="A165">
        <v>101.8</v>
      </c>
      <c r="B165" s="297">
        <v>106.10100542358133</v>
      </c>
      <c r="C165">
        <f t="shared" si="2"/>
        <v>1.0422495621176948</v>
      </c>
    </row>
    <row r="166" spans="1:3" x14ac:dyDescent="0.2">
      <c r="A166">
        <v>88.17</v>
      </c>
      <c r="B166" s="297">
        <v>95.276392278363701</v>
      </c>
      <c r="C166">
        <f t="shared" si="2"/>
        <v>1.0805987555672416</v>
      </c>
    </row>
    <row r="167" spans="1:3" x14ac:dyDescent="0.2">
      <c r="A167">
        <v>89.42</v>
      </c>
      <c r="B167" s="297">
        <v>83.250917861829521</v>
      </c>
      <c r="C167">
        <f t="shared" si="2"/>
        <v>0.93101004095090045</v>
      </c>
    </row>
    <row r="168" spans="1:3" x14ac:dyDescent="0.2">
      <c r="A168">
        <v>87.72</v>
      </c>
      <c r="B168" s="297">
        <v>87.722638411760087</v>
      </c>
      <c r="C168">
        <f t="shared" si="2"/>
        <v>1.0000300776534439</v>
      </c>
    </row>
    <row r="169" spans="1:3" x14ac:dyDescent="0.2">
      <c r="A169">
        <v>74.98</v>
      </c>
      <c r="B169" s="297">
        <v>77.718386190552295</v>
      </c>
      <c r="C169">
        <f t="shared" si="2"/>
        <v>1.0365215549553519</v>
      </c>
    </row>
    <row r="170" spans="1:3" x14ac:dyDescent="0.2">
      <c r="A170">
        <v>95.73</v>
      </c>
      <c r="B170" s="297">
        <v>89.127002269163327</v>
      </c>
      <c r="C170">
        <f t="shared" si="2"/>
        <v>0.93102478083321139</v>
      </c>
    </row>
    <row r="171" spans="1:3" x14ac:dyDescent="0.2">
      <c r="A171">
        <v>100.7</v>
      </c>
      <c r="B171" s="297">
        <v>104.99849855778723</v>
      </c>
      <c r="C171">
        <f t="shared" si="2"/>
        <v>1.0426861823017599</v>
      </c>
    </row>
    <row r="172" spans="1:3" x14ac:dyDescent="0.2">
      <c r="A172">
        <v>88.49</v>
      </c>
      <c r="B172" s="297">
        <v>95.593916387141704</v>
      </c>
      <c r="C172">
        <f t="shared" si="2"/>
        <v>1.0802793127714059</v>
      </c>
    </row>
    <row r="173" spans="1:3" x14ac:dyDescent="0.2">
      <c r="A173">
        <v>95.96</v>
      </c>
      <c r="B173" s="297">
        <v>89.363550748727334</v>
      </c>
      <c r="C173">
        <f t="shared" si="2"/>
        <v>0.93125834460949708</v>
      </c>
    </row>
    <row r="174" spans="1:3" x14ac:dyDescent="0.2">
      <c r="A174">
        <v>100.63</v>
      </c>
      <c r="B174" s="297">
        <v>104.93153711058783</v>
      </c>
      <c r="C174">
        <f t="shared" si="2"/>
        <v>1.0427460708594636</v>
      </c>
    </row>
    <row r="175" spans="1:3" x14ac:dyDescent="0.2">
      <c r="A175">
        <v>87.74</v>
      </c>
      <c r="B175" s="297">
        <v>94.848364694805696</v>
      </c>
      <c r="C175">
        <f t="shared" si="2"/>
        <v>1.0810162376886905</v>
      </c>
    </row>
    <row r="176" spans="1:3" x14ac:dyDescent="0.2">
      <c r="A176">
        <v>95.75</v>
      </c>
      <c r="B176" s="297">
        <v>89.148682042377729</v>
      </c>
      <c r="C176">
        <f t="shared" si="2"/>
        <v>0.93105673151308332</v>
      </c>
    </row>
    <row r="177" spans="1:3" x14ac:dyDescent="0.2">
      <c r="A177">
        <v>99.11</v>
      </c>
      <c r="B177" s="297">
        <v>103.40902424393953</v>
      </c>
      <c r="C177">
        <f t="shared" si="2"/>
        <v>1.0433762914331504</v>
      </c>
    </row>
    <row r="178" spans="1:3" x14ac:dyDescent="0.2">
      <c r="A178">
        <v>87.64</v>
      </c>
      <c r="B178" s="297">
        <v>94.749190685291609</v>
      </c>
      <c r="C178">
        <f t="shared" si="2"/>
        <v>1.0811181045788636</v>
      </c>
    </row>
    <row r="179" spans="1:3" x14ac:dyDescent="0.2">
      <c r="A179">
        <v>95.48</v>
      </c>
      <c r="B179" s="297">
        <v>88.882414967740331</v>
      </c>
      <c r="C179">
        <f t="shared" si="2"/>
        <v>0.93090086895412993</v>
      </c>
    </row>
    <row r="180" spans="1:3" x14ac:dyDescent="0.2">
      <c r="A180">
        <v>101.8</v>
      </c>
      <c r="B180" s="297">
        <v>106.10115241615904</v>
      </c>
      <c r="C180">
        <f t="shared" si="2"/>
        <v>1.0422510060526429</v>
      </c>
    </row>
    <row r="181" spans="1:3" x14ac:dyDescent="0.2">
      <c r="A181">
        <v>94.03</v>
      </c>
      <c r="B181" s="297">
        <v>101.13271969459871</v>
      </c>
      <c r="C181">
        <f t="shared" si="2"/>
        <v>1.075536740344557</v>
      </c>
    </row>
    <row r="182" spans="1:3" x14ac:dyDescent="0.2">
      <c r="A182">
        <v>89.42</v>
      </c>
      <c r="B182" s="297">
        <v>83.250896197224009</v>
      </c>
      <c r="C182">
        <f t="shared" si="2"/>
        <v>0.93100979867170663</v>
      </c>
    </row>
    <row r="183" spans="1:3" x14ac:dyDescent="0.2">
      <c r="A183">
        <v>87.72</v>
      </c>
      <c r="B183" s="297">
        <v>87.722623608447392</v>
      </c>
      <c r="C183">
        <f t="shared" si="2"/>
        <v>1.000029908897029</v>
      </c>
    </row>
    <row r="184" spans="1:3" x14ac:dyDescent="0.2">
      <c r="A184">
        <v>77.73</v>
      </c>
      <c r="B184" s="297">
        <v>80.466749206130089</v>
      </c>
      <c r="C184">
        <f t="shared" si="2"/>
        <v>1.035208403526696</v>
      </c>
    </row>
    <row r="185" spans="1:3" x14ac:dyDescent="0.2">
      <c r="A185">
        <v>95.73</v>
      </c>
      <c r="B185" s="297">
        <v>89.126938592587436</v>
      </c>
      <c r="C185">
        <f t="shared" si="2"/>
        <v>0.93102411566475951</v>
      </c>
    </row>
    <row r="186" spans="1:3" x14ac:dyDescent="0.2">
      <c r="A186">
        <v>100.7</v>
      </c>
      <c r="B186" s="297">
        <v>104.99852926686553</v>
      </c>
      <c r="C186">
        <f t="shared" si="2"/>
        <v>1.0426864872578503</v>
      </c>
    </row>
    <row r="187" spans="1:3" x14ac:dyDescent="0.2">
      <c r="A187">
        <v>93.9</v>
      </c>
      <c r="B187" s="297">
        <v>101.00882722882081</v>
      </c>
      <c r="C187">
        <f t="shared" si="2"/>
        <v>1.0757063602643322</v>
      </c>
    </row>
    <row r="188" spans="1:3" x14ac:dyDescent="0.2">
      <c r="A188">
        <v>95.96</v>
      </c>
      <c r="B188" s="297">
        <v>89.363806365460235</v>
      </c>
      <c r="C188">
        <f t="shared" si="2"/>
        <v>0.93126100839370818</v>
      </c>
    </row>
    <row r="189" spans="1:3" x14ac:dyDescent="0.2">
      <c r="A189">
        <v>100.63</v>
      </c>
      <c r="B189" s="297">
        <v>104.93166769485202</v>
      </c>
      <c r="C189">
        <f t="shared" si="2"/>
        <v>1.0427473685268014</v>
      </c>
    </row>
    <row r="190" spans="1:3" x14ac:dyDescent="0.2">
      <c r="A190">
        <v>92.87</v>
      </c>
      <c r="B190" s="297">
        <v>99.976122409557505</v>
      </c>
      <c r="C190">
        <f t="shared" si="2"/>
        <v>1.0765168774583558</v>
      </c>
    </row>
    <row r="191" spans="1:3" x14ac:dyDescent="0.2">
      <c r="A191">
        <v>95.75</v>
      </c>
      <c r="B191" s="297">
        <v>89.148647549783135</v>
      </c>
      <c r="C191">
        <f t="shared" si="2"/>
        <v>0.9310563712771085</v>
      </c>
    </row>
    <row r="192" spans="1:3" x14ac:dyDescent="0.2">
      <c r="A192">
        <v>99.11</v>
      </c>
      <c r="B192" s="297">
        <v>103.40911157209902</v>
      </c>
      <c r="C192">
        <f t="shared" si="2"/>
        <v>1.0433771725567453</v>
      </c>
    </row>
    <row r="193" spans="1:3" x14ac:dyDescent="0.2">
      <c r="A193">
        <v>91.97</v>
      </c>
      <c r="B193" s="297">
        <v>99.076238321299911</v>
      </c>
      <c r="C193">
        <f t="shared" si="2"/>
        <v>1.0772669166173743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HighDG</vt:lpstr>
      <vt:lpstr>NormalCase</vt:lpstr>
      <vt:lpstr>SAM Assumption</vt:lpstr>
      <vt:lpstr>Installed</vt:lpstr>
      <vt:lpstr>Pipeline</vt:lpstr>
      <vt:lpstr>Installed TI Project Type</vt:lpstr>
      <vt:lpstr>Pipeline TI Project Type</vt:lpstr>
      <vt:lpstr>SREC II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 Xu</dc:creator>
  <cp:lastModifiedBy>Qingyu Xu</cp:lastModifiedBy>
  <dcterms:created xsi:type="dcterms:W3CDTF">2021-05-27T21:38:41Z</dcterms:created>
  <dcterms:modified xsi:type="dcterms:W3CDTF">2022-01-18T22:55:24Z</dcterms:modified>
</cp:coreProperties>
</file>