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xu/Dropbox (Princeton)/PJM/Project_GenX_OutputProcessing/data/"/>
    </mc:Choice>
  </mc:AlternateContent>
  <xr:revisionPtr revIDLastSave="0" documentId="13_ncr:1_{3DDA2DD1-27C4-1541-B120-82BED15F1493}" xr6:coauthVersionLast="45" xr6:coauthVersionMax="45" xr10:uidLastSave="{00000000-0000-0000-0000-000000000000}"/>
  <bookViews>
    <workbookView xWindow="-5020" yWindow="-21100" windowWidth="38400" windowHeight="21100" activeTab="1" xr2:uid="{649F0D6B-A6EC-EE41-BA3E-4D3214673210}"/>
  </bookViews>
  <sheets>
    <sheet name="HighDG" sheetId="1" r:id="rId1"/>
    <sheet name="NormalCase" sheetId="3" r:id="rId2"/>
    <sheet name="SAM Assump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3" i="3" l="1"/>
  <c r="AH27" i="3" s="1"/>
  <c r="AU13" i="3"/>
  <c r="AK13" i="3"/>
  <c r="AK14" i="3" s="1"/>
  <c r="AK8" i="3"/>
  <c r="M61" i="3"/>
  <c r="L61" i="3"/>
  <c r="K61" i="3"/>
  <c r="J61" i="3"/>
  <c r="I61" i="3"/>
  <c r="H61" i="3"/>
  <c r="M59" i="3"/>
  <c r="L59" i="3"/>
  <c r="K59" i="3"/>
  <c r="J59" i="3"/>
  <c r="I59" i="3"/>
  <c r="H59" i="3"/>
  <c r="P57" i="3"/>
  <c r="O57" i="3"/>
  <c r="P56" i="3"/>
  <c r="O56" i="3"/>
  <c r="P55" i="3"/>
  <c r="O55" i="3"/>
  <c r="P54" i="3"/>
  <c r="O54" i="3"/>
  <c r="P53" i="3"/>
  <c r="O53" i="3"/>
  <c r="P52" i="3"/>
  <c r="M34" i="3" s="1"/>
  <c r="O52" i="3"/>
  <c r="K35" i="3"/>
  <c r="M35" i="3" s="1"/>
  <c r="J35" i="3"/>
  <c r="J47" i="3" s="1"/>
  <c r="AR34" i="3" s="1"/>
  <c r="I35" i="3"/>
  <c r="I41" i="3" s="1"/>
  <c r="AQ27" i="3" s="1"/>
  <c r="H35" i="3"/>
  <c r="H41" i="3" s="1"/>
  <c r="AP27" i="3" s="1"/>
  <c r="AH34" i="3"/>
  <c r="AG34" i="3"/>
  <c r="AF34" i="3"/>
  <c r="K34" i="3"/>
  <c r="K46" i="3" s="1"/>
  <c r="AS33" i="3" s="1"/>
  <c r="J34" i="3"/>
  <c r="J46" i="3" s="1"/>
  <c r="AR33" i="3" s="1"/>
  <c r="I34" i="3"/>
  <c r="H34" i="3"/>
  <c r="AH33" i="3"/>
  <c r="AG33" i="3"/>
  <c r="AF33" i="3"/>
  <c r="AI33" i="3" s="1"/>
  <c r="M33" i="3"/>
  <c r="M39" i="3" s="1"/>
  <c r="K33" i="3"/>
  <c r="J33" i="3"/>
  <c r="J39" i="3" s="1"/>
  <c r="I33" i="3"/>
  <c r="H33" i="3"/>
  <c r="AH32" i="3"/>
  <c r="AG32" i="3"/>
  <c r="AF32" i="3"/>
  <c r="AI32" i="3" s="1"/>
  <c r="M32" i="3"/>
  <c r="K32" i="3"/>
  <c r="J32" i="3"/>
  <c r="J38" i="3" s="1"/>
  <c r="AR25" i="3" s="1"/>
  <c r="I32" i="3"/>
  <c r="I38" i="3" s="1"/>
  <c r="H32" i="3"/>
  <c r="H38" i="3" s="1"/>
  <c r="AH31" i="3"/>
  <c r="AG31" i="3"/>
  <c r="AF31" i="3"/>
  <c r="AF35" i="3" s="1"/>
  <c r="M31" i="3"/>
  <c r="L31" i="3"/>
  <c r="K31" i="3"/>
  <c r="K43" i="3" s="1"/>
  <c r="J31" i="3"/>
  <c r="J43" i="3" s="1"/>
  <c r="I31" i="3"/>
  <c r="I37" i="3" s="1"/>
  <c r="H31" i="3"/>
  <c r="K30" i="3"/>
  <c r="J30" i="3"/>
  <c r="I30" i="3"/>
  <c r="H30" i="3"/>
  <c r="AF27" i="3"/>
  <c r="AI27" i="3" s="1"/>
  <c r="AH26" i="3"/>
  <c r="AG26" i="3"/>
  <c r="AF26" i="3"/>
  <c r="AI26" i="3" s="1"/>
  <c r="AH25" i="3"/>
  <c r="AG25" i="3"/>
  <c r="AF25" i="3"/>
  <c r="AH24" i="3"/>
  <c r="AG24" i="3"/>
  <c r="AF24" i="3"/>
  <c r="AS20" i="3"/>
  <c r="AR20" i="3"/>
  <c r="AQ20" i="3"/>
  <c r="AP20" i="3"/>
  <c r="AH20" i="3"/>
  <c r="AX20" i="3" s="1"/>
  <c r="AF20" i="3"/>
  <c r="AV20" i="3" s="1"/>
  <c r="AS19" i="3"/>
  <c r="AR19" i="3"/>
  <c r="AQ19" i="3"/>
  <c r="AP19" i="3"/>
  <c r="AH19" i="3"/>
  <c r="AG19" i="3"/>
  <c r="AF19" i="3"/>
  <c r="AV19" i="3" s="1"/>
  <c r="AU18" i="3"/>
  <c r="AS18" i="3"/>
  <c r="AR18" i="3"/>
  <c r="AQ18" i="3"/>
  <c r="AP18" i="3"/>
  <c r="AH18" i="3"/>
  <c r="AG18" i="3"/>
  <c r="AF18" i="3"/>
  <c r="AI18" i="3" s="1"/>
  <c r="AS17" i="3"/>
  <c r="AR17" i="3"/>
  <c r="AQ17" i="3"/>
  <c r="AP17" i="3"/>
  <c r="AH17" i="3"/>
  <c r="AX17" i="3" s="1"/>
  <c r="AG17" i="3"/>
  <c r="AF17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M40" i="3" l="1"/>
  <c r="AU26" i="3" s="1"/>
  <c r="AU19" i="3"/>
  <c r="M43" i="3"/>
  <c r="M44" i="3"/>
  <c r="K38" i="3"/>
  <c r="J42" i="3"/>
  <c r="L43" i="3"/>
  <c r="K42" i="3"/>
  <c r="AS31" i="3" s="1"/>
  <c r="K39" i="3"/>
  <c r="H46" i="3"/>
  <c r="AP33" i="3" s="1"/>
  <c r="H42" i="3"/>
  <c r="H45" i="3"/>
  <c r="H37" i="3"/>
  <c r="I46" i="3"/>
  <c r="AQ33" i="3" s="1"/>
  <c r="AW33" i="3" s="1"/>
  <c r="I42" i="3"/>
  <c r="AR31" i="3"/>
  <c r="AX31" i="3" s="1"/>
  <c r="I45" i="3"/>
  <c r="AX34" i="3"/>
  <c r="AH35" i="3"/>
  <c r="AG20" i="3"/>
  <c r="AW20" i="3" s="1"/>
  <c r="AG27" i="3"/>
  <c r="AW27" i="3" s="1"/>
  <c r="AF21" i="3"/>
  <c r="AX25" i="3"/>
  <c r="AX33" i="3"/>
  <c r="AI17" i="3"/>
  <c r="BB17" i="3" s="1"/>
  <c r="AW18" i="3"/>
  <c r="BB18" i="3"/>
  <c r="AW17" i="3"/>
  <c r="AV17" i="3"/>
  <c r="AZ17" i="3" s="1"/>
  <c r="BA17" i="3" s="1"/>
  <c r="AX18" i="3"/>
  <c r="AX19" i="3"/>
  <c r="AJ32" i="3"/>
  <c r="AK32" i="3" s="1"/>
  <c r="AJ33" i="3"/>
  <c r="AK33" i="3" s="1"/>
  <c r="AG28" i="3"/>
  <c r="AF28" i="3"/>
  <c r="AH21" i="3"/>
  <c r="AH28" i="3"/>
  <c r="AJ27" i="3"/>
  <c r="AK27" i="3" s="1"/>
  <c r="AV33" i="3"/>
  <c r="AZ33" i="3" s="1"/>
  <c r="AZ20" i="3"/>
  <c r="BA20" i="3" s="1"/>
  <c r="AZ19" i="3"/>
  <c r="AV27" i="3"/>
  <c r="AJ18" i="3"/>
  <c r="AK18" i="3" s="1"/>
  <c r="BD18" i="3" s="1"/>
  <c r="BB33" i="3"/>
  <c r="M47" i="3"/>
  <c r="AU34" i="3" s="1"/>
  <c r="AU20" i="3"/>
  <c r="M41" i="3"/>
  <c r="AU27" i="3" s="1"/>
  <c r="AV18" i="3"/>
  <c r="AW19" i="3"/>
  <c r="L34" i="3"/>
  <c r="AG35" i="3"/>
  <c r="H36" i="3"/>
  <c r="AP24" i="3" s="1"/>
  <c r="J37" i="3"/>
  <c r="H40" i="3"/>
  <c r="AP26" i="3" s="1"/>
  <c r="AV26" i="3" s="1"/>
  <c r="J41" i="3"/>
  <c r="AR27" i="3" s="1"/>
  <c r="AX27" i="3" s="1"/>
  <c r="H44" i="3"/>
  <c r="AP32" i="3" s="1"/>
  <c r="AV32" i="3" s="1"/>
  <c r="J45" i="3"/>
  <c r="I36" i="3"/>
  <c r="AQ24" i="3" s="1"/>
  <c r="AW24" i="3" s="1"/>
  <c r="K37" i="3"/>
  <c r="M38" i="3"/>
  <c r="AU25" i="3" s="1"/>
  <c r="I40" i="3"/>
  <c r="AQ26" i="3" s="1"/>
  <c r="AW26" i="3" s="1"/>
  <c r="K41" i="3"/>
  <c r="AS27" i="3" s="1"/>
  <c r="BB27" i="3" s="1"/>
  <c r="I44" i="3"/>
  <c r="K45" i="3"/>
  <c r="M46" i="3"/>
  <c r="AU33" i="3" s="1"/>
  <c r="J36" i="3"/>
  <c r="L37" i="3"/>
  <c r="H39" i="3"/>
  <c r="AP25" i="3" s="1"/>
  <c r="AV25" i="3" s="1"/>
  <c r="J40" i="3"/>
  <c r="AR26" i="3" s="1"/>
  <c r="AX26" i="3" s="1"/>
  <c r="H43" i="3"/>
  <c r="AP31" i="3" s="1"/>
  <c r="AV31" i="3" s="1"/>
  <c r="J44" i="3"/>
  <c r="H47" i="3"/>
  <c r="AP34" i="3" s="1"/>
  <c r="AV34" i="3" s="1"/>
  <c r="L30" i="3"/>
  <c r="L33" i="3"/>
  <c r="K36" i="3"/>
  <c r="AS24" i="3" s="1"/>
  <c r="M37" i="3"/>
  <c r="I39" i="3"/>
  <c r="AQ25" i="3" s="1"/>
  <c r="AW25" i="3" s="1"/>
  <c r="K40" i="3"/>
  <c r="AS26" i="3" s="1"/>
  <c r="BB26" i="3" s="1"/>
  <c r="I43" i="3"/>
  <c r="K44" i="3"/>
  <c r="AS32" i="3" s="1"/>
  <c r="BB32" i="3" s="1"/>
  <c r="M45" i="3"/>
  <c r="I47" i="3"/>
  <c r="AQ34" i="3" s="1"/>
  <c r="AW34" i="3" s="1"/>
  <c r="AI25" i="3"/>
  <c r="AJ25" i="3" s="1"/>
  <c r="AK25" i="3" s="1"/>
  <c r="AJ26" i="3"/>
  <c r="AK26" i="3" s="1"/>
  <c r="M30" i="3"/>
  <c r="AI20" i="3"/>
  <c r="BB20" i="3" s="1"/>
  <c r="BF20" i="3" s="1"/>
  <c r="AI24" i="3"/>
  <c r="AI34" i="3"/>
  <c r="AJ34" i="3" s="1"/>
  <c r="AK34" i="3" s="1"/>
  <c r="L35" i="3"/>
  <c r="K47" i="3"/>
  <c r="AS34" i="3" s="1"/>
  <c r="AI19" i="3"/>
  <c r="BB19" i="3" s="1"/>
  <c r="BF19" i="3" s="1"/>
  <c r="AV24" i="3"/>
  <c r="AI31" i="3"/>
  <c r="L32" i="3"/>
  <c r="AH34" i="1"/>
  <c r="AG34" i="1"/>
  <c r="AF34" i="1"/>
  <c r="AI34" i="1" s="1"/>
  <c r="AJ34" i="1" s="1"/>
  <c r="AK34" i="1" s="1"/>
  <c r="AH33" i="1"/>
  <c r="AG33" i="1"/>
  <c r="AF33" i="1"/>
  <c r="AI33" i="1" s="1"/>
  <c r="AH32" i="1"/>
  <c r="AG32" i="1"/>
  <c r="AJ32" i="1" s="1"/>
  <c r="AF32" i="1"/>
  <c r="AI32" i="1" s="1"/>
  <c r="AH31" i="1"/>
  <c r="AG31" i="1"/>
  <c r="AF31" i="1"/>
  <c r="AI31" i="1" s="1"/>
  <c r="AH27" i="1"/>
  <c r="AG27" i="1"/>
  <c r="AF27" i="1"/>
  <c r="AI27" i="1" s="1"/>
  <c r="AJ27" i="1" s="1"/>
  <c r="AH26" i="1"/>
  <c r="AG26" i="1"/>
  <c r="AF26" i="1"/>
  <c r="AI26" i="1" s="1"/>
  <c r="AJ26" i="1" s="1"/>
  <c r="AK26" i="1" s="1"/>
  <c r="AH25" i="1"/>
  <c r="AG25" i="1"/>
  <c r="AF25" i="1"/>
  <c r="AI25" i="1" s="1"/>
  <c r="AH24" i="1"/>
  <c r="AG24" i="1"/>
  <c r="AF24" i="1"/>
  <c r="AI24" i="1" s="1"/>
  <c r="AH20" i="1"/>
  <c r="AH19" i="1"/>
  <c r="AH18" i="1"/>
  <c r="AH17" i="1"/>
  <c r="AG20" i="1"/>
  <c r="AG19" i="1"/>
  <c r="AG18" i="1"/>
  <c r="AG17" i="1"/>
  <c r="AF20" i="1"/>
  <c r="AF19" i="1"/>
  <c r="AF18" i="1"/>
  <c r="AF17" i="1"/>
  <c r="M61" i="1"/>
  <c r="L61" i="1"/>
  <c r="K61" i="1"/>
  <c r="J61" i="1"/>
  <c r="I61" i="1"/>
  <c r="P53" i="1"/>
  <c r="P54" i="1"/>
  <c r="P55" i="1"/>
  <c r="P56" i="1"/>
  <c r="P57" i="1"/>
  <c r="P52" i="1"/>
  <c r="O53" i="1"/>
  <c r="O54" i="1"/>
  <c r="O55" i="1"/>
  <c r="O56" i="1"/>
  <c r="O57" i="1"/>
  <c r="O52" i="1"/>
  <c r="M59" i="1"/>
  <c r="L59" i="1"/>
  <c r="K59" i="1"/>
  <c r="J59" i="1"/>
  <c r="I59" i="1"/>
  <c r="H61" i="1"/>
  <c r="H59" i="1"/>
  <c r="AS25" i="3" l="1"/>
  <c r="BB25" i="3" s="1"/>
  <c r="BF25" i="3" s="1"/>
  <c r="BD26" i="3"/>
  <c r="AU32" i="3"/>
  <c r="BD32" i="3" s="1"/>
  <c r="AQ31" i="3"/>
  <c r="AW31" i="3" s="1"/>
  <c r="AQ32" i="3"/>
  <c r="AW32" i="3" s="1"/>
  <c r="AR32" i="3"/>
  <c r="AX32" i="3" s="1"/>
  <c r="AG21" i="3"/>
  <c r="BF17" i="3"/>
  <c r="BA33" i="3"/>
  <c r="BD33" i="3"/>
  <c r="BH33" i="3" s="1"/>
  <c r="AJ17" i="3"/>
  <c r="AK17" i="3" s="1"/>
  <c r="BA19" i="3"/>
  <c r="AI35" i="3"/>
  <c r="AI28" i="3"/>
  <c r="AJ20" i="3"/>
  <c r="AK20" i="3" s="1"/>
  <c r="BD20" i="3" s="1"/>
  <c r="BH20" i="3" s="1"/>
  <c r="BF33" i="3"/>
  <c r="BD27" i="3"/>
  <c r="AZ34" i="3"/>
  <c r="BA34" i="3" s="1"/>
  <c r="AZ31" i="3"/>
  <c r="BA31" i="3" s="1"/>
  <c r="AZ25" i="3"/>
  <c r="BA25" i="3" s="1"/>
  <c r="AT17" i="3"/>
  <c r="L36" i="3"/>
  <c r="AT24" i="3" s="1"/>
  <c r="L42" i="3"/>
  <c r="AT31" i="3" s="1"/>
  <c r="AT19" i="3"/>
  <c r="L40" i="3"/>
  <c r="AT26" i="3" s="1"/>
  <c r="BC26" i="3" s="1"/>
  <c r="L46" i="3"/>
  <c r="AT33" i="3" s="1"/>
  <c r="BC33" i="3" s="1"/>
  <c r="BG33" i="3" s="1"/>
  <c r="AI21" i="3"/>
  <c r="AT18" i="3"/>
  <c r="BC18" i="3" s="1"/>
  <c r="L44" i="3"/>
  <c r="L38" i="3"/>
  <c r="AZ32" i="3"/>
  <c r="BA32" i="3" s="1"/>
  <c r="BF32" i="3"/>
  <c r="AJ31" i="3"/>
  <c r="AJ24" i="3"/>
  <c r="AJ19" i="3"/>
  <c r="AK19" i="3" s="1"/>
  <c r="BD19" i="3" s="1"/>
  <c r="BH19" i="3" s="1"/>
  <c r="BB31" i="3"/>
  <c r="BF31" i="3" s="1"/>
  <c r="AZ26" i="3"/>
  <c r="BA26" i="3" s="1"/>
  <c r="BH26" i="3" s="1"/>
  <c r="BF26" i="3"/>
  <c r="AZ18" i="3"/>
  <c r="BF18" i="3"/>
  <c r="BF21" i="3" s="1"/>
  <c r="D2" i="3" s="1"/>
  <c r="BD25" i="3"/>
  <c r="BB34" i="3"/>
  <c r="BF34" i="3" s="1"/>
  <c r="BB24" i="3"/>
  <c r="BF24" i="3" s="1"/>
  <c r="AZ24" i="3"/>
  <c r="M36" i="3"/>
  <c r="AU24" i="3" s="1"/>
  <c r="M42" i="3"/>
  <c r="AU31" i="3" s="1"/>
  <c r="AU17" i="3"/>
  <c r="L47" i="3"/>
  <c r="AT34" i="3" s="1"/>
  <c r="BC34" i="3" s="1"/>
  <c r="AT20" i="3"/>
  <c r="L41" i="3"/>
  <c r="AT27" i="3" s="1"/>
  <c r="BC27" i="3" s="1"/>
  <c r="L39" i="3"/>
  <c r="L45" i="3"/>
  <c r="AR24" i="3"/>
  <c r="AX24" i="3" s="1"/>
  <c r="BD34" i="3"/>
  <c r="AZ27" i="3"/>
  <c r="BF27" i="3"/>
  <c r="AH35" i="1"/>
  <c r="AG35" i="1"/>
  <c r="AK27" i="1"/>
  <c r="AH28" i="1"/>
  <c r="AK32" i="1"/>
  <c r="AJ33" i="1"/>
  <c r="AK33" i="1" s="1"/>
  <c r="AI35" i="1"/>
  <c r="AJ31" i="1"/>
  <c r="AF35" i="1"/>
  <c r="AJ24" i="1"/>
  <c r="AI28" i="1"/>
  <c r="AG28" i="1"/>
  <c r="AJ25" i="1"/>
  <c r="AK25" i="1" s="1"/>
  <c r="AF28" i="1"/>
  <c r="K35" i="1"/>
  <c r="K41" i="1" s="1"/>
  <c r="AS27" i="1" s="1"/>
  <c r="BB27" i="1" s="1"/>
  <c r="K30" i="1"/>
  <c r="K42" i="1" s="1"/>
  <c r="I58" i="2"/>
  <c r="I57" i="2"/>
  <c r="I56" i="2"/>
  <c r="I55" i="2"/>
  <c r="I54" i="2"/>
  <c r="AB16" i="2" s="1"/>
  <c r="K34" i="1" s="1"/>
  <c r="AS19" i="1" s="1"/>
  <c r="I53" i="2"/>
  <c r="AB15" i="2" s="1"/>
  <c r="I52" i="2"/>
  <c r="AB14" i="2" s="1"/>
  <c r="I51" i="2"/>
  <c r="AB13" i="2" s="1"/>
  <c r="I50" i="2"/>
  <c r="I49" i="2"/>
  <c r="I48" i="2"/>
  <c r="I47" i="2"/>
  <c r="I46" i="2"/>
  <c r="AB8" i="2" s="1"/>
  <c r="I45" i="2"/>
  <c r="AB7" i="2" s="1"/>
  <c r="I44" i="2"/>
  <c r="AB6" i="2" s="1"/>
  <c r="I43" i="2"/>
  <c r="AB5" i="2" s="1"/>
  <c r="K32" i="1" s="1"/>
  <c r="K38" i="1" s="1"/>
  <c r="I42" i="2"/>
  <c r="I41" i="2"/>
  <c r="I40" i="2"/>
  <c r="AB20" i="2"/>
  <c r="K31" i="1" s="1"/>
  <c r="M31" i="1" s="1"/>
  <c r="M37" i="1" s="1"/>
  <c r="W20" i="2"/>
  <c r="AA20" i="2" s="1"/>
  <c r="J31" i="1" s="1"/>
  <c r="J43" i="1" s="1"/>
  <c r="O20" i="2"/>
  <c r="M20" i="2"/>
  <c r="L20" i="2"/>
  <c r="K20" i="2"/>
  <c r="J20" i="2"/>
  <c r="N20" i="2" s="1"/>
  <c r="AB19" i="2"/>
  <c r="W19" i="2"/>
  <c r="R19" i="2"/>
  <c r="Q19" i="2"/>
  <c r="M19" i="2"/>
  <c r="L19" i="2"/>
  <c r="K19" i="2"/>
  <c r="O19" i="2" s="1"/>
  <c r="J19" i="2"/>
  <c r="N19" i="2" s="1"/>
  <c r="AB18" i="2"/>
  <c r="X18" i="2"/>
  <c r="W18" i="2"/>
  <c r="Y18" i="2" s="1"/>
  <c r="M18" i="2"/>
  <c r="L18" i="2"/>
  <c r="K18" i="2"/>
  <c r="O18" i="2" s="1"/>
  <c r="J18" i="2"/>
  <c r="AB17" i="2"/>
  <c r="W17" i="2"/>
  <c r="O17" i="2"/>
  <c r="M17" i="2"/>
  <c r="L17" i="2"/>
  <c r="K17" i="2"/>
  <c r="J17" i="2"/>
  <c r="N17" i="2" s="1"/>
  <c r="W16" i="2"/>
  <c r="Y16" i="2" s="1"/>
  <c r="H34" i="1" s="1"/>
  <c r="AP19" i="1" s="1"/>
  <c r="M16" i="2"/>
  <c r="L16" i="2"/>
  <c r="N16" i="2" s="1"/>
  <c r="K16" i="2"/>
  <c r="J16" i="2"/>
  <c r="W15" i="2"/>
  <c r="M15" i="2"/>
  <c r="O15" i="2" s="1"/>
  <c r="L15" i="2"/>
  <c r="K15" i="2"/>
  <c r="J15" i="2"/>
  <c r="W14" i="2"/>
  <c r="Y14" i="2" s="1"/>
  <c r="M14" i="2"/>
  <c r="L14" i="2"/>
  <c r="K14" i="2"/>
  <c r="O14" i="2" s="1"/>
  <c r="AA14" i="2" s="1"/>
  <c r="J14" i="2"/>
  <c r="W13" i="2"/>
  <c r="M13" i="2"/>
  <c r="L13" i="2"/>
  <c r="K13" i="2"/>
  <c r="O13" i="2" s="1"/>
  <c r="J13" i="2"/>
  <c r="N13" i="2" s="1"/>
  <c r="AB12" i="2"/>
  <c r="X12" i="2"/>
  <c r="W12" i="2"/>
  <c r="Y12" i="2" s="1"/>
  <c r="M12" i="2"/>
  <c r="L12" i="2"/>
  <c r="K12" i="2"/>
  <c r="O12" i="2" s="1"/>
  <c r="J12" i="2"/>
  <c r="AB11" i="2"/>
  <c r="K33" i="1" s="1"/>
  <c r="K45" i="1" s="1"/>
  <c r="W11" i="2"/>
  <c r="O11" i="2"/>
  <c r="M11" i="2"/>
  <c r="L11" i="2"/>
  <c r="K11" i="2"/>
  <c r="J11" i="2"/>
  <c r="N11" i="2" s="1"/>
  <c r="AB10" i="2"/>
  <c r="W10" i="2"/>
  <c r="Y10" i="2" s="1"/>
  <c r="M10" i="2"/>
  <c r="L10" i="2"/>
  <c r="N10" i="2" s="1"/>
  <c r="K10" i="2"/>
  <c r="J10" i="2"/>
  <c r="AB9" i="2"/>
  <c r="W9" i="2"/>
  <c r="M9" i="2"/>
  <c r="O9" i="2" s="1"/>
  <c r="L9" i="2"/>
  <c r="K9" i="2"/>
  <c r="J9" i="2"/>
  <c r="X8" i="2"/>
  <c r="W8" i="2"/>
  <c r="Y8" i="2" s="1"/>
  <c r="M8" i="2"/>
  <c r="L8" i="2"/>
  <c r="N8" i="2" s="1"/>
  <c r="Z8" i="2" s="1"/>
  <c r="K8" i="2"/>
  <c r="O8" i="2" s="1"/>
  <c r="AA8" i="2" s="1"/>
  <c r="J8" i="2"/>
  <c r="W7" i="2"/>
  <c r="M7" i="2"/>
  <c r="L7" i="2"/>
  <c r="K7" i="2"/>
  <c r="O7" i="2" s="1"/>
  <c r="J7" i="2"/>
  <c r="N7" i="2" s="1"/>
  <c r="W6" i="2"/>
  <c r="Y6" i="2" s="1"/>
  <c r="R6" i="2"/>
  <c r="Q6" i="2"/>
  <c r="N6" i="2"/>
  <c r="M6" i="2"/>
  <c r="L6" i="2"/>
  <c r="K6" i="2"/>
  <c r="J6" i="2"/>
  <c r="W5" i="2"/>
  <c r="Y5" i="2" s="1"/>
  <c r="H32" i="1" s="1"/>
  <c r="H38" i="1" s="1"/>
  <c r="R5" i="2"/>
  <c r="Q5" i="2"/>
  <c r="M5" i="2"/>
  <c r="L5" i="2"/>
  <c r="K5" i="2"/>
  <c r="J5" i="2"/>
  <c r="AB4" i="2"/>
  <c r="W4" i="2"/>
  <c r="R4" i="2"/>
  <c r="Q4" i="2"/>
  <c r="O4" i="2"/>
  <c r="M4" i="2"/>
  <c r="L4" i="2"/>
  <c r="K4" i="2"/>
  <c r="J4" i="2"/>
  <c r="N4" i="2" s="1"/>
  <c r="AB3" i="2"/>
  <c r="W3" i="2"/>
  <c r="R3" i="2"/>
  <c r="Q3" i="2"/>
  <c r="M3" i="2"/>
  <c r="L3" i="2"/>
  <c r="K3" i="2"/>
  <c r="O3" i="2" s="1"/>
  <c r="J3" i="2"/>
  <c r="N3" i="2" s="1"/>
  <c r="AB2" i="2"/>
  <c r="X2" i="2"/>
  <c r="W2" i="2"/>
  <c r="Y2" i="2" s="1"/>
  <c r="R2" i="2"/>
  <c r="Q2" i="2"/>
  <c r="M2" i="2"/>
  <c r="L2" i="2"/>
  <c r="K2" i="2"/>
  <c r="O2" i="2" s="1"/>
  <c r="AA2" i="2" s="1"/>
  <c r="J2" i="2"/>
  <c r="N2" i="2" s="1"/>
  <c r="Z2" i="2" s="1"/>
  <c r="BH32" i="3" l="1"/>
  <c r="BC17" i="3"/>
  <c r="BG17" i="3" s="1"/>
  <c r="BC19" i="3"/>
  <c r="BG19" i="3" s="1"/>
  <c r="BC20" i="3"/>
  <c r="BG20" i="3" s="1"/>
  <c r="BG34" i="3"/>
  <c r="BD17" i="3"/>
  <c r="BH17" i="3" s="1"/>
  <c r="BH25" i="3"/>
  <c r="BH34" i="3"/>
  <c r="BF35" i="3"/>
  <c r="D8" i="3" s="1"/>
  <c r="BA24" i="3"/>
  <c r="BF28" i="3"/>
  <c r="D5" i="3" s="1"/>
  <c r="AJ35" i="3"/>
  <c r="AK31" i="3"/>
  <c r="AK35" i="3" s="1"/>
  <c r="BA18" i="3"/>
  <c r="BH18" i="3" s="1"/>
  <c r="BG18" i="3"/>
  <c r="AT25" i="3"/>
  <c r="BC25" i="3" s="1"/>
  <c r="BG25" i="3" s="1"/>
  <c r="AT32" i="3"/>
  <c r="BC32" i="3" s="1"/>
  <c r="BG32" i="3" s="1"/>
  <c r="AK21" i="3"/>
  <c r="AJ21" i="3"/>
  <c r="BC31" i="3"/>
  <c r="BG31" i="3" s="1"/>
  <c r="BA27" i="3"/>
  <c r="BH27" i="3" s="1"/>
  <c r="BG27" i="3"/>
  <c r="AK24" i="3"/>
  <c r="AK28" i="3" s="1"/>
  <c r="AJ28" i="3"/>
  <c r="BC24" i="3"/>
  <c r="BG24" i="3" s="1"/>
  <c r="BG26" i="3"/>
  <c r="AJ35" i="1"/>
  <c r="AK31" i="1"/>
  <c r="AK35" i="1" s="1"/>
  <c r="AK24" i="1"/>
  <c r="AK28" i="1" s="1"/>
  <c r="AJ28" i="1"/>
  <c r="M34" i="1"/>
  <c r="M46" i="1" s="1"/>
  <c r="AU33" i="1" s="1"/>
  <c r="BD33" i="1" s="1"/>
  <c r="K44" i="1"/>
  <c r="M32" i="1"/>
  <c r="M38" i="1" s="1"/>
  <c r="L34" i="1"/>
  <c r="AT19" i="1" s="1"/>
  <c r="K39" i="1"/>
  <c r="J37" i="1"/>
  <c r="L33" i="1"/>
  <c r="L39" i="1" s="1"/>
  <c r="M33" i="1"/>
  <c r="M39" i="1" s="1"/>
  <c r="K43" i="1"/>
  <c r="AS31" i="1" s="1"/>
  <c r="BB31" i="1" s="1"/>
  <c r="AS32" i="1"/>
  <c r="BB32" i="1" s="1"/>
  <c r="AS18" i="1"/>
  <c r="K36" i="1"/>
  <c r="M30" i="1"/>
  <c r="AS17" i="1"/>
  <c r="H44" i="1"/>
  <c r="L31" i="1"/>
  <c r="L43" i="1" s="1"/>
  <c r="K37" i="1"/>
  <c r="K46" i="1"/>
  <c r="AS33" i="1" s="1"/>
  <c r="BB33" i="1" s="1"/>
  <c r="L35" i="1"/>
  <c r="AS20" i="1"/>
  <c r="K40" i="1"/>
  <c r="AS26" i="1" s="1"/>
  <c r="BB26" i="1" s="1"/>
  <c r="K47" i="1"/>
  <c r="AS34" i="1" s="1"/>
  <c r="BB34" i="1" s="1"/>
  <c r="H40" i="1"/>
  <c r="AP26" i="1" s="1"/>
  <c r="AV26" i="1" s="1"/>
  <c r="H46" i="1"/>
  <c r="AP33" i="1" s="1"/>
  <c r="AV33" i="1" s="1"/>
  <c r="L32" i="1"/>
  <c r="L44" i="1" s="1"/>
  <c r="M43" i="1"/>
  <c r="L30" i="1"/>
  <c r="L42" i="1" s="1"/>
  <c r="M35" i="1"/>
  <c r="AS25" i="1"/>
  <c r="BB25" i="1" s="1"/>
  <c r="AA19" i="2"/>
  <c r="J30" i="1" s="1"/>
  <c r="X5" i="2"/>
  <c r="AA9" i="2"/>
  <c r="AA15" i="2"/>
  <c r="AA4" i="2"/>
  <c r="X10" i="2"/>
  <c r="AA12" i="2"/>
  <c r="AA18" i="2"/>
  <c r="X16" i="2"/>
  <c r="O5" i="2"/>
  <c r="AA5" i="2" s="1"/>
  <c r="J32" i="1" s="1"/>
  <c r="X6" i="2"/>
  <c r="AA7" i="2"/>
  <c r="N12" i="2"/>
  <c r="Z12" i="2" s="1"/>
  <c r="X14" i="2"/>
  <c r="N18" i="2"/>
  <c r="Z18" i="2" s="1"/>
  <c r="Z3" i="2"/>
  <c r="N14" i="2"/>
  <c r="Z14" i="2" s="1"/>
  <c r="Y20" i="2"/>
  <c r="H31" i="1" s="1"/>
  <c r="N5" i="2"/>
  <c r="Z5" i="2" s="1"/>
  <c r="I32" i="1" s="1"/>
  <c r="O6" i="2"/>
  <c r="AA6" i="2" s="1"/>
  <c r="Z6" i="2"/>
  <c r="N9" i="2"/>
  <c r="O10" i="2"/>
  <c r="AA10" i="2" s="1"/>
  <c r="N15" i="2"/>
  <c r="O16" i="2"/>
  <c r="AA16" i="2" s="1"/>
  <c r="J34" i="1" s="1"/>
  <c r="AA3" i="2"/>
  <c r="AA11" i="2"/>
  <c r="J33" i="1" s="1"/>
  <c r="AA17" i="2"/>
  <c r="X20" i="2"/>
  <c r="Z10" i="2"/>
  <c r="AA13" i="2"/>
  <c r="J35" i="1" s="1"/>
  <c r="Z16" i="2"/>
  <c r="I34" i="1" s="1"/>
  <c r="Z19" i="2"/>
  <c r="I30" i="1" s="1"/>
  <c r="X4" i="2"/>
  <c r="X7" i="2"/>
  <c r="X9" i="2"/>
  <c r="X11" i="2"/>
  <c r="X13" i="2"/>
  <c r="X15" i="2"/>
  <c r="X17" i="2"/>
  <c r="Z20" i="2"/>
  <c r="I31" i="1" s="1"/>
  <c r="Y4" i="2"/>
  <c r="Y7" i="2"/>
  <c r="Y9" i="2"/>
  <c r="Y11" i="2"/>
  <c r="H33" i="1" s="1"/>
  <c r="AP18" i="1" s="1"/>
  <c r="Y13" i="2"/>
  <c r="H35" i="1" s="1"/>
  <c r="Y15" i="2"/>
  <c r="Y17" i="2"/>
  <c r="X3" i="2"/>
  <c r="Z4" i="2"/>
  <c r="Z7" i="2"/>
  <c r="Z9" i="2"/>
  <c r="Z11" i="2"/>
  <c r="I33" i="1" s="1"/>
  <c r="Z13" i="2"/>
  <c r="I35" i="1" s="1"/>
  <c r="Z15" i="2"/>
  <c r="Z17" i="2"/>
  <c r="X19" i="2"/>
  <c r="Y3" i="2"/>
  <c r="Y19" i="2"/>
  <c r="H30" i="1" s="1"/>
  <c r="L37" i="1" l="1"/>
  <c r="M40" i="1"/>
  <c r="AU26" i="1" s="1"/>
  <c r="BD26" i="1" s="1"/>
  <c r="BH21" i="3"/>
  <c r="D4" i="3" s="1"/>
  <c r="BG21" i="3"/>
  <c r="D3" i="3" s="1"/>
  <c r="BG35" i="3"/>
  <c r="D9" i="3" s="1"/>
  <c r="BD31" i="3"/>
  <c r="BH31" i="3" s="1"/>
  <c r="BH35" i="3" s="1"/>
  <c r="D10" i="3" s="1"/>
  <c r="BG28" i="3"/>
  <c r="D6" i="3" s="1"/>
  <c r="BD24" i="3"/>
  <c r="BH24" i="3" s="1"/>
  <c r="BH28" i="3" s="1"/>
  <c r="D7" i="3" s="1"/>
  <c r="AU19" i="1"/>
  <c r="L40" i="1"/>
  <c r="AT26" i="1" s="1"/>
  <c r="BC26" i="1" s="1"/>
  <c r="AZ33" i="1"/>
  <c r="BF33" i="1"/>
  <c r="AZ26" i="1"/>
  <c r="BF26" i="1"/>
  <c r="L46" i="1"/>
  <c r="AT33" i="1" s="1"/>
  <c r="BC33" i="1" s="1"/>
  <c r="L38" i="1"/>
  <c r="AT25" i="1" s="1"/>
  <c r="BC25" i="1" s="1"/>
  <c r="M44" i="1"/>
  <c r="AT31" i="1"/>
  <c r="BC31" i="1" s="1"/>
  <c r="AS24" i="1"/>
  <c r="BB24" i="1" s="1"/>
  <c r="AT18" i="1"/>
  <c r="AT17" i="1"/>
  <c r="I36" i="1"/>
  <c r="AQ17" i="1"/>
  <c r="I42" i="1"/>
  <c r="I43" i="1"/>
  <c r="I37" i="1"/>
  <c r="J39" i="1"/>
  <c r="J45" i="1"/>
  <c r="AR18" i="1"/>
  <c r="J38" i="1"/>
  <c r="J44" i="1"/>
  <c r="J40" i="1"/>
  <c r="AR26" i="1" s="1"/>
  <c r="AX26" i="1" s="1"/>
  <c r="AR19" i="1"/>
  <c r="J46" i="1"/>
  <c r="AR33" i="1" s="1"/>
  <c r="AX33" i="1" s="1"/>
  <c r="M41" i="1"/>
  <c r="AU27" i="1" s="1"/>
  <c r="BD27" i="1" s="1"/>
  <c r="M47" i="1"/>
  <c r="AU34" i="1" s="1"/>
  <c r="BD34" i="1" s="1"/>
  <c r="AU20" i="1"/>
  <c r="AU25" i="1"/>
  <c r="BD25" i="1" s="1"/>
  <c r="L41" i="1"/>
  <c r="AT27" i="1" s="1"/>
  <c r="BC27" i="1" s="1"/>
  <c r="AT20" i="1"/>
  <c r="L47" i="1"/>
  <c r="AT34" i="1" s="1"/>
  <c r="BC34" i="1" s="1"/>
  <c r="I41" i="1"/>
  <c r="AQ27" i="1" s="1"/>
  <c r="AW27" i="1" s="1"/>
  <c r="AQ20" i="1"/>
  <c r="I47" i="1"/>
  <c r="AQ34" i="1" s="1"/>
  <c r="AW34" i="1" s="1"/>
  <c r="H47" i="1"/>
  <c r="AP34" i="1" s="1"/>
  <c r="AV34" i="1" s="1"/>
  <c r="AP20" i="1"/>
  <c r="H41" i="1"/>
  <c r="AP27" i="1" s="1"/>
  <c r="AV27" i="1" s="1"/>
  <c r="L36" i="1"/>
  <c r="AT24" i="1" s="1"/>
  <c r="BC24" i="1" s="1"/>
  <c r="M45" i="1"/>
  <c r="AU32" i="1" s="1"/>
  <c r="BD32" i="1" s="1"/>
  <c r="L45" i="1"/>
  <c r="AT32" i="1" s="1"/>
  <c r="BC32" i="1" s="1"/>
  <c r="AQ18" i="1"/>
  <c r="I38" i="1"/>
  <c r="I44" i="1"/>
  <c r="AR17" i="1"/>
  <c r="J42" i="1"/>
  <c r="AR31" i="1" s="1"/>
  <c r="AX31" i="1" s="1"/>
  <c r="J36" i="1"/>
  <c r="AR24" i="1" s="1"/>
  <c r="AX24" i="1" s="1"/>
  <c r="M36" i="1"/>
  <c r="AU24" i="1" s="1"/>
  <c r="BD24" i="1" s="1"/>
  <c r="AU17" i="1"/>
  <c r="M42" i="1"/>
  <c r="AU31" i="1" s="1"/>
  <c r="BD31" i="1" s="1"/>
  <c r="J41" i="1"/>
  <c r="AR27" i="1" s="1"/>
  <c r="AX27" i="1" s="1"/>
  <c r="AR20" i="1"/>
  <c r="J47" i="1"/>
  <c r="AR34" i="1" s="1"/>
  <c r="AX34" i="1" s="1"/>
  <c r="I39" i="1"/>
  <c r="I45" i="1"/>
  <c r="AP17" i="1"/>
  <c r="H36" i="1"/>
  <c r="H42" i="1"/>
  <c r="H43" i="1"/>
  <c r="H37" i="1"/>
  <c r="AU18" i="1"/>
  <c r="I40" i="1"/>
  <c r="AQ26" i="1" s="1"/>
  <c r="AW26" i="1" s="1"/>
  <c r="AQ19" i="1"/>
  <c r="I46" i="1"/>
  <c r="AQ33" i="1" s="1"/>
  <c r="AW33" i="1" s="1"/>
  <c r="H39" i="1"/>
  <c r="AP25" i="1" s="1"/>
  <c r="AV25" i="1" s="1"/>
  <c r="H45" i="1"/>
  <c r="AP32" i="1" s="1"/>
  <c r="AV32" i="1" s="1"/>
  <c r="AX20" i="1"/>
  <c r="AI17" i="1"/>
  <c r="BB17" i="1" s="1"/>
  <c r="BG26" i="1" l="1"/>
  <c r="BG33" i="1"/>
  <c r="AZ34" i="1"/>
  <c r="BA34" i="1" s="1"/>
  <c r="BH34" i="1" s="1"/>
  <c r="BF34" i="1"/>
  <c r="BA26" i="1"/>
  <c r="BH26" i="1" s="1"/>
  <c r="AZ27" i="1"/>
  <c r="BA27" i="1" s="1"/>
  <c r="BH27" i="1" s="1"/>
  <c r="BF27" i="1"/>
  <c r="AZ32" i="1"/>
  <c r="BF32" i="1"/>
  <c r="AZ25" i="1"/>
  <c r="BF25" i="1"/>
  <c r="BA33" i="1"/>
  <c r="BH33" i="1" s="1"/>
  <c r="AJ17" i="1"/>
  <c r="AK17" i="1" s="1"/>
  <c r="AQ25" i="1"/>
  <c r="AW25" i="1" s="1"/>
  <c r="AV20" i="1"/>
  <c r="AI20" i="1"/>
  <c r="BB20" i="1" s="1"/>
  <c r="AV18" i="1"/>
  <c r="AI18" i="1"/>
  <c r="BB18" i="1" s="1"/>
  <c r="AP31" i="1"/>
  <c r="AV31" i="1" s="1"/>
  <c r="AW20" i="1"/>
  <c r="AV19" i="1"/>
  <c r="AI19" i="1"/>
  <c r="BB19" i="1" s="1"/>
  <c r="AR32" i="1"/>
  <c r="AX32" i="1" s="1"/>
  <c r="AW19" i="1"/>
  <c r="AQ31" i="1"/>
  <c r="AW31" i="1" s="1"/>
  <c r="AP24" i="1"/>
  <c r="AV24" i="1" s="1"/>
  <c r="AR25" i="1"/>
  <c r="AX25" i="1" s="1"/>
  <c r="AQ24" i="1"/>
  <c r="AW24" i="1" s="1"/>
  <c r="AX19" i="1"/>
  <c r="AQ32" i="1"/>
  <c r="AW32" i="1" s="1"/>
  <c r="AX18" i="1"/>
  <c r="AW18" i="1"/>
  <c r="AW17" i="1"/>
  <c r="AG21" i="1"/>
  <c r="AV17" i="1"/>
  <c r="AF21" i="1"/>
  <c r="AH21" i="1"/>
  <c r="AX17" i="1"/>
  <c r="BG32" i="1" l="1"/>
  <c r="BC17" i="1"/>
  <c r="BA25" i="1"/>
  <c r="BH25" i="1" s="1"/>
  <c r="BF20" i="1"/>
  <c r="BA32" i="1"/>
  <c r="BH32" i="1" s="1"/>
  <c r="AZ24" i="1"/>
  <c r="BA24" i="1" s="1"/>
  <c r="BH24" i="1" s="1"/>
  <c r="BF24" i="1"/>
  <c r="BF28" i="1" s="1"/>
  <c r="D5" i="1" s="1"/>
  <c r="BF18" i="1"/>
  <c r="BG34" i="1"/>
  <c r="AZ19" i="1"/>
  <c r="BF19" i="1"/>
  <c r="BG25" i="1"/>
  <c r="AZ17" i="1"/>
  <c r="BG17" i="1" s="1"/>
  <c r="BF17" i="1"/>
  <c r="AZ31" i="1"/>
  <c r="BA31" i="1" s="1"/>
  <c r="BH31" i="1" s="1"/>
  <c r="BF31" i="1"/>
  <c r="BF35" i="1" s="1"/>
  <c r="D8" i="1" s="1"/>
  <c r="BG27" i="1"/>
  <c r="AZ18" i="1"/>
  <c r="BA18" i="1" s="1"/>
  <c r="AI21" i="1"/>
  <c r="BD17" i="1"/>
  <c r="AZ20" i="1"/>
  <c r="BA20" i="1" s="1"/>
  <c r="AJ19" i="1"/>
  <c r="AJ20" i="1"/>
  <c r="AJ18" i="1"/>
  <c r="BH35" i="1" l="1"/>
  <c r="D10" i="1" s="1"/>
  <c r="BA17" i="1"/>
  <c r="BH17" i="1" s="1"/>
  <c r="BG31" i="1"/>
  <c r="BG35" i="1" s="1"/>
  <c r="D9" i="1" s="1"/>
  <c r="BH28" i="1"/>
  <c r="D7" i="1" s="1"/>
  <c r="BG20" i="1"/>
  <c r="BG24" i="1"/>
  <c r="BG28" i="1" s="1"/>
  <c r="D6" i="1" s="1"/>
  <c r="BA19" i="1"/>
  <c r="AK18" i="1"/>
  <c r="AJ21" i="1"/>
  <c r="BC18" i="1"/>
  <c r="BG18" i="1" s="1"/>
  <c r="AK20" i="1"/>
  <c r="BD20" i="1" s="1"/>
  <c r="BH20" i="1" s="1"/>
  <c r="BC20" i="1"/>
  <c r="AK19" i="1"/>
  <c r="BD19" i="1" s="1"/>
  <c r="BC19" i="1"/>
  <c r="BG19" i="1" s="1"/>
  <c r="BF21" i="1"/>
  <c r="D2" i="1" s="1"/>
  <c r="BH19" i="1" l="1"/>
  <c r="BD18" i="1"/>
  <c r="BH18" i="1" s="1"/>
  <c r="AK21" i="1"/>
  <c r="BG21" i="1"/>
  <c r="D3" i="1" s="1"/>
  <c r="BH21" i="1" l="1"/>
  <c r="D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Qingyu Xu</author>
  </authors>
  <commentList>
    <comment ref="X1" authorId="0" shapeId="0" xr:uid="{C6248C51-0D6A-594D-817C-377E329CC2B6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26% tax credit</t>
        </r>
      </text>
    </comment>
    <comment ref="Y1" authorId="0" shapeId="0" xr:uid="{0C7BD0FC-0D2C-3641-A6AE-9338B63419C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22% tax credit</t>
        </r>
      </text>
    </comment>
    <comment ref="Z1" authorId="0" shapeId="0" xr:uid="{016A05D3-02C6-1641-907E-3044B29D3E5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10% tax credit</t>
        </r>
      </text>
    </comment>
    <comment ref="P7" authorId="0" shapeId="0" xr:uid="{546EEDEB-111F-8847-9177-49BBBB13037A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7" authorId="0" shapeId="0" xr:uid="{8967F555-B900-284F-9B62-247FB4CDA1E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7" authorId="0" shapeId="0" xr:uid="{F6D6FC2D-B9AF-7043-B01B-1726AB41B0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7" authorId="0" shapeId="0" xr:uid="{7B9E4466-F0FC-6843-B413-F419095B10F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8" authorId="0" shapeId="0" xr:uid="{0F3B9C5E-AE08-AC4D-B2AD-0CB9C700B96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8" authorId="0" shapeId="0" xr:uid="{6C78C68E-C9D4-3248-B0B8-051C1F2F33DA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8" authorId="0" shapeId="0" xr:uid="{3BBB3684-3771-094E-8DC4-DD1592C44887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8" authorId="0" shapeId="0" xr:uid="{F1F2959E-6C15-C04F-835A-E6A428D1F70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9" authorId="0" shapeId="0" xr:uid="{285C7399-71CC-2E4F-B91F-3930D7B795D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9" authorId="0" shapeId="0" xr:uid="{ED1000F4-F208-2844-A4F8-BC5E4E16F7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9" authorId="0" shapeId="0" xr:uid="{2A32091C-CD37-F54D-8647-A9086819A4B9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9" authorId="0" shapeId="0" xr:uid="{431EA92D-762C-E446-8C41-B815BFC4BC8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0" authorId="0" shapeId="0" xr:uid="{629BF3C8-8CC7-BF41-A54F-1D84B7FDE43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0" authorId="0" shapeId="0" xr:uid="{CD09B52B-CDF2-4146-AF8A-6D574FE3770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0" authorId="0" shapeId="0" xr:uid="{0BAA9F06-2A8B-7544-91BE-B990B967D5E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0" authorId="0" shapeId="0" xr:uid="{62C0A499-24BC-D144-88F7-081C115C864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1" authorId="0" shapeId="0" xr:uid="{2F25609D-E4F8-224F-95B9-1D588300F46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1" authorId="0" shapeId="0" xr:uid="{E1C434B0-FA78-0B4E-A007-A5CBF0615E4D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1" authorId="0" shapeId="0" xr:uid="{86D5B135-BB4D-9840-BD53-4980C66EC74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1" authorId="0" shapeId="0" xr:uid="{4A51FB34-145F-FC48-8E4B-5438720B8A0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2" authorId="0" shapeId="0" xr:uid="{9B3991CE-1823-7544-8100-367EAC62FDD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2" authorId="0" shapeId="0" xr:uid="{84C741E2-9510-E048-9BBF-5C015C118166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2" authorId="0" shapeId="0" xr:uid="{562DBA33-8E51-FC45-BD0A-C2D3043E7DD7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2" authorId="0" shapeId="0" xr:uid="{45016B2C-1DBD-714B-B544-1ECF9266940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3" authorId="0" shapeId="0" xr:uid="{7CBC4028-20BD-7749-984E-C91F4305E43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3" authorId="0" shapeId="0" xr:uid="{A0A57C13-74CF-0E4F-866A-5B0E3D4431F9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3" authorId="0" shapeId="0" xr:uid="{44558A88-B622-DC4E-AADA-DC06B24F373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3" authorId="0" shapeId="0" xr:uid="{EE630B36-CAA4-3A43-80D2-F7E8A15A779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4" authorId="0" shapeId="0" xr:uid="{1AA6F0C6-E12B-784D-82E2-BA35A77DB2D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4" authorId="0" shapeId="0" xr:uid="{481A9625-2EDC-B94D-BB52-E42D2293397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4" authorId="0" shapeId="0" xr:uid="{817A7153-EADB-574C-8F50-BF39392114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4" authorId="0" shapeId="0" xr:uid="{9AD594D4-D11C-4245-A9C3-BACDC556DE2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5" authorId="0" shapeId="0" xr:uid="{07D7B180-50DC-B844-AEC4-AA745EBBB48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5" authorId="0" shapeId="0" xr:uid="{1F311BB4-E624-3A45-99ED-E3B5A673BF34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5" authorId="0" shapeId="0" xr:uid="{24C6D778-8431-3042-9312-EC1E99BF3E7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5" authorId="0" shapeId="0" xr:uid="{B3684BDC-C94D-F34D-A09B-5B8B8C9D48D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6" authorId="0" shapeId="0" xr:uid="{11937D38-D68D-5A48-94CC-498378E840B4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6" authorId="0" shapeId="0" xr:uid="{3B9D4093-1ECB-DB4F-8668-259CF88785F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6" authorId="0" shapeId="0" xr:uid="{07895006-FDF4-7A4D-8F5C-0AC06414E24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6" authorId="0" shapeId="0" xr:uid="{547DA7E2-220F-2E4E-9AA4-6CAED05FFBF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7" authorId="0" shapeId="0" xr:uid="{8491C885-9D13-F74F-9288-267CC7AC68E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7" authorId="0" shapeId="0" xr:uid="{3784C655-3E21-294B-9C90-BD27D0D5B52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7" authorId="0" shapeId="0" xr:uid="{2F3B7F2F-A29C-7445-A128-47991FB7309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7" authorId="0" shapeId="0" xr:uid="{4FF5C8D3-2CA1-C642-928A-CA08E25150A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P18" authorId="0" shapeId="0" xr:uid="{87FB3C5D-A910-8C4D-A6E9-AA35089186C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18" authorId="0" shapeId="0" xr:uid="{4887D46F-3753-9A4B-A47A-F55F4768D88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18" authorId="0" shapeId="0" xr:uid="{4C502FB6-F5D4-2C48-9AB9-569CDAB4E97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8" authorId="0" shapeId="0" xr:uid="{C27E977F-06CF-A343-B1B4-4E93DBC4E61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Z19" authorId="0" shapeId="0" xr:uid="{B418B2DB-CAE7-8B47-BB95-20FFFD9EA671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AA19" authorId="0" shapeId="0" xr:uid="{7F281A99-FA1D-A14F-8881-2E52EB208CA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P20" authorId="0" shapeId="0" xr:uid="{F0EC6E2E-D7C8-0546-96D8-FC099BBCFDD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Q20" authorId="0" shapeId="0" xr:uid="{525881C7-32B6-EC4A-BB9D-3151F23D4D3D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R20" authorId="0" shapeId="0" xr:uid="{61485BF9-8B1F-FF46-8ECB-8A379155F81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20" authorId="0" shapeId="0" xr:uid="{7ACCF079-3105-3349-B40F-03672954419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Z20" authorId="0" shapeId="0" xr:uid="{628E0A6C-90AD-664B-A41F-7299683739F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AA20" authorId="0" shapeId="0" xr:uid="{F83E9C26-22CB-404F-BC7A-1D4E4C4254A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</commentList>
</comments>
</file>

<file path=xl/sharedStrings.xml><?xml version="1.0" encoding="utf-8"?>
<sst xmlns="http://schemas.openxmlformats.org/spreadsheetml/2006/main" count="502" uniqueCount="109">
  <si>
    <t>year</t>
  </si>
  <si>
    <t>Cost Type</t>
  </si>
  <si>
    <t>value</t>
  </si>
  <si>
    <t>Residential</t>
  </si>
  <si>
    <t>Commercial</t>
  </si>
  <si>
    <t>Grid</t>
  </si>
  <si>
    <t>Community</t>
  </si>
  <si>
    <t>Total</t>
  </si>
  <si>
    <t>Incremental Capacity</t>
  </si>
  <si>
    <t>From SAM</t>
  </si>
  <si>
    <t xml:space="preserve">Modeled Installed Cost </t>
  </si>
  <si>
    <t>Modeled Capacity (kW)</t>
  </si>
  <si>
    <t>Size Class</t>
  </si>
  <si>
    <t>Size Class Index</t>
  </si>
  <si>
    <t>Module</t>
  </si>
  <si>
    <t>Inverter</t>
  </si>
  <si>
    <t>BOS</t>
  </si>
  <si>
    <t>Module 2031-2040 (for incremental)</t>
  </si>
  <si>
    <t>Module 2041-2050 (for incremental)</t>
  </si>
  <si>
    <t>Inverter 2031-2040 (for incremental)</t>
  </si>
  <si>
    <t>Inverter 2041-2050 (for incremental)</t>
  </si>
  <si>
    <t>2031-2040 Modeled Cost (2020 real)</t>
  </si>
  <si>
    <t>2041-2050 Modeled Cost (2020 real)</t>
  </si>
  <si>
    <t>Inverter Change in year 13 ($/W) Tech year 2020</t>
  </si>
  <si>
    <t>Inverter Change in year 13 ($/W) Tech year 2031</t>
  </si>
  <si>
    <t>Inverter Change in year 13 ($/W) Tech year 2041</t>
  </si>
  <si>
    <t>Decommission Cost ($/W)</t>
  </si>
  <si>
    <t>DebtShare (use SAM Market, row 195 in original spreadsheet, year 2020)</t>
  </si>
  <si>
    <t>Interest Rate - Nominal (use SAM Market case, year 2020)</t>
  </si>
  <si>
    <t>Rate of Return of Equity Nominal (use Market, use TPO's value for DO)</t>
  </si>
  <si>
    <t>Weighted Average Cost of Capital (real)</t>
  </si>
  <si>
    <t>Annualized Capex (2020 $/MW-year), tech year 2020-2022</t>
  </si>
  <si>
    <t>Annualized Capex (2020 $/MW-year), tech year 2023-2030</t>
  </si>
  <si>
    <t>Annualized Capex (2020 $/MW-year), tech year 2031</t>
  </si>
  <si>
    <t>Annualized Capex (2020 $/MW-year), tech year 2041</t>
  </si>
  <si>
    <t>FOM 2017$/MW-year</t>
  </si>
  <si>
    <t>Comm_DO_Ground_lg</t>
  </si>
  <si>
    <t>$/W</t>
  </si>
  <si>
    <t>Very large</t>
  </si>
  <si>
    <t>Comm_DO_Ground_med</t>
  </si>
  <si>
    <t>Comm_DO_Roof_lg</t>
  </si>
  <si>
    <t>Comm_DO_Roof_med</t>
  </si>
  <si>
    <t>Comm_DO_Roof_sm</t>
  </si>
  <si>
    <t>Comm_TPO_Carport</t>
  </si>
  <si>
    <t>Comm_TPO_Ground_lg</t>
  </si>
  <si>
    <t>Comm_TPO_Ground_med</t>
  </si>
  <si>
    <t>Comm_TPO_Roof_lg</t>
  </si>
  <si>
    <t>Comm_TPO_Roof_med</t>
  </si>
  <si>
    <t>Comm_TPO_Roof_sm</t>
  </si>
  <si>
    <t>CS_Ground</t>
  </si>
  <si>
    <t>CS_Roof_lg</t>
  </si>
  <si>
    <t>CS_Roof_med</t>
  </si>
  <si>
    <t>Grid_Ground</t>
  </si>
  <si>
    <t>Grid_Ground_OOS</t>
  </si>
  <si>
    <t>Grid_Roof</t>
  </si>
  <si>
    <t>Resi_DO_Roof</t>
  </si>
  <si>
    <t>Resi_TPO_Roof</t>
  </si>
  <si>
    <t>Capex Growth Rates</t>
  </si>
  <si>
    <t>Module cost change</t>
  </si>
  <si>
    <t>%/year</t>
  </si>
  <si>
    <t>per_module</t>
  </si>
  <si>
    <t>Inverter cost change</t>
  </si>
  <si>
    <t>per_inverter</t>
  </si>
  <si>
    <t>Balance of system cost change</t>
  </si>
  <si>
    <t>bos_equip_perwatt</t>
  </si>
  <si>
    <t>Federal Tax</t>
  </si>
  <si>
    <t>%</t>
  </si>
  <si>
    <t>NJ State Tax</t>
  </si>
  <si>
    <t>Inflation</t>
  </si>
  <si>
    <t>2020 to 2017 $</t>
  </si>
  <si>
    <t>Lifetime</t>
  </si>
  <si>
    <t>years</t>
  </si>
  <si>
    <t>Operating Expenditures ($/Year)</t>
  </si>
  <si>
    <t>Project Mgt. Costs</t>
  </si>
  <si>
    <t>Property Tax/PILOT</t>
  </si>
  <si>
    <t>Site Lease</t>
  </si>
  <si>
    <t>O&amp;M Fee
($/kW-year)</t>
  </si>
  <si>
    <t>Insurance (%)</t>
  </si>
  <si>
    <t>$/kW-year</t>
  </si>
  <si>
    <t>exempt</t>
  </si>
  <si>
    <t>n/a</t>
  </si>
  <si>
    <t>FOM</t>
  </si>
  <si>
    <t>Accumulated cost</t>
  </si>
  <si>
    <t>Low RE</t>
  </si>
  <si>
    <t>High RE</t>
  </si>
  <si>
    <t>Mid RE</t>
  </si>
  <si>
    <t>Inv_cost_per_MWyr</t>
  </si>
  <si>
    <t>Fixed_OM_cost_per_MWyr</t>
  </si>
  <si>
    <t>TechSensitivity</t>
  </si>
  <si>
    <t>Medium RE Cost</t>
  </si>
  <si>
    <t>Low RE Cost</t>
  </si>
  <si>
    <t>High RE Cost</t>
  </si>
  <si>
    <t>Ratio</t>
  </si>
  <si>
    <t>PJM_NJCoast</t>
  </si>
  <si>
    <t>PJM_NJLand</t>
  </si>
  <si>
    <t>Annualized CAPEX online 2041 (2020 USD/MW-year)</t>
  </si>
  <si>
    <t>Annualized CAPEX online 2031 (2020 USD/MW-year)</t>
  </si>
  <si>
    <t>Annualized CAPEX 2022 (2020 USD/MW-year)</t>
  </si>
  <si>
    <t>FOM 2022 (2020 USD/MW-year)</t>
  </si>
  <si>
    <t>FOM online 2031 (2020 USD/MW-year)</t>
  </si>
  <si>
    <t>FOM online 2041 (2020 USD/MW-year)</t>
  </si>
  <si>
    <t>FOM Ratio online 2031 vs FOM Ratio online 2022</t>
  </si>
  <si>
    <t>FOM Ratio online 2041 vs FOM Ratio online 2031</t>
  </si>
  <si>
    <t>Incremental Installation cost</t>
  </si>
  <si>
    <t>Weighted Annualized CAPEX Cost</t>
  </si>
  <si>
    <t>Sunk cost</t>
  </si>
  <si>
    <t>Accumulative Capacity</t>
  </si>
  <si>
    <t>NJ DG Cost</t>
  </si>
  <si>
    <t>Successor Cumulative Operating DC Capacity - Includes Panel/System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</si>
</sst>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[$$-409]* #,##0_);_([$$-409]* \(#,##0\);_([$$-409]* &quot;-&quot;??_);_(@_)"/>
    <numFmt numFmtId="167" formatCode="&quot;$&quot;#,##0"/>
    <numFmt numFmtId="168" formatCode="_(&quot;$&quot;* #,##0_);_(&quot;$&quot;* \(#,##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6100"/>
      <name val="Calibri"/>
      <family val="2"/>
    </font>
    <font>
      <sz val="10"/>
      <color rgb="FFFFFFFF"/>
      <name val="Calibri"/>
      <family val="2"/>
    </font>
    <font>
      <b/>
      <sz val="10"/>
      <color rgb="FFFA7D00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0070C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BFBFBF"/>
        <bgColor rgb="FF000000"/>
      </patternFill>
    </fill>
    <fill>
      <patternFill patternType="solid">
        <fgColor rgb="FFC6EFCE"/>
        <bgColor rgb="FFFFFFFF"/>
      </patternFill>
    </fill>
    <fill>
      <patternFill patternType="solid">
        <fgColor rgb="FF595959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1" fillId="8" borderId="3" applyNumberFormat="0" applyProtection="0">
      <alignment horizontal="centerContinuous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11" borderId="3" applyNumberFormat="0" applyAlignment="0" applyProtection="0">
      <alignment vertical="top"/>
    </xf>
    <xf numFmtId="43" fontId="1" fillId="0" borderId="0" applyFont="0" applyFill="0" applyBorder="0" applyAlignment="0" applyProtection="0"/>
    <xf numFmtId="0" fontId="19" fillId="14" borderId="0" applyNumberFormat="0" applyBorder="0" applyAlignment="0" applyProtection="0"/>
  </cellStyleXfs>
  <cellXfs count="50">
    <xf numFmtId="0" fontId="0" fillId="0" borderId="0" xfId="0"/>
    <xf numFmtId="0" fontId="6" fillId="0" borderId="0" xfId="0" applyFont="1"/>
    <xf numFmtId="0" fontId="7" fillId="0" borderId="0" xfId="0" applyFont="1"/>
    <xf numFmtId="164" fontId="8" fillId="5" borderId="0" xfId="5" applyNumberFormat="1" applyFont="1" applyFill="1" applyBorder="1"/>
    <xf numFmtId="0" fontId="6" fillId="4" borderId="0" xfId="0" applyFont="1" applyFill="1"/>
    <xf numFmtId="0" fontId="9" fillId="6" borderId="0" xfId="0" applyFont="1" applyFill="1"/>
    <xf numFmtId="0" fontId="6" fillId="0" borderId="0" xfId="0" applyFont="1" applyAlignment="1">
      <alignment horizontal="right"/>
    </xf>
    <xf numFmtId="164" fontId="6" fillId="0" borderId="0" xfId="0" applyNumberFormat="1" applyFont="1"/>
    <xf numFmtId="164" fontId="10" fillId="7" borderId="2" xfId="6" applyNumberFormat="1" applyFont="1" applyFill="1"/>
    <xf numFmtId="0" fontId="8" fillId="5" borderId="0" xfId="5" applyFont="1" applyFill="1" applyBorder="1"/>
    <xf numFmtId="164" fontId="0" fillId="0" borderId="0" xfId="0" applyNumberFormat="1"/>
    <xf numFmtId="0" fontId="7" fillId="9" borderId="3" xfId="7" applyFont="1" applyFill="1" applyAlignment="1">
      <alignment horizontal="centerContinuous" wrapText="1"/>
    </xf>
    <xf numFmtId="0" fontId="7" fillId="9" borderId="3" xfId="7" applyFont="1" applyFill="1">
      <alignment horizontal="centerContinuous"/>
    </xf>
    <xf numFmtId="0" fontId="7" fillId="9" borderId="4" xfId="7" applyFont="1" applyFill="1" applyBorder="1" applyAlignment="1">
      <alignment horizontal="centerContinuous" wrapText="1"/>
    </xf>
    <xf numFmtId="0" fontId="11" fillId="8" borderId="4" xfId="7" applyBorder="1" applyAlignment="1">
      <alignment horizontal="centerContinuous" wrapText="1"/>
    </xf>
    <xf numFmtId="0" fontId="0" fillId="10" borderId="5" xfId="0" applyFill="1" applyBorder="1"/>
    <xf numFmtId="0" fontId="12" fillId="0" borderId="0" xfId="8"/>
    <xf numFmtId="44" fontId="14" fillId="0" borderId="0" xfId="9" applyNumberFormat="1" applyFont="1" applyFill="1" applyBorder="1"/>
    <xf numFmtId="41" fontId="14" fillId="0" borderId="0" xfId="1" applyFont="1" applyFill="1" applyBorder="1"/>
    <xf numFmtId="0" fontId="14" fillId="12" borderId="3" xfId="10" applyFont="1" applyFill="1" applyAlignment="1"/>
    <xf numFmtId="0" fontId="15" fillId="0" borderId="0" xfId="2" applyNumberFormat="1" applyFont="1" applyFill="1" applyBorder="1" applyAlignment="1">
      <alignment horizontal="center"/>
    </xf>
    <xf numFmtId="44" fontId="15" fillId="0" borderId="0" xfId="2" applyFont="1" applyFill="1" applyBorder="1"/>
    <xf numFmtId="44" fontId="15" fillId="0" borderId="0" xfId="0" applyNumberFormat="1" applyFont="1"/>
    <xf numFmtId="165" fontId="13" fillId="0" borderId="0" xfId="9" applyNumberFormat="1" applyFill="1" applyBorder="1"/>
    <xf numFmtId="165" fontId="15" fillId="0" borderId="0" xfId="3" applyNumberFormat="1" applyFont="1" applyFill="1" applyBorder="1"/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2" fillId="0" borderId="1" xfId="4"/>
    <xf numFmtId="165" fontId="13" fillId="11" borderId="3" xfId="10" applyNumberFormat="1" applyAlignment="1"/>
    <xf numFmtId="8" fontId="0" fillId="0" borderId="0" xfId="0" applyNumberFormat="1"/>
    <xf numFmtId="0" fontId="12" fillId="0" borderId="0" xfId="8" applyFill="1" applyBorder="1"/>
    <xf numFmtId="0" fontId="13" fillId="11" borderId="3" xfId="10" applyNumberFormat="1" applyAlignment="1"/>
    <xf numFmtId="0" fontId="11" fillId="8" borderId="3" xfId="7" applyAlignment="1">
      <alignment horizontal="centerContinuous" wrapText="1"/>
    </xf>
    <xf numFmtId="168" fontId="0" fillId="0" borderId="0" xfId="0" applyNumberFormat="1"/>
    <xf numFmtId="168" fontId="13" fillId="0" borderId="0" xfId="9" applyNumberFormat="1" applyFill="1"/>
    <xf numFmtId="10" fontId="13" fillId="0" borderId="0" xfId="9" applyNumberFormat="1" applyFill="1"/>
    <xf numFmtId="168" fontId="13" fillId="0" borderId="0" xfId="9" applyNumberFormat="1"/>
    <xf numFmtId="10" fontId="13" fillId="0" borderId="0" xfId="9" applyNumberFormat="1"/>
    <xf numFmtId="168" fontId="0" fillId="0" borderId="0" xfId="2" applyNumberFormat="1" applyFont="1"/>
    <xf numFmtId="0" fontId="18" fillId="0" borderId="0" xfId="0" applyFont="1"/>
    <xf numFmtId="43" fontId="0" fillId="0" borderId="0" xfId="11" applyFont="1"/>
    <xf numFmtId="9" fontId="0" fillId="0" borderId="0" xfId="3" applyFont="1"/>
    <xf numFmtId="0" fontId="5" fillId="13" borderId="0" xfId="0" applyFont="1" applyFill="1" applyAlignment="1">
      <alignment horizontal="center"/>
    </xf>
    <xf numFmtId="0" fontId="19" fillId="14" borderId="0" xfId="12"/>
    <xf numFmtId="43" fontId="3" fillId="2" borderId="0" xfId="5" applyNumberFormat="1"/>
    <xf numFmtId="164" fontId="1" fillId="15" borderId="0" xfId="11" applyNumberFormat="1" applyFont="1" applyFill="1"/>
    <xf numFmtId="164" fontId="18" fillId="15" borderId="0" xfId="11" applyNumberFormat="1" applyFont="1" applyFill="1"/>
  </cellXfs>
  <cellStyles count="13">
    <cellStyle name="Calculation" xfId="6" builtinId="22"/>
    <cellStyle name="ColumnHeaderSpan" xfId="7" xr:uid="{148C5CB5-EB6C-704B-9C0E-48E33CBCD945}"/>
    <cellStyle name="Comma" xfId="11" builtinId="3"/>
    <cellStyle name="Comma [0]" xfId="1" builtinId="6"/>
    <cellStyle name="Currency" xfId="2" builtinId="4"/>
    <cellStyle name="Good" xfId="5" builtinId="26"/>
    <cellStyle name="HardCode" xfId="9" xr:uid="{90941145-4BAB-C240-B70B-BBAD3F99A9C0}"/>
    <cellStyle name="Heading 3" xfId="4" builtinId="18"/>
    <cellStyle name="InputCell" xfId="10" xr:uid="{39165A48-E9E4-2241-A9FE-486205CE0B05}"/>
    <cellStyle name="Neutral" xfId="12" builtinId="28"/>
    <cellStyle name="Normal" xfId="0" builtinId="0"/>
    <cellStyle name="Percent" xfId="3" builtinId="5"/>
    <cellStyle name="Units" xfId="8" xr:uid="{57E4D5B5-6948-6643-BD78-94356E2E7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8EDA-9231-F84A-B663-E760DF428257}">
  <dimension ref="A1:BO61"/>
  <sheetViews>
    <sheetView zoomScaleNormal="100" workbookViewId="0">
      <selection activeCell="D2" sqref="D2:D4"/>
    </sheetView>
  </sheetViews>
  <sheetFormatPr baseColWidth="10" defaultRowHeight="16" x14ac:dyDescent="0.2"/>
  <cols>
    <col min="1" max="1" width="14.83203125" bestFit="1" customWidth="1"/>
    <col min="3" max="3" width="15" bestFit="1" customWidth="1"/>
    <col min="4" max="4" width="17.6640625" bestFit="1" customWidth="1"/>
    <col min="8" max="8" width="11.5" bestFit="1" customWidth="1"/>
    <col min="9" max="13" width="11" bestFit="1" customWidth="1"/>
    <col min="15" max="16" width="11" bestFit="1" customWidth="1"/>
    <col min="34" max="36" width="12.5" bestFit="1" customWidth="1"/>
    <col min="37" max="37" width="11.5" bestFit="1" customWidth="1"/>
    <col min="38" max="40" width="12.5" bestFit="1" customWidth="1"/>
    <col min="41" max="42" width="11.5" bestFit="1" customWidth="1"/>
    <col min="43" max="45" width="16" bestFit="1" customWidth="1"/>
    <col min="47" max="48" width="16" bestFit="1" customWidth="1"/>
    <col min="49" max="49" width="17.6640625" bestFit="1" customWidth="1"/>
    <col min="50" max="50" width="15" bestFit="1" customWidth="1"/>
    <col min="52" max="56" width="13.5" bestFit="1" customWidth="1"/>
    <col min="58" max="58" width="15" bestFit="1" customWidth="1"/>
    <col min="59" max="59" width="17.6640625" bestFit="1" customWidth="1"/>
    <col min="60" max="60" width="15" bestFit="1" customWidth="1"/>
    <col min="62" max="64" width="14.1640625" customWidth="1"/>
  </cols>
  <sheetData>
    <row r="1" spans="1:67" x14ac:dyDescent="0.2">
      <c r="A1" t="s">
        <v>88</v>
      </c>
      <c r="B1" t="s">
        <v>0</v>
      </c>
      <c r="C1" t="s">
        <v>1</v>
      </c>
      <c r="D1" t="s">
        <v>2</v>
      </c>
    </row>
    <row r="2" spans="1:67" x14ac:dyDescent="0.2">
      <c r="A2" t="s">
        <v>89</v>
      </c>
      <c r="B2">
        <v>2030</v>
      </c>
      <c r="C2" t="s">
        <v>107</v>
      </c>
      <c r="D2" s="48">
        <f>BF21</f>
        <v>959563462.92857146</v>
      </c>
    </row>
    <row r="3" spans="1:67" x14ac:dyDescent="0.2">
      <c r="A3" t="s">
        <v>89</v>
      </c>
      <c r="B3">
        <v>2040</v>
      </c>
      <c r="C3" t="s">
        <v>107</v>
      </c>
      <c r="D3" s="48">
        <f>BG21</f>
        <v>2201133849.5731902</v>
      </c>
    </row>
    <row r="4" spans="1:67" x14ac:dyDescent="0.2">
      <c r="A4" t="s">
        <v>89</v>
      </c>
      <c r="B4">
        <v>2050</v>
      </c>
      <c r="C4" t="s">
        <v>107</v>
      </c>
      <c r="D4" s="48">
        <f>BH21</f>
        <v>3138035142.9201889</v>
      </c>
    </row>
    <row r="5" spans="1:67" x14ac:dyDescent="0.2">
      <c r="A5" t="s">
        <v>90</v>
      </c>
      <c r="B5">
        <v>2030</v>
      </c>
      <c r="C5" t="s">
        <v>107</v>
      </c>
      <c r="D5" s="48">
        <f>BF28</f>
        <v>896269983.99827862</v>
      </c>
    </row>
    <row r="6" spans="1:67" x14ac:dyDescent="0.2">
      <c r="A6" t="s">
        <v>90</v>
      </c>
      <c r="B6">
        <v>2040</v>
      </c>
      <c r="C6" t="s">
        <v>107</v>
      </c>
      <c r="D6" s="48">
        <f>BG28</f>
        <v>1907234316.1785204</v>
      </c>
    </row>
    <row r="7" spans="1:67" x14ac:dyDescent="0.2">
      <c r="A7" t="s">
        <v>90</v>
      </c>
      <c r="B7">
        <v>2050</v>
      </c>
      <c r="C7" t="s">
        <v>107</v>
      </c>
      <c r="D7" s="48">
        <f>BH28</f>
        <v>2625102014.0215902</v>
      </c>
    </row>
    <row r="8" spans="1:67" s="1" customFormat="1" x14ac:dyDescent="0.2">
      <c r="A8" t="s">
        <v>91</v>
      </c>
      <c r="B8">
        <v>2030</v>
      </c>
      <c r="C8" t="s">
        <v>107</v>
      </c>
      <c r="D8" s="49">
        <f>BF35</f>
        <v>1124412340.1380355</v>
      </c>
      <c r="F8" s="2" t="s">
        <v>108</v>
      </c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1" customFormat="1" x14ac:dyDescent="0.2">
      <c r="A9" t="s">
        <v>91</v>
      </c>
      <c r="B9">
        <v>2040</v>
      </c>
      <c r="C9" t="s">
        <v>107</v>
      </c>
      <c r="D9" s="49">
        <f>BG35</f>
        <v>2836510768.6905346</v>
      </c>
      <c r="F9" s="4"/>
      <c r="G9" s="4">
        <v>2000</v>
      </c>
      <c r="H9" s="4">
        <v>2001</v>
      </c>
      <c r="I9" s="4">
        <v>2002</v>
      </c>
      <c r="J9" s="4">
        <v>2003</v>
      </c>
      <c r="K9" s="4">
        <v>2004</v>
      </c>
      <c r="L9" s="4">
        <v>2005</v>
      </c>
      <c r="M9" s="4">
        <v>2006</v>
      </c>
      <c r="N9" s="4">
        <v>2007</v>
      </c>
      <c r="O9" s="4">
        <v>2008</v>
      </c>
      <c r="P9" s="4">
        <v>2009</v>
      </c>
      <c r="Q9" s="4">
        <v>2010</v>
      </c>
      <c r="R9" s="4">
        <v>2011</v>
      </c>
      <c r="S9" s="4">
        <v>2012</v>
      </c>
      <c r="T9" s="4">
        <v>2013</v>
      </c>
      <c r="U9" s="4">
        <v>2014</v>
      </c>
      <c r="V9" s="4">
        <v>2015</v>
      </c>
      <c r="W9" s="4">
        <v>2016</v>
      </c>
      <c r="X9" s="4">
        <v>2017</v>
      </c>
      <c r="Y9" s="4">
        <v>2018</v>
      </c>
      <c r="Z9" s="4">
        <v>2019</v>
      </c>
      <c r="AA9" s="4">
        <v>2020</v>
      </c>
      <c r="AB9" s="4">
        <v>2021</v>
      </c>
      <c r="AC9" s="4">
        <v>2022</v>
      </c>
      <c r="AD9" s="4">
        <v>2023</v>
      </c>
      <c r="AE9" s="4">
        <v>2024</v>
      </c>
      <c r="AF9" s="4">
        <v>2025</v>
      </c>
      <c r="AG9" s="4">
        <v>2026</v>
      </c>
      <c r="AH9" s="4">
        <v>2027</v>
      </c>
      <c r="AI9" s="4">
        <v>2028</v>
      </c>
      <c r="AJ9" s="4">
        <v>2029</v>
      </c>
      <c r="AK9" s="5">
        <v>2030</v>
      </c>
      <c r="AL9" s="4">
        <v>2031</v>
      </c>
      <c r="AM9" s="4">
        <v>2032</v>
      </c>
      <c r="AN9" s="4">
        <v>2033</v>
      </c>
      <c r="AO9" s="4">
        <v>2034</v>
      </c>
      <c r="AP9" s="4">
        <v>2035</v>
      </c>
      <c r="AQ9" s="4">
        <v>2036</v>
      </c>
      <c r="AR9" s="4">
        <v>2037</v>
      </c>
      <c r="AS9" s="4">
        <v>2038</v>
      </c>
      <c r="AT9" s="4">
        <v>2039</v>
      </c>
      <c r="AU9" s="5">
        <v>2040</v>
      </c>
      <c r="AV9" s="4">
        <v>2041</v>
      </c>
      <c r="AW9" s="4">
        <v>2042</v>
      </c>
      <c r="AX9" s="4">
        <v>2043</v>
      </c>
      <c r="AY9" s="4">
        <v>2044</v>
      </c>
      <c r="AZ9" s="4">
        <v>2045</v>
      </c>
      <c r="BA9" s="4">
        <v>2046</v>
      </c>
      <c r="BB9" s="4">
        <v>2047</v>
      </c>
      <c r="BC9" s="4">
        <v>2048</v>
      </c>
      <c r="BD9" s="4">
        <v>2049</v>
      </c>
      <c r="BE9" s="5">
        <v>2050</v>
      </c>
      <c r="BF9" s="4">
        <v>2051</v>
      </c>
      <c r="BG9" s="4">
        <v>2052</v>
      </c>
      <c r="BH9" s="4">
        <v>2053</v>
      </c>
      <c r="BI9" s="4">
        <v>2054</v>
      </c>
      <c r="BJ9" s="4">
        <v>2055</v>
      </c>
      <c r="BK9" s="4">
        <v>2056</v>
      </c>
      <c r="BL9" s="4">
        <v>2057</v>
      </c>
      <c r="BM9" s="4">
        <v>2058</v>
      </c>
      <c r="BN9" s="4">
        <v>2059</v>
      </c>
      <c r="BO9" s="4">
        <v>2060</v>
      </c>
    </row>
    <row r="10" spans="1:67" s="1" customFormat="1" x14ac:dyDescent="0.2">
      <c r="A10" t="s">
        <v>91</v>
      </c>
      <c r="B10">
        <v>2050</v>
      </c>
      <c r="C10" t="s">
        <v>107</v>
      </c>
      <c r="D10" s="49">
        <f>BH35</f>
        <v>3828673661.153101</v>
      </c>
      <c r="F10" s="6" t="s">
        <v>3</v>
      </c>
      <c r="G10" s="7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50</v>
      </c>
      <c r="AD10" s="8">
        <v>200</v>
      </c>
      <c r="AE10" s="8">
        <v>312.5</v>
      </c>
      <c r="AF10" s="8">
        <v>512.5</v>
      </c>
      <c r="AG10" s="8">
        <v>712.5</v>
      </c>
      <c r="AH10" s="8">
        <v>912.5</v>
      </c>
      <c r="AI10" s="8">
        <v>1162.5</v>
      </c>
      <c r="AJ10" s="8">
        <v>1437.5</v>
      </c>
      <c r="AK10" s="8">
        <v>1712.5</v>
      </c>
      <c r="AL10" s="8">
        <v>1932.5</v>
      </c>
      <c r="AM10" s="8">
        <v>2152.5</v>
      </c>
      <c r="AN10" s="8">
        <v>2372.5</v>
      </c>
      <c r="AO10" s="8">
        <v>2592.5</v>
      </c>
      <c r="AP10" s="8">
        <v>2812.5</v>
      </c>
      <c r="AQ10" s="8">
        <v>3032.5</v>
      </c>
      <c r="AR10" s="8">
        <v>3282.5</v>
      </c>
      <c r="AS10" s="8">
        <v>3532.5</v>
      </c>
      <c r="AT10" s="8">
        <v>3782.5</v>
      </c>
      <c r="AU10" s="8">
        <v>4032.5</v>
      </c>
      <c r="AV10" s="8">
        <v>4252.5</v>
      </c>
      <c r="AW10" s="8">
        <v>4472.5</v>
      </c>
      <c r="AX10" s="8">
        <v>4643.5</v>
      </c>
      <c r="AY10" s="8">
        <v>4814.5</v>
      </c>
      <c r="AZ10" s="8">
        <v>4985.5</v>
      </c>
      <c r="BA10" s="8">
        <v>5183.5</v>
      </c>
      <c r="BB10" s="8">
        <v>5381.5</v>
      </c>
      <c r="BC10" s="8">
        <v>5579.5</v>
      </c>
      <c r="BD10" s="8">
        <v>5777.5</v>
      </c>
      <c r="BE10" s="8">
        <v>5897.5</v>
      </c>
      <c r="BF10" s="8">
        <v>5897.5</v>
      </c>
      <c r="BG10" s="8">
        <v>5897.5</v>
      </c>
      <c r="BH10" s="8">
        <v>5897.5</v>
      </c>
      <c r="BI10" s="8">
        <v>5897.5</v>
      </c>
      <c r="BJ10" s="8">
        <v>5897.5</v>
      </c>
      <c r="BK10" s="8">
        <v>5897.5</v>
      </c>
      <c r="BL10" s="8">
        <v>5897.5</v>
      </c>
      <c r="BM10" s="8">
        <v>5897.5</v>
      </c>
      <c r="BN10" s="8">
        <v>5897.5</v>
      </c>
      <c r="BO10" s="8">
        <v>5897.5</v>
      </c>
    </row>
    <row r="11" spans="1:67" s="1" customFormat="1" ht="14" x14ac:dyDescent="0.2">
      <c r="F11" s="6" t="s">
        <v>4</v>
      </c>
      <c r="G11" s="7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5</v>
      </c>
      <c r="AD11" s="8">
        <v>195</v>
      </c>
      <c r="AE11" s="8">
        <v>382.5</v>
      </c>
      <c r="AF11" s="8">
        <v>682.5</v>
      </c>
      <c r="AG11" s="8">
        <v>982.5</v>
      </c>
      <c r="AH11" s="8">
        <v>1282.5</v>
      </c>
      <c r="AI11" s="8">
        <v>1582.5</v>
      </c>
      <c r="AJ11" s="8">
        <v>1912.5</v>
      </c>
      <c r="AK11" s="8">
        <v>2242.5</v>
      </c>
      <c r="AL11" s="8">
        <v>2523.75</v>
      </c>
      <c r="AM11" s="8">
        <v>2805</v>
      </c>
      <c r="AN11" s="8">
        <v>3086.25</v>
      </c>
      <c r="AO11" s="8">
        <v>3367.5</v>
      </c>
      <c r="AP11" s="8">
        <v>3648.75</v>
      </c>
      <c r="AQ11" s="8">
        <v>3930</v>
      </c>
      <c r="AR11" s="8">
        <v>4180</v>
      </c>
      <c r="AS11" s="8">
        <v>4430</v>
      </c>
      <c r="AT11" s="8">
        <v>4680</v>
      </c>
      <c r="AU11" s="8">
        <v>4930</v>
      </c>
      <c r="AV11" s="8">
        <v>5160</v>
      </c>
      <c r="AW11" s="8">
        <v>5390</v>
      </c>
      <c r="AX11" s="8">
        <v>5570</v>
      </c>
      <c r="AY11" s="8">
        <v>5750</v>
      </c>
      <c r="AZ11" s="8">
        <v>5930</v>
      </c>
      <c r="BA11" s="8">
        <v>6128</v>
      </c>
      <c r="BB11" s="8">
        <v>6326</v>
      </c>
      <c r="BC11" s="8">
        <v>6524</v>
      </c>
      <c r="BD11" s="8">
        <v>6722</v>
      </c>
      <c r="BE11" s="8">
        <v>6849.5</v>
      </c>
      <c r="BF11" s="8">
        <v>6849.5</v>
      </c>
      <c r="BG11" s="8">
        <v>6849.5</v>
      </c>
      <c r="BH11" s="8">
        <v>6849.5</v>
      </c>
      <c r="BI11" s="8">
        <v>6849.5</v>
      </c>
      <c r="BJ11" s="8">
        <v>6849.5</v>
      </c>
      <c r="BK11" s="8">
        <v>6849.5</v>
      </c>
      <c r="BL11" s="8">
        <v>6849.5</v>
      </c>
      <c r="BM11" s="8">
        <v>6849.5</v>
      </c>
      <c r="BN11" s="8">
        <v>6849.5</v>
      </c>
      <c r="BO11" s="8">
        <v>6849.5</v>
      </c>
    </row>
    <row r="12" spans="1:67" s="1" customFormat="1" ht="14" x14ac:dyDescent="0.2">
      <c r="F12" s="6" t="s">
        <v>5</v>
      </c>
      <c r="G12" s="7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50</v>
      </c>
      <c r="AG12" s="8">
        <v>100</v>
      </c>
      <c r="AH12" s="8">
        <v>150</v>
      </c>
      <c r="AI12" s="8">
        <v>200</v>
      </c>
      <c r="AJ12" s="8">
        <v>250</v>
      </c>
      <c r="AK12" s="8">
        <v>300</v>
      </c>
      <c r="AL12" s="8">
        <v>350</v>
      </c>
      <c r="AM12" s="8">
        <v>400</v>
      </c>
      <c r="AN12" s="8">
        <v>450</v>
      </c>
      <c r="AO12" s="8">
        <v>500</v>
      </c>
      <c r="AP12" s="8">
        <v>550</v>
      </c>
      <c r="AQ12" s="8">
        <v>600</v>
      </c>
      <c r="AR12" s="8">
        <v>650</v>
      </c>
      <c r="AS12" s="8">
        <v>700</v>
      </c>
      <c r="AT12" s="8">
        <v>750</v>
      </c>
      <c r="AU12" s="8">
        <v>800</v>
      </c>
      <c r="AV12" s="8">
        <v>900</v>
      </c>
      <c r="AW12" s="8">
        <v>1000</v>
      </c>
      <c r="AX12" s="8">
        <v>1100</v>
      </c>
      <c r="AY12" s="8">
        <v>1200</v>
      </c>
      <c r="AZ12" s="8">
        <v>1300</v>
      </c>
      <c r="BA12" s="8">
        <v>1350</v>
      </c>
      <c r="BB12" s="8">
        <v>1400</v>
      </c>
      <c r="BC12" s="8">
        <v>1450</v>
      </c>
      <c r="BD12" s="8">
        <v>1500</v>
      </c>
      <c r="BE12" s="8">
        <v>1550</v>
      </c>
      <c r="BF12" s="8">
        <v>1550</v>
      </c>
      <c r="BG12" s="8">
        <v>1550</v>
      </c>
      <c r="BH12" s="8">
        <v>1550</v>
      </c>
      <c r="BI12" s="8">
        <v>1550</v>
      </c>
      <c r="BJ12" s="8">
        <v>1550</v>
      </c>
      <c r="BK12" s="8">
        <v>1550</v>
      </c>
      <c r="BL12" s="8">
        <v>1550</v>
      </c>
      <c r="BM12" s="8">
        <v>1550</v>
      </c>
      <c r="BN12" s="8">
        <v>1550</v>
      </c>
      <c r="BO12" s="8">
        <v>1550</v>
      </c>
    </row>
    <row r="13" spans="1:67" s="1" customFormat="1" ht="14" x14ac:dyDescent="0.2">
      <c r="F13" s="6" t="s">
        <v>6</v>
      </c>
      <c r="G13" s="7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150</v>
      </c>
      <c r="AF13" s="8">
        <v>300</v>
      </c>
      <c r="AG13" s="8">
        <v>450</v>
      </c>
      <c r="AH13" s="8">
        <v>600</v>
      </c>
      <c r="AI13" s="8">
        <v>750</v>
      </c>
      <c r="AJ13" s="8">
        <v>900</v>
      </c>
      <c r="AK13" s="8">
        <v>1050</v>
      </c>
      <c r="AL13" s="8">
        <v>1200</v>
      </c>
      <c r="AM13" s="8">
        <v>1350</v>
      </c>
      <c r="AN13" s="8">
        <v>1500</v>
      </c>
      <c r="AO13" s="8">
        <v>1650</v>
      </c>
      <c r="AP13" s="8">
        <v>1800</v>
      </c>
      <c r="AQ13" s="8">
        <v>1950</v>
      </c>
      <c r="AR13" s="8">
        <v>2100</v>
      </c>
      <c r="AS13" s="8">
        <v>2250</v>
      </c>
      <c r="AT13" s="8">
        <v>2400</v>
      </c>
      <c r="AU13" s="8">
        <v>2550</v>
      </c>
      <c r="AV13" s="8">
        <v>2700</v>
      </c>
      <c r="AW13" s="8">
        <v>2850</v>
      </c>
      <c r="AX13" s="8">
        <v>3000</v>
      </c>
      <c r="AY13" s="8">
        <v>3150</v>
      </c>
      <c r="AZ13" s="8">
        <v>3300</v>
      </c>
      <c r="BA13" s="8">
        <v>3450</v>
      </c>
      <c r="BB13" s="8">
        <v>3600</v>
      </c>
      <c r="BC13" s="8">
        <v>3750</v>
      </c>
      <c r="BD13" s="8">
        <v>3900</v>
      </c>
      <c r="BE13" s="8">
        <v>4050</v>
      </c>
      <c r="BF13" s="8">
        <v>4050</v>
      </c>
      <c r="BG13" s="8">
        <v>4050</v>
      </c>
      <c r="BH13" s="8">
        <v>4050</v>
      </c>
      <c r="BI13" s="8">
        <v>4050</v>
      </c>
      <c r="BJ13" s="8">
        <v>4050</v>
      </c>
      <c r="BK13" s="8">
        <v>4050</v>
      </c>
      <c r="BL13" s="8">
        <v>4050</v>
      </c>
      <c r="BM13" s="8">
        <v>4050</v>
      </c>
      <c r="BN13" s="8">
        <v>4050</v>
      </c>
      <c r="BO13" s="8">
        <v>4050</v>
      </c>
    </row>
    <row r="14" spans="1:67" s="1" customFormat="1" ht="14" x14ac:dyDescent="0.2">
      <c r="F14" s="9" t="s">
        <v>7</v>
      </c>
      <c r="G14" s="3">
        <f>SUM(G10:G13)</f>
        <v>0</v>
      </c>
      <c r="H14" s="3">
        <f t="shared" ref="H14:BO14" si="0">SUM(H10:H13)</f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  <c r="X14" s="3">
        <f t="shared" si="0"/>
        <v>0</v>
      </c>
      <c r="Y14" s="3">
        <f t="shared" si="0"/>
        <v>0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55</v>
      </c>
      <c r="AD14" s="3">
        <f t="shared" si="0"/>
        <v>395</v>
      </c>
      <c r="AE14" s="3">
        <f t="shared" si="0"/>
        <v>845</v>
      </c>
      <c r="AF14" s="3">
        <f t="shared" si="0"/>
        <v>1545</v>
      </c>
      <c r="AG14" s="3">
        <f t="shared" si="0"/>
        <v>2245</v>
      </c>
      <c r="AH14" s="3">
        <f t="shared" si="0"/>
        <v>2945</v>
      </c>
      <c r="AI14" s="3">
        <f t="shared" si="0"/>
        <v>3695</v>
      </c>
      <c r="AJ14" s="3">
        <f t="shared" si="0"/>
        <v>4500</v>
      </c>
      <c r="AK14" s="3">
        <f t="shared" si="0"/>
        <v>5305</v>
      </c>
      <c r="AL14" s="3">
        <f t="shared" si="0"/>
        <v>6006.25</v>
      </c>
      <c r="AM14" s="3">
        <f t="shared" si="0"/>
        <v>6707.5</v>
      </c>
      <c r="AN14" s="3">
        <f t="shared" si="0"/>
        <v>7408.75</v>
      </c>
      <c r="AO14" s="3">
        <f t="shared" si="0"/>
        <v>8110</v>
      </c>
      <c r="AP14" s="3">
        <f t="shared" si="0"/>
        <v>8811.25</v>
      </c>
      <c r="AQ14" s="3">
        <f t="shared" si="0"/>
        <v>9512.5</v>
      </c>
      <c r="AR14" s="3">
        <f t="shared" si="0"/>
        <v>10212.5</v>
      </c>
      <c r="AS14" s="3">
        <f t="shared" si="0"/>
        <v>10912.5</v>
      </c>
      <c r="AT14" s="3">
        <f t="shared" si="0"/>
        <v>11612.5</v>
      </c>
      <c r="AU14" s="3">
        <f t="shared" si="0"/>
        <v>12312.5</v>
      </c>
      <c r="AV14" s="3">
        <f t="shared" si="0"/>
        <v>13012.5</v>
      </c>
      <c r="AW14" s="3">
        <f t="shared" si="0"/>
        <v>13712.5</v>
      </c>
      <c r="AX14" s="3">
        <f t="shared" si="0"/>
        <v>14313.5</v>
      </c>
      <c r="AY14" s="3">
        <f t="shared" si="0"/>
        <v>14914.5</v>
      </c>
      <c r="AZ14" s="3">
        <f t="shared" si="0"/>
        <v>15515.5</v>
      </c>
      <c r="BA14" s="3">
        <f t="shared" si="0"/>
        <v>16111.5</v>
      </c>
      <c r="BB14" s="3">
        <f t="shared" si="0"/>
        <v>16707.5</v>
      </c>
      <c r="BC14" s="3">
        <f t="shared" si="0"/>
        <v>17303.5</v>
      </c>
      <c r="BD14" s="3">
        <f t="shared" si="0"/>
        <v>17899.5</v>
      </c>
      <c r="BE14" s="3">
        <f t="shared" si="0"/>
        <v>18347</v>
      </c>
      <c r="BF14" s="3">
        <f t="shared" si="0"/>
        <v>18347</v>
      </c>
      <c r="BG14" s="3">
        <f t="shared" si="0"/>
        <v>18347</v>
      </c>
      <c r="BH14" s="3">
        <f t="shared" si="0"/>
        <v>18347</v>
      </c>
      <c r="BI14" s="3">
        <f t="shared" si="0"/>
        <v>18347</v>
      </c>
      <c r="BJ14" s="3">
        <f t="shared" si="0"/>
        <v>18347</v>
      </c>
      <c r="BK14" s="3">
        <f t="shared" si="0"/>
        <v>18347</v>
      </c>
      <c r="BL14" s="3">
        <f t="shared" si="0"/>
        <v>18347</v>
      </c>
      <c r="BM14" s="3">
        <f t="shared" si="0"/>
        <v>18347</v>
      </c>
      <c r="BN14" s="3">
        <f t="shared" si="0"/>
        <v>18347</v>
      </c>
      <c r="BO14" s="3">
        <f t="shared" si="0"/>
        <v>18347</v>
      </c>
    </row>
    <row r="15" spans="1:67" x14ac:dyDescent="0.2">
      <c r="AF15" s="45" t="s">
        <v>8</v>
      </c>
      <c r="AG15" s="45"/>
      <c r="AH15" s="45"/>
      <c r="AI15" s="45" t="s">
        <v>106</v>
      </c>
      <c r="AJ15" s="45"/>
      <c r="AK15" s="45"/>
      <c r="AP15" s="45" t="s">
        <v>104</v>
      </c>
      <c r="AQ15" s="45"/>
      <c r="AR15" s="45"/>
      <c r="AS15" s="45" t="s">
        <v>81</v>
      </c>
      <c r="AT15" s="45"/>
      <c r="AU15" s="45"/>
      <c r="AV15" s="45" t="s">
        <v>103</v>
      </c>
      <c r="AW15" s="45"/>
      <c r="AX15" s="45"/>
      <c r="AY15" s="45" t="s">
        <v>105</v>
      </c>
      <c r="AZ15" s="45"/>
      <c r="BA15" s="45"/>
      <c r="BB15" s="45" t="s">
        <v>81</v>
      </c>
      <c r="BC15" s="45"/>
      <c r="BD15" s="45"/>
      <c r="BF15" s="45" t="s">
        <v>82</v>
      </c>
      <c r="BG15" s="45"/>
      <c r="BH15" s="45"/>
    </row>
    <row r="16" spans="1:67" x14ac:dyDescent="0.2">
      <c r="AF16" s="5">
        <v>2030</v>
      </c>
      <c r="AG16" s="5">
        <v>2040</v>
      </c>
      <c r="AH16" s="5">
        <v>2050</v>
      </c>
      <c r="AI16" s="5">
        <v>2030</v>
      </c>
      <c r="AJ16" s="5">
        <v>2040</v>
      </c>
      <c r="AK16" s="5">
        <v>2050</v>
      </c>
      <c r="AP16" s="5">
        <v>2030</v>
      </c>
      <c r="AQ16" s="5">
        <v>2040</v>
      </c>
      <c r="AR16" s="5">
        <v>2050</v>
      </c>
      <c r="AS16" s="5">
        <v>2030</v>
      </c>
      <c r="AT16" s="5">
        <v>2040</v>
      </c>
      <c r="AU16" s="5">
        <v>2050</v>
      </c>
      <c r="AV16" s="5">
        <v>2030</v>
      </c>
      <c r="AW16" s="5">
        <v>2040</v>
      </c>
      <c r="AX16" s="5">
        <v>2050</v>
      </c>
      <c r="AY16" s="5">
        <v>2030</v>
      </c>
      <c r="AZ16" s="5">
        <v>2040</v>
      </c>
      <c r="BA16" s="5">
        <v>2050</v>
      </c>
      <c r="BB16" s="5">
        <v>2030</v>
      </c>
      <c r="BC16" s="5">
        <v>2040</v>
      </c>
      <c r="BD16" s="5">
        <v>2050</v>
      </c>
      <c r="BF16" s="5">
        <v>2030</v>
      </c>
      <c r="BG16" s="5">
        <v>2040</v>
      </c>
      <c r="BH16" s="5">
        <v>2050</v>
      </c>
    </row>
    <row r="17" spans="6:61" x14ac:dyDescent="0.2">
      <c r="AE17" s="6" t="s">
        <v>3</v>
      </c>
      <c r="AF17" s="10">
        <f>$AK$10</f>
        <v>1712.5</v>
      </c>
      <c r="AG17" s="10">
        <f>$AU$10-$AK$10</f>
        <v>2320</v>
      </c>
      <c r="AH17" s="10">
        <f>$BE$10-$AU$10</f>
        <v>1865</v>
      </c>
      <c r="AI17" s="10">
        <f>AF17</f>
        <v>1712.5</v>
      </c>
      <c r="AJ17" s="10">
        <f>AG17+AI17</f>
        <v>4032.5</v>
      </c>
      <c r="AK17" s="10">
        <f>AJ17+AH17</f>
        <v>5897.5</v>
      </c>
      <c r="AN17" t="s">
        <v>85</v>
      </c>
      <c r="AO17" s="6" t="s">
        <v>3</v>
      </c>
      <c r="AP17" s="41">
        <f t="shared" ref="AP17:AU17" si="1">SUMPRODUCT(H$30:H$31,$N$30:$N$31)</f>
        <v>191340</v>
      </c>
      <c r="AQ17" s="41">
        <f t="shared" si="1"/>
        <v>215878.8</v>
      </c>
      <c r="AR17" s="41">
        <f t="shared" si="1"/>
        <v>235270.2</v>
      </c>
      <c r="AS17" s="41">
        <f t="shared" si="1"/>
        <v>37125</v>
      </c>
      <c r="AT17" s="41">
        <f t="shared" si="1"/>
        <v>26972.930538740919</v>
      </c>
      <c r="AU17" s="41">
        <f t="shared" si="1"/>
        <v>24453.172291162227</v>
      </c>
      <c r="AV17" s="41">
        <f t="shared" ref="AV17:AX20" si="2">AF17*AP17</f>
        <v>327669750</v>
      </c>
      <c r="AW17" s="41">
        <f t="shared" si="2"/>
        <v>500838816</v>
      </c>
      <c r="AX17" s="41">
        <f t="shared" si="2"/>
        <v>438778923</v>
      </c>
      <c r="AY17">
        <v>0</v>
      </c>
      <c r="AZ17" s="36">
        <f>AV17</f>
        <v>327669750</v>
      </c>
      <c r="BA17" s="36">
        <f>AZ17+AX17</f>
        <v>766448673</v>
      </c>
      <c r="BB17" s="41">
        <f t="shared" ref="BB17:BD20" si="3">AS17*AI17</f>
        <v>63576562.5</v>
      </c>
      <c r="BC17" s="41">
        <f t="shared" si="3"/>
        <v>108768342.39747275</v>
      </c>
      <c r="BD17" s="41">
        <f t="shared" si="3"/>
        <v>144212583.58712924</v>
      </c>
      <c r="BE17" s="6" t="s">
        <v>3</v>
      </c>
      <c r="BF17" s="41">
        <f>AV17+AY17+BB17</f>
        <v>391246312.5</v>
      </c>
      <c r="BG17" s="41">
        <f t="shared" ref="BG17:BG20" si="4">AW17+AZ17+BC17</f>
        <v>937276908.39747274</v>
      </c>
      <c r="BH17" s="41">
        <f t="shared" ref="BH17:BH20" si="5">AX17+BA17+BD17</f>
        <v>1349440179.5871291</v>
      </c>
      <c r="BI17" s="6"/>
    </row>
    <row r="18" spans="6:61" x14ac:dyDescent="0.2">
      <c r="AE18" s="6" t="s">
        <v>4</v>
      </c>
      <c r="AF18" s="10">
        <f>$AK$11</f>
        <v>2242.5</v>
      </c>
      <c r="AG18" s="10">
        <f>$AU$11-$AK$11</f>
        <v>2687.5</v>
      </c>
      <c r="AH18" s="10">
        <f>$BE$11-$AU$11</f>
        <v>1919.5</v>
      </c>
      <c r="AI18" s="10">
        <f t="shared" ref="AI18:AI20" si="6">AF18</f>
        <v>2242.5</v>
      </c>
      <c r="AJ18" s="10">
        <f t="shared" ref="AJ18:AJ20" si="7">AG18+AI18</f>
        <v>4930</v>
      </c>
      <c r="AK18" s="10">
        <f t="shared" ref="AK18:AK20" si="8">AJ18+AH18</f>
        <v>6849.5</v>
      </c>
      <c r="AN18" t="s">
        <v>85</v>
      </c>
      <c r="AO18" s="6" t="s">
        <v>4</v>
      </c>
      <c r="AP18" s="41">
        <f t="shared" ref="AP18:AU18" si="9">SUMPRODUCT(H$32:H$33,$N$32:$N$33)</f>
        <v>111422.79999999999</v>
      </c>
      <c r="AQ18" s="41">
        <f t="shared" si="9"/>
        <v>124815</v>
      </c>
      <c r="AR18" s="41">
        <f t="shared" si="9"/>
        <v>121640</v>
      </c>
      <c r="AS18" s="41">
        <f t="shared" si="9"/>
        <v>45328.571428571428</v>
      </c>
      <c r="AT18" s="41">
        <f t="shared" si="9"/>
        <v>32933.182722241436</v>
      </c>
      <c r="AU18" s="41">
        <f t="shared" si="9"/>
        <v>29856.629410238675</v>
      </c>
      <c r="AV18" s="41">
        <f t="shared" si="2"/>
        <v>249865628.99999997</v>
      </c>
      <c r="AW18" s="41">
        <f t="shared" si="2"/>
        <v>335440312.5</v>
      </c>
      <c r="AX18" s="41">
        <f t="shared" si="2"/>
        <v>233487980</v>
      </c>
      <c r="AY18">
        <v>0</v>
      </c>
      <c r="AZ18" s="36">
        <f>AV18</f>
        <v>249865628.99999997</v>
      </c>
      <c r="BA18" s="36">
        <f>AZ18+AX18</f>
        <v>483353609</v>
      </c>
      <c r="BB18" s="41">
        <f t="shared" si="3"/>
        <v>101649321.42857143</v>
      </c>
      <c r="BC18" s="41">
        <f t="shared" si="3"/>
        <v>162360590.82065028</v>
      </c>
      <c r="BD18" s="41">
        <f t="shared" si="3"/>
        <v>204502983.14542979</v>
      </c>
      <c r="BE18" s="6" t="s">
        <v>4</v>
      </c>
      <c r="BF18" s="41">
        <f t="shared" ref="BF18:BF20" si="10">AV18+AY18+BB18</f>
        <v>351514950.4285714</v>
      </c>
      <c r="BG18" s="41">
        <f t="shared" si="4"/>
        <v>747666532.32065034</v>
      </c>
      <c r="BH18" s="41">
        <f t="shared" si="5"/>
        <v>921344572.14542985</v>
      </c>
      <c r="BI18" s="6"/>
    </row>
    <row r="19" spans="6:61" x14ac:dyDescent="0.2">
      <c r="AE19" s="6" t="s">
        <v>5</v>
      </c>
      <c r="AF19" s="10">
        <f>$AK$12</f>
        <v>300</v>
      </c>
      <c r="AG19" s="10">
        <f>$AU$12-$AK$12</f>
        <v>500</v>
      </c>
      <c r="AH19" s="10">
        <f>$BE$12-$AU$12</f>
        <v>750</v>
      </c>
      <c r="AI19" s="10">
        <f t="shared" si="6"/>
        <v>300</v>
      </c>
      <c r="AJ19" s="10">
        <f t="shared" si="7"/>
        <v>800</v>
      </c>
      <c r="AK19" s="10">
        <f t="shared" si="8"/>
        <v>1550</v>
      </c>
      <c r="AN19" t="s">
        <v>85</v>
      </c>
      <c r="AO19" s="6" t="s">
        <v>5</v>
      </c>
      <c r="AP19" s="41">
        <f t="shared" ref="AP19:AU19" si="11">SUMPRODUCT(H$34,$N$34)</f>
        <v>102272</v>
      </c>
      <c r="AQ19" s="41">
        <f t="shared" si="11"/>
        <v>115147</v>
      </c>
      <c r="AR19" s="41">
        <f t="shared" si="11"/>
        <v>112717</v>
      </c>
      <c r="AS19" s="41">
        <f t="shared" si="11"/>
        <v>27191.000000000004</v>
      </c>
      <c r="AT19" s="41">
        <f t="shared" si="11"/>
        <v>19755.44657990315</v>
      </c>
      <c r="AU19" s="41">
        <f t="shared" si="11"/>
        <v>17909.931522397099</v>
      </c>
      <c r="AV19" s="41">
        <f t="shared" si="2"/>
        <v>30681600</v>
      </c>
      <c r="AW19" s="41">
        <f t="shared" si="2"/>
        <v>57573500</v>
      </c>
      <c r="AX19" s="41">
        <f t="shared" si="2"/>
        <v>84537750</v>
      </c>
      <c r="AY19">
        <v>0</v>
      </c>
      <c r="AZ19" s="36">
        <f>AV19</f>
        <v>30681600</v>
      </c>
      <c r="BA19" s="36">
        <f>AZ19+AX19</f>
        <v>115219350</v>
      </c>
      <c r="BB19" s="41">
        <f t="shared" si="3"/>
        <v>8157300.0000000009</v>
      </c>
      <c r="BC19" s="41">
        <f t="shared" si="3"/>
        <v>15804357.26392252</v>
      </c>
      <c r="BD19" s="41">
        <f t="shared" si="3"/>
        <v>27760393.859715503</v>
      </c>
      <c r="BE19" s="6" t="s">
        <v>5</v>
      </c>
      <c r="BF19" s="41">
        <f t="shared" si="10"/>
        <v>38838900</v>
      </c>
      <c r="BG19" s="41">
        <f t="shared" si="4"/>
        <v>104059457.26392251</v>
      </c>
      <c r="BH19" s="41">
        <f t="shared" si="5"/>
        <v>227517493.85971549</v>
      </c>
      <c r="BI19" s="6"/>
    </row>
    <row r="20" spans="6:61" x14ac:dyDescent="0.2">
      <c r="AE20" s="6" t="s">
        <v>6</v>
      </c>
      <c r="AF20" s="10">
        <f>$AK$13</f>
        <v>1050</v>
      </c>
      <c r="AG20" s="10">
        <f>$AU$13-$AK$13</f>
        <v>1500</v>
      </c>
      <c r="AH20" s="10">
        <f>$BE$13-$AU$13</f>
        <v>1500</v>
      </c>
      <c r="AI20" s="10">
        <f t="shared" si="6"/>
        <v>1050</v>
      </c>
      <c r="AJ20" s="10">
        <f t="shared" si="7"/>
        <v>2550</v>
      </c>
      <c r="AK20" s="10">
        <f t="shared" si="8"/>
        <v>4050</v>
      </c>
      <c r="AN20" t="s">
        <v>85</v>
      </c>
      <c r="AO20" s="6" t="s">
        <v>6</v>
      </c>
      <c r="AP20" s="41">
        <f t="shared" ref="AP20:AU20" si="12">SUMPRODUCT(H$35,$N$35)</f>
        <v>110346</v>
      </c>
      <c r="AQ20" s="41">
        <f t="shared" si="12"/>
        <v>124463</v>
      </c>
      <c r="AR20" s="41">
        <f t="shared" si="12"/>
        <v>122033</v>
      </c>
      <c r="AS20" s="41">
        <f t="shared" si="12"/>
        <v>59142.857142857138</v>
      </c>
      <c r="AT20" s="41">
        <f t="shared" si="12"/>
        <v>42969.86336907644</v>
      </c>
      <c r="AU20" s="41">
        <f t="shared" si="12"/>
        <v>38955.703043929432</v>
      </c>
      <c r="AV20" s="41">
        <f t="shared" si="2"/>
        <v>115863300</v>
      </c>
      <c r="AW20" s="41">
        <f t="shared" si="2"/>
        <v>186694500</v>
      </c>
      <c r="AX20" s="41">
        <f t="shared" si="2"/>
        <v>183049500</v>
      </c>
      <c r="AY20">
        <v>0</v>
      </c>
      <c r="AZ20" s="36">
        <f>AV20</f>
        <v>115863300</v>
      </c>
      <c r="BA20" s="36">
        <f>AZ20+AX20</f>
        <v>298912800</v>
      </c>
      <c r="BB20" s="41">
        <f t="shared" si="3"/>
        <v>62099999.999999993</v>
      </c>
      <c r="BC20" s="41">
        <f t="shared" si="3"/>
        <v>109573151.59114492</v>
      </c>
      <c r="BD20" s="41">
        <f t="shared" si="3"/>
        <v>157770597.32791421</v>
      </c>
      <c r="BE20" s="6" t="s">
        <v>6</v>
      </c>
      <c r="BF20" s="41">
        <f t="shared" si="10"/>
        <v>177963300</v>
      </c>
      <c r="BG20" s="41">
        <f t="shared" si="4"/>
        <v>412130951.59114492</v>
      </c>
      <c r="BH20" s="41">
        <f t="shared" si="5"/>
        <v>639732897.32791424</v>
      </c>
      <c r="BI20" s="6"/>
    </row>
    <row r="21" spans="6:61" x14ac:dyDescent="0.2">
      <c r="AE21" s="6" t="s">
        <v>7</v>
      </c>
      <c r="AF21" s="10">
        <f>SUM(AF17:AF20)</f>
        <v>5305</v>
      </c>
      <c r="AG21" s="10">
        <f t="shared" ref="AG21:AK21" si="13">SUM(AG17:AG20)</f>
        <v>7007.5</v>
      </c>
      <c r="AH21" s="10">
        <f t="shared" si="13"/>
        <v>6034.5</v>
      </c>
      <c r="AI21" s="10">
        <f>SUM(AI17:AI20)</f>
        <v>5305</v>
      </c>
      <c r="AJ21" s="10">
        <f t="shared" si="13"/>
        <v>12312.5</v>
      </c>
      <c r="AK21" s="10">
        <f t="shared" si="13"/>
        <v>18347</v>
      </c>
      <c r="BE21" s="6" t="s">
        <v>7</v>
      </c>
      <c r="BF21" s="36">
        <f>SUM(BF17:BF20)</f>
        <v>959563462.92857146</v>
      </c>
      <c r="BG21" s="36">
        <f t="shared" ref="BG21:BH21" si="14">SUM(BG17:BG20)</f>
        <v>2201133849.5731902</v>
      </c>
      <c r="BH21" s="36">
        <f t="shared" si="14"/>
        <v>3138035142.9201889</v>
      </c>
    </row>
    <row r="22" spans="6:61" x14ac:dyDescent="0.2">
      <c r="AP22" s="45" t="s">
        <v>104</v>
      </c>
      <c r="AQ22" s="45"/>
      <c r="AR22" s="45"/>
      <c r="AS22" s="45" t="s">
        <v>81</v>
      </c>
      <c r="AT22" s="45"/>
      <c r="AU22" s="45"/>
      <c r="AV22" s="45" t="s">
        <v>103</v>
      </c>
      <c r="AW22" s="45"/>
      <c r="AX22" s="45"/>
      <c r="AY22" s="45" t="s">
        <v>105</v>
      </c>
      <c r="AZ22" s="45"/>
      <c r="BA22" s="45"/>
      <c r="BB22" s="45" t="s">
        <v>81</v>
      </c>
      <c r="BC22" s="45"/>
      <c r="BD22" s="45"/>
      <c r="BF22" s="45" t="s">
        <v>82</v>
      </c>
      <c r="BG22" s="45"/>
      <c r="BH22" s="45"/>
    </row>
    <row r="23" spans="6:61" x14ac:dyDescent="0.2">
      <c r="AP23" s="5">
        <v>2030</v>
      </c>
      <c r="AQ23" s="5">
        <v>2040</v>
      </c>
      <c r="AR23" s="5">
        <v>2050</v>
      </c>
      <c r="AS23" s="5">
        <v>2030</v>
      </c>
      <c r="AT23" s="5">
        <v>2040</v>
      </c>
      <c r="AU23" s="5">
        <v>2050</v>
      </c>
      <c r="AV23" s="5">
        <v>2030</v>
      </c>
      <c r="AW23" s="5">
        <v>2040</v>
      </c>
      <c r="AX23" s="5">
        <v>2050</v>
      </c>
      <c r="AY23" s="5">
        <v>2030</v>
      </c>
      <c r="AZ23" s="5">
        <v>2040</v>
      </c>
      <c r="BA23" s="5">
        <v>2050</v>
      </c>
      <c r="BB23" s="5">
        <v>2030</v>
      </c>
      <c r="BC23" s="5">
        <v>2040</v>
      </c>
      <c r="BD23" s="5">
        <v>2050</v>
      </c>
      <c r="BF23" s="5">
        <v>2030</v>
      </c>
      <c r="BG23" s="5">
        <v>2040</v>
      </c>
      <c r="BH23" s="5">
        <v>2050</v>
      </c>
    </row>
    <row r="24" spans="6:61" x14ac:dyDescent="0.2">
      <c r="AE24" s="6" t="s">
        <v>3</v>
      </c>
      <c r="AF24" s="10">
        <f>$AK$10</f>
        <v>1712.5</v>
      </c>
      <c r="AG24" s="10">
        <f>$AU$10-$AK$10</f>
        <v>2320</v>
      </c>
      <c r="AH24" s="10">
        <f>$BE$10-$AU$10</f>
        <v>1865</v>
      </c>
      <c r="AI24" s="10">
        <f>AF24</f>
        <v>1712.5</v>
      </c>
      <c r="AJ24" s="10">
        <f>AG24+AI24</f>
        <v>4032.5</v>
      </c>
      <c r="AK24" s="10">
        <f>AJ24+AH24</f>
        <v>5897.5</v>
      </c>
      <c r="AN24" t="s">
        <v>83</v>
      </c>
      <c r="AO24" s="6" t="s">
        <v>3</v>
      </c>
      <c r="AP24" s="41">
        <f t="shared" ref="AP24:AU24" si="15">SUMPRODUCT(H$36:H$37,$N$36:$N$37)</f>
        <v>179219.41629450818</v>
      </c>
      <c r="AQ24" s="41">
        <f t="shared" si="15"/>
        <v>181711.60064772444</v>
      </c>
      <c r="AR24" s="41">
        <f t="shared" si="15"/>
        <v>192143.18349939</v>
      </c>
      <c r="AS24" s="41">
        <f t="shared" si="15"/>
        <v>34377.705054479418</v>
      </c>
      <c r="AT24" s="41">
        <f t="shared" si="15"/>
        <v>21733.968296004841</v>
      </c>
      <c r="AU24" s="41">
        <f t="shared" si="15"/>
        <v>18846.218598668282</v>
      </c>
      <c r="AV24" s="41">
        <f t="shared" ref="AV24:AX27" si="16">AF24*AP24</f>
        <v>306913250.40434527</v>
      </c>
      <c r="AW24" s="41">
        <f t="shared" si="16"/>
        <v>421570913.50272071</v>
      </c>
      <c r="AX24" s="41">
        <f t="shared" si="16"/>
        <v>358347037.22636235</v>
      </c>
      <c r="AY24">
        <v>0</v>
      </c>
      <c r="AZ24" s="36">
        <f>AV24</f>
        <v>306913250.40434527</v>
      </c>
      <c r="BA24" s="36">
        <f>AZ24+AX24</f>
        <v>665260287.63070762</v>
      </c>
      <c r="BB24" s="41">
        <f t="shared" ref="BB24:BD27" si="17">AS24*AI24</f>
        <v>58871819.905796006</v>
      </c>
      <c r="BC24" s="41">
        <f t="shared" si="17"/>
        <v>87642227.153639525</v>
      </c>
      <c r="BD24" s="41">
        <f t="shared" si="17"/>
        <v>111145574.18564619</v>
      </c>
      <c r="BE24" s="6" t="s">
        <v>3</v>
      </c>
      <c r="BF24" s="41">
        <f>AV24+AY24+BB24</f>
        <v>365785070.31014127</v>
      </c>
      <c r="BG24" s="41">
        <f t="shared" ref="BG24:BG27" si="18">AW24+AZ24+BC24</f>
        <v>816126391.06070554</v>
      </c>
      <c r="BH24" s="41">
        <f t="shared" ref="BH24:BH27" si="19">AX24+BA24+BD24</f>
        <v>1134752899.0427163</v>
      </c>
    </row>
    <row r="25" spans="6:61" x14ac:dyDescent="0.2">
      <c r="AE25" s="6" t="s">
        <v>4</v>
      </c>
      <c r="AF25" s="10">
        <f>$AK$11</f>
        <v>2242.5</v>
      </c>
      <c r="AG25" s="10">
        <f>$AU$11-$AK$11</f>
        <v>2687.5</v>
      </c>
      <c r="AH25" s="10">
        <f>$BE$11-$AU$11</f>
        <v>1919.5</v>
      </c>
      <c r="AI25" s="10">
        <f t="shared" ref="AI25:AI27" si="20">AF25</f>
        <v>2242.5</v>
      </c>
      <c r="AJ25" s="10">
        <f t="shared" ref="AJ25:AJ27" si="21">AG25+AI25</f>
        <v>4930</v>
      </c>
      <c r="AK25" s="10">
        <f t="shared" ref="AK25:AK27" si="22">AJ25+AH25</f>
        <v>6849.5</v>
      </c>
      <c r="AN25" t="s">
        <v>83</v>
      </c>
      <c r="AO25" s="6" t="s">
        <v>4</v>
      </c>
      <c r="AP25" s="41">
        <f t="shared" ref="AP25:AU25" si="23">SUMPRODUCT(H$38:H$39,$N$38:$N$39)</f>
        <v>104364.63456621577</v>
      </c>
      <c r="AQ25" s="41">
        <f t="shared" si="23"/>
        <v>105060.49429052656</v>
      </c>
      <c r="AR25" s="41">
        <f t="shared" si="23"/>
        <v>99342.359724545648</v>
      </c>
      <c r="AS25" s="41">
        <f t="shared" si="23"/>
        <v>41974.20226565202</v>
      </c>
      <c r="AT25" s="41">
        <f t="shared" si="23"/>
        <v>26536.558500518848</v>
      </c>
      <c r="AU25" s="41">
        <f t="shared" si="23"/>
        <v>23010.698071601524</v>
      </c>
      <c r="AV25" s="41">
        <f t="shared" si="16"/>
        <v>234037693.01473886</v>
      </c>
      <c r="AW25" s="41">
        <f t="shared" si="16"/>
        <v>282350078.40579015</v>
      </c>
      <c r="AX25" s="41">
        <f t="shared" si="16"/>
        <v>190687659.49126536</v>
      </c>
      <c r="AY25">
        <v>0</v>
      </c>
      <c r="AZ25" s="36">
        <f>AV25</f>
        <v>234037693.01473886</v>
      </c>
      <c r="BA25" s="36">
        <f>AZ25+AX25</f>
        <v>424725352.50600421</v>
      </c>
      <c r="BB25" s="41">
        <f t="shared" si="17"/>
        <v>94127148.580724657</v>
      </c>
      <c r="BC25" s="41">
        <f t="shared" si="17"/>
        <v>130825233.40755792</v>
      </c>
      <c r="BD25" s="41">
        <f t="shared" si="17"/>
        <v>157611776.44143465</v>
      </c>
      <c r="BE25" s="6" t="s">
        <v>4</v>
      </c>
      <c r="BF25" s="41">
        <f t="shared" ref="BF25:BF27" si="24">AV25+AY25+BB25</f>
        <v>328164841.59546351</v>
      </c>
      <c r="BG25" s="41">
        <f t="shared" si="18"/>
        <v>647213004.82808697</v>
      </c>
      <c r="BH25" s="41">
        <f t="shared" si="19"/>
        <v>773024788.43870425</v>
      </c>
    </row>
    <row r="26" spans="6:61" x14ac:dyDescent="0.2">
      <c r="AE26" s="6" t="s">
        <v>5</v>
      </c>
      <c r="AF26" s="10">
        <f>$AK$12</f>
        <v>300</v>
      </c>
      <c r="AG26" s="10">
        <f>$AU$12-$AK$12</f>
        <v>500</v>
      </c>
      <c r="AH26" s="10">
        <f>$BE$12-$AU$12</f>
        <v>750</v>
      </c>
      <c r="AI26" s="10">
        <f t="shared" si="20"/>
        <v>300</v>
      </c>
      <c r="AJ26" s="10">
        <f t="shared" si="21"/>
        <v>800</v>
      </c>
      <c r="AK26" s="10">
        <f t="shared" si="22"/>
        <v>1550</v>
      </c>
      <c r="AN26" t="s">
        <v>83</v>
      </c>
      <c r="AO26" s="6" t="s">
        <v>5</v>
      </c>
      <c r="AP26" s="41">
        <f t="shared" ref="AP26:AU26" si="25">SUMPRODUCT(H$40,$N$40)</f>
        <v>95793.499233155337</v>
      </c>
      <c r="AQ26" s="41">
        <f t="shared" si="25"/>
        <v>96922.651412660838</v>
      </c>
      <c r="AR26" s="41">
        <f t="shared" si="25"/>
        <v>92055.021054518351</v>
      </c>
      <c r="AS26" s="41">
        <f t="shared" si="25"/>
        <v>25178.833081113808</v>
      </c>
      <c r="AT26" s="41">
        <f t="shared" si="25"/>
        <v>15918.338907384988</v>
      </c>
      <c r="AU26" s="41">
        <f t="shared" si="25"/>
        <v>13803.300469128333</v>
      </c>
      <c r="AV26" s="41">
        <f t="shared" si="16"/>
        <v>28738049.769946601</v>
      </c>
      <c r="AW26" s="41">
        <f t="shared" si="16"/>
        <v>48461325.706330419</v>
      </c>
      <c r="AX26" s="41">
        <f t="shared" si="16"/>
        <v>69041265.790888757</v>
      </c>
      <c r="AY26">
        <v>0</v>
      </c>
      <c r="AZ26" s="36">
        <f>AV26</f>
        <v>28738049.769946601</v>
      </c>
      <c r="BA26" s="36">
        <f>AZ26+AX26</f>
        <v>97779315.560835361</v>
      </c>
      <c r="BB26" s="41">
        <f t="shared" si="17"/>
        <v>7553649.9243341424</v>
      </c>
      <c r="BC26" s="41">
        <f t="shared" si="17"/>
        <v>12734671.125907991</v>
      </c>
      <c r="BD26" s="41">
        <f t="shared" si="17"/>
        <v>21395115.727148917</v>
      </c>
      <c r="BE26" s="6" t="s">
        <v>5</v>
      </c>
      <c r="BF26" s="41">
        <f t="shared" si="24"/>
        <v>36291699.694280744</v>
      </c>
      <c r="BG26" s="41">
        <f t="shared" si="18"/>
        <v>89934046.602185011</v>
      </c>
      <c r="BH26" s="41">
        <f t="shared" si="19"/>
        <v>188215697.07887304</v>
      </c>
    </row>
    <row r="27" spans="6:61" x14ac:dyDescent="0.2">
      <c r="AE27" s="6" t="s">
        <v>6</v>
      </c>
      <c r="AF27" s="10">
        <f>$AK$13</f>
        <v>1050</v>
      </c>
      <c r="AG27" s="10">
        <f>$AU$13-$AK$13</f>
        <v>1500</v>
      </c>
      <c r="AH27" s="10">
        <f>$BE$13-$AU$13</f>
        <v>1500</v>
      </c>
      <c r="AI27" s="10">
        <f t="shared" si="20"/>
        <v>1050</v>
      </c>
      <c r="AJ27" s="10">
        <f t="shared" si="21"/>
        <v>2550</v>
      </c>
      <c r="AK27" s="10">
        <f t="shared" si="22"/>
        <v>4050</v>
      </c>
      <c r="AN27" t="s">
        <v>83</v>
      </c>
      <c r="AO27" s="6" t="s">
        <v>6</v>
      </c>
      <c r="AP27" s="41">
        <f t="shared" ref="AP27:AU27" si="26">SUMPRODUCT(H$41,$N$41)</f>
        <v>103356.0453142772</v>
      </c>
      <c r="AQ27" s="41">
        <f t="shared" si="26"/>
        <v>104764.20543109247</v>
      </c>
      <c r="AR27" s="41">
        <f t="shared" si="26"/>
        <v>99663.319502346916</v>
      </c>
      <c r="AS27" s="41">
        <f t="shared" si="26"/>
        <v>54766.214112763744</v>
      </c>
      <c r="AT27" s="41">
        <f t="shared" si="26"/>
        <v>34623.810965063989</v>
      </c>
      <c r="AU27" s="41">
        <f t="shared" si="26"/>
        <v>30023.413178830851</v>
      </c>
      <c r="AV27" s="41">
        <f t="shared" si="16"/>
        <v>108523847.57999106</v>
      </c>
      <c r="AW27" s="41">
        <f t="shared" si="16"/>
        <v>157146308.14663872</v>
      </c>
      <c r="AX27" s="41">
        <f t="shared" si="16"/>
        <v>149494979.25352037</v>
      </c>
      <c r="AY27">
        <v>0</v>
      </c>
      <c r="AZ27" s="36">
        <f>AV27</f>
        <v>108523847.57999106</v>
      </c>
      <c r="BA27" s="36">
        <f>AZ27+AX27</f>
        <v>258018826.83351141</v>
      </c>
      <c r="BB27" s="41">
        <f t="shared" si="17"/>
        <v>57504524.818401933</v>
      </c>
      <c r="BC27" s="41">
        <f t="shared" si="17"/>
        <v>88290717.960913166</v>
      </c>
      <c r="BD27" s="41">
        <f t="shared" si="17"/>
        <v>121594823.37426496</v>
      </c>
      <c r="BE27" s="6" t="s">
        <v>6</v>
      </c>
      <c r="BF27" s="41">
        <f t="shared" si="24"/>
        <v>166028372.39839298</v>
      </c>
      <c r="BG27" s="41">
        <f t="shared" si="18"/>
        <v>353960873.68754297</v>
      </c>
      <c r="BH27" s="41">
        <f t="shared" si="19"/>
        <v>529108629.46129674</v>
      </c>
    </row>
    <row r="28" spans="6:61" x14ac:dyDescent="0.2">
      <c r="AE28" s="6" t="s">
        <v>7</v>
      </c>
      <c r="AF28" s="10">
        <f>SUM(AF24:AF27)</f>
        <v>5305</v>
      </c>
      <c r="AG28" s="10">
        <f t="shared" ref="AG28:AH28" si="27">SUM(AG24:AG27)</f>
        <v>7007.5</v>
      </c>
      <c r="AH28" s="10">
        <f t="shared" si="27"/>
        <v>6034.5</v>
      </c>
      <c r="AI28" s="10">
        <f>SUM(AI24:AI27)</f>
        <v>5305</v>
      </c>
      <c r="AJ28" s="10">
        <f t="shared" ref="AJ28:AK28" si="28">SUM(AJ24:AJ27)</f>
        <v>12312.5</v>
      </c>
      <c r="AK28" s="10">
        <f t="shared" si="28"/>
        <v>18347</v>
      </c>
      <c r="BE28" s="6" t="s">
        <v>7</v>
      </c>
      <c r="BF28" s="36">
        <f>SUM(BF24:BF27)</f>
        <v>896269983.99827862</v>
      </c>
      <c r="BG28" s="36">
        <f t="shared" ref="BG28:BH28" si="29">SUM(BG24:BG27)</f>
        <v>1907234316.1785204</v>
      </c>
      <c r="BH28" s="36">
        <f t="shared" si="29"/>
        <v>2625102014.0215902</v>
      </c>
    </row>
    <row r="29" spans="6:61" x14ac:dyDescent="0.2">
      <c r="H29" t="s">
        <v>97</v>
      </c>
      <c r="I29" t="s">
        <v>96</v>
      </c>
      <c r="J29" t="s">
        <v>95</v>
      </c>
      <c r="K29" t="s">
        <v>98</v>
      </c>
      <c r="L29" t="s">
        <v>99</v>
      </c>
      <c r="M29" t="s">
        <v>100</v>
      </c>
      <c r="Q29" s="42"/>
      <c r="AP29" s="45" t="s">
        <v>104</v>
      </c>
      <c r="AQ29" s="45"/>
      <c r="AR29" s="45"/>
      <c r="AS29" s="45" t="s">
        <v>81</v>
      </c>
      <c r="AT29" s="45"/>
      <c r="AU29" s="45"/>
      <c r="AV29" s="45" t="s">
        <v>103</v>
      </c>
      <c r="AW29" s="45"/>
      <c r="AX29" s="45"/>
      <c r="AY29" s="45" t="s">
        <v>105</v>
      </c>
      <c r="AZ29" s="45"/>
      <c r="BA29" s="45"/>
      <c r="BB29" s="45" t="s">
        <v>81</v>
      </c>
      <c r="BC29" s="45"/>
      <c r="BD29" s="45"/>
      <c r="BF29" s="45" t="s">
        <v>82</v>
      </c>
      <c r="BG29" s="45"/>
      <c r="BH29" s="45"/>
    </row>
    <row r="30" spans="6:61" x14ac:dyDescent="0.2">
      <c r="F30" t="s">
        <v>85</v>
      </c>
      <c r="G30" t="s">
        <v>55</v>
      </c>
      <c r="H30" s="41">
        <f>_xlfn.XLOOKUP(HighDG!$G30,'SAM Assumption'!$A$2:$A$20,'SAM Assumption'!Y$2:Y$20)</f>
        <v>187911</v>
      </c>
      <c r="I30" s="41">
        <f>_xlfn.XLOOKUP(HighDG!$G30,'SAM Assumption'!$A$2:$A$20,'SAM Assumption'!Z$2:Z$20)</f>
        <v>212010</v>
      </c>
      <c r="J30" s="41">
        <f>_xlfn.XLOOKUP(HighDG!$G30,'SAM Assumption'!$A$2:$A$20,'SAM Assumption'!AA$2:AA$20)</f>
        <v>231054</v>
      </c>
      <c r="K30" s="41">
        <f>_xlfn.XLOOKUP(HighDG!$G30,'SAM Assumption'!$A$2:$A$20,'SAM Assumption'!AB$2:AB$20)</f>
        <v>37125</v>
      </c>
      <c r="L30" s="29">
        <f t="shared" ref="L30:L35" si="30">K30*$O$52</f>
        <v>26972.930538740919</v>
      </c>
      <c r="M30" s="29">
        <f t="shared" ref="M30:M35" si="31">K30*$P$52</f>
        <v>24453.172291162227</v>
      </c>
      <c r="N30">
        <v>0.4</v>
      </c>
      <c r="O30" s="36"/>
      <c r="P30" s="36"/>
      <c r="Q30" s="36"/>
      <c r="AP30" s="5">
        <v>2030</v>
      </c>
      <c r="AQ30" s="5">
        <v>2040</v>
      </c>
      <c r="AR30" s="5">
        <v>2050</v>
      </c>
      <c r="AS30" s="5">
        <v>2030</v>
      </c>
      <c r="AT30" s="5">
        <v>2040</v>
      </c>
      <c r="AU30" s="5">
        <v>2050</v>
      </c>
      <c r="AV30" s="5">
        <v>2030</v>
      </c>
      <c r="AW30" s="5">
        <v>2040</v>
      </c>
      <c r="AX30" s="5">
        <v>2050</v>
      </c>
      <c r="AY30" s="5">
        <v>2030</v>
      </c>
      <c r="AZ30" s="5">
        <v>2040</v>
      </c>
      <c r="BA30" s="5">
        <v>2050</v>
      </c>
      <c r="BB30" s="5">
        <v>2030</v>
      </c>
      <c r="BC30" s="5">
        <v>2040</v>
      </c>
      <c r="BD30" s="5">
        <v>2050</v>
      </c>
      <c r="BF30" s="5">
        <v>2030</v>
      </c>
      <c r="BG30" s="5">
        <v>2040</v>
      </c>
      <c r="BH30" s="5">
        <v>2050</v>
      </c>
    </row>
    <row r="31" spans="6:61" x14ac:dyDescent="0.2">
      <c r="F31" t="s">
        <v>85</v>
      </c>
      <c r="G31" t="s">
        <v>56</v>
      </c>
      <c r="H31" s="41">
        <f>_xlfn.XLOOKUP(HighDG!$G31,'SAM Assumption'!$A$2:$A$20,'SAM Assumption'!Y$2:Y$20)</f>
        <v>193626</v>
      </c>
      <c r="I31" s="41">
        <f>_xlfn.XLOOKUP(HighDG!$G31,'SAM Assumption'!$A$2:$A$20,'SAM Assumption'!Z$2:Z$20)</f>
        <v>218458</v>
      </c>
      <c r="J31" s="41">
        <f>_xlfn.XLOOKUP(HighDG!$G31,'SAM Assumption'!$A$2:$A$20,'SAM Assumption'!AA$2:AA$20)</f>
        <v>238081</v>
      </c>
      <c r="K31" s="41">
        <f>_xlfn.XLOOKUP(HighDG!$G31,'SAM Assumption'!$A$2:$A$20,'SAM Assumption'!AB$2:AB$20)</f>
        <v>37125</v>
      </c>
      <c r="L31" s="29">
        <f t="shared" si="30"/>
        <v>26972.930538740919</v>
      </c>
      <c r="M31" s="29">
        <f t="shared" si="31"/>
        <v>24453.172291162227</v>
      </c>
      <c r="N31">
        <v>0.6</v>
      </c>
      <c r="O31" s="36"/>
      <c r="P31" s="36"/>
      <c r="Q31" s="36"/>
      <c r="AE31" s="6" t="s">
        <v>3</v>
      </c>
      <c r="AF31" s="10">
        <f>$AK$10</f>
        <v>1712.5</v>
      </c>
      <c r="AG31" s="10">
        <f>$AU$10-$AK$10</f>
        <v>2320</v>
      </c>
      <c r="AH31" s="10">
        <f>$BE$10-$AU$10</f>
        <v>1865</v>
      </c>
      <c r="AI31" s="10">
        <f>AF31</f>
        <v>1712.5</v>
      </c>
      <c r="AJ31" s="10">
        <f>AG31+AI31</f>
        <v>4032.5</v>
      </c>
      <c r="AK31" s="10">
        <f>AJ31+AH31</f>
        <v>5897.5</v>
      </c>
      <c r="AN31" t="s">
        <v>84</v>
      </c>
      <c r="AO31" s="6" t="s">
        <v>3</v>
      </c>
      <c r="AP31" s="41">
        <f t="shared" ref="AP31:AU31" si="32">SUMPRODUCT(H$42:H$43,$N$42:$N$43)</f>
        <v>222904.56544902109</v>
      </c>
      <c r="AQ31" s="41">
        <f t="shared" si="32"/>
        <v>286944.29873604025</v>
      </c>
      <c r="AR31" s="41">
        <f t="shared" si="32"/>
        <v>288011.44829474157</v>
      </c>
      <c r="AS31" s="41">
        <f t="shared" si="32"/>
        <v>44282.574152542373</v>
      </c>
      <c r="AT31" s="41">
        <f t="shared" si="32"/>
        <v>37872.219279661018</v>
      </c>
      <c r="AU31" s="41">
        <f t="shared" si="32"/>
        <v>31310.173274818404</v>
      </c>
      <c r="AV31" s="41">
        <f t="shared" ref="AV31:AX34" si="33">AF31*AP31</f>
        <v>381724068.33144861</v>
      </c>
      <c r="AW31" s="41">
        <f t="shared" si="33"/>
        <v>665710773.06761336</v>
      </c>
      <c r="AX31" s="41">
        <f t="shared" si="33"/>
        <v>537141351.06969297</v>
      </c>
      <c r="AY31">
        <v>0</v>
      </c>
      <c r="AZ31" s="36">
        <f>AV31</f>
        <v>381724068.33144861</v>
      </c>
      <c r="BA31" s="36">
        <f>AZ31+AX31</f>
        <v>918865419.40114164</v>
      </c>
      <c r="BB31" s="41">
        <f t="shared" ref="BB31:BD34" si="34">AS31*AI31</f>
        <v>75833908.236228809</v>
      </c>
      <c r="BC31" s="41">
        <f t="shared" si="34"/>
        <v>152719724.24523306</v>
      </c>
      <c r="BD31" s="41">
        <f t="shared" si="34"/>
        <v>184651746.88824153</v>
      </c>
      <c r="BE31" s="6" t="s">
        <v>3</v>
      </c>
      <c r="BF31" s="41">
        <f>AV31+AY31+BB31</f>
        <v>457557976.56767744</v>
      </c>
      <c r="BG31" s="41">
        <f t="shared" ref="BG31:BG34" si="35">AW31+AZ31+BC31</f>
        <v>1200154565.644295</v>
      </c>
      <c r="BH31" s="41">
        <f t="shared" ref="BH31:BH34" si="36">AX31+BA31+BD31</f>
        <v>1640658517.3590763</v>
      </c>
    </row>
    <row r="32" spans="6:61" x14ac:dyDescent="0.2">
      <c r="F32" t="s">
        <v>85</v>
      </c>
      <c r="G32" t="s">
        <v>41</v>
      </c>
      <c r="H32" s="41">
        <f>_xlfn.XLOOKUP(HighDG!$G32,'SAM Assumption'!$A$2:$A$20,'SAM Assumption'!Y$2:Y$20)</f>
        <v>113038</v>
      </c>
      <c r="I32" s="41">
        <f>_xlfn.XLOOKUP(HighDG!$G32,'SAM Assumption'!$A$2:$A$20,'SAM Assumption'!Z$2:Z$20)</f>
        <v>126678</v>
      </c>
      <c r="J32" s="41">
        <f>_xlfn.XLOOKUP(HighDG!$G32,'SAM Assumption'!$A$2:$A$20,'SAM Assumption'!AA$2:AA$20)</f>
        <v>123503</v>
      </c>
      <c r="K32" s="41">
        <f>_xlfn.XLOOKUP(HighDG!$G32,'SAM Assumption'!$A$2:$A$20,'SAM Assumption'!AB$2:AB$20)</f>
        <v>22571.428571428569</v>
      </c>
      <c r="L32" s="29">
        <f t="shared" si="30"/>
        <v>16399.126599792457</v>
      </c>
      <c r="M32" s="29">
        <f t="shared" si="31"/>
        <v>14867.152369422343</v>
      </c>
      <c r="N32">
        <v>0.4</v>
      </c>
      <c r="O32" s="36"/>
      <c r="P32" s="36"/>
      <c r="Q32" s="36"/>
      <c r="AE32" s="6" t="s">
        <v>4</v>
      </c>
      <c r="AF32" s="10">
        <f>$AK$11</f>
        <v>2242.5</v>
      </c>
      <c r="AG32" s="10">
        <f>$AU$11-$AK$11</f>
        <v>2687.5</v>
      </c>
      <c r="AH32" s="10">
        <f>$BE$11-$AU$11</f>
        <v>1919.5</v>
      </c>
      <c r="AI32" s="10">
        <f t="shared" ref="AI32:AI34" si="37">AF32</f>
        <v>2242.5</v>
      </c>
      <c r="AJ32" s="10">
        <f t="shared" ref="AJ32:AJ34" si="38">AG32+AI32</f>
        <v>4930</v>
      </c>
      <c r="AK32" s="10">
        <f t="shared" ref="AK32:AK34" si="39">AJ32+AH32</f>
        <v>6849.5</v>
      </c>
      <c r="AN32" t="s">
        <v>84</v>
      </c>
      <c r="AO32" s="6" t="s">
        <v>4</v>
      </c>
      <c r="AP32" s="41">
        <f t="shared" ref="AP32:AU32" si="40">SUMPRODUCT(H$44:H$45,$N$44:$N$45)</f>
        <v>129803.75674251691</v>
      </c>
      <c r="AQ32" s="41">
        <f t="shared" si="40"/>
        <v>165903.05600521617</v>
      </c>
      <c r="AR32" s="41">
        <f t="shared" si="40"/>
        <v>148908.41496531377</v>
      </c>
      <c r="AS32" s="41">
        <f t="shared" si="40"/>
        <v>54067.766343825657</v>
      </c>
      <c r="AT32" s="41">
        <f t="shared" si="40"/>
        <v>46240.904963680383</v>
      </c>
      <c r="AU32" s="41">
        <f t="shared" si="40"/>
        <v>38228.833016257347</v>
      </c>
      <c r="AV32" s="41">
        <f t="shared" si="33"/>
        <v>291084924.49509418</v>
      </c>
      <c r="AW32" s="41">
        <f t="shared" si="33"/>
        <v>445864463.01401848</v>
      </c>
      <c r="AX32" s="41">
        <f t="shared" si="33"/>
        <v>285829702.5259198</v>
      </c>
      <c r="AY32">
        <v>0</v>
      </c>
      <c r="AZ32" s="36">
        <f>AV32</f>
        <v>291084924.49509418</v>
      </c>
      <c r="BA32" s="36">
        <f>AZ32+AX32</f>
        <v>576914627.02101398</v>
      </c>
      <c r="BB32" s="41">
        <f t="shared" si="34"/>
        <v>121246966.02602904</v>
      </c>
      <c r="BC32" s="41">
        <f t="shared" si="34"/>
        <v>227967661.47094429</v>
      </c>
      <c r="BD32" s="41">
        <f t="shared" si="34"/>
        <v>261848391.74485469</v>
      </c>
      <c r="BE32" s="6" t="s">
        <v>4</v>
      </c>
      <c r="BF32" s="41">
        <f t="shared" ref="BF32:BF34" si="41">AV32+AY32+BB32</f>
        <v>412331890.52112323</v>
      </c>
      <c r="BG32" s="41">
        <f t="shared" si="35"/>
        <v>964917048.98005688</v>
      </c>
      <c r="BH32" s="41">
        <f t="shared" si="36"/>
        <v>1124592721.2917886</v>
      </c>
    </row>
    <row r="33" spans="6:64" x14ac:dyDescent="0.2">
      <c r="F33" t="s">
        <v>85</v>
      </c>
      <c r="G33" t="s">
        <v>47</v>
      </c>
      <c r="H33" s="41">
        <f>_xlfn.XLOOKUP(HighDG!$G33,'SAM Assumption'!$A$2:$A$20,'SAM Assumption'!Y$2:Y$20)</f>
        <v>110346</v>
      </c>
      <c r="I33" s="41">
        <f>_xlfn.XLOOKUP(HighDG!$G33,'SAM Assumption'!$A$2:$A$20,'SAM Assumption'!Z$2:Z$20)</f>
        <v>123573</v>
      </c>
      <c r="J33" s="41">
        <f>_xlfn.XLOOKUP(HighDG!$G33,'SAM Assumption'!$A$2:$A$20,'SAM Assumption'!AA$2:AA$20)</f>
        <v>120398</v>
      </c>
      <c r="K33" s="41">
        <f>_xlfn.XLOOKUP(HighDG!$G33,'SAM Assumption'!$A$2:$A$20,'SAM Assumption'!AB$2:AB$20)</f>
        <v>60500</v>
      </c>
      <c r="L33" s="29">
        <f t="shared" si="30"/>
        <v>43955.886803874091</v>
      </c>
      <c r="M33" s="29">
        <f t="shared" si="31"/>
        <v>39849.614104116226</v>
      </c>
      <c r="N33">
        <v>0.6</v>
      </c>
      <c r="O33" s="36"/>
      <c r="P33" s="36"/>
      <c r="Q33" s="36"/>
      <c r="AE33" s="6" t="s">
        <v>5</v>
      </c>
      <c r="AF33" s="10">
        <f>$AK$12</f>
        <v>300</v>
      </c>
      <c r="AG33" s="10">
        <f>$AU$12-$AK$12</f>
        <v>500</v>
      </c>
      <c r="AH33" s="10">
        <f>$BE$12-$AU$12</f>
        <v>750</v>
      </c>
      <c r="AI33" s="10">
        <f t="shared" si="37"/>
        <v>300</v>
      </c>
      <c r="AJ33" s="10">
        <f t="shared" si="38"/>
        <v>800</v>
      </c>
      <c r="AK33" s="10">
        <f t="shared" si="39"/>
        <v>1550</v>
      </c>
      <c r="AN33" t="s">
        <v>84</v>
      </c>
      <c r="AO33" s="6" t="s">
        <v>5</v>
      </c>
      <c r="AP33" s="41">
        <f t="shared" ref="AP33:AU33" si="42">SUMPRODUCT(H$46,$N$46)</f>
        <v>119143.38725620511</v>
      </c>
      <c r="AQ33" s="41">
        <f t="shared" si="42"/>
        <v>153052.43111671376</v>
      </c>
      <c r="AR33" s="41">
        <f t="shared" si="42"/>
        <v>137985.11846140475</v>
      </c>
      <c r="AS33" s="41">
        <f t="shared" si="42"/>
        <v>32433.332627118649</v>
      </c>
      <c r="AT33" s="41">
        <f t="shared" si="42"/>
        <v>27738.276483050853</v>
      </c>
      <c r="AU33" s="41">
        <f t="shared" si="42"/>
        <v>22932.119098062962</v>
      </c>
      <c r="AV33" s="41">
        <f t="shared" si="33"/>
        <v>35743016.176861532</v>
      </c>
      <c r="AW33" s="41">
        <f t="shared" si="33"/>
        <v>76526215.558356881</v>
      </c>
      <c r="AX33" s="41">
        <f t="shared" si="33"/>
        <v>103488838.84605357</v>
      </c>
      <c r="AY33">
        <v>0</v>
      </c>
      <c r="AZ33" s="36">
        <f>AV33</f>
        <v>35743016.176861532</v>
      </c>
      <c r="BA33" s="36">
        <f>AZ33+AX33</f>
        <v>139231855.0229151</v>
      </c>
      <c r="BB33" s="41">
        <f t="shared" si="34"/>
        <v>9729999.7881355938</v>
      </c>
      <c r="BC33" s="41">
        <f t="shared" si="34"/>
        <v>22190621.186440684</v>
      </c>
      <c r="BD33" s="41">
        <f t="shared" si="34"/>
        <v>35544784.601997592</v>
      </c>
      <c r="BE33" s="6" t="s">
        <v>5</v>
      </c>
      <c r="BF33" s="41">
        <f t="shared" si="41"/>
        <v>45473015.964997128</v>
      </c>
      <c r="BG33" s="41">
        <f t="shared" si="35"/>
        <v>134459852.92165908</v>
      </c>
      <c r="BH33" s="41">
        <f t="shared" si="36"/>
        <v>278265478.47096628</v>
      </c>
    </row>
    <row r="34" spans="6:64" x14ac:dyDescent="0.2">
      <c r="F34" t="s">
        <v>85</v>
      </c>
      <c r="G34" t="s">
        <v>52</v>
      </c>
      <c r="H34" s="41">
        <f>_xlfn.XLOOKUP(HighDG!$G34,'SAM Assumption'!$A$2:$A$20,'SAM Assumption'!Y$2:Y$20)</f>
        <v>102272</v>
      </c>
      <c r="I34" s="41">
        <f>_xlfn.XLOOKUP(HighDG!$G34,'SAM Assumption'!$A$2:$A$20,'SAM Assumption'!Z$2:Z$20)</f>
        <v>115147</v>
      </c>
      <c r="J34" s="41">
        <f>_xlfn.XLOOKUP(HighDG!$G34,'SAM Assumption'!$A$2:$A$20,'SAM Assumption'!AA$2:AA$20)</f>
        <v>112717</v>
      </c>
      <c r="K34" s="41">
        <f>_xlfn.XLOOKUP(HighDG!$G34,'SAM Assumption'!$A$2:$A$20,'SAM Assumption'!AB$2:AB$20)</f>
        <v>27191.000000000004</v>
      </c>
      <c r="L34" s="29">
        <f t="shared" si="30"/>
        <v>19755.44657990315</v>
      </c>
      <c r="M34" s="29">
        <f t="shared" si="31"/>
        <v>17909.931522397099</v>
      </c>
      <c r="N34">
        <v>1</v>
      </c>
      <c r="O34" s="36"/>
      <c r="P34" s="36"/>
      <c r="Q34" s="36"/>
      <c r="AE34" s="6" t="s">
        <v>6</v>
      </c>
      <c r="AF34" s="10">
        <f>$AK$13</f>
        <v>1050</v>
      </c>
      <c r="AG34" s="10">
        <f>$AU$13-$AK$13</f>
        <v>1500</v>
      </c>
      <c r="AH34" s="10">
        <f>$BE$13-$AU$13</f>
        <v>1500</v>
      </c>
      <c r="AI34" s="10">
        <f t="shared" si="37"/>
        <v>1050</v>
      </c>
      <c r="AJ34" s="10">
        <f t="shared" si="38"/>
        <v>2550</v>
      </c>
      <c r="AK34" s="10">
        <f t="shared" si="39"/>
        <v>4050</v>
      </c>
      <c r="AN34" t="s">
        <v>84</v>
      </c>
      <c r="AO34" s="6" t="s">
        <v>6</v>
      </c>
      <c r="AP34" s="41">
        <f t="shared" ref="AP34:AU34" si="43">SUMPRODUCT(H$47,$N$47)</f>
        <v>128549.32151686883</v>
      </c>
      <c r="AQ34" s="41">
        <f t="shared" si="43"/>
        <v>165435.18054382261</v>
      </c>
      <c r="AR34" s="41">
        <f t="shared" si="43"/>
        <v>149389.51499064564</v>
      </c>
      <c r="AS34" s="41">
        <f t="shared" si="43"/>
        <v>70545.399515738492</v>
      </c>
      <c r="AT34" s="41">
        <f t="shared" si="43"/>
        <v>60333.232445520582</v>
      </c>
      <c r="AU34" s="41">
        <f t="shared" si="43"/>
        <v>49879.410238671735</v>
      </c>
      <c r="AV34" s="41">
        <f t="shared" si="33"/>
        <v>134976787.59271228</v>
      </c>
      <c r="AW34" s="41">
        <f t="shared" si="33"/>
        <v>248152770.81573391</v>
      </c>
      <c r="AX34" s="41">
        <f t="shared" si="33"/>
        <v>224084272.48596844</v>
      </c>
      <c r="AY34">
        <v>0</v>
      </c>
      <c r="AZ34" s="36">
        <f>AV34</f>
        <v>134976787.59271228</v>
      </c>
      <c r="BA34" s="36">
        <f>AZ34+AX34</f>
        <v>359061060.07868075</v>
      </c>
      <c r="BB34" s="41">
        <f t="shared" si="34"/>
        <v>74072669.491525412</v>
      </c>
      <c r="BC34" s="41">
        <f t="shared" si="34"/>
        <v>153849742.73607749</v>
      </c>
      <c r="BD34" s="41">
        <f t="shared" si="34"/>
        <v>202011611.46662053</v>
      </c>
      <c r="BE34" s="6" t="s">
        <v>6</v>
      </c>
      <c r="BF34" s="41">
        <f t="shared" si="41"/>
        <v>209049457.08423769</v>
      </c>
      <c r="BG34" s="41">
        <f t="shared" si="35"/>
        <v>536979301.14452362</v>
      </c>
      <c r="BH34" s="41">
        <f t="shared" si="36"/>
        <v>785156944.03126979</v>
      </c>
    </row>
    <row r="35" spans="6:64" x14ac:dyDescent="0.2">
      <c r="F35" t="s">
        <v>85</v>
      </c>
      <c r="G35" t="s">
        <v>49</v>
      </c>
      <c r="H35" s="41">
        <f>_xlfn.XLOOKUP(HighDG!$G35,'SAM Assumption'!$A$2:$A$20,'SAM Assumption'!Y$2:Y$20)</f>
        <v>110346</v>
      </c>
      <c r="I35" s="41">
        <f>_xlfn.XLOOKUP(HighDG!$G35,'SAM Assumption'!$A$2:$A$20,'SAM Assumption'!Z$2:Z$20)</f>
        <v>124463</v>
      </c>
      <c r="J35" s="41">
        <f>_xlfn.XLOOKUP(HighDG!$G35,'SAM Assumption'!$A$2:$A$20,'SAM Assumption'!AA$2:AA$20)</f>
        <v>122033</v>
      </c>
      <c r="K35" s="41">
        <f>_xlfn.XLOOKUP(HighDG!$G35,'SAM Assumption'!$A$2:$A$20,'SAM Assumption'!AB$2:AB$20)</f>
        <v>59142.857142857138</v>
      </c>
      <c r="L35" s="29">
        <f t="shared" si="30"/>
        <v>42969.86336907644</v>
      </c>
      <c r="M35" s="29">
        <f t="shared" si="31"/>
        <v>38955.703043929432</v>
      </c>
      <c r="N35">
        <v>1</v>
      </c>
      <c r="O35" s="36"/>
      <c r="P35" s="36"/>
      <c r="Q35" s="36"/>
      <c r="AE35" s="6" t="s">
        <v>7</v>
      </c>
      <c r="AF35" s="10">
        <f>SUM(AF31:AF34)</f>
        <v>5305</v>
      </c>
      <c r="AG35" s="10">
        <f t="shared" ref="AG35:AH35" si="44">SUM(AG31:AG34)</f>
        <v>7007.5</v>
      </c>
      <c r="AH35" s="10">
        <f t="shared" si="44"/>
        <v>6034.5</v>
      </c>
      <c r="AI35" s="10">
        <f>SUM(AI31:AI34)</f>
        <v>5305</v>
      </c>
      <c r="AJ35" s="10">
        <f t="shared" ref="AJ35:AK35" si="45">SUM(AJ31:AJ34)</f>
        <v>12312.5</v>
      </c>
      <c r="AK35" s="10">
        <f t="shared" si="45"/>
        <v>18347</v>
      </c>
      <c r="BE35" s="6" t="s">
        <v>7</v>
      </c>
      <c r="BF35" s="36">
        <f>SUM(BF31:BF34)</f>
        <v>1124412340.1380355</v>
      </c>
      <c r="BG35" s="36">
        <f t="shared" ref="BG35:BH35" si="46">SUM(BG31:BG34)</f>
        <v>2836510768.6905346</v>
      </c>
      <c r="BH35" s="36">
        <f t="shared" si="46"/>
        <v>3828673661.153101</v>
      </c>
    </row>
    <row r="36" spans="6:64" x14ac:dyDescent="0.2">
      <c r="F36" t="s">
        <v>83</v>
      </c>
      <c r="G36" t="s">
        <v>55</v>
      </c>
      <c r="H36" s="36">
        <f t="shared" ref="H36:H41" si="47">H30*$H$59</f>
        <v>176007.62901284272</v>
      </c>
      <c r="I36" s="36">
        <f t="shared" ref="I36:I41" si="48">I30*$J$59</f>
        <v>178455.11672903528</v>
      </c>
      <c r="J36" s="36">
        <f t="shared" ref="J36:J41" si="49">J30*$L$59</f>
        <v>188699.84860074951</v>
      </c>
      <c r="K36" s="29">
        <f t="shared" ref="K36:K41" si="50">K30*$I$59</f>
        <v>34377.705054479418</v>
      </c>
      <c r="L36" s="29">
        <f t="shared" ref="L36:L41" si="51">L30*$K$59</f>
        <v>21733.968296004841</v>
      </c>
      <c r="M36" s="29">
        <f t="shared" ref="M36:M41" si="52">M30*$M$59</f>
        <v>18846.218598668282</v>
      </c>
      <c r="N36">
        <v>0.4</v>
      </c>
    </row>
    <row r="37" spans="6:64" x14ac:dyDescent="0.2">
      <c r="F37" t="s">
        <v>83</v>
      </c>
      <c r="G37" t="s">
        <v>56</v>
      </c>
      <c r="H37" s="36">
        <f t="shared" si="47"/>
        <v>181360.60781561848</v>
      </c>
      <c r="I37" s="36">
        <f t="shared" si="48"/>
        <v>183882.58992685055</v>
      </c>
      <c r="J37" s="36">
        <f t="shared" si="49"/>
        <v>194438.74009848366</v>
      </c>
      <c r="K37" s="29">
        <f t="shared" si="50"/>
        <v>34377.705054479418</v>
      </c>
      <c r="L37" s="29">
        <f t="shared" si="51"/>
        <v>21733.968296004841</v>
      </c>
      <c r="M37" s="29">
        <f t="shared" si="52"/>
        <v>18846.218598668282</v>
      </c>
      <c r="N37">
        <v>0.6</v>
      </c>
    </row>
    <row r="38" spans="6:64" x14ac:dyDescent="0.2">
      <c r="F38" t="s">
        <v>83</v>
      </c>
      <c r="G38" t="s">
        <v>41</v>
      </c>
      <c r="H38" s="36">
        <f t="shared" si="47"/>
        <v>105877.51844412363</v>
      </c>
      <c r="I38" s="36">
        <f t="shared" si="48"/>
        <v>106628.63674827003</v>
      </c>
      <c r="J38" s="36">
        <f t="shared" si="49"/>
        <v>100863.85607580205</v>
      </c>
      <c r="K38" s="29">
        <f t="shared" si="50"/>
        <v>20901.115530958145</v>
      </c>
      <c r="L38" s="29">
        <f t="shared" si="51"/>
        <v>13213.918194396399</v>
      </c>
      <c r="M38" s="29">
        <f t="shared" si="52"/>
        <v>11458.210826703562</v>
      </c>
      <c r="N38">
        <v>0.4</v>
      </c>
    </row>
    <row r="39" spans="6:64" x14ac:dyDescent="0.2">
      <c r="F39" t="s">
        <v>83</v>
      </c>
      <c r="G39" t="s">
        <v>47</v>
      </c>
      <c r="H39" s="36">
        <f t="shared" si="47"/>
        <v>103356.0453142772</v>
      </c>
      <c r="I39" s="36">
        <f t="shared" si="48"/>
        <v>104015.06598536426</v>
      </c>
      <c r="J39" s="36">
        <f t="shared" si="49"/>
        <v>98328.028823708053</v>
      </c>
      <c r="K39" s="29">
        <f t="shared" si="50"/>
        <v>56022.926755447945</v>
      </c>
      <c r="L39" s="29">
        <f t="shared" si="51"/>
        <v>35418.318704600482</v>
      </c>
      <c r="M39" s="29">
        <f t="shared" si="52"/>
        <v>30712.356234866831</v>
      </c>
      <c r="N39">
        <v>0.6</v>
      </c>
    </row>
    <row r="40" spans="6:64" x14ac:dyDescent="0.2">
      <c r="F40" t="s">
        <v>83</v>
      </c>
      <c r="G40" t="s">
        <v>52</v>
      </c>
      <c r="H40" s="36">
        <f t="shared" si="47"/>
        <v>95793.499233155337</v>
      </c>
      <c r="I40" s="36">
        <f t="shared" si="48"/>
        <v>96922.651412660838</v>
      </c>
      <c r="J40" s="36">
        <f t="shared" si="49"/>
        <v>92055.021054518351</v>
      </c>
      <c r="K40" s="29">
        <f t="shared" si="50"/>
        <v>25178.833081113808</v>
      </c>
      <c r="L40" s="29">
        <f t="shared" si="51"/>
        <v>15918.338907384988</v>
      </c>
      <c r="M40" s="29">
        <f t="shared" si="52"/>
        <v>13803.300469128333</v>
      </c>
      <c r="N40">
        <v>1</v>
      </c>
    </row>
    <row r="41" spans="6:64" x14ac:dyDescent="0.2">
      <c r="F41" t="s">
        <v>83</v>
      </c>
      <c r="G41" t="s">
        <v>49</v>
      </c>
      <c r="H41" s="36">
        <f t="shared" si="47"/>
        <v>103356.0453142772</v>
      </c>
      <c r="I41" s="36">
        <f t="shared" si="48"/>
        <v>104764.20543109247</v>
      </c>
      <c r="J41" s="36">
        <f t="shared" si="49"/>
        <v>99663.319502346916</v>
      </c>
      <c r="K41" s="29">
        <f t="shared" si="50"/>
        <v>54766.214112763744</v>
      </c>
      <c r="L41" s="29">
        <f t="shared" si="51"/>
        <v>34623.810965063989</v>
      </c>
      <c r="M41" s="29">
        <f t="shared" si="52"/>
        <v>30023.413178830851</v>
      </c>
      <c r="N41">
        <v>1</v>
      </c>
    </row>
    <row r="42" spans="6:64" x14ac:dyDescent="0.2">
      <c r="F42" t="s">
        <v>84</v>
      </c>
      <c r="G42" t="s">
        <v>55</v>
      </c>
      <c r="H42" s="36">
        <f t="shared" ref="H42:H47" si="53">H30*$H$61</f>
        <v>218909.89755456778</v>
      </c>
      <c r="I42" s="36">
        <f t="shared" ref="I42:I47" si="54">I30*$J$61</f>
        <v>281801.92207399657</v>
      </c>
      <c r="J42" s="36">
        <f t="shared" ref="J42:J47" si="55">J30*$L$61</f>
        <v>282850.08970236441</v>
      </c>
      <c r="K42" s="29">
        <f t="shared" ref="K42:K47" si="56">K30*$I$61</f>
        <v>44282.574152542373</v>
      </c>
      <c r="L42" s="29">
        <f t="shared" ref="L42:L47" si="57">L30*$K$61</f>
        <v>37872.219279661018</v>
      </c>
      <c r="M42" s="29">
        <f t="shared" ref="M42:M47" si="58">M30*$M$61</f>
        <v>31310.173274818404</v>
      </c>
      <c r="N42">
        <v>0.4</v>
      </c>
    </row>
    <row r="43" spans="6:64" x14ac:dyDescent="0.2">
      <c r="F43" t="s">
        <v>84</v>
      </c>
      <c r="G43" t="s">
        <v>56</v>
      </c>
      <c r="H43" s="36">
        <f t="shared" si="53"/>
        <v>225567.67737865663</v>
      </c>
      <c r="I43" s="36">
        <f t="shared" si="54"/>
        <v>290372.54984406935</v>
      </c>
      <c r="J43" s="36">
        <f t="shared" si="55"/>
        <v>291452.35402299301</v>
      </c>
      <c r="K43" s="29">
        <f t="shared" si="56"/>
        <v>44282.574152542373</v>
      </c>
      <c r="L43" s="29">
        <f t="shared" si="57"/>
        <v>37872.219279661018</v>
      </c>
      <c r="M43" s="29">
        <f t="shared" si="58"/>
        <v>31310.173274818404</v>
      </c>
      <c r="N43">
        <v>0.6</v>
      </c>
    </row>
    <row r="44" spans="6:64" x14ac:dyDescent="0.2">
      <c r="F44" t="s">
        <v>84</v>
      </c>
      <c r="G44" t="s">
        <v>41</v>
      </c>
      <c r="H44" s="36">
        <f t="shared" si="53"/>
        <v>131685.40958098904</v>
      </c>
      <c r="I44" s="36">
        <f t="shared" si="54"/>
        <v>168379.34005230761</v>
      </c>
      <c r="J44" s="36">
        <f t="shared" si="55"/>
        <v>151189.04943654346</v>
      </c>
      <c r="K44" s="29">
        <f t="shared" si="56"/>
        <v>26923.123486682805</v>
      </c>
      <c r="L44" s="29">
        <f t="shared" si="57"/>
        <v>23025.726392251814</v>
      </c>
      <c r="M44" s="29">
        <f t="shared" si="58"/>
        <v>19036.103424420613</v>
      </c>
      <c r="N44">
        <v>0.4</v>
      </c>
    </row>
    <row r="45" spans="6:64" x14ac:dyDescent="0.2">
      <c r="F45" t="s">
        <v>84</v>
      </c>
      <c r="G45" t="s">
        <v>47</v>
      </c>
      <c r="H45" s="36">
        <f t="shared" si="53"/>
        <v>128549.32151686883</v>
      </c>
      <c r="I45" s="36">
        <f t="shared" si="54"/>
        <v>164252.19997382187</v>
      </c>
      <c r="J45" s="36">
        <f t="shared" si="55"/>
        <v>147387.99198449397</v>
      </c>
      <c r="K45" s="29">
        <f t="shared" si="56"/>
        <v>72164.194915254237</v>
      </c>
      <c r="L45" s="29">
        <f t="shared" si="57"/>
        <v>61717.6906779661</v>
      </c>
      <c r="M45" s="29">
        <f t="shared" si="58"/>
        <v>51023.986077481844</v>
      </c>
      <c r="N45">
        <v>0.6</v>
      </c>
    </row>
    <row r="46" spans="6:64" x14ac:dyDescent="0.2">
      <c r="F46" t="s">
        <v>84</v>
      </c>
      <c r="G46" t="s">
        <v>52</v>
      </c>
      <c r="H46" s="36">
        <f t="shared" si="53"/>
        <v>119143.38725620511</v>
      </c>
      <c r="I46" s="36">
        <f t="shared" si="54"/>
        <v>153052.43111671376</v>
      </c>
      <c r="J46" s="36">
        <f t="shared" si="55"/>
        <v>137985.11846140475</v>
      </c>
      <c r="K46" s="29">
        <f t="shared" si="56"/>
        <v>32433.332627118649</v>
      </c>
      <c r="L46" s="29">
        <f t="shared" si="57"/>
        <v>27738.276483050853</v>
      </c>
      <c r="M46" s="29">
        <f t="shared" si="58"/>
        <v>22932.119098062962</v>
      </c>
      <c r="N46">
        <v>1</v>
      </c>
      <c r="BG46" s="44"/>
      <c r="BH46" s="44"/>
      <c r="BI46" s="44"/>
      <c r="BJ46" s="44"/>
      <c r="BK46" s="44"/>
      <c r="BL46" s="44"/>
    </row>
    <row r="47" spans="6:64" x14ac:dyDescent="0.2">
      <c r="F47" t="s">
        <v>84</v>
      </c>
      <c r="G47" t="s">
        <v>49</v>
      </c>
      <c r="H47" s="36">
        <f t="shared" si="53"/>
        <v>128549.32151686883</v>
      </c>
      <c r="I47" s="36">
        <f t="shared" si="54"/>
        <v>165435.18054382261</v>
      </c>
      <c r="J47" s="36">
        <f t="shared" si="55"/>
        <v>149389.51499064564</v>
      </c>
      <c r="K47" s="29">
        <f t="shared" si="56"/>
        <v>70545.399515738492</v>
      </c>
      <c r="L47" s="29">
        <f t="shared" si="57"/>
        <v>60333.232445520582</v>
      </c>
      <c r="M47" s="29">
        <f t="shared" si="58"/>
        <v>49879.410238671735</v>
      </c>
      <c r="N47">
        <v>1</v>
      </c>
    </row>
    <row r="51" spans="6:16" x14ac:dyDescent="0.2">
      <c r="F51" s="46"/>
      <c r="G51" s="46"/>
      <c r="H51" s="46" t="s">
        <v>86</v>
      </c>
      <c r="I51" s="46" t="s">
        <v>87</v>
      </c>
      <c r="J51" s="46" t="s">
        <v>86</v>
      </c>
      <c r="K51" s="46" t="s">
        <v>87</v>
      </c>
      <c r="L51" s="46" t="s">
        <v>86</v>
      </c>
      <c r="M51" s="46" t="s">
        <v>87</v>
      </c>
      <c r="N51" s="46"/>
      <c r="O51" s="46" t="s">
        <v>101</v>
      </c>
      <c r="P51" s="46" t="s">
        <v>102</v>
      </c>
    </row>
    <row r="52" spans="6:16" x14ac:dyDescent="0.2">
      <c r="F52" s="46" t="s">
        <v>93</v>
      </c>
      <c r="G52" s="46" t="s">
        <v>85</v>
      </c>
      <c r="H52" s="47">
        <v>63618.30704</v>
      </c>
      <c r="I52" s="47">
        <v>13216</v>
      </c>
      <c r="J52" s="47">
        <v>49536.323040000003</v>
      </c>
      <c r="K52" s="47">
        <v>9602</v>
      </c>
      <c r="L52" s="47">
        <v>45767.491040000001</v>
      </c>
      <c r="M52" s="47">
        <v>8705</v>
      </c>
      <c r="N52" s="46"/>
      <c r="O52" s="46">
        <f t="shared" ref="O52:O57" si="59">K52/I52</f>
        <v>0.72654358353510895</v>
      </c>
      <c r="P52" s="46">
        <f t="shared" ref="P52:P57" si="60">M52/I52</f>
        <v>0.65867130750605329</v>
      </c>
    </row>
    <row r="53" spans="6:16" x14ac:dyDescent="0.2">
      <c r="F53" s="46" t="s">
        <v>94</v>
      </c>
      <c r="G53" s="46" t="s">
        <v>85</v>
      </c>
      <c r="H53" s="47">
        <v>63852.264448000002</v>
      </c>
      <c r="I53" s="47">
        <v>13216</v>
      </c>
      <c r="J53" s="47">
        <v>49770.280447999998</v>
      </c>
      <c r="K53" s="47">
        <v>9602</v>
      </c>
      <c r="L53" s="47">
        <v>46001.448448000003</v>
      </c>
      <c r="M53" s="47">
        <v>8705</v>
      </c>
      <c r="N53" s="46"/>
      <c r="O53" s="46">
        <f t="shared" si="59"/>
        <v>0.72654358353510895</v>
      </c>
      <c r="P53" s="46">
        <f t="shared" si="60"/>
        <v>0.65867130750605329</v>
      </c>
    </row>
    <row r="54" spans="6:16" x14ac:dyDescent="0.2">
      <c r="F54" s="46" t="s">
        <v>93</v>
      </c>
      <c r="G54" s="46" t="s">
        <v>83</v>
      </c>
      <c r="H54" s="47">
        <v>59588.355040000002</v>
      </c>
      <c r="I54" s="47">
        <v>12238</v>
      </c>
      <c r="J54" s="47">
        <v>41696.195039999999</v>
      </c>
      <c r="K54" s="47">
        <v>7737</v>
      </c>
      <c r="L54" s="47">
        <v>37377.923040000001</v>
      </c>
      <c r="M54" s="47">
        <v>6709</v>
      </c>
      <c r="N54" s="46"/>
      <c r="O54" s="46">
        <f t="shared" si="59"/>
        <v>0.63221114561202807</v>
      </c>
      <c r="P54" s="46">
        <f t="shared" si="60"/>
        <v>0.54821049191044291</v>
      </c>
    </row>
    <row r="55" spans="6:16" x14ac:dyDescent="0.2">
      <c r="F55" s="46" t="s">
        <v>94</v>
      </c>
      <c r="G55" s="46" t="s">
        <v>83</v>
      </c>
      <c r="H55" s="47">
        <v>59822.312447999997</v>
      </c>
      <c r="I55" s="47">
        <v>12238</v>
      </c>
      <c r="J55" s="47">
        <v>41930.152448000001</v>
      </c>
      <c r="K55" s="47">
        <v>7737</v>
      </c>
      <c r="L55" s="47">
        <v>37611.880448000004</v>
      </c>
      <c r="M55" s="47">
        <v>6709</v>
      </c>
      <c r="N55" s="46"/>
      <c r="O55" s="46">
        <f t="shared" si="59"/>
        <v>0.63221114561202807</v>
      </c>
      <c r="P55" s="46">
        <f t="shared" si="60"/>
        <v>0.54821049191044291</v>
      </c>
    </row>
    <row r="56" spans="6:16" x14ac:dyDescent="0.2">
      <c r="F56" s="46" t="s">
        <v>93</v>
      </c>
      <c r="G56" s="46" t="s">
        <v>84</v>
      </c>
      <c r="H56" s="47">
        <v>74113.155039999998</v>
      </c>
      <c r="I56" s="47">
        <v>15764</v>
      </c>
      <c r="J56" s="47">
        <v>65843.267040000006</v>
      </c>
      <c r="K56" s="47">
        <v>13482</v>
      </c>
      <c r="L56" s="47">
        <v>56027.331039999997</v>
      </c>
      <c r="M56" s="47">
        <v>11146</v>
      </c>
      <c r="N56" s="46"/>
      <c r="O56" s="46">
        <f t="shared" si="59"/>
        <v>0.85523978685612789</v>
      </c>
      <c r="P56" s="46">
        <f t="shared" si="60"/>
        <v>0.70705404719614307</v>
      </c>
    </row>
    <row r="57" spans="6:16" x14ac:dyDescent="0.2">
      <c r="F57" s="46" t="s">
        <v>94</v>
      </c>
      <c r="G57" s="46" t="s">
        <v>84</v>
      </c>
      <c r="H57" s="47">
        <v>74347.112448</v>
      </c>
      <c r="I57" s="47">
        <v>15764</v>
      </c>
      <c r="J57" s="47">
        <v>66077.224447999994</v>
      </c>
      <c r="K57" s="47">
        <v>13482</v>
      </c>
      <c r="L57" s="47">
        <v>56261.288447999999</v>
      </c>
      <c r="M57" s="47">
        <v>11146</v>
      </c>
      <c r="N57" s="46"/>
      <c r="O57" s="46">
        <f t="shared" si="59"/>
        <v>0.85523978685612789</v>
      </c>
      <c r="P57" s="46">
        <f t="shared" si="60"/>
        <v>0.70705404719614307</v>
      </c>
    </row>
    <row r="58" spans="6:16" x14ac:dyDescent="0.2">
      <c r="H58" s="43"/>
      <c r="I58" s="43"/>
      <c r="J58" s="43"/>
      <c r="K58" s="43"/>
      <c r="L58" s="43"/>
      <c r="M58" s="43"/>
    </row>
    <row r="59" spans="6:16" x14ac:dyDescent="0.2">
      <c r="G59" t="s">
        <v>92</v>
      </c>
      <c r="H59" s="44">
        <f t="shared" ref="H59:M59" si="61">H54/H52</f>
        <v>0.93665420870966964</v>
      </c>
      <c r="I59" s="44">
        <f t="shared" si="61"/>
        <v>0.92599878934624702</v>
      </c>
      <c r="J59" s="44">
        <f t="shared" si="61"/>
        <v>0.84172971430137855</v>
      </c>
      <c r="K59" s="44">
        <f t="shared" si="61"/>
        <v>0.8057696313268069</v>
      </c>
      <c r="L59" s="44">
        <f t="shared" si="61"/>
        <v>0.81669154656811616</v>
      </c>
      <c r="M59" s="44">
        <f t="shared" si="61"/>
        <v>0.77070649052268814</v>
      </c>
    </row>
    <row r="60" spans="6:16" x14ac:dyDescent="0.2">
      <c r="H60" s="44"/>
      <c r="I60" s="44"/>
      <c r="J60" s="44"/>
      <c r="K60" s="44"/>
      <c r="L60" s="44"/>
      <c r="M60" s="44"/>
    </row>
    <row r="61" spans="6:16" x14ac:dyDescent="0.2">
      <c r="H61" s="44">
        <f t="shared" ref="H61:M61" si="62">H56/H52</f>
        <v>1.1649658484844836</v>
      </c>
      <c r="I61" s="44">
        <f t="shared" si="62"/>
        <v>1.1927966101694916</v>
      </c>
      <c r="J61" s="44">
        <f t="shared" si="62"/>
        <v>1.329191651686225</v>
      </c>
      <c r="K61" s="44">
        <f t="shared" si="62"/>
        <v>1.4040824828160801</v>
      </c>
      <c r="L61" s="44">
        <f t="shared" si="62"/>
        <v>1.2241730924474989</v>
      </c>
      <c r="M61" s="44">
        <f t="shared" si="62"/>
        <v>1.280413555427915</v>
      </c>
    </row>
  </sheetData>
  <mergeCells count="20">
    <mergeCell ref="AP22:AR22"/>
    <mergeCell ref="AP29:AR29"/>
    <mergeCell ref="AY15:BA15"/>
    <mergeCell ref="BB15:BD15"/>
    <mergeCell ref="AS15:AU15"/>
    <mergeCell ref="AS22:AU22"/>
    <mergeCell ref="AS29:AU29"/>
    <mergeCell ref="AV22:AX22"/>
    <mergeCell ref="AY22:BA22"/>
    <mergeCell ref="AF15:AH15"/>
    <mergeCell ref="AI15:AK15"/>
    <mergeCell ref="AP15:AR15"/>
    <mergeCell ref="AV15:AX15"/>
    <mergeCell ref="BF15:BH15"/>
    <mergeCell ref="BB22:BD22"/>
    <mergeCell ref="AV29:AX29"/>
    <mergeCell ref="AY29:BA29"/>
    <mergeCell ref="BB29:BD29"/>
    <mergeCell ref="BF22:BH22"/>
    <mergeCell ref="BF29:B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DA36-2BD4-AD4A-996C-4C5A09846EC3}">
  <dimension ref="A1:BO61"/>
  <sheetViews>
    <sheetView tabSelected="1" zoomScaleNormal="100" workbookViewId="0">
      <selection activeCell="H2" sqref="H2:H3"/>
    </sheetView>
  </sheetViews>
  <sheetFormatPr baseColWidth="10" defaultRowHeight="16" x14ac:dyDescent="0.2"/>
  <cols>
    <col min="1" max="1" width="14.83203125" bestFit="1" customWidth="1"/>
    <col min="3" max="3" width="15" bestFit="1" customWidth="1"/>
    <col min="4" max="4" width="17.6640625" bestFit="1" customWidth="1"/>
    <col min="8" max="8" width="11.5" bestFit="1" customWidth="1"/>
    <col min="9" max="13" width="11" bestFit="1" customWidth="1"/>
    <col min="15" max="16" width="11" bestFit="1" customWidth="1"/>
    <col min="34" max="36" width="12.5" bestFit="1" customWidth="1"/>
    <col min="37" max="37" width="11.5" bestFit="1" customWidth="1"/>
    <col min="38" max="40" width="12.5" bestFit="1" customWidth="1"/>
    <col min="41" max="42" width="11.5" bestFit="1" customWidth="1"/>
    <col min="43" max="45" width="16" bestFit="1" customWidth="1"/>
    <col min="47" max="48" width="16" bestFit="1" customWidth="1"/>
    <col min="49" max="49" width="17.6640625" bestFit="1" customWidth="1"/>
    <col min="50" max="50" width="15" bestFit="1" customWidth="1"/>
    <col min="52" max="56" width="13.5" bestFit="1" customWidth="1"/>
    <col min="58" max="58" width="15" bestFit="1" customWidth="1"/>
    <col min="59" max="59" width="17.6640625" bestFit="1" customWidth="1"/>
    <col min="60" max="60" width="15" bestFit="1" customWidth="1"/>
    <col min="62" max="64" width="14.1640625" customWidth="1"/>
  </cols>
  <sheetData>
    <row r="1" spans="1:67" x14ac:dyDescent="0.2">
      <c r="A1" t="s">
        <v>88</v>
      </c>
      <c r="B1" t="s">
        <v>0</v>
      </c>
      <c r="C1" t="s">
        <v>1</v>
      </c>
      <c r="D1" t="s">
        <v>2</v>
      </c>
      <c r="AK1" s="43"/>
    </row>
    <row r="2" spans="1:67" x14ac:dyDescent="0.2">
      <c r="A2" t="s">
        <v>89</v>
      </c>
      <c r="B2">
        <v>2030</v>
      </c>
      <c r="C2" t="s">
        <v>107</v>
      </c>
      <c r="D2" s="48">
        <f>BF21</f>
        <v>408857558.5714286</v>
      </c>
      <c r="AK2" s="43"/>
    </row>
    <row r="3" spans="1:67" x14ac:dyDescent="0.2">
      <c r="A3" t="s">
        <v>89</v>
      </c>
      <c r="B3">
        <v>2040</v>
      </c>
      <c r="C3" t="s">
        <v>107</v>
      </c>
      <c r="D3" s="48">
        <f>BG21</f>
        <v>379592887.69089413</v>
      </c>
      <c r="AK3" s="43"/>
    </row>
    <row r="4" spans="1:67" x14ac:dyDescent="0.2">
      <c r="A4" t="s">
        <v>89</v>
      </c>
      <c r="B4">
        <v>2050</v>
      </c>
      <c r="C4" t="s">
        <v>107</v>
      </c>
      <c r="D4" s="48">
        <f>BH21</f>
        <v>372329354.27090538</v>
      </c>
      <c r="AK4" s="43"/>
    </row>
    <row r="5" spans="1:67" x14ac:dyDescent="0.2">
      <c r="A5" t="s">
        <v>90</v>
      </c>
      <c r="B5">
        <v>2030</v>
      </c>
      <c r="C5" t="s">
        <v>107</v>
      </c>
      <c r="D5" s="48">
        <f>BF28</f>
        <v>381817834.75421029</v>
      </c>
      <c r="AK5" s="43">
        <v>650</v>
      </c>
    </row>
    <row r="6" spans="1:67" x14ac:dyDescent="0.2">
      <c r="A6" t="s">
        <v>90</v>
      </c>
      <c r="B6">
        <v>2040</v>
      </c>
      <c r="C6" t="s">
        <v>107</v>
      </c>
      <c r="D6" s="48">
        <f>BG28</f>
        <v>345370606.30006379</v>
      </c>
      <c r="AK6" s="43">
        <v>850</v>
      </c>
    </row>
    <row r="7" spans="1:67" x14ac:dyDescent="0.2">
      <c r="A7" t="s">
        <v>90</v>
      </c>
      <c r="B7">
        <v>2050</v>
      </c>
      <c r="C7" t="s">
        <v>107</v>
      </c>
      <c r="D7" s="48">
        <f>BH28</f>
        <v>337046289.29254043</v>
      </c>
    </row>
    <row r="8" spans="1:67" s="1" customFormat="1" x14ac:dyDescent="0.2">
      <c r="A8" t="s">
        <v>91</v>
      </c>
      <c r="B8">
        <v>2030</v>
      </c>
      <c r="C8" t="s">
        <v>107</v>
      </c>
      <c r="D8" s="49">
        <f>BF35</f>
        <v>479283476.13886291</v>
      </c>
      <c r="F8" s="2" t="s">
        <v>108</v>
      </c>
      <c r="AK8" s="1">
        <f>150*5</f>
        <v>750</v>
      </c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1" customFormat="1" x14ac:dyDescent="0.2">
      <c r="A9" t="s">
        <v>91</v>
      </c>
      <c r="B9">
        <v>2040</v>
      </c>
      <c r="C9" t="s">
        <v>107</v>
      </c>
      <c r="D9" s="49">
        <f>BG35</f>
        <v>460804787.99570316</v>
      </c>
      <c r="F9" s="4"/>
      <c r="G9" s="4">
        <v>2000</v>
      </c>
      <c r="H9" s="4">
        <v>2001</v>
      </c>
      <c r="I9" s="4">
        <v>2002</v>
      </c>
      <c r="J9" s="4">
        <v>2003</v>
      </c>
      <c r="K9" s="4">
        <v>2004</v>
      </c>
      <c r="L9" s="4">
        <v>2005</v>
      </c>
      <c r="M9" s="4">
        <v>2006</v>
      </c>
      <c r="N9" s="4">
        <v>2007</v>
      </c>
      <c r="O9" s="4">
        <v>2008</v>
      </c>
      <c r="P9" s="4">
        <v>2009</v>
      </c>
      <c r="Q9" s="4">
        <v>2010</v>
      </c>
      <c r="R9" s="4">
        <v>2011</v>
      </c>
      <c r="S9" s="4">
        <v>2012</v>
      </c>
      <c r="T9" s="4">
        <v>2013</v>
      </c>
      <c r="U9" s="4">
        <v>2014</v>
      </c>
      <c r="V9" s="4">
        <v>2015</v>
      </c>
      <c r="W9" s="4">
        <v>2016</v>
      </c>
      <c r="X9" s="4">
        <v>2017</v>
      </c>
      <c r="Y9" s="4">
        <v>2018</v>
      </c>
      <c r="Z9" s="4">
        <v>2019</v>
      </c>
      <c r="AA9" s="4">
        <v>2020</v>
      </c>
      <c r="AB9" s="4">
        <v>2021</v>
      </c>
      <c r="AC9" s="4">
        <v>2022</v>
      </c>
      <c r="AD9" s="4">
        <v>2023</v>
      </c>
      <c r="AE9" s="4">
        <v>2024</v>
      </c>
      <c r="AF9" s="4">
        <v>2025</v>
      </c>
      <c r="AG9" s="4">
        <v>2026</v>
      </c>
      <c r="AH9" s="4">
        <v>2027</v>
      </c>
      <c r="AI9" s="4">
        <v>2028</v>
      </c>
      <c r="AJ9" s="4">
        <v>2029</v>
      </c>
      <c r="AK9" s="5">
        <v>2030</v>
      </c>
      <c r="AL9" s="4">
        <v>2031</v>
      </c>
      <c r="AM9" s="4">
        <v>2032</v>
      </c>
      <c r="AN9" s="4">
        <v>2033</v>
      </c>
      <c r="AO9" s="4">
        <v>2034</v>
      </c>
      <c r="AP9" s="4">
        <v>2035</v>
      </c>
      <c r="AQ9" s="4">
        <v>2036</v>
      </c>
      <c r="AR9" s="4">
        <v>2037</v>
      </c>
      <c r="AS9" s="4">
        <v>2038</v>
      </c>
      <c r="AT9" s="4">
        <v>2039</v>
      </c>
      <c r="AU9" s="5">
        <v>2040</v>
      </c>
      <c r="AV9" s="4">
        <v>2041</v>
      </c>
      <c r="AW9" s="4">
        <v>2042</v>
      </c>
      <c r="AX9" s="4">
        <v>2043</v>
      </c>
      <c r="AY9" s="4">
        <v>2044</v>
      </c>
      <c r="AZ9" s="4">
        <v>2045</v>
      </c>
      <c r="BA9" s="4">
        <v>2046</v>
      </c>
      <c r="BB9" s="4">
        <v>2047</v>
      </c>
      <c r="BC9" s="4">
        <v>2048</v>
      </c>
      <c r="BD9" s="4">
        <v>2049</v>
      </c>
      <c r="BE9" s="5">
        <v>2050</v>
      </c>
      <c r="BF9" s="4">
        <v>2051</v>
      </c>
      <c r="BG9" s="4">
        <v>2052</v>
      </c>
      <c r="BH9" s="4">
        <v>2053</v>
      </c>
      <c r="BI9" s="4">
        <v>2054</v>
      </c>
      <c r="BJ9" s="4">
        <v>2055</v>
      </c>
      <c r="BK9" s="4">
        <v>2056</v>
      </c>
      <c r="BL9" s="4">
        <v>2057</v>
      </c>
      <c r="BM9" s="4">
        <v>2058</v>
      </c>
      <c r="BN9" s="4">
        <v>2059</v>
      </c>
      <c r="BO9" s="4">
        <v>2060</v>
      </c>
    </row>
    <row r="10" spans="1:67" s="1" customFormat="1" x14ac:dyDescent="0.2">
      <c r="A10" t="s">
        <v>91</v>
      </c>
      <c r="B10">
        <v>2050</v>
      </c>
      <c r="C10" t="s">
        <v>107</v>
      </c>
      <c r="D10" s="49">
        <f>BH35</f>
        <v>441888830.28210926</v>
      </c>
      <c r="F10" s="6" t="s">
        <v>3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3">
        <v>650</v>
      </c>
      <c r="AL10" s="8"/>
      <c r="AM10" s="8"/>
      <c r="AN10" s="8"/>
      <c r="AO10" s="8"/>
      <c r="AP10" s="8"/>
      <c r="AQ10" s="8"/>
      <c r="AR10" s="8"/>
      <c r="AS10" s="8"/>
      <c r="AT10" s="8"/>
      <c r="AU10" s="43">
        <v>650</v>
      </c>
      <c r="AV10" s="8"/>
      <c r="AW10" s="8"/>
      <c r="AX10" s="8"/>
      <c r="AY10" s="8"/>
      <c r="AZ10" s="8"/>
      <c r="BA10" s="8"/>
      <c r="BB10" s="8"/>
      <c r="BC10" s="8"/>
      <c r="BD10" s="8"/>
      <c r="BE10" s="43">
        <v>650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s="1" customFormat="1" x14ac:dyDescent="0.2">
      <c r="F11" s="6" t="s">
        <v>4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3">
        <v>850</v>
      </c>
      <c r="AL11" s="8"/>
      <c r="AM11" s="8"/>
      <c r="AN11" s="8"/>
      <c r="AO11" s="8"/>
      <c r="AP11" s="8"/>
      <c r="AQ11" s="8"/>
      <c r="AR11" s="8"/>
      <c r="AS11" s="8"/>
      <c r="AT11" s="8"/>
      <c r="AU11" s="43">
        <v>850</v>
      </c>
      <c r="AV11" s="8"/>
      <c r="AW11" s="8"/>
      <c r="AX11" s="8"/>
      <c r="AY11" s="8"/>
      <c r="AZ11" s="8"/>
      <c r="BA11" s="8"/>
      <c r="BB11" s="8"/>
      <c r="BC11" s="8"/>
      <c r="BD11" s="8"/>
      <c r="BE11" s="43">
        <v>850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s="1" customFormat="1" x14ac:dyDescent="0.2">
      <c r="F12" s="6" t="s">
        <v>5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/>
      <c r="AL12" s="8"/>
      <c r="AM12" s="8"/>
      <c r="AN12" s="8"/>
      <c r="AO12" s="8"/>
      <c r="AP12" s="8"/>
      <c r="AQ12" s="8"/>
      <c r="AR12" s="8"/>
      <c r="AS12" s="8"/>
      <c r="AT12" s="8"/>
      <c r="AU12"/>
      <c r="AV12" s="8"/>
      <c r="AW12" s="8"/>
      <c r="AX12" s="8"/>
      <c r="AY12" s="8"/>
      <c r="AZ12" s="8"/>
      <c r="BA12" s="8"/>
      <c r="BB12" s="8"/>
      <c r="BC12" s="8"/>
      <c r="BD12" s="8"/>
      <c r="BE12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7" s="1" customFormat="1" ht="14" x14ac:dyDescent="0.2">
      <c r="F13" s="6" t="s">
        <v>6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">
        <f>150*5</f>
        <v>750</v>
      </c>
      <c r="AL13" s="8"/>
      <c r="AM13" s="8"/>
      <c r="AN13" s="8"/>
      <c r="AO13" s="8"/>
      <c r="AP13" s="8"/>
      <c r="AQ13" s="8"/>
      <c r="AR13" s="8"/>
      <c r="AS13" s="8"/>
      <c r="AT13" s="8"/>
      <c r="AU13" s="1">
        <f>150*5</f>
        <v>750</v>
      </c>
      <c r="AV13" s="8"/>
      <c r="AW13" s="8"/>
      <c r="AX13" s="8"/>
      <c r="AY13" s="8"/>
      <c r="AZ13" s="8"/>
      <c r="BA13" s="8"/>
      <c r="BB13" s="8"/>
      <c r="BC13" s="8"/>
      <c r="BD13" s="8"/>
      <c r="BE13" s="1">
        <f>150*5</f>
        <v>750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7" s="1" customFormat="1" ht="14" x14ac:dyDescent="0.2">
      <c r="F14" s="9" t="s">
        <v>7</v>
      </c>
      <c r="G14" s="3">
        <f>SUM(G10:G13)</f>
        <v>0</v>
      </c>
      <c r="H14" s="3">
        <f t="shared" ref="H14:BO14" si="0">SUM(H10:H13)</f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  <c r="X14" s="3">
        <f t="shared" si="0"/>
        <v>0</v>
      </c>
      <c r="Y14" s="3">
        <f t="shared" si="0"/>
        <v>0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0</v>
      </c>
      <c r="AD14" s="3">
        <f t="shared" si="0"/>
        <v>0</v>
      </c>
      <c r="AE14" s="3">
        <f t="shared" si="0"/>
        <v>0</v>
      </c>
      <c r="AF14" s="3">
        <f t="shared" si="0"/>
        <v>0</v>
      </c>
      <c r="AG14" s="3">
        <f t="shared" si="0"/>
        <v>0</v>
      </c>
      <c r="AH14" s="3">
        <f t="shared" si="0"/>
        <v>0</v>
      </c>
      <c r="AI14" s="3">
        <f t="shared" si="0"/>
        <v>0</v>
      </c>
      <c r="AJ14" s="3">
        <f t="shared" si="0"/>
        <v>0</v>
      </c>
      <c r="AK14" s="3">
        <f t="shared" si="0"/>
        <v>2250</v>
      </c>
      <c r="AL14" s="3">
        <f t="shared" si="0"/>
        <v>0</v>
      </c>
      <c r="AM14" s="3">
        <f t="shared" si="0"/>
        <v>0</v>
      </c>
      <c r="AN14" s="3">
        <f t="shared" si="0"/>
        <v>0</v>
      </c>
      <c r="AO14" s="3">
        <f t="shared" si="0"/>
        <v>0</v>
      </c>
      <c r="AP14" s="3">
        <f t="shared" si="0"/>
        <v>0</v>
      </c>
      <c r="AQ14" s="3">
        <f t="shared" si="0"/>
        <v>0</v>
      </c>
      <c r="AR14" s="3">
        <f t="shared" si="0"/>
        <v>0</v>
      </c>
      <c r="AS14" s="3">
        <f t="shared" si="0"/>
        <v>0</v>
      </c>
      <c r="AT14" s="3">
        <f t="shared" si="0"/>
        <v>0</v>
      </c>
      <c r="AU14" s="3">
        <f t="shared" si="0"/>
        <v>2250</v>
      </c>
      <c r="AV14" s="3">
        <f t="shared" si="0"/>
        <v>0</v>
      </c>
      <c r="AW14" s="3">
        <f t="shared" si="0"/>
        <v>0</v>
      </c>
      <c r="AX14" s="3">
        <f t="shared" si="0"/>
        <v>0</v>
      </c>
      <c r="AY14" s="3">
        <f t="shared" si="0"/>
        <v>0</v>
      </c>
      <c r="AZ14" s="3">
        <f t="shared" si="0"/>
        <v>0</v>
      </c>
      <c r="BA14" s="3">
        <f t="shared" si="0"/>
        <v>0</v>
      </c>
      <c r="BB14" s="3">
        <f t="shared" si="0"/>
        <v>0</v>
      </c>
      <c r="BC14" s="3">
        <f t="shared" si="0"/>
        <v>0</v>
      </c>
      <c r="BD14" s="3">
        <f t="shared" si="0"/>
        <v>0</v>
      </c>
      <c r="BE14" s="3">
        <f t="shared" si="0"/>
        <v>2250</v>
      </c>
      <c r="BF14" s="3">
        <f t="shared" si="0"/>
        <v>0</v>
      </c>
      <c r="BG14" s="3">
        <f t="shared" si="0"/>
        <v>0</v>
      </c>
      <c r="BH14" s="3">
        <f t="shared" si="0"/>
        <v>0</v>
      </c>
      <c r="BI14" s="3">
        <f t="shared" si="0"/>
        <v>0</v>
      </c>
      <c r="BJ14" s="3">
        <f t="shared" si="0"/>
        <v>0</v>
      </c>
      <c r="BK14" s="3">
        <f t="shared" si="0"/>
        <v>0</v>
      </c>
      <c r="BL14" s="3">
        <f t="shared" si="0"/>
        <v>0</v>
      </c>
      <c r="BM14" s="3">
        <f t="shared" si="0"/>
        <v>0</v>
      </c>
      <c r="BN14" s="3">
        <f t="shared" si="0"/>
        <v>0</v>
      </c>
      <c r="BO14" s="3">
        <f t="shared" si="0"/>
        <v>0</v>
      </c>
    </row>
    <row r="15" spans="1:67" x14ac:dyDescent="0.2">
      <c r="AF15" s="45" t="s">
        <v>8</v>
      </c>
      <c r="AG15" s="45"/>
      <c r="AH15" s="45"/>
      <c r="AI15" s="45" t="s">
        <v>106</v>
      </c>
      <c r="AJ15" s="45"/>
      <c r="AK15" s="45"/>
      <c r="AP15" s="45" t="s">
        <v>104</v>
      </c>
      <c r="AQ15" s="45"/>
      <c r="AR15" s="45"/>
      <c r="AS15" s="45" t="s">
        <v>81</v>
      </c>
      <c r="AT15" s="45"/>
      <c r="AU15" s="45"/>
      <c r="AV15" s="45" t="s">
        <v>103</v>
      </c>
      <c r="AW15" s="45"/>
      <c r="AX15" s="45"/>
      <c r="AY15" s="45" t="s">
        <v>105</v>
      </c>
      <c r="AZ15" s="45"/>
      <c r="BA15" s="45"/>
      <c r="BB15" s="45" t="s">
        <v>81</v>
      </c>
      <c r="BC15" s="45"/>
      <c r="BD15" s="45"/>
      <c r="BF15" s="45" t="s">
        <v>82</v>
      </c>
      <c r="BG15" s="45"/>
      <c r="BH15" s="45"/>
    </row>
    <row r="16" spans="1:67" x14ac:dyDescent="0.2">
      <c r="AF16" s="5">
        <v>2030</v>
      </c>
      <c r="AG16" s="5">
        <v>2040</v>
      </c>
      <c r="AH16" s="5">
        <v>2050</v>
      </c>
      <c r="AI16" s="5">
        <v>2030</v>
      </c>
      <c r="AJ16" s="5">
        <v>2040</v>
      </c>
      <c r="AK16" s="5">
        <v>2050</v>
      </c>
      <c r="AP16" s="5">
        <v>2030</v>
      </c>
      <c r="AQ16" s="5">
        <v>2040</v>
      </c>
      <c r="AR16" s="5">
        <v>2050</v>
      </c>
      <c r="AS16" s="5">
        <v>2030</v>
      </c>
      <c r="AT16" s="5">
        <v>2040</v>
      </c>
      <c r="AU16" s="5">
        <v>2050</v>
      </c>
      <c r="AV16" s="5">
        <v>2030</v>
      </c>
      <c r="AW16" s="5">
        <v>2040</v>
      </c>
      <c r="AX16" s="5">
        <v>2050</v>
      </c>
      <c r="AY16" s="5">
        <v>2030</v>
      </c>
      <c r="AZ16" s="5">
        <v>2040</v>
      </c>
      <c r="BA16" s="5">
        <v>2050</v>
      </c>
      <c r="BB16" s="5">
        <v>2030</v>
      </c>
      <c r="BC16" s="5">
        <v>2040</v>
      </c>
      <c r="BD16" s="5">
        <v>2050</v>
      </c>
      <c r="BF16" s="5">
        <v>2030</v>
      </c>
      <c r="BG16" s="5">
        <v>2040</v>
      </c>
      <c r="BH16" s="5">
        <v>2050</v>
      </c>
    </row>
    <row r="17" spans="6:61" x14ac:dyDescent="0.2">
      <c r="AE17" s="6" t="s">
        <v>3</v>
      </c>
      <c r="AF17" s="10">
        <f>$AK$10</f>
        <v>650</v>
      </c>
      <c r="AG17" s="10">
        <f>$AU$10-$AK$10</f>
        <v>0</v>
      </c>
      <c r="AH17" s="10">
        <f>$BE$10-$AU$10</f>
        <v>0</v>
      </c>
      <c r="AI17" s="10">
        <f>AF17</f>
        <v>650</v>
      </c>
      <c r="AJ17" s="10">
        <f>AG17+AI17</f>
        <v>650</v>
      </c>
      <c r="AK17" s="10">
        <f>AJ17+AH17</f>
        <v>650</v>
      </c>
      <c r="AN17" t="s">
        <v>85</v>
      </c>
      <c r="AO17" s="6" t="s">
        <v>3</v>
      </c>
      <c r="AP17" s="41">
        <f t="shared" ref="AP17:AU17" si="1">SUMPRODUCT(H$30:H$31,$N$30:$N$31)</f>
        <v>191340</v>
      </c>
      <c r="AQ17" s="41">
        <f t="shared" si="1"/>
        <v>215878.8</v>
      </c>
      <c r="AR17" s="41">
        <f t="shared" si="1"/>
        <v>235270.2</v>
      </c>
      <c r="AS17" s="41">
        <f t="shared" si="1"/>
        <v>37125</v>
      </c>
      <c r="AT17" s="41">
        <f t="shared" si="1"/>
        <v>26972.930538740919</v>
      </c>
      <c r="AU17" s="41">
        <f t="shared" si="1"/>
        <v>24453.172291162227</v>
      </c>
      <c r="AV17" s="41">
        <f t="shared" ref="AV17:AX20" si="2">AF17*AP17</f>
        <v>124371000</v>
      </c>
      <c r="AW17" s="41">
        <f t="shared" si="2"/>
        <v>0</v>
      </c>
      <c r="AX17" s="41">
        <f t="shared" si="2"/>
        <v>0</v>
      </c>
      <c r="AY17">
        <v>0</v>
      </c>
      <c r="AZ17" s="36">
        <f>AV17</f>
        <v>124371000</v>
      </c>
      <c r="BA17" s="36">
        <f>AZ17+AX17</f>
        <v>124371000</v>
      </c>
      <c r="BB17" s="41">
        <f t="shared" ref="BB17:BD20" si="3">AS17*AI17</f>
        <v>24131250</v>
      </c>
      <c r="BC17" s="41">
        <f t="shared" si="3"/>
        <v>17532404.850181598</v>
      </c>
      <c r="BD17" s="41">
        <f t="shared" si="3"/>
        <v>15894561.989255447</v>
      </c>
      <c r="BE17" s="6" t="s">
        <v>3</v>
      </c>
      <c r="BF17" s="41">
        <f>AV17+AY17+BB17</f>
        <v>148502250</v>
      </c>
      <c r="BG17" s="41">
        <f t="shared" ref="BG17:BH20" si="4">AW17+AZ17+BC17</f>
        <v>141903404.85018161</v>
      </c>
      <c r="BH17" s="41">
        <f t="shared" si="4"/>
        <v>140265561.98925546</v>
      </c>
      <c r="BI17" s="6"/>
    </row>
    <row r="18" spans="6:61" x14ac:dyDescent="0.2">
      <c r="AE18" s="6" t="s">
        <v>4</v>
      </c>
      <c r="AF18" s="10">
        <f>$AK$11</f>
        <v>850</v>
      </c>
      <c r="AG18" s="10">
        <f>$AU$11-$AK$11</f>
        <v>0</v>
      </c>
      <c r="AH18" s="10">
        <f>$BE$11-$AU$11</f>
        <v>0</v>
      </c>
      <c r="AI18" s="10">
        <f t="shared" ref="AI18:AI20" si="5">AF18</f>
        <v>850</v>
      </c>
      <c r="AJ18" s="10">
        <f t="shared" ref="AJ18:AJ20" si="6">AG18+AI18</f>
        <v>850</v>
      </c>
      <c r="AK18" s="10">
        <f t="shared" ref="AK18:AK20" si="7">AJ18+AH18</f>
        <v>850</v>
      </c>
      <c r="AN18" t="s">
        <v>85</v>
      </c>
      <c r="AO18" s="6" t="s">
        <v>4</v>
      </c>
      <c r="AP18" s="41">
        <f t="shared" ref="AP18:AU18" si="8">SUMPRODUCT(H$32:H$33,$N$32:$N$33)</f>
        <v>111422.79999999999</v>
      </c>
      <c r="AQ18" s="41">
        <f t="shared" si="8"/>
        <v>124815</v>
      </c>
      <c r="AR18" s="41">
        <f t="shared" si="8"/>
        <v>121640</v>
      </c>
      <c r="AS18" s="41">
        <f t="shared" si="8"/>
        <v>45328.571428571428</v>
      </c>
      <c r="AT18" s="41">
        <f t="shared" si="8"/>
        <v>32933.182722241436</v>
      </c>
      <c r="AU18" s="41">
        <f t="shared" si="8"/>
        <v>29856.629410238675</v>
      </c>
      <c r="AV18" s="41">
        <f t="shared" si="2"/>
        <v>94709379.999999985</v>
      </c>
      <c r="AW18" s="41">
        <f t="shared" si="2"/>
        <v>0</v>
      </c>
      <c r="AX18" s="41">
        <f t="shared" si="2"/>
        <v>0</v>
      </c>
      <c r="AY18">
        <v>0</v>
      </c>
      <c r="AZ18" s="36">
        <f>AV18</f>
        <v>94709379.999999985</v>
      </c>
      <c r="BA18" s="36">
        <f>AZ18+AX18</f>
        <v>94709379.999999985</v>
      </c>
      <c r="BB18" s="41">
        <f t="shared" si="3"/>
        <v>38529285.714285716</v>
      </c>
      <c r="BC18" s="41">
        <f t="shared" si="3"/>
        <v>27993205.31390522</v>
      </c>
      <c r="BD18" s="41">
        <f t="shared" si="3"/>
        <v>25378134.998702873</v>
      </c>
      <c r="BE18" s="6" t="s">
        <v>4</v>
      </c>
      <c r="BF18" s="41">
        <f t="shared" ref="BF18:BF20" si="9">AV18+AY18+BB18</f>
        <v>133238665.7142857</v>
      </c>
      <c r="BG18" s="41">
        <f t="shared" si="4"/>
        <v>122702585.31390521</v>
      </c>
      <c r="BH18" s="41">
        <f t="shared" si="4"/>
        <v>120087514.99870285</v>
      </c>
      <c r="BI18" s="6"/>
    </row>
    <row r="19" spans="6:61" x14ac:dyDescent="0.2">
      <c r="AE19" s="6" t="s">
        <v>5</v>
      </c>
      <c r="AF19" s="10">
        <f>$AK$12</f>
        <v>0</v>
      </c>
      <c r="AG19" s="10">
        <f>$AU$12-$AK$12</f>
        <v>0</v>
      </c>
      <c r="AH19" s="10">
        <f>$BE$12-$AU$12</f>
        <v>0</v>
      </c>
      <c r="AI19" s="10">
        <f t="shared" si="5"/>
        <v>0</v>
      </c>
      <c r="AJ19" s="10">
        <f t="shared" si="6"/>
        <v>0</v>
      </c>
      <c r="AK19" s="10">
        <f t="shared" si="7"/>
        <v>0</v>
      </c>
      <c r="AN19" t="s">
        <v>85</v>
      </c>
      <c r="AO19" s="6" t="s">
        <v>5</v>
      </c>
      <c r="AP19" s="41">
        <f t="shared" ref="AP19:AU19" si="10">SUMPRODUCT(H$34,$N$34)</f>
        <v>102272</v>
      </c>
      <c r="AQ19" s="41">
        <f t="shared" si="10"/>
        <v>115147</v>
      </c>
      <c r="AR19" s="41">
        <f t="shared" si="10"/>
        <v>112717</v>
      </c>
      <c r="AS19" s="41">
        <f t="shared" si="10"/>
        <v>27191.000000000004</v>
      </c>
      <c r="AT19" s="41">
        <f t="shared" si="10"/>
        <v>19755.44657990315</v>
      </c>
      <c r="AU19" s="41">
        <f t="shared" si="10"/>
        <v>17909.931522397099</v>
      </c>
      <c r="AV19" s="41">
        <f t="shared" si="2"/>
        <v>0</v>
      </c>
      <c r="AW19" s="41">
        <f t="shared" si="2"/>
        <v>0</v>
      </c>
      <c r="AX19" s="41">
        <f t="shared" si="2"/>
        <v>0</v>
      </c>
      <c r="AY19">
        <v>0</v>
      </c>
      <c r="AZ19" s="36">
        <f>AV19</f>
        <v>0</v>
      </c>
      <c r="BA19" s="36">
        <f>AZ19+AX19</f>
        <v>0</v>
      </c>
      <c r="BB19" s="41">
        <f t="shared" si="3"/>
        <v>0</v>
      </c>
      <c r="BC19" s="41">
        <f t="shared" si="3"/>
        <v>0</v>
      </c>
      <c r="BD19" s="41">
        <f t="shared" si="3"/>
        <v>0</v>
      </c>
      <c r="BE19" s="6" t="s">
        <v>5</v>
      </c>
      <c r="BF19" s="41">
        <f t="shared" si="9"/>
        <v>0</v>
      </c>
      <c r="BG19" s="41">
        <f t="shared" si="4"/>
        <v>0</v>
      </c>
      <c r="BH19" s="41">
        <f t="shared" si="4"/>
        <v>0</v>
      </c>
      <c r="BI19" s="6"/>
    </row>
    <row r="20" spans="6:61" x14ac:dyDescent="0.2">
      <c r="AE20" s="6" t="s">
        <v>6</v>
      </c>
      <c r="AF20" s="10">
        <f>$AK$13</f>
        <v>750</v>
      </c>
      <c r="AG20" s="10">
        <f>$AU$13-$AK$13</f>
        <v>0</v>
      </c>
      <c r="AH20" s="10">
        <f>$BE$13-$AU$13</f>
        <v>0</v>
      </c>
      <c r="AI20" s="10">
        <f t="shared" si="5"/>
        <v>750</v>
      </c>
      <c r="AJ20" s="10">
        <f t="shared" si="6"/>
        <v>750</v>
      </c>
      <c r="AK20" s="10">
        <f t="shared" si="7"/>
        <v>750</v>
      </c>
      <c r="AN20" t="s">
        <v>85</v>
      </c>
      <c r="AO20" s="6" t="s">
        <v>6</v>
      </c>
      <c r="AP20" s="41">
        <f t="shared" ref="AP20:AU20" si="11">SUMPRODUCT(H$35,$N$35)</f>
        <v>110346</v>
      </c>
      <c r="AQ20" s="41">
        <f t="shared" si="11"/>
        <v>124463</v>
      </c>
      <c r="AR20" s="41">
        <f t="shared" si="11"/>
        <v>122033</v>
      </c>
      <c r="AS20" s="41">
        <f t="shared" si="11"/>
        <v>59142.857142857138</v>
      </c>
      <c r="AT20" s="41">
        <f t="shared" si="11"/>
        <v>42969.86336907644</v>
      </c>
      <c r="AU20" s="41">
        <f t="shared" si="11"/>
        <v>38955.703043929432</v>
      </c>
      <c r="AV20" s="41">
        <f t="shared" si="2"/>
        <v>82759500</v>
      </c>
      <c r="AW20" s="41">
        <f t="shared" si="2"/>
        <v>0</v>
      </c>
      <c r="AX20" s="41">
        <f t="shared" si="2"/>
        <v>0</v>
      </c>
      <c r="AY20">
        <v>0</v>
      </c>
      <c r="AZ20" s="36">
        <f>AV20</f>
        <v>82759500</v>
      </c>
      <c r="BA20" s="36">
        <f>AZ20+AX20</f>
        <v>82759500</v>
      </c>
      <c r="BB20" s="41">
        <f t="shared" si="3"/>
        <v>44357142.857142851</v>
      </c>
      <c r="BC20" s="41">
        <f t="shared" si="3"/>
        <v>32227397.526807331</v>
      </c>
      <c r="BD20" s="41">
        <f t="shared" si="3"/>
        <v>29216777.282947075</v>
      </c>
      <c r="BE20" s="6" t="s">
        <v>6</v>
      </c>
      <c r="BF20" s="41">
        <f t="shared" si="9"/>
        <v>127116642.85714285</v>
      </c>
      <c r="BG20" s="41">
        <f t="shared" si="4"/>
        <v>114986897.52680734</v>
      </c>
      <c r="BH20" s="41">
        <f t="shared" si="4"/>
        <v>111976277.28294708</v>
      </c>
      <c r="BI20" s="6"/>
    </row>
    <row r="21" spans="6:61" x14ac:dyDescent="0.2">
      <c r="AE21" s="6" t="s">
        <v>7</v>
      </c>
      <c r="AF21" s="10">
        <f>SUM(AF17:AF20)</f>
        <v>2250</v>
      </c>
      <c r="AG21" s="10">
        <f t="shared" ref="AG21:AK21" si="12">SUM(AG17:AG20)</f>
        <v>0</v>
      </c>
      <c r="AH21" s="10">
        <f t="shared" si="12"/>
        <v>0</v>
      </c>
      <c r="AI21" s="10">
        <f>SUM(AI17:AI20)</f>
        <v>2250</v>
      </c>
      <c r="AJ21" s="10">
        <f t="shared" si="12"/>
        <v>2250</v>
      </c>
      <c r="AK21" s="10">
        <f t="shared" si="12"/>
        <v>2250</v>
      </c>
      <c r="BE21" s="6" t="s">
        <v>7</v>
      </c>
      <c r="BF21" s="36">
        <f>SUM(BF17:BF20)</f>
        <v>408857558.5714286</v>
      </c>
      <c r="BG21" s="36">
        <f t="shared" ref="BG21:BH21" si="13">SUM(BG17:BG20)</f>
        <v>379592887.69089413</v>
      </c>
      <c r="BH21" s="36">
        <f t="shared" si="13"/>
        <v>372329354.27090538</v>
      </c>
    </row>
    <row r="22" spans="6:61" x14ac:dyDescent="0.2">
      <c r="AP22" s="45" t="s">
        <v>104</v>
      </c>
      <c r="AQ22" s="45"/>
      <c r="AR22" s="45"/>
      <c r="AS22" s="45" t="s">
        <v>81</v>
      </c>
      <c r="AT22" s="45"/>
      <c r="AU22" s="45"/>
      <c r="AV22" s="45" t="s">
        <v>103</v>
      </c>
      <c r="AW22" s="45"/>
      <c r="AX22" s="45"/>
      <c r="AY22" s="45" t="s">
        <v>105</v>
      </c>
      <c r="AZ22" s="45"/>
      <c r="BA22" s="45"/>
      <c r="BB22" s="45" t="s">
        <v>81</v>
      </c>
      <c r="BC22" s="45"/>
      <c r="BD22" s="45"/>
      <c r="BF22" s="45" t="s">
        <v>82</v>
      </c>
      <c r="BG22" s="45"/>
      <c r="BH22" s="45"/>
    </row>
    <row r="23" spans="6:61" x14ac:dyDescent="0.2">
      <c r="AP23" s="5">
        <v>2030</v>
      </c>
      <c r="AQ23" s="5">
        <v>2040</v>
      </c>
      <c r="AR23" s="5">
        <v>2050</v>
      </c>
      <c r="AS23" s="5">
        <v>2030</v>
      </c>
      <c r="AT23" s="5">
        <v>2040</v>
      </c>
      <c r="AU23" s="5">
        <v>2050</v>
      </c>
      <c r="AV23" s="5">
        <v>2030</v>
      </c>
      <c r="AW23" s="5">
        <v>2040</v>
      </c>
      <c r="AX23" s="5">
        <v>2050</v>
      </c>
      <c r="AY23" s="5">
        <v>2030</v>
      </c>
      <c r="AZ23" s="5">
        <v>2040</v>
      </c>
      <c r="BA23" s="5">
        <v>2050</v>
      </c>
      <c r="BB23" s="5">
        <v>2030</v>
      </c>
      <c r="BC23" s="5">
        <v>2040</v>
      </c>
      <c r="BD23" s="5">
        <v>2050</v>
      </c>
      <c r="BF23" s="5">
        <v>2030</v>
      </c>
      <c r="BG23" s="5">
        <v>2040</v>
      </c>
      <c r="BH23" s="5">
        <v>2050</v>
      </c>
    </row>
    <row r="24" spans="6:61" x14ac:dyDescent="0.2">
      <c r="AE24" s="6" t="s">
        <v>3</v>
      </c>
      <c r="AF24" s="10">
        <f>$AK$10</f>
        <v>650</v>
      </c>
      <c r="AG24" s="10">
        <f>$AU$10-$AK$10</f>
        <v>0</v>
      </c>
      <c r="AH24" s="10">
        <f>$BE$10-$AU$10</f>
        <v>0</v>
      </c>
      <c r="AI24" s="10">
        <f>AF24</f>
        <v>650</v>
      </c>
      <c r="AJ24" s="10">
        <f>AG24+AI24</f>
        <v>650</v>
      </c>
      <c r="AK24" s="10">
        <f>AJ24+AH24</f>
        <v>650</v>
      </c>
      <c r="AN24" t="s">
        <v>83</v>
      </c>
      <c r="AO24" s="6" t="s">
        <v>3</v>
      </c>
      <c r="AP24" s="41">
        <f t="shared" ref="AP24:AU24" si="14">SUMPRODUCT(H$36:H$37,$N$36:$N$37)</f>
        <v>179219.41629450818</v>
      </c>
      <c r="AQ24" s="41">
        <f t="shared" si="14"/>
        <v>181711.60064772444</v>
      </c>
      <c r="AR24" s="41">
        <f t="shared" si="14"/>
        <v>192143.18349939</v>
      </c>
      <c r="AS24" s="41">
        <f t="shared" si="14"/>
        <v>34377.705054479418</v>
      </c>
      <c r="AT24" s="41">
        <f t="shared" si="14"/>
        <v>21733.968296004841</v>
      </c>
      <c r="AU24" s="41">
        <f t="shared" si="14"/>
        <v>18846.218598668282</v>
      </c>
      <c r="AV24" s="41">
        <f t="shared" ref="AV24:AX27" si="15">AF24*AP24</f>
        <v>116492620.59143032</v>
      </c>
      <c r="AW24" s="41">
        <f t="shared" si="15"/>
        <v>0</v>
      </c>
      <c r="AX24" s="41">
        <f t="shared" si="15"/>
        <v>0</v>
      </c>
      <c r="AY24">
        <v>0</v>
      </c>
      <c r="AZ24" s="36">
        <f>AV24</f>
        <v>116492620.59143032</v>
      </c>
      <c r="BA24" s="36">
        <f>AZ24+AX24</f>
        <v>116492620.59143032</v>
      </c>
      <c r="BB24" s="41">
        <f t="shared" ref="BB24:BD27" si="16">AS24*AI24</f>
        <v>22345508.285411622</v>
      </c>
      <c r="BC24" s="41">
        <f t="shared" si="16"/>
        <v>14127079.392403146</v>
      </c>
      <c r="BD24" s="41">
        <f t="shared" si="16"/>
        <v>12250042.089134384</v>
      </c>
      <c r="BE24" s="6" t="s">
        <v>3</v>
      </c>
      <c r="BF24" s="41">
        <f>AV24+AY24+BB24</f>
        <v>138838128.87684193</v>
      </c>
      <c r="BG24" s="41">
        <f t="shared" ref="BG24:BH27" si="17">AW24+AZ24+BC24</f>
        <v>130619699.98383346</v>
      </c>
      <c r="BH24" s="41">
        <f t="shared" si="17"/>
        <v>128742662.6805647</v>
      </c>
    </row>
    <row r="25" spans="6:61" x14ac:dyDescent="0.2">
      <c r="AE25" s="6" t="s">
        <v>4</v>
      </c>
      <c r="AF25" s="10">
        <f>$AK$11</f>
        <v>850</v>
      </c>
      <c r="AG25" s="10">
        <f>$AU$11-$AK$11</f>
        <v>0</v>
      </c>
      <c r="AH25" s="10">
        <f>$BE$11-$AU$11</f>
        <v>0</v>
      </c>
      <c r="AI25" s="10">
        <f t="shared" ref="AI25:AI27" si="18">AF25</f>
        <v>850</v>
      </c>
      <c r="AJ25" s="10">
        <f t="shared" ref="AJ25:AJ27" si="19">AG25+AI25</f>
        <v>850</v>
      </c>
      <c r="AK25" s="10">
        <f t="shared" ref="AK25:AK27" si="20">AJ25+AH25</f>
        <v>850</v>
      </c>
      <c r="AN25" t="s">
        <v>83</v>
      </c>
      <c r="AO25" s="6" t="s">
        <v>4</v>
      </c>
      <c r="AP25" s="41">
        <f t="shared" ref="AP25:AU25" si="21">SUMPRODUCT(H$38:H$39,$N$38:$N$39)</f>
        <v>104364.63456621577</v>
      </c>
      <c r="AQ25" s="41">
        <f t="shared" si="21"/>
        <v>105060.49429052656</v>
      </c>
      <c r="AR25" s="41">
        <f t="shared" si="21"/>
        <v>99342.359724545648</v>
      </c>
      <c r="AS25" s="41">
        <f t="shared" si="21"/>
        <v>41974.20226565202</v>
      </c>
      <c r="AT25" s="41">
        <f t="shared" si="21"/>
        <v>26536.558500518848</v>
      </c>
      <c r="AU25" s="41">
        <f t="shared" si="21"/>
        <v>23010.698071601524</v>
      </c>
      <c r="AV25" s="41">
        <f t="shared" si="15"/>
        <v>88709939.381283402</v>
      </c>
      <c r="AW25" s="41">
        <f t="shared" si="15"/>
        <v>0</v>
      </c>
      <c r="AX25" s="41">
        <f t="shared" si="15"/>
        <v>0</v>
      </c>
      <c r="AY25">
        <v>0</v>
      </c>
      <c r="AZ25" s="36">
        <f>AV25</f>
        <v>88709939.381283402</v>
      </c>
      <c r="BA25" s="36">
        <f>AZ25+AX25</f>
        <v>88709939.381283402</v>
      </c>
      <c r="BB25" s="41">
        <f t="shared" si="16"/>
        <v>35678071.92580422</v>
      </c>
      <c r="BC25" s="41">
        <f t="shared" si="16"/>
        <v>22556074.72544102</v>
      </c>
      <c r="BD25" s="41">
        <f t="shared" si="16"/>
        <v>19559093.360861294</v>
      </c>
      <c r="BE25" s="6" t="s">
        <v>4</v>
      </c>
      <c r="BF25" s="41">
        <f t="shared" ref="BF25:BF27" si="22">AV25+AY25+BB25</f>
        <v>124388011.30708763</v>
      </c>
      <c r="BG25" s="41">
        <f t="shared" si="17"/>
        <v>111266014.10672443</v>
      </c>
      <c r="BH25" s="41">
        <f t="shared" si="17"/>
        <v>108269032.7421447</v>
      </c>
    </row>
    <row r="26" spans="6:61" x14ac:dyDescent="0.2">
      <c r="AE26" s="6" t="s">
        <v>5</v>
      </c>
      <c r="AF26" s="10">
        <f>$AK$12</f>
        <v>0</v>
      </c>
      <c r="AG26" s="10">
        <f>$AU$12-$AK$12</f>
        <v>0</v>
      </c>
      <c r="AH26" s="10">
        <f>$BE$12-$AU$12</f>
        <v>0</v>
      </c>
      <c r="AI26" s="10">
        <f t="shared" si="18"/>
        <v>0</v>
      </c>
      <c r="AJ26" s="10">
        <f t="shared" si="19"/>
        <v>0</v>
      </c>
      <c r="AK26" s="10">
        <f t="shared" si="20"/>
        <v>0</v>
      </c>
      <c r="AN26" t="s">
        <v>83</v>
      </c>
      <c r="AO26" s="6" t="s">
        <v>5</v>
      </c>
      <c r="AP26" s="41">
        <f t="shared" ref="AP26:AU26" si="23">SUMPRODUCT(H$40,$N$40)</f>
        <v>95793.499233155337</v>
      </c>
      <c r="AQ26" s="41">
        <f t="shared" si="23"/>
        <v>96922.651412660838</v>
      </c>
      <c r="AR26" s="41">
        <f t="shared" si="23"/>
        <v>92055.021054518351</v>
      </c>
      <c r="AS26" s="41">
        <f t="shared" si="23"/>
        <v>25178.833081113808</v>
      </c>
      <c r="AT26" s="41">
        <f t="shared" si="23"/>
        <v>15918.338907384988</v>
      </c>
      <c r="AU26" s="41">
        <f t="shared" si="23"/>
        <v>13803.300469128333</v>
      </c>
      <c r="AV26" s="41">
        <f t="shared" si="15"/>
        <v>0</v>
      </c>
      <c r="AW26" s="41">
        <f t="shared" si="15"/>
        <v>0</v>
      </c>
      <c r="AX26" s="41">
        <f t="shared" si="15"/>
        <v>0</v>
      </c>
      <c r="AY26">
        <v>0</v>
      </c>
      <c r="AZ26" s="36">
        <f>AV26</f>
        <v>0</v>
      </c>
      <c r="BA26" s="36">
        <f>AZ26+AX26</f>
        <v>0</v>
      </c>
      <c r="BB26" s="41">
        <f t="shared" si="16"/>
        <v>0</v>
      </c>
      <c r="BC26" s="41">
        <f t="shared" si="16"/>
        <v>0</v>
      </c>
      <c r="BD26" s="41">
        <f t="shared" si="16"/>
        <v>0</v>
      </c>
      <c r="BE26" s="6" t="s">
        <v>5</v>
      </c>
      <c r="BF26" s="41">
        <f t="shared" si="22"/>
        <v>0</v>
      </c>
      <c r="BG26" s="41">
        <f t="shared" si="17"/>
        <v>0</v>
      </c>
      <c r="BH26" s="41">
        <f t="shared" si="17"/>
        <v>0</v>
      </c>
    </row>
    <row r="27" spans="6:61" x14ac:dyDescent="0.2">
      <c r="AE27" s="6" t="s">
        <v>6</v>
      </c>
      <c r="AF27" s="10">
        <f>$AK$13</f>
        <v>750</v>
      </c>
      <c r="AG27" s="10">
        <f>$AU$13-$AK$13</f>
        <v>0</v>
      </c>
      <c r="AH27" s="10">
        <f>$BE$13-$AU$13</f>
        <v>0</v>
      </c>
      <c r="AI27" s="10">
        <f t="shared" si="18"/>
        <v>750</v>
      </c>
      <c r="AJ27" s="10">
        <f t="shared" si="19"/>
        <v>750</v>
      </c>
      <c r="AK27" s="10">
        <f t="shared" si="20"/>
        <v>750</v>
      </c>
      <c r="AN27" t="s">
        <v>83</v>
      </c>
      <c r="AO27" s="6" t="s">
        <v>6</v>
      </c>
      <c r="AP27" s="41">
        <f t="shared" ref="AP27:AU27" si="24">SUMPRODUCT(H$41,$N$41)</f>
        <v>103356.0453142772</v>
      </c>
      <c r="AQ27" s="41">
        <f t="shared" si="24"/>
        <v>104764.20543109247</v>
      </c>
      <c r="AR27" s="41">
        <f t="shared" si="24"/>
        <v>99663.319502346916</v>
      </c>
      <c r="AS27" s="41">
        <f t="shared" si="24"/>
        <v>54766.214112763744</v>
      </c>
      <c r="AT27" s="41">
        <f t="shared" si="24"/>
        <v>34623.810965063989</v>
      </c>
      <c r="AU27" s="41">
        <f t="shared" si="24"/>
        <v>30023.413178830851</v>
      </c>
      <c r="AV27" s="41">
        <f t="shared" si="15"/>
        <v>77517033.985707909</v>
      </c>
      <c r="AW27" s="41">
        <f t="shared" si="15"/>
        <v>0</v>
      </c>
      <c r="AX27" s="41">
        <f t="shared" si="15"/>
        <v>0</v>
      </c>
      <c r="AY27">
        <v>0</v>
      </c>
      <c r="AZ27" s="36">
        <f>AV27</f>
        <v>77517033.985707909</v>
      </c>
      <c r="BA27" s="36">
        <f>AZ27+AX27</f>
        <v>77517033.985707909</v>
      </c>
      <c r="BB27" s="41">
        <f t="shared" si="16"/>
        <v>41074660.584572807</v>
      </c>
      <c r="BC27" s="41">
        <f t="shared" si="16"/>
        <v>25967858.223797992</v>
      </c>
      <c r="BD27" s="41">
        <f t="shared" si="16"/>
        <v>22517559.884123139</v>
      </c>
      <c r="BE27" s="6" t="s">
        <v>6</v>
      </c>
      <c r="BF27" s="41">
        <f t="shared" si="22"/>
        <v>118591694.57028072</v>
      </c>
      <c r="BG27" s="41">
        <f t="shared" si="17"/>
        <v>103484892.2095059</v>
      </c>
      <c r="BH27" s="41">
        <f t="shared" si="17"/>
        <v>100034593.86983106</v>
      </c>
    </row>
    <row r="28" spans="6:61" x14ac:dyDescent="0.2">
      <c r="AE28" s="6" t="s">
        <v>7</v>
      </c>
      <c r="AF28" s="10">
        <f>SUM(AF24:AF27)</f>
        <v>2250</v>
      </c>
      <c r="AG28" s="10">
        <f t="shared" ref="AG28:AH28" si="25">SUM(AG24:AG27)</f>
        <v>0</v>
      </c>
      <c r="AH28" s="10">
        <f t="shared" si="25"/>
        <v>0</v>
      </c>
      <c r="AI28" s="10">
        <f>SUM(AI24:AI27)</f>
        <v>2250</v>
      </c>
      <c r="AJ28" s="10">
        <f t="shared" ref="AJ28:AK28" si="26">SUM(AJ24:AJ27)</f>
        <v>2250</v>
      </c>
      <c r="AK28" s="10">
        <f t="shared" si="26"/>
        <v>2250</v>
      </c>
      <c r="BE28" s="6" t="s">
        <v>7</v>
      </c>
      <c r="BF28" s="36">
        <f>SUM(BF24:BF27)</f>
        <v>381817834.75421029</v>
      </c>
      <c r="BG28" s="36">
        <f t="shared" ref="BG28:BH28" si="27">SUM(BG24:BG27)</f>
        <v>345370606.30006379</v>
      </c>
      <c r="BH28" s="36">
        <f t="shared" si="27"/>
        <v>337046289.29254043</v>
      </c>
    </row>
    <row r="29" spans="6:61" x14ac:dyDescent="0.2">
      <c r="H29" t="s">
        <v>97</v>
      </c>
      <c r="I29" t="s">
        <v>96</v>
      </c>
      <c r="J29" t="s">
        <v>95</v>
      </c>
      <c r="K29" t="s">
        <v>98</v>
      </c>
      <c r="L29" t="s">
        <v>99</v>
      </c>
      <c r="M29" t="s">
        <v>100</v>
      </c>
      <c r="Q29" s="42"/>
      <c r="AP29" s="45" t="s">
        <v>104</v>
      </c>
      <c r="AQ29" s="45"/>
      <c r="AR29" s="45"/>
      <c r="AS29" s="45" t="s">
        <v>81</v>
      </c>
      <c r="AT29" s="45"/>
      <c r="AU29" s="45"/>
      <c r="AV29" s="45" t="s">
        <v>103</v>
      </c>
      <c r="AW29" s="45"/>
      <c r="AX29" s="45"/>
      <c r="AY29" s="45" t="s">
        <v>105</v>
      </c>
      <c r="AZ29" s="45"/>
      <c r="BA29" s="45"/>
      <c r="BB29" s="45" t="s">
        <v>81</v>
      </c>
      <c r="BC29" s="45"/>
      <c r="BD29" s="45"/>
      <c r="BF29" s="45" t="s">
        <v>82</v>
      </c>
      <c r="BG29" s="45"/>
      <c r="BH29" s="45"/>
    </row>
    <row r="30" spans="6:61" x14ac:dyDescent="0.2">
      <c r="F30" t="s">
        <v>85</v>
      </c>
      <c r="G30" t="s">
        <v>55</v>
      </c>
      <c r="H30" s="41">
        <f>_xlfn.XLOOKUP(NormalCase!$G30,'SAM Assumption'!$A$2:$A$20,'SAM Assumption'!Y$2:Y$20)</f>
        <v>187911</v>
      </c>
      <c r="I30" s="41">
        <f>_xlfn.XLOOKUP(NormalCase!$G30,'SAM Assumption'!$A$2:$A$20,'SAM Assumption'!Z$2:Z$20)</f>
        <v>212010</v>
      </c>
      <c r="J30" s="41">
        <f>_xlfn.XLOOKUP(NormalCase!$G30,'SAM Assumption'!$A$2:$A$20,'SAM Assumption'!AA$2:AA$20)</f>
        <v>231054</v>
      </c>
      <c r="K30" s="41">
        <f>_xlfn.XLOOKUP(NormalCase!$G30,'SAM Assumption'!$A$2:$A$20,'SAM Assumption'!AB$2:AB$20)</f>
        <v>37125</v>
      </c>
      <c r="L30" s="29">
        <f t="shared" ref="L30:L35" si="28">K30*$O$52</f>
        <v>26972.930538740919</v>
      </c>
      <c r="M30" s="29">
        <f t="shared" ref="M30:M35" si="29">K30*$P$52</f>
        <v>24453.172291162227</v>
      </c>
      <c r="N30">
        <v>0.4</v>
      </c>
      <c r="O30" s="36"/>
      <c r="P30" s="36"/>
      <c r="Q30" s="36"/>
      <c r="AP30" s="5">
        <v>2030</v>
      </c>
      <c r="AQ30" s="5">
        <v>2040</v>
      </c>
      <c r="AR30" s="5">
        <v>2050</v>
      </c>
      <c r="AS30" s="5">
        <v>2030</v>
      </c>
      <c r="AT30" s="5">
        <v>2040</v>
      </c>
      <c r="AU30" s="5">
        <v>2050</v>
      </c>
      <c r="AV30" s="5">
        <v>2030</v>
      </c>
      <c r="AW30" s="5">
        <v>2040</v>
      </c>
      <c r="AX30" s="5">
        <v>2050</v>
      </c>
      <c r="AY30" s="5">
        <v>2030</v>
      </c>
      <c r="AZ30" s="5">
        <v>2040</v>
      </c>
      <c r="BA30" s="5">
        <v>2050</v>
      </c>
      <c r="BB30" s="5">
        <v>2030</v>
      </c>
      <c r="BC30" s="5">
        <v>2040</v>
      </c>
      <c r="BD30" s="5">
        <v>2050</v>
      </c>
      <c r="BF30" s="5">
        <v>2030</v>
      </c>
      <c r="BG30" s="5">
        <v>2040</v>
      </c>
      <c r="BH30" s="5">
        <v>2050</v>
      </c>
    </row>
    <row r="31" spans="6:61" x14ac:dyDescent="0.2">
      <c r="F31" t="s">
        <v>85</v>
      </c>
      <c r="G31" t="s">
        <v>56</v>
      </c>
      <c r="H31" s="41">
        <f>_xlfn.XLOOKUP(NormalCase!$G31,'SAM Assumption'!$A$2:$A$20,'SAM Assumption'!Y$2:Y$20)</f>
        <v>193626</v>
      </c>
      <c r="I31" s="41">
        <f>_xlfn.XLOOKUP(NormalCase!$G31,'SAM Assumption'!$A$2:$A$20,'SAM Assumption'!Z$2:Z$20)</f>
        <v>218458</v>
      </c>
      <c r="J31" s="41">
        <f>_xlfn.XLOOKUP(NormalCase!$G31,'SAM Assumption'!$A$2:$A$20,'SAM Assumption'!AA$2:AA$20)</f>
        <v>238081</v>
      </c>
      <c r="K31" s="41">
        <f>_xlfn.XLOOKUP(NormalCase!$G31,'SAM Assumption'!$A$2:$A$20,'SAM Assumption'!AB$2:AB$20)</f>
        <v>37125</v>
      </c>
      <c r="L31" s="29">
        <f t="shared" si="28"/>
        <v>26972.930538740919</v>
      </c>
      <c r="M31" s="29">
        <f t="shared" si="29"/>
        <v>24453.172291162227</v>
      </c>
      <c r="N31">
        <v>0.6</v>
      </c>
      <c r="O31" s="36"/>
      <c r="P31" s="36"/>
      <c r="Q31" s="36"/>
      <c r="AE31" s="6" t="s">
        <v>3</v>
      </c>
      <c r="AF31" s="10">
        <f>$AK$10</f>
        <v>650</v>
      </c>
      <c r="AG31" s="10">
        <f>$AU$10-$AK$10</f>
        <v>0</v>
      </c>
      <c r="AH31" s="10">
        <f>$BE$10-$AU$10</f>
        <v>0</v>
      </c>
      <c r="AI31" s="10">
        <f>AF31</f>
        <v>650</v>
      </c>
      <c r="AJ31" s="10">
        <f>AG31+AI31</f>
        <v>650</v>
      </c>
      <c r="AK31" s="10">
        <f>AJ31+AH31</f>
        <v>650</v>
      </c>
      <c r="AN31" t="s">
        <v>84</v>
      </c>
      <c r="AO31" s="6" t="s">
        <v>3</v>
      </c>
      <c r="AP31" s="41">
        <f t="shared" ref="AP31:AU31" si="30">SUMPRODUCT(H$42:H$43,$N$42:$N$43)</f>
        <v>222904.56544902109</v>
      </c>
      <c r="AQ31" s="41">
        <f t="shared" si="30"/>
        <v>286944.29873604025</v>
      </c>
      <c r="AR31" s="41">
        <f t="shared" si="30"/>
        <v>288011.44829474157</v>
      </c>
      <c r="AS31" s="41">
        <f t="shared" si="30"/>
        <v>44282.574152542373</v>
      </c>
      <c r="AT31" s="41">
        <f t="shared" si="30"/>
        <v>37872.219279661018</v>
      </c>
      <c r="AU31" s="41">
        <f t="shared" si="30"/>
        <v>31310.173274818404</v>
      </c>
      <c r="AV31" s="41">
        <f t="shared" ref="AV31:AX34" si="31">AF31*AP31</f>
        <v>144887967.54186371</v>
      </c>
      <c r="AW31" s="41">
        <f t="shared" si="31"/>
        <v>0</v>
      </c>
      <c r="AX31" s="41">
        <f t="shared" si="31"/>
        <v>0</v>
      </c>
      <c r="AY31">
        <v>0</v>
      </c>
      <c r="AZ31" s="36">
        <f>AV31</f>
        <v>144887967.54186371</v>
      </c>
      <c r="BA31" s="36">
        <f>AZ31+AX31</f>
        <v>144887967.54186371</v>
      </c>
      <c r="BB31" s="41">
        <f t="shared" ref="BB31:BD34" si="32">AS31*AI31</f>
        <v>28783673.199152544</v>
      </c>
      <c r="BC31" s="41">
        <f t="shared" si="32"/>
        <v>24616942.531779662</v>
      </c>
      <c r="BD31" s="41">
        <f t="shared" si="32"/>
        <v>20351612.628631964</v>
      </c>
      <c r="BE31" s="6" t="s">
        <v>3</v>
      </c>
      <c r="BF31" s="41">
        <f>AV31+AY31+BB31</f>
        <v>173671640.74101627</v>
      </c>
      <c r="BG31" s="41">
        <f t="shared" ref="BG31:BH34" si="33">AW31+AZ31+BC31</f>
        <v>169504910.07364339</v>
      </c>
      <c r="BH31" s="41">
        <f t="shared" si="33"/>
        <v>165239580.17049569</v>
      </c>
    </row>
    <row r="32" spans="6:61" x14ac:dyDescent="0.2">
      <c r="F32" t="s">
        <v>85</v>
      </c>
      <c r="G32" t="s">
        <v>41</v>
      </c>
      <c r="H32" s="41">
        <f>_xlfn.XLOOKUP(NormalCase!$G32,'SAM Assumption'!$A$2:$A$20,'SAM Assumption'!Y$2:Y$20)</f>
        <v>113038</v>
      </c>
      <c r="I32" s="41">
        <f>_xlfn.XLOOKUP(NormalCase!$G32,'SAM Assumption'!$A$2:$A$20,'SAM Assumption'!Z$2:Z$20)</f>
        <v>126678</v>
      </c>
      <c r="J32" s="41">
        <f>_xlfn.XLOOKUP(NormalCase!$G32,'SAM Assumption'!$A$2:$A$20,'SAM Assumption'!AA$2:AA$20)</f>
        <v>123503</v>
      </c>
      <c r="K32" s="41">
        <f>_xlfn.XLOOKUP(NormalCase!$G32,'SAM Assumption'!$A$2:$A$20,'SAM Assumption'!AB$2:AB$20)</f>
        <v>22571.428571428569</v>
      </c>
      <c r="L32" s="29">
        <f t="shared" si="28"/>
        <v>16399.126599792457</v>
      </c>
      <c r="M32" s="29">
        <f t="shared" si="29"/>
        <v>14867.152369422343</v>
      </c>
      <c r="N32">
        <v>0.4</v>
      </c>
      <c r="O32" s="36"/>
      <c r="P32" s="36"/>
      <c r="Q32" s="36"/>
      <c r="AE32" s="6" t="s">
        <v>4</v>
      </c>
      <c r="AF32" s="10">
        <f>$AK$11</f>
        <v>850</v>
      </c>
      <c r="AG32" s="10">
        <f>$AU$11-$AK$11</f>
        <v>0</v>
      </c>
      <c r="AH32" s="10">
        <f>$BE$11-$AU$11</f>
        <v>0</v>
      </c>
      <c r="AI32" s="10">
        <f t="shared" ref="AI32:AI34" si="34">AF32</f>
        <v>850</v>
      </c>
      <c r="AJ32" s="10">
        <f t="shared" ref="AJ32:AJ34" si="35">AG32+AI32</f>
        <v>850</v>
      </c>
      <c r="AK32" s="10">
        <f t="shared" ref="AK32:AK34" si="36">AJ32+AH32</f>
        <v>850</v>
      </c>
      <c r="AN32" t="s">
        <v>84</v>
      </c>
      <c r="AO32" s="6" t="s">
        <v>4</v>
      </c>
      <c r="AP32" s="41">
        <f t="shared" ref="AP32:AU32" si="37">SUMPRODUCT(H$44:H$45,$N$44:$N$45)</f>
        <v>129803.75674251691</v>
      </c>
      <c r="AQ32" s="41">
        <f t="shared" si="37"/>
        <v>165903.05600521617</v>
      </c>
      <c r="AR32" s="41">
        <f t="shared" si="37"/>
        <v>148908.41496531377</v>
      </c>
      <c r="AS32" s="41">
        <f t="shared" si="37"/>
        <v>54067.766343825657</v>
      </c>
      <c r="AT32" s="41">
        <f t="shared" si="37"/>
        <v>46240.904963680383</v>
      </c>
      <c r="AU32" s="41">
        <f t="shared" si="37"/>
        <v>38228.833016257347</v>
      </c>
      <c r="AV32" s="41">
        <f t="shared" si="31"/>
        <v>110333193.23113938</v>
      </c>
      <c r="AW32" s="41">
        <f t="shared" si="31"/>
        <v>0</v>
      </c>
      <c r="AX32" s="41">
        <f t="shared" si="31"/>
        <v>0</v>
      </c>
      <c r="AY32">
        <v>0</v>
      </c>
      <c r="AZ32" s="36">
        <f>AV32</f>
        <v>110333193.23113938</v>
      </c>
      <c r="BA32" s="36">
        <f>AZ32+AX32</f>
        <v>110333193.23113938</v>
      </c>
      <c r="BB32" s="41">
        <f t="shared" si="32"/>
        <v>45957601.392251812</v>
      </c>
      <c r="BC32" s="41">
        <f t="shared" si="32"/>
        <v>39304769.219128326</v>
      </c>
      <c r="BD32" s="41">
        <f t="shared" si="32"/>
        <v>32494508.063818745</v>
      </c>
      <c r="BE32" s="6" t="s">
        <v>4</v>
      </c>
      <c r="BF32" s="41">
        <f t="shared" ref="BF32:BF34" si="38">AV32+AY32+BB32</f>
        <v>156290794.62339118</v>
      </c>
      <c r="BG32" s="41">
        <f t="shared" si="33"/>
        <v>149637962.4502677</v>
      </c>
      <c r="BH32" s="41">
        <f t="shared" si="33"/>
        <v>142827701.29495811</v>
      </c>
    </row>
    <row r="33" spans="6:64" x14ac:dyDescent="0.2">
      <c r="F33" t="s">
        <v>85</v>
      </c>
      <c r="G33" t="s">
        <v>47</v>
      </c>
      <c r="H33" s="41">
        <f>_xlfn.XLOOKUP(NormalCase!$G33,'SAM Assumption'!$A$2:$A$20,'SAM Assumption'!Y$2:Y$20)</f>
        <v>110346</v>
      </c>
      <c r="I33" s="41">
        <f>_xlfn.XLOOKUP(NormalCase!$G33,'SAM Assumption'!$A$2:$A$20,'SAM Assumption'!Z$2:Z$20)</f>
        <v>123573</v>
      </c>
      <c r="J33" s="41">
        <f>_xlfn.XLOOKUP(NormalCase!$G33,'SAM Assumption'!$A$2:$A$20,'SAM Assumption'!AA$2:AA$20)</f>
        <v>120398</v>
      </c>
      <c r="K33" s="41">
        <f>_xlfn.XLOOKUP(NormalCase!$G33,'SAM Assumption'!$A$2:$A$20,'SAM Assumption'!AB$2:AB$20)</f>
        <v>60500</v>
      </c>
      <c r="L33" s="29">
        <f t="shared" si="28"/>
        <v>43955.886803874091</v>
      </c>
      <c r="M33" s="29">
        <f t="shared" si="29"/>
        <v>39849.614104116226</v>
      </c>
      <c r="N33">
        <v>0.6</v>
      </c>
      <c r="O33" s="36"/>
      <c r="P33" s="36"/>
      <c r="Q33" s="36"/>
      <c r="AE33" s="6" t="s">
        <v>5</v>
      </c>
      <c r="AF33" s="10">
        <f>$AK$12</f>
        <v>0</v>
      </c>
      <c r="AG33" s="10">
        <f>$AU$12-$AK$12</f>
        <v>0</v>
      </c>
      <c r="AH33" s="10">
        <f>$BE$12-$AU$12</f>
        <v>0</v>
      </c>
      <c r="AI33" s="10">
        <f t="shared" si="34"/>
        <v>0</v>
      </c>
      <c r="AJ33" s="10">
        <f t="shared" si="35"/>
        <v>0</v>
      </c>
      <c r="AK33" s="10">
        <f t="shared" si="36"/>
        <v>0</v>
      </c>
      <c r="AN33" t="s">
        <v>84</v>
      </c>
      <c r="AO33" s="6" t="s">
        <v>5</v>
      </c>
      <c r="AP33" s="41">
        <f t="shared" ref="AP33:AU33" si="39">SUMPRODUCT(H$46,$N$46)</f>
        <v>119143.38725620511</v>
      </c>
      <c r="AQ33" s="41">
        <f t="shared" si="39"/>
        <v>153052.43111671376</v>
      </c>
      <c r="AR33" s="41">
        <f t="shared" si="39"/>
        <v>137985.11846140475</v>
      </c>
      <c r="AS33" s="41">
        <f t="shared" si="39"/>
        <v>32433.332627118649</v>
      </c>
      <c r="AT33" s="41">
        <f t="shared" si="39"/>
        <v>27738.276483050853</v>
      </c>
      <c r="AU33" s="41">
        <f t="shared" si="39"/>
        <v>22932.119098062962</v>
      </c>
      <c r="AV33" s="41">
        <f t="shared" si="31"/>
        <v>0</v>
      </c>
      <c r="AW33" s="41">
        <f t="shared" si="31"/>
        <v>0</v>
      </c>
      <c r="AX33" s="41">
        <f t="shared" si="31"/>
        <v>0</v>
      </c>
      <c r="AY33">
        <v>0</v>
      </c>
      <c r="AZ33" s="36">
        <f>AV33</f>
        <v>0</v>
      </c>
      <c r="BA33" s="36">
        <f>AZ33+AX33</f>
        <v>0</v>
      </c>
      <c r="BB33" s="41">
        <f t="shared" si="32"/>
        <v>0</v>
      </c>
      <c r="BC33" s="41">
        <f t="shared" si="32"/>
        <v>0</v>
      </c>
      <c r="BD33" s="41">
        <f t="shared" si="32"/>
        <v>0</v>
      </c>
      <c r="BE33" s="6" t="s">
        <v>5</v>
      </c>
      <c r="BF33" s="41">
        <f t="shared" si="38"/>
        <v>0</v>
      </c>
      <c r="BG33" s="41">
        <f t="shared" si="33"/>
        <v>0</v>
      </c>
      <c r="BH33" s="41">
        <f t="shared" si="33"/>
        <v>0</v>
      </c>
    </row>
    <row r="34" spans="6:64" x14ac:dyDescent="0.2">
      <c r="F34" t="s">
        <v>85</v>
      </c>
      <c r="G34" t="s">
        <v>52</v>
      </c>
      <c r="H34" s="41">
        <f>_xlfn.XLOOKUP(NormalCase!$G34,'SAM Assumption'!$A$2:$A$20,'SAM Assumption'!Y$2:Y$20)</f>
        <v>102272</v>
      </c>
      <c r="I34" s="41">
        <f>_xlfn.XLOOKUP(NormalCase!$G34,'SAM Assumption'!$A$2:$A$20,'SAM Assumption'!Z$2:Z$20)</f>
        <v>115147</v>
      </c>
      <c r="J34" s="41">
        <f>_xlfn.XLOOKUP(NormalCase!$G34,'SAM Assumption'!$A$2:$A$20,'SAM Assumption'!AA$2:AA$20)</f>
        <v>112717</v>
      </c>
      <c r="K34" s="41">
        <f>_xlfn.XLOOKUP(NormalCase!$G34,'SAM Assumption'!$A$2:$A$20,'SAM Assumption'!AB$2:AB$20)</f>
        <v>27191.000000000004</v>
      </c>
      <c r="L34" s="29">
        <f t="shared" si="28"/>
        <v>19755.44657990315</v>
      </c>
      <c r="M34" s="29">
        <f t="shared" si="29"/>
        <v>17909.931522397099</v>
      </c>
      <c r="N34">
        <v>1</v>
      </c>
      <c r="O34" s="36"/>
      <c r="P34" s="36"/>
      <c r="Q34" s="36"/>
      <c r="AE34" s="6" t="s">
        <v>6</v>
      </c>
      <c r="AF34" s="10">
        <f>$AK$13</f>
        <v>750</v>
      </c>
      <c r="AG34" s="10">
        <f>$AU$13-$AK$13</f>
        <v>0</v>
      </c>
      <c r="AH34" s="10">
        <f>$BE$13-$AU$13</f>
        <v>0</v>
      </c>
      <c r="AI34" s="10">
        <f t="shared" si="34"/>
        <v>750</v>
      </c>
      <c r="AJ34" s="10">
        <f t="shared" si="35"/>
        <v>750</v>
      </c>
      <c r="AK34" s="10">
        <f t="shared" si="36"/>
        <v>750</v>
      </c>
      <c r="AN34" t="s">
        <v>84</v>
      </c>
      <c r="AO34" s="6" t="s">
        <v>6</v>
      </c>
      <c r="AP34" s="41">
        <f t="shared" ref="AP34:AU34" si="40">SUMPRODUCT(H$47,$N$47)</f>
        <v>128549.32151686883</v>
      </c>
      <c r="AQ34" s="41">
        <f t="shared" si="40"/>
        <v>165435.18054382261</v>
      </c>
      <c r="AR34" s="41">
        <f t="shared" si="40"/>
        <v>149389.51499064564</v>
      </c>
      <c r="AS34" s="41">
        <f t="shared" si="40"/>
        <v>70545.399515738492</v>
      </c>
      <c r="AT34" s="41">
        <f t="shared" si="40"/>
        <v>60333.232445520582</v>
      </c>
      <c r="AU34" s="41">
        <f t="shared" si="40"/>
        <v>49879.410238671735</v>
      </c>
      <c r="AV34" s="41">
        <f t="shared" si="31"/>
        <v>96411991.137651622</v>
      </c>
      <c r="AW34" s="41">
        <f t="shared" si="31"/>
        <v>0</v>
      </c>
      <c r="AX34" s="41">
        <f t="shared" si="31"/>
        <v>0</v>
      </c>
      <c r="AY34">
        <v>0</v>
      </c>
      <c r="AZ34" s="36">
        <f>AV34</f>
        <v>96411991.137651622</v>
      </c>
      <c r="BA34" s="36">
        <f>AZ34+AX34</f>
        <v>96411991.137651622</v>
      </c>
      <c r="BB34" s="41">
        <f t="shared" si="32"/>
        <v>52909049.636803873</v>
      </c>
      <c r="BC34" s="41">
        <f t="shared" si="32"/>
        <v>45249924.334140435</v>
      </c>
      <c r="BD34" s="41">
        <f t="shared" si="32"/>
        <v>37409557.679003805</v>
      </c>
      <c r="BE34" s="6" t="s">
        <v>6</v>
      </c>
      <c r="BF34" s="41">
        <f t="shared" si="38"/>
        <v>149321040.77445549</v>
      </c>
      <c r="BG34" s="41">
        <f t="shared" si="33"/>
        <v>141661915.47179204</v>
      </c>
      <c r="BH34" s="41">
        <f t="shared" si="33"/>
        <v>133821548.81665543</v>
      </c>
    </row>
    <row r="35" spans="6:64" x14ac:dyDescent="0.2">
      <c r="F35" t="s">
        <v>85</v>
      </c>
      <c r="G35" t="s">
        <v>49</v>
      </c>
      <c r="H35" s="41">
        <f>_xlfn.XLOOKUP(NormalCase!$G35,'SAM Assumption'!$A$2:$A$20,'SAM Assumption'!Y$2:Y$20)</f>
        <v>110346</v>
      </c>
      <c r="I35" s="41">
        <f>_xlfn.XLOOKUP(NormalCase!$G35,'SAM Assumption'!$A$2:$A$20,'SAM Assumption'!Z$2:Z$20)</f>
        <v>124463</v>
      </c>
      <c r="J35" s="41">
        <f>_xlfn.XLOOKUP(NormalCase!$G35,'SAM Assumption'!$A$2:$A$20,'SAM Assumption'!AA$2:AA$20)</f>
        <v>122033</v>
      </c>
      <c r="K35" s="41">
        <f>_xlfn.XLOOKUP(NormalCase!$G35,'SAM Assumption'!$A$2:$A$20,'SAM Assumption'!AB$2:AB$20)</f>
        <v>59142.857142857138</v>
      </c>
      <c r="L35" s="29">
        <f t="shared" si="28"/>
        <v>42969.86336907644</v>
      </c>
      <c r="M35" s="29">
        <f t="shared" si="29"/>
        <v>38955.703043929432</v>
      </c>
      <c r="N35">
        <v>1</v>
      </c>
      <c r="O35" s="36"/>
      <c r="P35" s="36"/>
      <c r="Q35" s="36"/>
      <c r="AE35" s="6" t="s">
        <v>7</v>
      </c>
      <c r="AF35" s="10">
        <f>SUM(AF31:AF34)</f>
        <v>2250</v>
      </c>
      <c r="AG35" s="10">
        <f t="shared" ref="AG35:AH35" si="41">SUM(AG31:AG34)</f>
        <v>0</v>
      </c>
      <c r="AH35" s="10">
        <f t="shared" si="41"/>
        <v>0</v>
      </c>
      <c r="AI35" s="10">
        <f>SUM(AI31:AI34)</f>
        <v>2250</v>
      </c>
      <c r="AJ35" s="10">
        <f t="shared" ref="AJ35:AK35" si="42">SUM(AJ31:AJ34)</f>
        <v>2250</v>
      </c>
      <c r="AK35" s="10">
        <f t="shared" si="42"/>
        <v>2250</v>
      </c>
      <c r="BE35" s="6" t="s">
        <v>7</v>
      </c>
      <c r="BF35" s="36">
        <f>SUM(BF31:BF34)</f>
        <v>479283476.13886291</v>
      </c>
      <c r="BG35" s="36">
        <f t="shared" ref="BG35:BH35" si="43">SUM(BG31:BG34)</f>
        <v>460804787.99570316</v>
      </c>
      <c r="BH35" s="36">
        <f t="shared" si="43"/>
        <v>441888830.28210926</v>
      </c>
    </row>
    <row r="36" spans="6:64" x14ac:dyDescent="0.2">
      <c r="F36" t="s">
        <v>83</v>
      </c>
      <c r="G36" t="s">
        <v>55</v>
      </c>
      <c r="H36" s="36">
        <f t="shared" ref="H36:H41" si="44">H30*$H$59</f>
        <v>176007.62901284272</v>
      </c>
      <c r="I36" s="36">
        <f t="shared" ref="I36:I41" si="45">I30*$J$59</f>
        <v>178455.11672903528</v>
      </c>
      <c r="J36" s="36">
        <f t="shared" ref="J36:J41" si="46">J30*$L$59</f>
        <v>188699.84860074951</v>
      </c>
      <c r="K36" s="29">
        <f t="shared" ref="K36:K41" si="47">K30*$I$59</f>
        <v>34377.705054479418</v>
      </c>
      <c r="L36" s="29">
        <f t="shared" ref="L36:L41" si="48">L30*$K$59</f>
        <v>21733.968296004841</v>
      </c>
      <c r="M36" s="29">
        <f t="shared" ref="M36:M41" si="49">M30*$M$59</f>
        <v>18846.218598668282</v>
      </c>
      <c r="N36">
        <v>0.4</v>
      </c>
    </row>
    <row r="37" spans="6:64" x14ac:dyDescent="0.2">
      <c r="F37" t="s">
        <v>83</v>
      </c>
      <c r="G37" t="s">
        <v>56</v>
      </c>
      <c r="H37" s="36">
        <f t="shared" si="44"/>
        <v>181360.60781561848</v>
      </c>
      <c r="I37" s="36">
        <f t="shared" si="45"/>
        <v>183882.58992685055</v>
      </c>
      <c r="J37" s="36">
        <f t="shared" si="46"/>
        <v>194438.74009848366</v>
      </c>
      <c r="K37" s="29">
        <f t="shared" si="47"/>
        <v>34377.705054479418</v>
      </c>
      <c r="L37" s="29">
        <f t="shared" si="48"/>
        <v>21733.968296004841</v>
      </c>
      <c r="M37" s="29">
        <f t="shared" si="49"/>
        <v>18846.218598668282</v>
      </c>
      <c r="N37">
        <v>0.6</v>
      </c>
    </row>
    <row r="38" spans="6:64" x14ac:dyDescent="0.2">
      <c r="F38" t="s">
        <v>83</v>
      </c>
      <c r="G38" t="s">
        <v>41</v>
      </c>
      <c r="H38" s="36">
        <f t="shared" si="44"/>
        <v>105877.51844412363</v>
      </c>
      <c r="I38" s="36">
        <f t="shared" si="45"/>
        <v>106628.63674827003</v>
      </c>
      <c r="J38" s="36">
        <f t="shared" si="46"/>
        <v>100863.85607580205</v>
      </c>
      <c r="K38" s="29">
        <f t="shared" si="47"/>
        <v>20901.115530958145</v>
      </c>
      <c r="L38" s="29">
        <f t="shared" si="48"/>
        <v>13213.918194396399</v>
      </c>
      <c r="M38" s="29">
        <f t="shared" si="49"/>
        <v>11458.210826703562</v>
      </c>
      <c r="N38">
        <v>0.4</v>
      </c>
    </row>
    <row r="39" spans="6:64" x14ac:dyDescent="0.2">
      <c r="F39" t="s">
        <v>83</v>
      </c>
      <c r="G39" t="s">
        <v>47</v>
      </c>
      <c r="H39" s="36">
        <f t="shared" si="44"/>
        <v>103356.0453142772</v>
      </c>
      <c r="I39" s="36">
        <f t="shared" si="45"/>
        <v>104015.06598536426</v>
      </c>
      <c r="J39" s="36">
        <f t="shared" si="46"/>
        <v>98328.028823708053</v>
      </c>
      <c r="K39" s="29">
        <f t="shared" si="47"/>
        <v>56022.926755447945</v>
      </c>
      <c r="L39" s="29">
        <f t="shared" si="48"/>
        <v>35418.318704600482</v>
      </c>
      <c r="M39" s="29">
        <f t="shared" si="49"/>
        <v>30712.356234866831</v>
      </c>
      <c r="N39">
        <v>0.6</v>
      </c>
    </row>
    <row r="40" spans="6:64" x14ac:dyDescent="0.2">
      <c r="F40" t="s">
        <v>83</v>
      </c>
      <c r="G40" t="s">
        <v>52</v>
      </c>
      <c r="H40" s="36">
        <f t="shared" si="44"/>
        <v>95793.499233155337</v>
      </c>
      <c r="I40" s="36">
        <f t="shared" si="45"/>
        <v>96922.651412660838</v>
      </c>
      <c r="J40" s="36">
        <f t="shared" si="46"/>
        <v>92055.021054518351</v>
      </c>
      <c r="K40" s="29">
        <f t="shared" si="47"/>
        <v>25178.833081113808</v>
      </c>
      <c r="L40" s="29">
        <f t="shared" si="48"/>
        <v>15918.338907384988</v>
      </c>
      <c r="M40" s="29">
        <f t="shared" si="49"/>
        <v>13803.300469128333</v>
      </c>
      <c r="N40">
        <v>1</v>
      </c>
    </row>
    <row r="41" spans="6:64" x14ac:dyDescent="0.2">
      <c r="F41" t="s">
        <v>83</v>
      </c>
      <c r="G41" t="s">
        <v>49</v>
      </c>
      <c r="H41" s="36">
        <f t="shared" si="44"/>
        <v>103356.0453142772</v>
      </c>
      <c r="I41" s="36">
        <f t="shared" si="45"/>
        <v>104764.20543109247</v>
      </c>
      <c r="J41" s="36">
        <f t="shared" si="46"/>
        <v>99663.319502346916</v>
      </c>
      <c r="K41" s="29">
        <f t="shared" si="47"/>
        <v>54766.214112763744</v>
      </c>
      <c r="L41" s="29">
        <f t="shared" si="48"/>
        <v>34623.810965063989</v>
      </c>
      <c r="M41" s="29">
        <f t="shared" si="49"/>
        <v>30023.413178830851</v>
      </c>
      <c r="N41">
        <v>1</v>
      </c>
    </row>
    <row r="42" spans="6:64" x14ac:dyDescent="0.2">
      <c r="F42" t="s">
        <v>84</v>
      </c>
      <c r="G42" t="s">
        <v>55</v>
      </c>
      <c r="H42" s="36">
        <f t="shared" ref="H42:H47" si="50">H30*$H$61</f>
        <v>218909.89755456778</v>
      </c>
      <c r="I42" s="36">
        <f t="shared" ref="I42:I47" si="51">I30*$J$61</f>
        <v>281801.92207399657</v>
      </c>
      <c r="J42" s="36">
        <f t="shared" ref="J42:J47" si="52">J30*$L$61</f>
        <v>282850.08970236441</v>
      </c>
      <c r="K42" s="29">
        <f t="shared" ref="K42:K47" si="53">K30*$I$61</f>
        <v>44282.574152542373</v>
      </c>
      <c r="L42" s="29">
        <f t="shared" ref="L42:L47" si="54">L30*$K$61</f>
        <v>37872.219279661018</v>
      </c>
      <c r="M42" s="29">
        <f t="shared" ref="M42:M47" si="55">M30*$M$61</f>
        <v>31310.173274818404</v>
      </c>
      <c r="N42">
        <v>0.4</v>
      </c>
    </row>
    <row r="43" spans="6:64" x14ac:dyDescent="0.2">
      <c r="F43" t="s">
        <v>84</v>
      </c>
      <c r="G43" t="s">
        <v>56</v>
      </c>
      <c r="H43" s="36">
        <f t="shared" si="50"/>
        <v>225567.67737865663</v>
      </c>
      <c r="I43" s="36">
        <f t="shared" si="51"/>
        <v>290372.54984406935</v>
      </c>
      <c r="J43" s="36">
        <f t="shared" si="52"/>
        <v>291452.35402299301</v>
      </c>
      <c r="K43" s="29">
        <f t="shared" si="53"/>
        <v>44282.574152542373</v>
      </c>
      <c r="L43" s="29">
        <f t="shared" si="54"/>
        <v>37872.219279661018</v>
      </c>
      <c r="M43" s="29">
        <f t="shared" si="55"/>
        <v>31310.173274818404</v>
      </c>
      <c r="N43">
        <v>0.6</v>
      </c>
    </row>
    <row r="44" spans="6:64" x14ac:dyDescent="0.2">
      <c r="F44" t="s">
        <v>84</v>
      </c>
      <c r="G44" t="s">
        <v>41</v>
      </c>
      <c r="H44" s="36">
        <f t="shared" si="50"/>
        <v>131685.40958098904</v>
      </c>
      <c r="I44" s="36">
        <f t="shared" si="51"/>
        <v>168379.34005230761</v>
      </c>
      <c r="J44" s="36">
        <f t="shared" si="52"/>
        <v>151189.04943654346</v>
      </c>
      <c r="K44" s="29">
        <f t="shared" si="53"/>
        <v>26923.123486682805</v>
      </c>
      <c r="L44" s="29">
        <f t="shared" si="54"/>
        <v>23025.726392251814</v>
      </c>
      <c r="M44" s="29">
        <f t="shared" si="55"/>
        <v>19036.103424420613</v>
      </c>
      <c r="N44">
        <v>0.4</v>
      </c>
    </row>
    <row r="45" spans="6:64" x14ac:dyDescent="0.2">
      <c r="F45" t="s">
        <v>84</v>
      </c>
      <c r="G45" t="s">
        <v>47</v>
      </c>
      <c r="H45" s="36">
        <f t="shared" si="50"/>
        <v>128549.32151686883</v>
      </c>
      <c r="I45" s="36">
        <f t="shared" si="51"/>
        <v>164252.19997382187</v>
      </c>
      <c r="J45" s="36">
        <f t="shared" si="52"/>
        <v>147387.99198449397</v>
      </c>
      <c r="K45" s="29">
        <f t="shared" si="53"/>
        <v>72164.194915254237</v>
      </c>
      <c r="L45" s="29">
        <f t="shared" si="54"/>
        <v>61717.6906779661</v>
      </c>
      <c r="M45" s="29">
        <f t="shared" si="55"/>
        <v>51023.986077481844</v>
      </c>
      <c r="N45">
        <v>0.6</v>
      </c>
    </row>
    <row r="46" spans="6:64" x14ac:dyDescent="0.2">
      <c r="F46" t="s">
        <v>84</v>
      </c>
      <c r="G46" t="s">
        <v>52</v>
      </c>
      <c r="H46" s="36">
        <f t="shared" si="50"/>
        <v>119143.38725620511</v>
      </c>
      <c r="I46" s="36">
        <f t="shared" si="51"/>
        <v>153052.43111671376</v>
      </c>
      <c r="J46" s="36">
        <f t="shared" si="52"/>
        <v>137985.11846140475</v>
      </c>
      <c r="K46" s="29">
        <f t="shared" si="53"/>
        <v>32433.332627118649</v>
      </c>
      <c r="L46" s="29">
        <f t="shared" si="54"/>
        <v>27738.276483050853</v>
      </c>
      <c r="M46" s="29">
        <f t="shared" si="55"/>
        <v>22932.119098062962</v>
      </c>
      <c r="N46">
        <v>1</v>
      </c>
      <c r="BG46" s="44"/>
      <c r="BH46" s="44"/>
      <c r="BI46" s="44"/>
      <c r="BJ46" s="44"/>
      <c r="BK46" s="44"/>
      <c r="BL46" s="44"/>
    </row>
    <row r="47" spans="6:64" x14ac:dyDescent="0.2">
      <c r="F47" t="s">
        <v>84</v>
      </c>
      <c r="G47" t="s">
        <v>49</v>
      </c>
      <c r="H47" s="36">
        <f t="shared" si="50"/>
        <v>128549.32151686883</v>
      </c>
      <c r="I47" s="36">
        <f t="shared" si="51"/>
        <v>165435.18054382261</v>
      </c>
      <c r="J47" s="36">
        <f t="shared" si="52"/>
        <v>149389.51499064564</v>
      </c>
      <c r="K47" s="29">
        <f t="shared" si="53"/>
        <v>70545.399515738492</v>
      </c>
      <c r="L47" s="29">
        <f t="shared" si="54"/>
        <v>60333.232445520582</v>
      </c>
      <c r="M47" s="29">
        <f t="shared" si="55"/>
        <v>49879.410238671735</v>
      </c>
      <c r="N47">
        <v>1</v>
      </c>
    </row>
    <row r="51" spans="6:16" x14ac:dyDescent="0.2">
      <c r="F51" s="46"/>
      <c r="G51" s="46"/>
      <c r="H51" s="46" t="s">
        <v>86</v>
      </c>
      <c r="I51" s="46" t="s">
        <v>87</v>
      </c>
      <c r="J51" s="46" t="s">
        <v>86</v>
      </c>
      <c r="K51" s="46" t="s">
        <v>87</v>
      </c>
      <c r="L51" s="46" t="s">
        <v>86</v>
      </c>
      <c r="M51" s="46" t="s">
        <v>87</v>
      </c>
      <c r="N51" s="46"/>
      <c r="O51" s="46" t="s">
        <v>101</v>
      </c>
      <c r="P51" s="46" t="s">
        <v>102</v>
      </c>
    </row>
    <row r="52" spans="6:16" x14ac:dyDescent="0.2">
      <c r="F52" s="46" t="s">
        <v>93</v>
      </c>
      <c r="G52" s="46" t="s">
        <v>85</v>
      </c>
      <c r="H52" s="47">
        <v>63618.30704</v>
      </c>
      <c r="I52" s="47">
        <v>13216</v>
      </c>
      <c r="J52" s="47">
        <v>49536.323040000003</v>
      </c>
      <c r="K52" s="47">
        <v>9602</v>
      </c>
      <c r="L52" s="47">
        <v>45767.491040000001</v>
      </c>
      <c r="M52" s="47">
        <v>8705</v>
      </c>
      <c r="N52" s="46"/>
      <c r="O52" s="46">
        <f t="shared" ref="O52:O57" si="56">K52/I52</f>
        <v>0.72654358353510895</v>
      </c>
      <c r="P52" s="46">
        <f t="shared" ref="P52:P57" si="57">M52/I52</f>
        <v>0.65867130750605329</v>
      </c>
    </row>
    <row r="53" spans="6:16" x14ac:dyDescent="0.2">
      <c r="F53" s="46" t="s">
        <v>94</v>
      </c>
      <c r="G53" s="46" t="s">
        <v>85</v>
      </c>
      <c r="H53" s="47">
        <v>63852.264448000002</v>
      </c>
      <c r="I53" s="47">
        <v>13216</v>
      </c>
      <c r="J53" s="47">
        <v>49770.280447999998</v>
      </c>
      <c r="K53" s="47">
        <v>9602</v>
      </c>
      <c r="L53" s="47">
        <v>46001.448448000003</v>
      </c>
      <c r="M53" s="47">
        <v>8705</v>
      </c>
      <c r="N53" s="46"/>
      <c r="O53" s="46">
        <f t="shared" si="56"/>
        <v>0.72654358353510895</v>
      </c>
      <c r="P53" s="46">
        <f t="shared" si="57"/>
        <v>0.65867130750605329</v>
      </c>
    </row>
    <row r="54" spans="6:16" x14ac:dyDescent="0.2">
      <c r="F54" s="46" t="s">
        <v>93</v>
      </c>
      <c r="G54" s="46" t="s">
        <v>83</v>
      </c>
      <c r="H54" s="47">
        <v>59588.355040000002</v>
      </c>
      <c r="I54" s="47">
        <v>12238</v>
      </c>
      <c r="J54" s="47">
        <v>41696.195039999999</v>
      </c>
      <c r="K54" s="47">
        <v>7737</v>
      </c>
      <c r="L54" s="47">
        <v>37377.923040000001</v>
      </c>
      <c r="M54" s="47">
        <v>6709</v>
      </c>
      <c r="N54" s="46"/>
      <c r="O54" s="46">
        <f t="shared" si="56"/>
        <v>0.63221114561202807</v>
      </c>
      <c r="P54" s="46">
        <f t="shared" si="57"/>
        <v>0.54821049191044291</v>
      </c>
    </row>
    <row r="55" spans="6:16" x14ac:dyDescent="0.2">
      <c r="F55" s="46" t="s">
        <v>94</v>
      </c>
      <c r="G55" s="46" t="s">
        <v>83</v>
      </c>
      <c r="H55" s="47">
        <v>59822.312447999997</v>
      </c>
      <c r="I55" s="47">
        <v>12238</v>
      </c>
      <c r="J55" s="47">
        <v>41930.152448000001</v>
      </c>
      <c r="K55" s="47">
        <v>7737</v>
      </c>
      <c r="L55" s="47">
        <v>37611.880448000004</v>
      </c>
      <c r="M55" s="47">
        <v>6709</v>
      </c>
      <c r="N55" s="46"/>
      <c r="O55" s="46">
        <f t="shared" si="56"/>
        <v>0.63221114561202807</v>
      </c>
      <c r="P55" s="46">
        <f t="shared" si="57"/>
        <v>0.54821049191044291</v>
      </c>
    </row>
    <row r="56" spans="6:16" x14ac:dyDescent="0.2">
      <c r="F56" s="46" t="s">
        <v>93</v>
      </c>
      <c r="G56" s="46" t="s">
        <v>84</v>
      </c>
      <c r="H56" s="47">
        <v>74113.155039999998</v>
      </c>
      <c r="I56" s="47">
        <v>15764</v>
      </c>
      <c r="J56" s="47">
        <v>65843.267040000006</v>
      </c>
      <c r="K56" s="47">
        <v>13482</v>
      </c>
      <c r="L56" s="47">
        <v>56027.331039999997</v>
      </c>
      <c r="M56" s="47">
        <v>11146</v>
      </c>
      <c r="N56" s="46"/>
      <c r="O56" s="46">
        <f t="shared" si="56"/>
        <v>0.85523978685612789</v>
      </c>
      <c r="P56" s="46">
        <f t="shared" si="57"/>
        <v>0.70705404719614307</v>
      </c>
    </row>
    <row r="57" spans="6:16" x14ac:dyDescent="0.2">
      <c r="F57" s="46" t="s">
        <v>94</v>
      </c>
      <c r="G57" s="46" t="s">
        <v>84</v>
      </c>
      <c r="H57" s="47">
        <v>74347.112448</v>
      </c>
      <c r="I57" s="47">
        <v>15764</v>
      </c>
      <c r="J57" s="47">
        <v>66077.224447999994</v>
      </c>
      <c r="K57" s="47">
        <v>13482</v>
      </c>
      <c r="L57" s="47">
        <v>56261.288447999999</v>
      </c>
      <c r="M57" s="47">
        <v>11146</v>
      </c>
      <c r="N57" s="46"/>
      <c r="O57" s="46">
        <f t="shared" si="56"/>
        <v>0.85523978685612789</v>
      </c>
      <c r="P57" s="46">
        <f t="shared" si="57"/>
        <v>0.70705404719614307</v>
      </c>
    </row>
    <row r="58" spans="6:16" x14ac:dyDescent="0.2">
      <c r="H58" s="43"/>
      <c r="I58" s="43"/>
      <c r="J58" s="43"/>
      <c r="K58" s="43"/>
      <c r="L58" s="43"/>
      <c r="M58" s="43"/>
    </row>
    <row r="59" spans="6:16" x14ac:dyDescent="0.2">
      <c r="G59" t="s">
        <v>92</v>
      </c>
      <c r="H59" s="44">
        <f t="shared" ref="H59:M59" si="58">H54/H52</f>
        <v>0.93665420870966964</v>
      </c>
      <c r="I59" s="44">
        <f t="shared" si="58"/>
        <v>0.92599878934624702</v>
      </c>
      <c r="J59" s="44">
        <f t="shared" si="58"/>
        <v>0.84172971430137855</v>
      </c>
      <c r="K59" s="44">
        <f t="shared" si="58"/>
        <v>0.8057696313268069</v>
      </c>
      <c r="L59" s="44">
        <f t="shared" si="58"/>
        <v>0.81669154656811616</v>
      </c>
      <c r="M59" s="44">
        <f t="shared" si="58"/>
        <v>0.77070649052268814</v>
      </c>
    </row>
    <row r="60" spans="6:16" x14ac:dyDescent="0.2">
      <c r="H60" s="44"/>
      <c r="I60" s="44"/>
      <c r="J60" s="44"/>
      <c r="K60" s="44"/>
      <c r="L60" s="44"/>
      <c r="M60" s="44"/>
    </row>
    <row r="61" spans="6:16" x14ac:dyDescent="0.2">
      <c r="H61" s="44">
        <f t="shared" ref="H61:M61" si="59">H56/H52</f>
        <v>1.1649658484844836</v>
      </c>
      <c r="I61" s="44">
        <f t="shared" si="59"/>
        <v>1.1927966101694916</v>
      </c>
      <c r="J61" s="44">
        <f t="shared" si="59"/>
        <v>1.329191651686225</v>
      </c>
      <c r="K61" s="44">
        <f t="shared" si="59"/>
        <v>1.4040824828160801</v>
      </c>
      <c r="L61" s="44">
        <f t="shared" si="59"/>
        <v>1.2241730924474989</v>
      </c>
      <c r="M61" s="44">
        <f t="shared" si="59"/>
        <v>1.280413555427915</v>
      </c>
    </row>
  </sheetData>
  <mergeCells count="20">
    <mergeCell ref="AP29:AR29"/>
    <mergeCell ref="AS29:AU29"/>
    <mergeCell ref="AV29:AX29"/>
    <mergeCell ref="AY29:BA29"/>
    <mergeCell ref="BB29:BD29"/>
    <mergeCell ref="BF29:BH29"/>
    <mergeCell ref="BB15:BD15"/>
    <mergeCell ref="BF15:BH15"/>
    <mergeCell ref="AP22:AR22"/>
    <mergeCell ref="AS22:AU22"/>
    <mergeCell ref="AV22:AX22"/>
    <mergeCell ref="AY22:BA22"/>
    <mergeCell ref="BB22:BD22"/>
    <mergeCell ref="BF22:BH22"/>
    <mergeCell ref="AF15:AH15"/>
    <mergeCell ref="AI15:AK15"/>
    <mergeCell ref="AP15:AR15"/>
    <mergeCell ref="AS15:AU15"/>
    <mergeCell ref="AV15:AX15"/>
    <mergeCell ref="AY15:B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D86-9EA6-6245-970A-A9EC7D1BA3DF}">
  <dimension ref="A1:AB58"/>
  <sheetViews>
    <sheetView topLeftCell="L1" workbookViewId="0">
      <selection activeCell="A5" sqref="A5"/>
    </sheetView>
  </sheetViews>
  <sheetFormatPr baseColWidth="10" defaultRowHeight="16" x14ac:dyDescent="0.2"/>
  <cols>
    <col min="1" max="1" width="22.83203125" bestFit="1" customWidth="1"/>
    <col min="12" max="12" width="11.5" bestFit="1" customWidth="1"/>
    <col min="18" max="18" width="10.83203125" customWidth="1"/>
    <col min="22" max="25" width="12.5" bestFit="1" customWidth="1"/>
  </cols>
  <sheetData>
    <row r="1" spans="1:28" ht="90" x14ac:dyDescent="0.2">
      <c r="A1" t="s">
        <v>9</v>
      </c>
      <c r="C1" s="11" t="s">
        <v>10</v>
      </c>
      <c r="D1" s="11" t="s">
        <v>11</v>
      </c>
      <c r="E1" s="11" t="s">
        <v>12</v>
      </c>
      <c r="F1" s="12" t="s">
        <v>13</v>
      </c>
      <c r="G1" s="11" t="s">
        <v>14</v>
      </c>
      <c r="H1" s="11" t="s">
        <v>15</v>
      </c>
      <c r="I1" s="11" t="s">
        <v>16</v>
      </c>
      <c r="J1" s="13" t="s">
        <v>17</v>
      </c>
      <c r="K1" s="13" t="s">
        <v>18</v>
      </c>
      <c r="L1" s="11" t="s">
        <v>19</v>
      </c>
      <c r="M1" s="11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27</v>
      </c>
      <c r="U1" s="13" t="s">
        <v>28</v>
      </c>
      <c r="V1" s="13" t="s">
        <v>29</v>
      </c>
      <c r="W1" s="13" t="s">
        <v>30</v>
      </c>
      <c r="X1" s="13" t="s">
        <v>31</v>
      </c>
      <c r="Y1" s="13" t="s">
        <v>32</v>
      </c>
      <c r="Z1" s="13" t="s">
        <v>33</v>
      </c>
      <c r="AA1" s="13" t="s">
        <v>34</v>
      </c>
      <c r="AB1" s="14" t="s">
        <v>35</v>
      </c>
    </row>
    <row r="2" spans="1:28" x14ac:dyDescent="0.2">
      <c r="A2" s="15" t="s">
        <v>36</v>
      </c>
      <c r="B2" s="16" t="s">
        <v>37</v>
      </c>
      <c r="C2" s="17">
        <v>1.9</v>
      </c>
      <c r="D2" s="18">
        <v>3500</v>
      </c>
      <c r="E2" s="19" t="s">
        <v>38</v>
      </c>
      <c r="F2" s="20">
        <v>3</v>
      </c>
      <c r="G2" s="21">
        <v>0.25</v>
      </c>
      <c r="H2" s="21">
        <v>0.06</v>
      </c>
      <c r="I2" s="22">
        <v>1.5899999999999999</v>
      </c>
      <c r="J2" s="22">
        <f>$G2*(1+$C$27)^10</f>
        <v>0.21493261056478577</v>
      </c>
      <c r="K2" s="22">
        <f>$G2*(1+$C$27)^20</f>
        <v>0.18478410833677544</v>
      </c>
      <c r="L2" s="22">
        <f>$H2*(1+$C$28)^10</f>
        <v>4.9024368413252792E-2</v>
      </c>
      <c r="M2" s="22">
        <f>$H2*(1+$C$28)^20</f>
        <v>4.0056478305305648E-2</v>
      </c>
      <c r="N2" s="22">
        <f>$I2+J2+L2</f>
        <v>1.8539569789780384</v>
      </c>
      <c r="O2" s="22">
        <f>$I2+K2+M2</f>
        <v>1.8148405866420809</v>
      </c>
      <c r="P2" s="22">
        <v>0.05</v>
      </c>
      <c r="Q2" s="22">
        <f>$H2*(1+$C$28)^(2031+13-2020)</f>
        <v>3.6946820190544682E-2</v>
      </c>
      <c r="R2" s="22">
        <f>$H2*(1+$C$28)^(2041+13-2020)</f>
        <v>3.0188242078657824E-2</v>
      </c>
      <c r="S2" s="22">
        <v>0.02</v>
      </c>
      <c r="T2" s="23">
        <v>0.48750000000000004</v>
      </c>
      <c r="U2" s="24">
        <v>6.5000000000000002E-2</v>
      </c>
      <c r="V2" s="25">
        <v>0.1</v>
      </c>
      <c r="W2" s="26">
        <f t="shared" ref="W2:W20" si="0">(1+(1-T2)*V2+T2*U2*(1-$C$30-$C$31))/(1+$C$32)-1</f>
        <v>4.7250000000000236E-2</v>
      </c>
      <c r="X2" s="27">
        <f t="shared" ref="X2:X20" si="1">ROUND(-PMT($W2,$C$34,(P2/((1+W2)^13)+S2/((1+W2)^25)+C2*1000000*0.74))*$C$33,0)</f>
        <v>97027</v>
      </c>
      <c r="Y2" s="27">
        <f t="shared" ref="Y2:Y20" si="2">ROUND(-PMT($W2,$C$34,(P2/((1+W2)^13)+S2/((1+W2)^25)+C2*1000000*0.78))*$C$33,0)</f>
        <v>102272</v>
      </c>
      <c r="Z2" s="27">
        <f t="shared" ref="Z2:Z20" si="3">ROUND(-PMT($W2,$C$34,(Q2/((1+W2)^13)+S2/((1+W2)^25)+N2*1000000*0.9))*$C$33,0)</f>
        <v>115147</v>
      </c>
      <c r="AA2" s="27">
        <f t="shared" ref="AA2:AA18" si="4">ROUND(-PMT($W2,$C$34,(R2/((1+W2)^13)+S2/((1+W2)^25)+O2*1000000*0.9))*$C$33,0)</f>
        <v>112717</v>
      </c>
      <c r="AB2" s="28">
        <f t="shared" ref="AB2:AB20" si="5">(I40/D2+J40)*1000*$C$33</f>
        <v>13428.571428571429</v>
      </c>
    </row>
    <row r="3" spans="1:28" x14ac:dyDescent="0.2">
      <c r="A3" s="15" t="s">
        <v>39</v>
      </c>
      <c r="B3" s="16" t="s">
        <v>37</v>
      </c>
      <c r="C3" s="17">
        <v>2.4</v>
      </c>
      <c r="D3" s="18">
        <v>500</v>
      </c>
      <c r="E3" s="19" t="s">
        <v>4</v>
      </c>
      <c r="F3" s="20">
        <v>2</v>
      </c>
      <c r="G3" s="21">
        <v>0.3</v>
      </c>
      <c r="H3" s="21">
        <v>0.1</v>
      </c>
      <c r="I3" s="22">
        <v>2</v>
      </c>
      <c r="J3" s="22">
        <f t="shared" ref="J3:J20" si="6">$G3*(1+$C$27)^10</f>
        <v>0.25791913267774291</v>
      </c>
      <c r="K3" s="22">
        <f t="shared" ref="K3:K20" si="7">$G3*(1+$C$27)^20</f>
        <v>0.22174093000413053</v>
      </c>
      <c r="L3" s="22">
        <f t="shared" ref="L3:L20" si="8">$H3*(1+$C$28)^10</f>
        <v>8.1707280688754658E-2</v>
      </c>
      <c r="M3" s="22">
        <f t="shared" ref="M3:M20" si="9">$H3*(1+$C$28)^20</f>
        <v>6.6760797175509409E-2</v>
      </c>
      <c r="N3" s="22">
        <f t="shared" ref="N3:N20" si="10">I3+J3+L3</f>
        <v>2.3396264133664975</v>
      </c>
      <c r="O3" s="22">
        <f t="shared" ref="O3:O20" si="11">$I3+K3+M3</f>
        <v>2.2885017271796402</v>
      </c>
      <c r="P3" s="22">
        <v>0.08</v>
      </c>
      <c r="Q3" s="22">
        <f t="shared" ref="Q3:Q19" si="12">H3*(1+$C$28)^(2031+13-2020)</f>
        <v>6.1578033650907804E-2</v>
      </c>
      <c r="R3" s="22">
        <f t="shared" ref="R3:R19" si="13">$H3*(1+$C$28)^(2041+13-2020)</f>
        <v>5.0313736797763048E-2</v>
      </c>
      <c r="S3" s="22">
        <v>0.02</v>
      </c>
      <c r="T3" s="23">
        <v>0.48750000000000004</v>
      </c>
      <c r="U3" s="24">
        <v>6.5000000000000002E-2</v>
      </c>
      <c r="V3" s="25">
        <v>0.1</v>
      </c>
      <c r="W3" s="26">
        <f t="shared" si="0"/>
        <v>4.7250000000000236E-2</v>
      </c>
      <c r="X3" s="27">
        <f t="shared" si="1"/>
        <v>122561</v>
      </c>
      <c r="Y3" s="27">
        <f t="shared" si="2"/>
        <v>129186</v>
      </c>
      <c r="Z3" s="27">
        <f t="shared" si="3"/>
        <v>145311</v>
      </c>
      <c r="AA3" s="27">
        <f t="shared" si="4"/>
        <v>142136</v>
      </c>
      <c r="AB3" s="28">
        <f t="shared" si="5"/>
        <v>20000</v>
      </c>
    </row>
    <row r="4" spans="1:28" x14ac:dyDescent="0.2">
      <c r="A4" t="s">
        <v>40</v>
      </c>
      <c r="B4" s="16" t="s">
        <v>37</v>
      </c>
      <c r="C4" s="17">
        <v>1.7</v>
      </c>
      <c r="D4" s="18">
        <v>2000</v>
      </c>
      <c r="E4" s="19" t="s">
        <v>38</v>
      </c>
      <c r="F4" s="20">
        <v>3</v>
      </c>
      <c r="G4" s="21">
        <v>0.25</v>
      </c>
      <c r="H4" s="21">
        <v>0.06</v>
      </c>
      <c r="I4" s="22">
        <v>1.39</v>
      </c>
      <c r="J4" s="22">
        <f t="shared" si="6"/>
        <v>0.21493261056478577</v>
      </c>
      <c r="K4" s="22">
        <f t="shared" si="7"/>
        <v>0.18478410833677544</v>
      </c>
      <c r="L4" s="22">
        <f t="shared" si="8"/>
        <v>4.9024368413252792E-2</v>
      </c>
      <c r="M4" s="22">
        <f t="shared" si="9"/>
        <v>4.0056478305305648E-2</v>
      </c>
      <c r="N4" s="22">
        <f t="shared" si="10"/>
        <v>1.6539569789780384</v>
      </c>
      <c r="O4" s="22">
        <f t="shared" si="11"/>
        <v>1.614840586642081</v>
      </c>
      <c r="P4" s="22">
        <v>0.05</v>
      </c>
      <c r="Q4" s="22">
        <f t="shared" si="12"/>
        <v>3.6946820190544682E-2</v>
      </c>
      <c r="R4" s="22">
        <f t="shared" si="13"/>
        <v>3.0188242078657824E-2</v>
      </c>
      <c r="S4" s="22">
        <v>0.02</v>
      </c>
      <c r="T4" s="23">
        <v>0.48750000000000004</v>
      </c>
      <c r="U4" s="24">
        <v>6.5000000000000002E-2</v>
      </c>
      <c r="V4" s="25">
        <v>0.1</v>
      </c>
      <c r="W4" s="26">
        <f t="shared" si="0"/>
        <v>4.7250000000000236E-2</v>
      </c>
      <c r="X4" s="27">
        <f t="shared" si="1"/>
        <v>86814</v>
      </c>
      <c r="Y4" s="27">
        <f t="shared" si="2"/>
        <v>91507</v>
      </c>
      <c r="Z4" s="27">
        <f t="shared" si="3"/>
        <v>102725</v>
      </c>
      <c r="AA4" s="27">
        <f t="shared" si="4"/>
        <v>100295</v>
      </c>
      <c r="AB4" s="28">
        <f t="shared" si="5"/>
        <v>14500</v>
      </c>
    </row>
    <row r="5" spans="1:28" x14ac:dyDescent="0.2">
      <c r="A5" t="s">
        <v>41</v>
      </c>
      <c r="B5" s="16" t="s">
        <v>37</v>
      </c>
      <c r="C5" s="17">
        <v>2.1</v>
      </c>
      <c r="D5" s="18">
        <v>350</v>
      </c>
      <c r="E5" s="19" t="s">
        <v>4</v>
      </c>
      <c r="F5" s="20">
        <v>2</v>
      </c>
      <c r="G5" s="21">
        <v>0.3</v>
      </c>
      <c r="H5" s="21">
        <v>0.1</v>
      </c>
      <c r="I5" s="22">
        <v>1.7</v>
      </c>
      <c r="J5" s="22">
        <f t="shared" si="6"/>
        <v>0.25791913267774291</v>
      </c>
      <c r="K5" s="22">
        <f t="shared" si="7"/>
        <v>0.22174093000413053</v>
      </c>
      <c r="L5" s="22">
        <f t="shared" si="8"/>
        <v>8.1707280688754658E-2</v>
      </c>
      <c r="M5" s="22">
        <f t="shared" si="9"/>
        <v>6.6760797175509409E-2</v>
      </c>
      <c r="N5" s="22">
        <f t="shared" si="10"/>
        <v>2.0396264133664976</v>
      </c>
      <c r="O5" s="22">
        <f t="shared" si="11"/>
        <v>1.9885017271796397</v>
      </c>
      <c r="P5" s="22">
        <v>0.08</v>
      </c>
      <c r="Q5" s="22">
        <f t="shared" si="12"/>
        <v>6.1578033650907804E-2</v>
      </c>
      <c r="R5" s="22">
        <f t="shared" si="13"/>
        <v>5.0313736797763048E-2</v>
      </c>
      <c r="S5" s="22">
        <v>0.02</v>
      </c>
      <c r="T5" s="23">
        <v>0.48750000000000004</v>
      </c>
      <c r="U5" s="24">
        <v>6.5000000000000002E-2</v>
      </c>
      <c r="V5" s="25">
        <v>0.1</v>
      </c>
      <c r="W5" s="26">
        <f t="shared" si="0"/>
        <v>4.7250000000000236E-2</v>
      </c>
      <c r="X5" s="27">
        <f t="shared" si="1"/>
        <v>107241</v>
      </c>
      <c r="Y5" s="27">
        <f t="shared" si="2"/>
        <v>113038</v>
      </c>
      <c r="Z5" s="27">
        <f t="shared" si="3"/>
        <v>126678</v>
      </c>
      <c r="AA5" s="27">
        <f t="shared" si="4"/>
        <v>123503</v>
      </c>
      <c r="AB5" s="28">
        <f t="shared" si="5"/>
        <v>22571.428571428569</v>
      </c>
    </row>
    <row r="6" spans="1:28" x14ac:dyDescent="0.2">
      <c r="A6" t="s">
        <v>42</v>
      </c>
      <c r="B6" s="16" t="s">
        <v>37</v>
      </c>
      <c r="C6" s="17">
        <v>2.6</v>
      </c>
      <c r="D6" s="18">
        <v>35</v>
      </c>
      <c r="E6" s="19" t="s">
        <v>4</v>
      </c>
      <c r="F6" s="20">
        <v>2</v>
      </c>
      <c r="G6" s="21">
        <v>0.3</v>
      </c>
      <c r="H6" s="21">
        <v>0.1</v>
      </c>
      <c r="I6" s="22">
        <v>2.2000000000000002</v>
      </c>
      <c r="J6" s="22">
        <f t="shared" si="6"/>
        <v>0.25791913267774291</v>
      </c>
      <c r="K6" s="22">
        <f t="shared" si="7"/>
        <v>0.22174093000413053</v>
      </c>
      <c r="L6" s="22">
        <f t="shared" si="8"/>
        <v>8.1707280688754658E-2</v>
      </c>
      <c r="M6" s="22">
        <f t="shared" si="9"/>
        <v>6.6760797175509409E-2</v>
      </c>
      <c r="N6" s="22">
        <f t="shared" si="10"/>
        <v>2.5396264133664976</v>
      </c>
      <c r="O6" s="22">
        <f t="shared" si="11"/>
        <v>2.4885017271796404</v>
      </c>
      <c r="P6" s="22">
        <v>0.08</v>
      </c>
      <c r="Q6" s="22">
        <f t="shared" si="12"/>
        <v>6.1578033650907804E-2</v>
      </c>
      <c r="R6" s="22">
        <f t="shared" si="13"/>
        <v>5.0313736797763048E-2</v>
      </c>
      <c r="S6" s="22">
        <v>0.02</v>
      </c>
      <c r="T6" s="23">
        <v>0.48750000000000004</v>
      </c>
      <c r="U6" s="24">
        <v>6.5000000000000002E-2</v>
      </c>
      <c r="V6" s="25">
        <v>0.1</v>
      </c>
      <c r="W6" s="26">
        <f t="shared" si="0"/>
        <v>4.7250000000000236E-2</v>
      </c>
      <c r="X6" s="27">
        <f t="shared" si="1"/>
        <v>132774</v>
      </c>
      <c r="Y6" s="27">
        <f t="shared" si="2"/>
        <v>139951</v>
      </c>
      <c r="Z6" s="27">
        <f t="shared" si="3"/>
        <v>157733</v>
      </c>
      <c r="AA6" s="27">
        <f t="shared" si="4"/>
        <v>154557</v>
      </c>
      <c r="AB6" s="28">
        <f t="shared" si="5"/>
        <v>14485.714285714286</v>
      </c>
    </row>
    <row r="7" spans="1:28" x14ac:dyDescent="0.2">
      <c r="A7" t="s">
        <v>43</v>
      </c>
      <c r="B7" s="16" t="s">
        <v>37</v>
      </c>
      <c r="C7" s="17">
        <v>2.65</v>
      </c>
      <c r="D7" s="18">
        <v>1500</v>
      </c>
      <c r="E7" s="19" t="s">
        <v>38</v>
      </c>
      <c r="F7" s="20">
        <v>3</v>
      </c>
      <c r="G7" s="21">
        <v>0.25</v>
      </c>
      <c r="H7" s="21">
        <v>0.06</v>
      </c>
      <c r="I7" s="22">
        <v>2.34</v>
      </c>
      <c r="J7" s="22">
        <f t="shared" si="6"/>
        <v>0.21493261056478577</v>
      </c>
      <c r="K7" s="22">
        <f t="shared" si="7"/>
        <v>0.18478410833677544</v>
      </c>
      <c r="L7" s="22">
        <f t="shared" si="8"/>
        <v>4.9024368413252792E-2</v>
      </c>
      <c r="M7" s="22">
        <f t="shared" si="9"/>
        <v>4.0056478305305648E-2</v>
      </c>
      <c r="N7" s="22">
        <f t="shared" si="10"/>
        <v>2.6039569789780388</v>
      </c>
      <c r="O7" s="22">
        <f t="shared" si="11"/>
        <v>2.5648405866420809</v>
      </c>
      <c r="P7" s="22">
        <v>0</v>
      </c>
      <c r="Q7" s="22">
        <v>0</v>
      </c>
      <c r="R7" s="22">
        <v>0</v>
      </c>
      <c r="S7" s="22">
        <v>0</v>
      </c>
      <c r="T7" s="23">
        <v>0.48750000000000004</v>
      </c>
      <c r="U7" s="24">
        <v>6.5000000000000002E-2</v>
      </c>
      <c r="V7" s="25">
        <v>0.1</v>
      </c>
      <c r="W7" s="26">
        <f t="shared" si="0"/>
        <v>4.7250000000000236E-2</v>
      </c>
      <c r="X7" s="27">
        <f t="shared" si="1"/>
        <v>135328</v>
      </c>
      <c r="Y7" s="27">
        <f t="shared" si="2"/>
        <v>142643</v>
      </c>
      <c r="Z7" s="27">
        <f t="shared" si="3"/>
        <v>161728</v>
      </c>
      <c r="AA7" s="27">
        <f t="shared" si="4"/>
        <v>159299</v>
      </c>
      <c r="AB7" s="28">
        <f t="shared" si="5"/>
        <v>38433.333333333336</v>
      </c>
    </row>
    <row r="8" spans="1:28" x14ac:dyDescent="0.2">
      <c r="A8" t="s">
        <v>44</v>
      </c>
      <c r="B8" s="16" t="s">
        <v>37</v>
      </c>
      <c r="C8" s="17">
        <v>1.85</v>
      </c>
      <c r="D8" s="18">
        <v>3500</v>
      </c>
      <c r="E8" s="19" t="s">
        <v>38</v>
      </c>
      <c r="F8" s="20">
        <v>3</v>
      </c>
      <c r="G8" s="21">
        <v>0.25</v>
      </c>
      <c r="H8" s="21">
        <v>0.06</v>
      </c>
      <c r="I8" s="22">
        <v>1.54</v>
      </c>
      <c r="J8" s="22">
        <f t="shared" si="6"/>
        <v>0.21493261056478577</v>
      </c>
      <c r="K8" s="22">
        <f t="shared" si="7"/>
        <v>0.18478410833677544</v>
      </c>
      <c r="L8" s="22">
        <f t="shared" si="8"/>
        <v>4.9024368413252792E-2</v>
      </c>
      <c r="M8" s="22">
        <f t="shared" si="9"/>
        <v>4.0056478305305648E-2</v>
      </c>
      <c r="N8" s="22">
        <f t="shared" si="10"/>
        <v>1.8039569789780385</v>
      </c>
      <c r="O8" s="22">
        <f t="shared" si="11"/>
        <v>1.7648405866420811</v>
      </c>
      <c r="P8" s="22">
        <v>0</v>
      </c>
      <c r="Q8" s="22">
        <v>0</v>
      </c>
      <c r="R8" s="22">
        <v>0</v>
      </c>
      <c r="S8" s="22">
        <v>0</v>
      </c>
      <c r="T8" s="23">
        <v>0.48750000000000004</v>
      </c>
      <c r="U8" s="24">
        <v>6.5000000000000002E-2</v>
      </c>
      <c r="V8" s="25">
        <v>0.1</v>
      </c>
      <c r="W8" s="26">
        <f t="shared" si="0"/>
        <v>4.7250000000000236E-2</v>
      </c>
      <c r="X8" s="27">
        <f t="shared" si="1"/>
        <v>94474</v>
      </c>
      <c r="Y8" s="27">
        <f t="shared" si="2"/>
        <v>99581</v>
      </c>
      <c r="Z8" s="27">
        <f t="shared" si="3"/>
        <v>112041</v>
      </c>
      <c r="AA8" s="27">
        <f t="shared" si="4"/>
        <v>109612</v>
      </c>
      <c r="AB8" s="28">
        <f t="shared" si="5"/>
        <v>29142.857142857141</v>
      </c>
    </row>
    <row r="9" spans="1:28" x14ac:dyDescent="0.2">
      <c r="A9" t="s">
        <v>45</v>
      </c>
      <c r="B9" s="16" t="s">
        <v>37</v>
      </c>
      <c r="C9" s="17">
        <v>2.2999999999999998</v>
      </c>
      <c r="D9" s="18">
        <v>450</v>
      </c>
      <c r="E9" s="19" t="s">
        <v>4</v>
      </c>
      <c r="F9" s="20">
        <v>2</v>
      </c>
      <c r="G9" s="21">
        <v>0.3</v>
      </c>
      <c r="H9" s="21">
        <v>0.1</v>
      </c>
      <c r="I9" s="22">
        <v>1.8999999999999997</v>
      </c>
      <c r="J9" s="22">
        <f t="shared" si="6"/>
        <v>0.25791913267774291</v>
      </c>
      <c r="K9" s="22">
        <f t="shared" si="7"/>
        <v>0.22174093000413053</v>
      </c>
      <c r="L9" s="22">
        <f t="shared" si="8"/>
        <v>8.1707280688754658E-2</v>
      </c>
      <c r="M9" s="22">
        <f t="shared" si="9"/>
        <v>6.6760797175509409E-2</v>
      </c>
      <c r="N9" s="22">
        <f t="shared" si="10"/>
        <v>2.2396264133664974</v>
      </c>
      <c r="O9" s="22">
        <f t="shared" si="11"/>
        <v>2.1885017271796396</v>
      </c>
      <c r="P9" s="22">
        <v>0</v>
      </c>
      <c r="Q9" s="22">
        <v>0</v>
      </c>
      <c r="R9" s="22">
        <v>0</v>
      </c>
      <c r="S9" s="22">
        <v>0</v>
      </c>
      <c r="T9" s="23">
        <v>0.48750000000000004</v>
      </c>
      <c r="U9" s="24">
        <v>6.5000000000000002E-2</v>
      </c>
      <c r="V9" s="25">
        <v>0.1</v>
      </c>
      <c r="W9" s="26">
        <f t="shared" si="0"/>
        <v>4.7250000000000236E-2</v>
      </c>
      <c r="X9" s="27">
        <f t="shared" si="1"/>
        <v>117454</v>
      </c>
      <c r="Y9" s="27">
        <f t="shared" si="2"/>
        <v>123803</v>
      </c>
      <c r="Z9" s="27">
        <f t="shared" si="3"/>
        <v>139100</v>
      </c>
      <c r="AA9" s="27">
        <f t="shared" si="4"/>
        <v>135925</v>
      </c>
      <c r="AB9" s="28">
        <f t="shared" si="5"/>
        <v>54000</v>
      </c>
    </row>
    <row r="10" spans="1:28" x14ac:dyDescent="0.2">
      <c r="A10" t="s">
        <v>46</v>
      </c>
      <c r="B10" s="16" t="s">
        <v>37</v>
      </c>
      <c r="C10" s="17">
        <v>1.65</v>
      </c>
      <c r="D10" s="18">
        <v>2000</v>
      </c>
      <c r="E10" s="19" t="s">
        <v>38</v>
      </c>
      <c r="F10" s="20">
        <v>3</v>
      </c>
      <c r="G10" s="21">
        <v>0.25</v>
      </c>
      <c r="H10" s="21">
        <v>0.06</v>
      </c>
      <c r="I10" s="22">
        <v>1.3399999999999999</v>
      </c>
      <c r="J10" s="22">
        <f t="shared" si="6"/>
        <v>0.21493261056478577</v>
      </c>
      <c r="K10" s="22">
        <f t="shared" si="7"/>
        <v>0.18478410833677544</v>
      </c>
      <c r="L10" s="22">
        <f t="shared" si="8"/>
        <v>4.9024368413252792E-2</v>
      </c>
      <c r="M10" s="22">
        <f t="shared" si="9"/>
        <v>4.0056478305305648E-2</v>
      </c>
      <c r="N10" s="22">
        <f t="shared" si="10"/>
        <v>1.6039569789780384</v>
      </c>
      <c r="O10" s="22">
        <f t="shared" si="11"/>
        <v>1.5648405866420809</v>
      </c>
      <c r="P10" s="22">
        <v>0</v>
      </c>
      <c r="Q10" s="22">
        <v>0</v>
      </c>
      <c r="R10" s="22">
        <v>0</v>
      </c>
      <c r="S10" s="22">
        <v>0</v>
      </c>
      <c r="T10" s="23">
        <v>0.48750000000000004</v>
      </c>
      <c r="U10" s="24">
        <v>6.5000000000000002E-2</v>
      </c>
      <c r="V10" s="25">
        <v>0.1</v>
      </c>
      <c r="W10" s="26">
        <f t="shared" si="0"/>
        <v>4.7250000000000236E-2</v>
      </c>
      <c r="X10" s="27">
        <f t="shared" si="1"/>
        <v>84261</v>
      </c>
      <c r="Y10" s="27">
        <f t="shared" si="2"/>
        <v>88815</v>
      </c>
      <c r="Z10" s="27">
        <f t="shared" si="3"/>
        <v>99620</v>
      </c>
      <c r="AA10" s="27">
        <f t="shared" si="4"/>
        <v>97190</v>
      </c>
      <c r="AB10" s="28">
        <f t="shared" si="5"/>
        <v>42000</v>
      </c>
    </row>
    <row r="11" spans="1:28" x14ac:dyDescent="0.2">
      <c r="A11" t="s">
        <v>47</v>
      </c>
      <c r="B11" s="16" t="s">
        <v>37</v>
      </c>
      <c r="C11" s="17">
        <v>2.0499999999999998</v>
      </c>
      <c r="D11" s="18">
        <v>250</v>
      </c>
      <c r="E11" s="19" t="s">
        <v>4</v>
      </c>
      <c r="F11" s="20">
        <v>2</v>
      </c>
      <c r="G11" s="21">
        <v>0.3</v>
      </c>
      <c r="H11" s="21">
        <v>0.1</v>
      </c>
      <c r="I11" s="22">
        <v>1.6499999999999997</v>
      </c>
      <c r="J11" s="22">
        <f t="shared" si="6"/>
        <v>0.25791913267774291</v>
      </c>
      <c r="K11" s="22">
        <f t="shared" si="7"/>
        <v>0.22174093000413053</v>
      </c>
      <c r="L11" s="22">
        <f t="shared" si="8"/>
        <v>8.1707280688754658E-2</v>
      </c>
      <c r="M11" s="22">
        <f t="shared" si="9"/>
        <v>6.6760797175509409E-2</v>
      </c>
      <c r="N11" s="22">
        <f t="shared" si="10"/>
        <v>1.9896264133664974</v>
      </c>
      <c r="O11" s="22">
        <f t="shared" si="11"/>
        <v>1.9385017271796394</v>
      </c>
      <c r="P11" s="22">
        <v>0</v>
      </c>
      <c r="Q11" s="22">
        <v>0</v>
      </c>
      <c r="R11" s="22">
        <v>0</v>
      </c>
      <c r="S11" s="22">
        <v>0</v>
      </c>
      <c r="T11" s="23">
        <v>0.48750000000000004</v>
      </c>
      <c r="U11" s="24">
        <v>6.5000000000000002E-2</v>
      </c>
      <c r="V11" s="25">
        <v>0.1</v>
      </c>
      <c r="W11" s="26">
        <f t="shared" si="0"/>
        <v>4.7250000000000236E-2</v>
      </c>
      <c r="X11" s="27">
        <f t="shared" si="1"/>
        <v>104687</v>
      </c>
      <c r="Y11" s="27">
        <f t="shared" si="2"/>
        <v>110346</v>
      </c>
      <c r="Z11" s="27">
        <f t="shared" si="3"/>
        <v>123573</v>
      </c>
      <c r="AA11" s="27">
        <f t="shared" si="4"/>
        <v>120398</v>
      </c>
      <c r="AB11" s="28">
        <f t="shared" si="5"/>
        <v>60500</v>
      </c>
    </row>
    <row r="12" spans="1:28" x14ac:dyDescent="0.2">
      <c r="A12" t="s">
        <v>48</v>
      </c>
      <c r="B12" s="16" t="s">
        <v>37</v>
      </c>
      <c r="C12" s="17">
        <v>2.5499999999999998</v>
      </c>
      <c r="D12" s="18">
        <v>35</v>
      </c>
      <c r="E12" s="19" t="s">
        <v>4</v>
      </c>
      <c r="F12" s="20">
        <v>2</v>
      </c>
      <c r="G12" s="21">
        <v>0.3</v>
      </c>
      <c r="H12" s="21">
        <v>0.1</v>
      </c>
      <c r="I12" s="22">
        <v>2.15</v>
      </c>
      <c r="J12" s="22">
        <f t="shared" si="6"/>
        <v>0.25791913267774291</v>
      </c>
      <c r="K12" s="22">
        <f t="shared" si="7"/>
        <v>0.22174093000413053</v>
      </c>
      <c r="L12" s="22">
        <f t="shared" si="8"/>
        <v>8.1707280688754658E-2</v>
      </c>
      <c r="M12" s="22">
        <f t="shared" si="9"/>
        <v>6.6760797175509409E-2</v>
      </c>
      <c r="N12" s="22">
        <f t="shared" si="10"/>
        <v>2.4896264133664974</v>
      </c>
      <c r="O12" s="22">
        <f t="shared" si="11"/>
        <v>2.4385017271796401</v>
      </c>
      <c r="P12" s="22">
        <v>0</v>
      </c>
      <c r="Q12" s="22">
        <v>0</v>
      </c>
      <c r="R12" s="22">
        <v>0</v>
      </c>
      <c r="S12" s="22">
        <v>0</v>
      </c>
      <c r="T12" s="23">
        <v>0.48750000000000004</v>
      </c>
      <c r="U12" s="24">
        <v>7.0000000000000007E-2</v>
      </c>
      <c r="V12" s="25">
        <v>0.1</v>
      </c>
      <c r="W12" s="26">
        <f t="shared" si="0"/>
        <v>4.8914634146341562E-2</v>
      </c>
      <c r="X12" s="27">
        <f t="shared" si="1"/>
        <v>132435</v>
      </c>
      <c r="Y12" s="27">
        <f t="shared" si="2"/>
        <v>139593</v>
      </c>
      <c r="Z12" s="27">
        <f t="shared" si="3"/>
        <v>157256</v>
      </c>
      <c r="AA12" s="27">
        <f t="shared" si="4"/>
        <v>154026</v>
      </c>
      <c r="AB12" s="28">
        <f t="shared" si="5"/>
        <v>43057.142857142855</v>
      </c>
    </row>
    <row r="13" spans="1:28" x14ac:dyDescent="0.2">
      <c r="A13" t="s">
        <v>49</v>
      </c>
      <c r="B13" s="16" t="s">
        <v>37</v>
      </c>
      <c r="C13" s="17">
        <v>2.0500000000000003</v>
      </c>
      <c r="D13" s="18">
        <v>3500</v>
      </c>
      <c r="E13" s="19" t="s">
        <v>38</v>
      </c>
      <c r="F13" s="20">
        <v>3</v>
      </c>
      <c r="G13" s="21">
        <v>0.25</v>
      </c>
      <c r="H13" s="21">
        <v>0.06</v>
      </c>
      <c r="I13" s="22">
        <v>1.7400000000000002</v>
      </c>
      <c r="J13" s="22">
        <f t="shared" si="6"/>
        <v>0.21493261056478577</v>
      </c>
      <c r="K13" s="22">
        <f t="shared" si="7"/>
        <v>0.18478410833677544</v>
      </c>
      <c r="L13" s="22">
        <f t="shared" si="8"/>
        <v>4.9024368413252792E-2</v>
      </c>
      <c r="M13" s="22">
        <f t="shared" si="9"/>
        <v>4.0056478305305648E-2</v>
      </c>
      <c r="N13" s="22">
        <f t="shared" si="10"/>
        <v>2.0039569789780387</v>
      </c>
      <c r="O13" s="22">
        <f t="shared" si="11"/>
        <v>1.9648405866420813</v>
      </c>
      <c r="P13" s="22">
        <v>0</v>
      </c>
      <c r="Q13" s="22">
        <v>0</v>
      </c>
      <c r="R13" s="22">
        <v>0</v>
      </c>
      <c r="S13" s="22">
        <v>0</v>
      </c>
      <c r="T13" s="23">
        <v>0.48750000000000004</v>
      </c>
      <c r="U13" s="24">
        <v>6.5000000000000002E-2</v>
      </c>
      <c r="V13" s="25">
        <v>0.1</v>
      </c>
      <c r="W13" s="26">
        <f t="shared" si="0"/>
        <v>4.7250000000000236E-2</v>
      </c>
      <c r="X13" s="27">
        <f t="shared" si="1"/>
        <v>104687</v>
      </c>
      <c r="Y13" s="27">
        <f t="shared" si="2"/>
        <v>110346</v>
      </c>
      <c r="Z13" s="27">
        <f t="shared" si="3"/>
        <v>124463</v>
      </c>
      <c r="AA13" s="27">
        <f t="shared" si="4"/>
        <v>122033</v>
      </c>
      <c r="AB13" s="28">
        <f t="shared" si="5"/>
        <v>59142.857142857138</v>
      </c>
    </row>
    <row r="14" spans="1:28" x14ac:dyDescent="0.2">
      <c r="A14" t="s">
        <v>50</v>
      </c>
      <c r="B14" s="16" t="s">
        <v>37</v>
      </c>
      <c r="C14" s="17">
        <v>1.8499999999999999</v>
      </c>
      <c r="D14" s="18">
        <v>2000</v>
      </c>
      <c r="E14" s="19" t="s">
        <v>38</v>
      </c>
      <c r="F14" s="20">
        <v>3</v>
      </c>
      <c r="G14" s="21">
        <v>0.25</v>
      </c>
      <c r="H14" s="21">
        <v>0.06</v>
      </c>
      <c r="I14" s="22">
        <v>1.5399999999999998</v>
      </c>
      <c r="J14" s="22">
        <f t="shared" si="6"/>
        <v>0.21493261056478577</v>
      </c>
      <c r="K14" s="22">
        <f t="shared" si="7"/>
        <v>0.18478410833677544</v>
      </c>
      <c r="L14" s="22">
        <f t="shared" si="8"/>
        <v>4.9024368413252792E-2</v>
      </c>
      <c r="M14" s="22">
        <f t="shared" si="9"/>
        <v>4.0056478305305648E-2</v>
      </c>
      <c r="N14" s="22">
        <f t="shared" si="10"/>
        <v>1.8039569789780383</v>
      </c>
      <c r="O14" s="22">
        <f t="shared" si="11"/>
        <v>1.7648405866420809</v>
      </c>
      <c r="P14" s="22">
        <v>0</v>
      </c>
      <c r="Q14" s="22">
        <v>0</v>
      </c>
      <c r="R14" s="22">
        <v>0</v>
      </c>
      <c r="S14" s="22">
        <v>0</v>
      </c>
      <c r="T14" s="23">
        <v>0.48750000000000004</v>
      </c>
      <c r="U14" s="24">
        <v>6.5000000000000002E-2</v>
      </c>
      <c r="V14" s="25">
        <v>0.1</v>
      </c>
      <c r="W14" s="26">
        <f t="shared" si="0"/>
        <v>4.7250000000000236E-2</v>
      </c>
      <c r="X14" s="27">
        <f t="shared" si="1"/>
        <v>94474</v>
      </c>
      <c r="Y14" s="27">
        <f t="shared" si="2"/>
        <v>99581</v>
      </c>
      <c r="Z14" s="27">
        <f t="shared" si="3"/>
        <v>112041</v>
      </c>
      <c r="AA14" s="27">
        <f t="shared" si="4"/>
        <v>109612</v>
      </c>
      <c r="AB14" s="28">
        <f t="shared" si="5"/>
        <v>67000</v>
      </c>
    </row>
    <row r="15" spans="1:28" x14ac:dyDescent="0.2">
      <c r="A15" t="s">
        <v>51</v>
      </c>
      <c r="B15" s="16" t="s">
        <v>37</v>
      </c>
      <c r="C15" s="17">
        <v>2.25</v>
      </c>
      <c r="D15" s="18">
        <v>650</v>
      </c>
      <c r="E15" s="19" t="s">
        <v>4</v>
      </c>
      <c r="F15" s="20">
        <v>2</v>
      </c>
      <c r="G15" s="21">
        <v>0.3</v>
      </c>
      <c r="H15" s="21">
        <v>0.1</v>
      </c>
      <c r="I15" s="22">
        <v>1.8499999999999999</v>
      </c>
      <c r="J15" s="22">
        <f t="shared" si="6"/>
        <v>0.25791913267774291</v>
      </c>
      <c r="K15" s="22">
        <f t="shared" si="7"/>
        <v>0.22174093000413053</v>
      </c>
      <c r="L15" s="22">
        <f t="shared" si="8"/>
        <v>8.1707280688754658E-2</v>
      </c>
      <c r="M15" s="22">
        <f t="shared" si="9"/>
        <v>6.6760797175509409E-2</v>
      </c>
      <c r="N15" s="22">
        <f t="shared" si="10"/>
        <v>2.1896264133664975</v>
      </c>
      <c r="O15" s="22">
        <f t="shared" si="11"/>
        <v>2.1385017271796398</v>
      </c>
      <c r="P15" s="22">
        <v>0</v>
      </c>
      <c r="Q15" s="22">
        <v>0</v>
      </c>
      <c r="R15" s="22">
        <v>0</v>
      </c>
      <c r="S15" s="22">
        <v>0</v>
      </c>
      <c r="T15" s="23">
        <v>0.48750000000000004</v>
      </c>
      <c r="U15" s="24">
        <v>6.5000000000000002E-2</v>
      </c>
      <c r="V15" s="25">
        <v>0.1</v>
      </c>
      <c r="W15" s="26">
        <f t="shared" si="0"/>
        <v>4.7250000000000236E-2</v>
      </c>
      <c r="X15" s="27">
        <f t="shared" si="1"/>
        <v>114901</v>
      </c>
      <c r="Y15" s="27">
        <f t="shared" si="2"/>
        <v>121112</v>
      </c>
      <c r="Z15" s="27">
        <f t="shared" si="3"/>
        <v>135995</v>
      </c>
      <c r="AA15" s="27">
        <f t="shared" si="4"/>
        <v>132819</v>
      </c>
      <c r="AB15" s="28">
        <f t="shared" si="5"/>
        <v>72384.61538461539</v>
      </c>
    </row>
    <row r="16" spans="1:28" x14ac:dyDescent="0.2">
      <c r="A16" t="s">
        <v>52</v>
      </c>
      <c r="B16" s="16" t="s">
        <v>37</v>
      </c>
      <c r="C16" s="17">
        <v>1.9</v>
      </c>
      <c r="D16" s="18">
        <v>7000</v>
      </c>
      <c r="E16" s="19" t="s">
        <v>38</v>
      </c>
      <c r="F16" s="20">
        <v>3</v>
      </c>
      <c r="G16" s="21">
        <v>0.25</v>
      </c>
      <c r="H16" s="21">
        <v>0.06</v>
      </c>
      <c r="I16" s="22">
        <v>1.5899999999999999</v>
      </c>
      <c r="J16" s="22">
        <f t="shared" si="6"/>
        <v>0.21493261056478577</v>
      </c>
      <c r="K16" s="22">
        <f t="shared" si="7"/>
        <v>0.18478410833677544</v>
      </c>
      <c r="L16" s="22">
        <f t="shared" si="8"/>
        <v>4.9024368413252792E-2</v>
      </c>
      <c r="M16" s="22">
        <f t="shared" si="9"/>
        <v>4.0056478305305648E-2</v>
      </c>
      <c r="N16" s="22">
        <f t="shared" si="10"/>
        <v>1.8539569789780384</v>
      </c>
      <c r="O16" s="22">
        <f t="shared" si="11"/>
        <v>1.8148405866420809</v>
      </c>
      <c r="P16" s="22">
        <v>0</v>
      </c>
      <c r="Q16" s="22">
        <v>0</v>
      </c>
      <c r="R16" s="22">
        <v>0</v>
      </c>
      <c r="S16" s="22">
        <v>0</v>
      </c>
      <c r="T16" s="23">
        <v>0.48750000000000004</v>
      </c>
      <c r="U16" s="24">
        <v>6.5000000000000002E-2</v>
      </c>
      <c r="V16" s="25">
        <v>0.1</v>
      </c>
      <c r="W16" s="26">
        <f t="shared" si="0"/>
        <v>4.7250000000000236E-2</v>
      </c>
      <c r="X16" s="27">
        <f t="shared" si="1"/>
        <v>97027</v>
      </c>
      <c r="Y16" s="27">
        <f t="shared" si="2"/>
        <v>102272</v>
      </c>
      <c r="Z16" s="27">
        <f t="shared" si="3"/>
        <v>115147</v>
      </c>
      <c r="AA16" s="27">
        <f t="shared" si="4"/>
        <v>112717</v>
      </c>
      <c r="AB16" s="28">
        <f t="shared" si="5"/>
        <v>27191.000000000004</v>
      </c>
    </row>
    <row r="17" spans="1:28" x14ac:dyDescent="0.2">
      <c r="A17" t="s">
        <v>53</v>
      </c>
      <c r="B17" s="16" t="s">
        <v>37</v>
      </c>
      <c r="C17" s="17">
        <v>1.1499999999999999</v>
      </c>
      <c r="D17" s="18">
        <v>10000</v>
      </c>
      <c r="E17" s="19" t="s">
        <v>38</v>
      </c>
      <c r="F17" s="20">
        <v>3</v>
      </c>
      <c r="G17" s="21">
        <v>0.25</v>
      </c>
      <c r="H17" s="21">
        <v>0.06</v>
      </c>
      <c r="I17" s="22">
        <v>0.83999999999999986</v>
      </c>
      <c r="J17" s="22">
        <f t="shared" si="6"/>
        <v>0.21493261056478577</v>
      </c>
      <c r="K17" s="22">
        <f t="shared" si="7"/>
        <v>0.18478410833677544</v>
      </c>
      <c r="L17" s="22">
        <f t="shared" si="8"/>
        <v>4.9024368413252792E-2</v>
      </c>
      <c r="M17" s="22">
        <f t="shared" si="9"/>
        <v>4.0056478305305648E-2</v>
      </c>
      <c r="N17" s="22">
        <f t="shared" si="10"/>
        <v>1.1039569789780384</v>
      </c>
      <c r="O17" s="22">
        <f t="shared" si="11"/>
        <v>1.0648405866420809</v>
      </c>
      <c r="P17" s="22">
        <v>0</v>
      </c>
      <c r="Q17" s="22">
        <v>0</v>
      </c>
      <c r="R17" s="22">
        <v>0</v>
      </c>
      <c r="S17" s="22">
        <v>0</v>
      </c>
      <c r="T17" s="23">
        <v>0.48750000000000004</v>
      </c>
      <c r="U17" s="24">
        <v>6.5000000000000002E-2</v>
      </c>
      <c r="V17" s="25">
        <v>0.1</v>
      </c>
      <c r="W17" s="26">
        <f t="shared" si="0"/>
        <v>4.7250000000000236E-2</v>
      </c>
      <c r="X17" s="27">
        <f t="shared" si="1"/>
        <v>58727</v>
      </c>
      <c r="Y17" s="27">
        <f t="shared" si="2"/>
        <v>61902</v>
      </c>
      <c r="Z17" s="27">
        <f t="shared" si="3"/>
        <v>68565</v>
      </c>
      <c r="AA17" s="27">
        <f t="shared" si="4"/>
        <v>66136</v>
      </c>
      <c r="AB17" s="28">
        <f t="shared" si="5"/>
        <v>21533.7</v>
      </c>
    </row>
    <row r="18" spans="1:28" x14ac:dyDescent="0.2">
      <c r="A18" t="s">
        <v>54</v>
      </c>
      <c r="B18" s="16" t="s">
        <v>37</v>
      </c>
      <c r="C18" s="17">
        <v>1.65</v>
      </c>
      <c r="D18" s="18">
        <v>2000</v>
      </c>
      <c r="E18" s="19" t="s">
        <v>38</v>
      </c>
      <c r="F18" s="20">
        <v>3</v>
      </c>
      <c r="G18" s="21">
        <v>0.25</v>
      </c>
      <c r="H18" s="21">
        <v>0.06</v>
      </c>
      <c r="I18" s="22">
        <v>1.3399999999999999</v>
      </c>
      <c r="J18" s="22">
        <f t="shared" si="6"/>
        <v>0.21493261056478577</v>
      </c>
      <c r="K18" s="22">
        <f t="shared" si="7"/>
        <v>0.18478410833677544</v>
      </c>
      <c r="L18" s="22">
        <f t="shared" si="8"/>
        <v>4.9024368413252792E-2</v>
      </c>
      <c r="M18" s="22">
        <f t="shared" si="9"/>
        <v>4.0056478305305648E-2</v>
      </c>
      <c r="N18" s="22">
        <f t="shared" si="10"/>
        <v>1.6039569789780384</v>
      </c>
      <c r="O18" s="22">
        <f t="shared" si="11"/>
        <v>1.5648405866420809</v>
      </c>
      <c r="P18" s="22">
        <v>0</v>
      </c>
      <c r="Q18" s="22">
        <v>0</v>
      </c>
      <c r="R18" s="22">
        <v>0</v>
      </c>
      <c r="S18" s="22">
        <v>0</v>
      </c>
      <c r="T18" s="23">
        <v>0.48750000000000004</v>
      </c>
      <c r="U18" s="24">
        <v>6.5000000000000002E-2</v>
      </c>
      <c r="V18" s="25">
        <v>0.1</v>
      </c>
      <c r="W18" s="26">
        <f t="shared" si="0"/>
        <v>4.7250000000000236E-2</v>
      </c>
      <c r="X18" s="27">
        <f t="shared" si="1"/>
        <v>84261</v>
      </c>
      <c r="Y18" s="27">
        <f t="shared" si="2"/>
        <v>88815</v>
      </c>
      <c r="Z18" s="27">
        <f t="shared" si="3"/>
        <v>99620</v>
      </c>
      <c r="AA18" s="27">
        <f t="shared" si="4"/>
        <v>97190</v>
      </c>
      <c r="AB18" s="28">
        <f t="shared" si="5"/>
        <v>42000</v>
      </c>
    </row>
    <row r="19" spans="1:28" x14ac:dyDescent="0.2">
      <c r="A19" t="s">
        <v>55</v>
      </c>
      <c r="B19" s="16" t="s">
        <v>37</v>
      </c>
      <c r="C19" s="17">
        <v>3.45</v>
      </c>
      <c r="D19" s="18">
        <v>8</v>
      </c>
      <c r="E19" s="19" t="s">
        <v>3</v>
      </c>
      <c r="F19" s="20">
        <v>1</v>
      </c>
      <c r="G19" s="21">
        <v>0.35</v>
      </c>
      <c r="H19" s="21">
        <v>0.15</v>
      </c>
      <c r="I19" s="22">
        <v>2.95</v>
      </c>
      <c r="J19" s="22">
        <f t="shared" si="6"/>
        <v>0.30090565479070008</v>
      </c>
      <c r="K19" s="22">
        <f t="shared" si="7"/>
        <v>0.25869775167148562</v>
      </c>
      <c r="L19" s="22">
        <f t="shared" si="8"/>
        <v>0.12256092103313199</v>
      </c>
      <c r="M19" s="22">
        <f t="shared" si="9"/>
        <v>0.10014119576326412</v>
      </c>
      <c r="N19" s="22">
        <f t="shared" si="10"/>
        <v>3.3734665758238322</v>
      </c>
      <c r="O19" s="22">
        <f t="shared" si="11"/>
        <v>3.3088389474347499</v>
      </c>
      <c r="P19" s="22">
        <v>0.12</v>
      </c>
      <c r="Q19" s="22">
        <f t="shared" si="12"/>
        <v>9.2367050476361706E-2</v>
      </c>
      <c r="R19" s="22">
        <f t="shared" si="13"/>
        <v>7.5470605196644558E-2</v>
      </c>
      <c r="S19" s="22">
        <v>0.02</v>
      </c>
      <c r="T19" s="23">
        <v>0.4375</v>
      </c>
      <c r="U19" s="24">
        <v>0.06</v>
      </c>
      <c r="V19" s="25">
        <v>0.1</v>
      </c>
      <c r="W19" s="26">
        <f t="shared" si="0"/>
        <v>4.8414634146341395E-2</v>
      </c>
      <c r="X19" s="27">
        <f t="shared" si="1"/>
        <v>178274</v>
      </c>
      <c r="Y19" s="27">
        <f t="shared" si="2"/>
        <v>187911</v>
      </c>
      <c r="Z19" s="27">
        <f t="shared" si="3"/>
        <v>212010</v>
      </c>
      <c r="AA19" s="27">
        <f>ROUND(-PMT($W19,$C$34,(R19/((1+W19)^13)+S19/((1+W19)^25)+O19*1000000))*$C$33,0)</f>
        <v>231054</v>
      </c>
      <c r="AB19" s="28">
        <f t="shared" si="5"/>
        <v>37125</v>
      </c>
    </row>
    <row r="20" spans="1:28" x14ac:dyDescent="0.2">
      <c r="A20" t="s">
        <v>56</v>
      </c>
      <c r="B20" s="16" t="s">
        <v>37</v>
      </c>
      <c r="C20" s="17">
        <v>3.45</v>
      </c>
      <c r="D20" s="18">
        <v>8</v>
      </c>
      <c r="E20" s="19" t="s">
        <v>3</v>
      </c>
      <c r="F20" s="20">
        <v>1</v>
      </c>
      <c r="G20" s="21">
        <v>0.35</v>
      </c>
      <c r="H20" s="21">
        <v>0.15</v>
      </c>
      <c r="I20" s="22">
        <v>2.95</v>
      </c>
      <c r="J20" s="22">
        <f t="shared" si="6"/>
        <v>0.30090565479070008</v>
      </c>
      <c r="K20" s="22">
        <f t="shared" si="7"/>
        <v>0.25869775167148562</v>
      </c>
      <c r="L20" s="22">
        <f t="shared" si="8"/>
        <v>0.12256092103313199</v>
      </c>
      <c r="M20" s="22">
        <f t="shared" si="9"/>
        <v>0.10014119576326412</v>
      </c>
      <c r="N20" s="22">
        <f t="shared" si="10"/>
        <v>3.3734665758238322</v>
      </c>
      <c r="O20" s="22">
        <f t="shared" si="11"/>
        <v>3.3088389474347499</v>
      </c>
      <c r="P20" s="22">
        <v>0</v>
      </c>
      <c r="Q20" s="22">
        <v>0</v>
      </c>
      <c r="R20" s="22">
        <v>0</v>
      </c>
      <c r="S20" s="22">
        <v>0</v>
      </c>
      <c r="T20" s="23">
        <v>0.4375</v>
      </c>
      <c r="U20" s="24">
        <v>7.0000000000000007E-2</v>
      </c>
      <c r="V20" s="25">
        <v>0.1</v>
      </c>
      <c r="W20" s="26">
        <f t="shared" si="0"/>
        <v>5.1402439024390345E-2</v>
      </c>
      <c r="X20" s="27">
        <f t="shared" si="1"/>
        <v>183696</v>
      </c>
      <c r="Y20" s="27">
        <f t="shared" si="2"/>
        <v>193626</v>
      </c>
      <c r="Z20" s="27">
        <f t="shared" si="3"/>
        <v>218458</v>
      </c>
      <c r="AA20" s="27">
        <f>ROUND(-PMT($W20,$C$34,(R20/((1+W20)^13)+S20/((1+W20)^25)+O20*1000000))*$C$33,0)</f>
        <v>238081</v>
      </c>
      <c r="AB20" s="28">
        <f t="shared" si="5"/>
        <v>37125</v>
      </c>
    </row>
    <row r="22" spans="1:28" x14ac:dyDescent="0.2">
      <c r="P22" s="29"/>
    </row>
    <row r="23" spans="1:28" x14ac:dyDescent="0.2">
      <c r="P23" s="29"/>
    </row>
    <row r="24" spans="1:28" x14ac:dyDescent="0.2">
      <c r="P24" s="29"/>
    </row>
    <row r="25" spans="1:28" x14ac:dyDescent="0.2">
      <c r="P25" s="29"/>
    </row>
    <row r="26" spans="1:28" ht="17" thickBot="1" x14ac:dyDescent="0.25">
      <c r="A26" s="30" t="s">
        <v>57</v>
      </c>
      <c r="H26" s="26"/>
      <c r="P26" s="29"/>
    </row>
    <row r="27" spans="1:28" x14ac:dyDescent="0.2">
      <c r="A27" t="s">
        <v>58</v>
      </c>
      <c r="B27" s="16" t="s">
        <v>59</v>
      </c>
      <c r="C27" s="31">
        <v>-1.4999999999999999E-2</v>
      </c>
      <c r="D27" t="s">
        <v>60</v>
      </c>
      <c r="H27" s="32"/>
      <c r="P27" s="29"/>
    </row>
    <row r="28" spans="1:28" x14ac:dyDescent="0.2">
      <c r="A28" t="s">
        <v>61</v>
      </c>
      <c r="B28" s="16" t="s">
        <v>59</v>
      </c>
      <c r="C28" s="31">
        <v>-0.02</v>
      </c>
      <c r="D28" t="s">
        <v>62</v>
      </c>
      <c r="P28" s="29"/>
    </row>
    <row r="29" spans="1:28" x14ac:dyDescent="0.2">
      <c r="A29" t="s">
        <v>63</v>
      </c>
      <c r="B29" s="16" t="s">
        <v>59</v>
      </c>
      <c r="C29" s="31">
        <v>0</v>
      </c>
      <c r="D29" t="s">
        <v>64</v>
      </c>
      <c r="P29" s="29"/>
    </row>
    <row r="30" spans="1:28" x14ac:dyDescent="0.2">
      <c r="A30" t="s">
        <v>65</v>
      </c>
      <c r="B30" s="33" t="s">
        <v>66</v>
      </c>
      <c r="C30" s="31">
        <v>0.21</v>
      </c>
      <c r="P30" s="29"/>
    </row>
    <row r="31" spans="1:28" x14ac:dyDescent="0.2">
      <c r="A31" t="s">
        <v>67</v>
      </c>
      <c r="B31" s="33" t="s">
        <v>66</v>
      </c>
      <c r="C31" s="31">
        <v>0.09</v>
      </c>
      <c r="P31" s="29"/>
    </row>
    <row r="32" spans="1:28" x14ac:dyDescent="0.2">
      <c r="A32" t="s">
        <v>68</v>
      </c>
      <c r="B32" s="33" t="s">
        <v>66</v>
      </c>
      <c r="C32" s="31">
        <v>2.5000000000000001E-2</v>
      </c>
      <c r="P32" s="29"/>
    </row>
    <row r="33" spans="1:16" x14ac:dyDescent="0.2">
      <c r="A33" t="s">
        <v>69</v>
      </c>
      <c r="B33" s="33" t="s">
        <v>66</v>
      </c>
      <c r="C33" s="31">
        <v>1</v>
      </c>
      <c r="P33" s="29"/>
    </row>
    <row r="34" spans="1:16" x14ac:dyDescent="0.2">
      <c r="A34" t="s">
        <v>70</v>
      </c>
      <c r="B34" s="33" t="s">
        <v>71</v>
      </c>
      <c r="C34" s="34">
        <v>25</v>
      </c>
      <c r="P34" s="29"/>
    </row>
    <row r="35" spans="1:16" x14ac:dyDescent="0.2">
      <c r="P35" s="29"/>
    </row>
    <row r="36" spans="1:16" x14ac:dyDescent="0.2">
      <c r="B36" s="25"/>
      <c r="P36" s="29"/>
    </row>
    <row r="37" spans="1:16" x14ac:dyDescent="0.2">
      <c r="P37" s="29"/>
    </row>
    <row r="38" spans="1:16" x14ac:dyDescent="0.2">
      <c r="F38" s="35" t="s">
        <v>72</v>
      </c>
      <c r="G38" s="35"/>
      <c r="H38" s="35"/>
      <c r="I38" s="35"/>
      <c r="P38" s="29"/>
    </row>
    <row r="39" spans="1:16" ht="30" x14ac:dyDescent="0.2">
      <c r="F39" s="35" t="s">
        <v>73</v>
      </c>
      <c r="G39" s="35" t="s">
        <v>74</v>
      </c>
      <c r="H39" s="35" t="s">
        <v>75</v>
      </c>
      <c r="I39" s="35" t="s">
        <v>7</v>
      </c>
      <c r="J39" s="35" t="s">
        <v>76</v>
      </c>
      <c r="K39" s="35" t="s">
        <v>77</v>
      </c>
      <c r="P39" s="29"/>
    </row>
    <row r="40" spans="1:16" x14ac:dyDescent="0.2">
      <c r="A40" s="15" t="s">
        <v>36</v>
      </c>
      <c r="D40" s="16" t="s">
        <v>78</v>
      </c>
      <c r="E40" s="36"/>
      <c r="F40" s="37">
        <v>5000</v>
      </c>
      <c r="G40" s="37" t="s">
        <v>79</v>
      </c>
      <c r="H40" s="37" t="s">
        <v>80</v>
      </c>
      <c r="I40" s="36">
        <f>ROUND(SUM(F40:H40),0)</f>
        <v>5000</v>
      </c>
      <c r="J40" s="37">
        <v>12</v>
      </c>
      <c r="K40" s="38">
        <v>4.4999999999999997E-3</v>
      </c>
      <c r="P40" s="29"/>
    </row>
    <row r="41" spans="1:16" x14ac:dyDescent="0.2">
      <c r="A41" s="15" t="s">
        <v>39</v>
      </c>
      <c r="D41" s="16" t="s">
        <v>78</v>
      </c>
      <c r="E41" s="36"/>
      <c r="F41" s="39">
        <v>3000</v>
      </c>
      <c r="G41" s="39" t="s">
        <v>79</v>
      </c>
      <c r="H41" s="39" t="s">
        <v>80</v>
      </c>
      <c r="I41" s="36">
        <f t="shared" ref="I41:I58" si="14">ROUND(SUM(F41:H41),0)</f>
        <v>3000</v>
      </c>
      <c r="J41" s="39">
        <v>14</v>
      </c>
      <c r="K41" s="40">
        <v>4.4999999999999997E-3</v>
      </c>
    </row>
    <row r="42" spans="1:16" x14ac:dyDescent="0.2">
      <c r="A42" t="s">
        <v>40</v>
      </c>
      <c r="D42" s="16" t="s">
        <v>78</v>
      </c>
      <c r="E42" s="36"/>
      <c r="F42" s="39">
        <v>5000</v>
      </c>
      <c r="G42" s="39" t="s">
        <v>79</v>
      </c>
      <c r="H42" s="39" t="s">
        <v>80</v>
      </c>
      <c r="I42" s="36">
        <f t="shared" si="14"/>
        <v>5000</v>
      </c>
      <c r="J42" s="39">
        <v>12</v>
      </c>
      <c r="K42" s="40">
        <v>4.4999999999999997E-3</v>
      </c>
    </row>
    <row r="43" spans="1:16" x14ac:dyDescent="0.2">
      <c r="A43" t="s">
        <v>41</v>
      </c>
      <c r="D43" s="16" t="s">
        <v>78</v>
      </c>
      <c r="E43" s="36"/>
      <c r="F43" s="39">
        <v>3000</v>
      </c>
      <c r="G43" s="39" t="s">
        <v>79</v>
      </c>
      <c r="H43" s="39" t="s">
        <v>80</v>
      </c>
      <c r="I43" s="36">
        <f t="shared" si="14"/>
        <v>3000</v>
      </c>
      <c r="J43" s="39">
        <v>14</v>
      </c>
      <c r="K43" s="40">
        <v>4.4999999999999997E-3</v>
      </c>
    </row>
    <row r="44" spans="1:16" x14ac:dyDescent="0.2">
      <c r="A44" t="s">
        <v>42</v>
      </c>
      <c r="D44" s="16" t="s">
        <v>78</v>
      </c>
      <c r="E44" s="36"/>
      <c r="F44" s="39">
        <v>16.5</v>
      </c>
      <c r="G44" s="39" t="s">
        <v>79</v>
      </c>
      <c r="H44" s="39" t="s">
        <v>80</v>
      </c>
      <c r="I44" s="36">
        <f t="shared" si="14"/>
        <v>17</v>
      </c>
      <c r="J44" s="39">
        <v>14</v>
      </c>
      <c r="K44" s="40">
        <v>2.7000000000000001E-3</v>
      </c>
    </row>
    <row r="45" spans="1:16" x14ac:dyDescent="0.2">
      <c r="A45" t="s">
        <v>43</v>
      </c>
      <c r="D45" s="16" t="s">
        <v>78</v>
      </c>
      <c r="E45" s="36"/>
      <c r="F45" s="39">
        <v>5000</v>
      </c>
      <c r="G45" s="39" t="s">
        <v>79</v>
      </c>
      <c r="H45" s="39">
        <v>34650</v>
      </c>
      <c r="I45" s="36">
        <f t="shared" si="14"/>
        <v>39650</v>
      </c>
      <c r="J45" s="39">
        <v>12</v>
      </c>
      <c r="K45" s="40">
        <v>4.4999999999999997E-3</v>
      </c>
    </row>
    <row r="46" spans="1:16" x14ac:dyDescent="0.2">
      <c r="A46" t="s">
        <v>44</v>
      </c>
      <c r="D46" s="16" t="s">
        <v>78</v>
      </c>
      <c r="E46" s="36"/>
      <c r="F46" s="39">
        <v>5000</v>
      </c>
      <c r="G46" s="39" t="s">
        <v>79</v>
      </c>
      <c r="H46" s="39">
        <v>55000</v>
      </c>
      <c r="I46" s="36">
        <f t="shared" si="14"/>
        <v>60000</v>
      </c>
      <c r="J46" s="39">
        <v>12</v>
      </c>
      <c r="K46" s="40">
        <v>4.4999999999999997E-3</v>
      </c>
    </row>
    <row r="47" spans="1:16" x14ac:dyDescent="0.2">
      <c r="A47" t="s">
        <v>45</v>
      </c>
      <c r="D47" s="16" t="s">
        <v>78</v>
      </c>
      <c r="E47" s="36"/>
      <c r="F47" s="39">
        <v>3000</v>
      </c>
      <c r="G47" s="39" t="s">
        <v>79</v>
      </c>
      <c r="H47" s="39">
        <v>15000</v>
      </c>
      <c r="I47" s="36">
        <f t="shared" si="14"/>
        <v>18000</v>
      </c>
      <c r="J47" s="39">
        <v>14</v>
      </c>
      <c r="K47" s="40">
        <v>4.4999999999999997E-3</v>
      </c>
    </row>
    <row r="48" spans="1:16" x14ac:dyDescent="0.2">
      <c r="A48" t="s">
        <v>46</v>
      </c>
      <c r="D48" s="16" t="s">
        <v>78</v>
      </c>
      <c r="E48" s="36"/>
      <c r="F48" s="39">
        <v>5000</v>
      </c>
      <c r="G48" s="39" t="s">
        <v>79</v>
      </c>
      <c r="H48" s="39">
        <v>55000</v>
      </c>
      <c r="I48" s="36">
        <f t="shared" si="14"/>
        <v>60000</v>
      </c>
      <c r="J48" s="39">
        <v>12</v>
      </c>
      <c r="K48" s="40">
        <v>4.4999999999999997E-3</v>
      </c>
    </row>
    <row r="49" spans="1:11" x14ac:dyDescent="0.2">
      <c r="A49" t="s">
        <v>47</v>
      </c>
      <c r="D49" s="16" t="s">
        <v>78</v>
      </c>
      <c r="E49" s="36"/>
      <c r="F49" s="39">
        <v>1625</v>
      </c>
      <c r="G49" s="39" t="s">
        <v>79</v>
      </c>
      <c r="H49" s="39">
        <v>10000</v>
      </c>
      <c r="I49" s="36">
        <f t="shared" si="14"/>
        <v>11625</v>
      </c>
      <c r="J49" s="39">
        <v>14</v>
      </c>
      <c r="K49" s="40">
        <v>2.7000000000000001E-3</v>
      </c>
    </row>
    <row r="50" spans="1:11" x14ac:dyDescent="0.2">
      <c r="A50" t="s">
        <v>48</v>
      </c>
      <c r="D50" s="16" t="s">
        <v>78</v>
      </c>
      <c r="E50" s="36"/>
      <c r="F50" s="39">
        <v>16.5</v>
      </c>
      <c r="G50" s="39" t="s">
        <v>79</v>
      </c>
      <c r="H50" s="39">
        <v>1000</v>
      </c>
      <c r="I50" s="36">
        <f t="shared" si="14"/>
        <v>1017</v>
      </c>
      <c r="J50" s="39">
        <v>14</v>
      </c>
      <c r="K50" s="40">
        <v>2.7000000000000001E-3</v>
      </c>
    </row>
    <row r="51" spans="1:11" x14ac:dyDescent="0.2">
      <c r="A51" t="s">
        <v>49</v>
      </c>
      <c r="D51" s="16" t="s">
        <v>78</v>
      </c>
      <c r="E51" s="36"/>
      <c r="F51" s="39">
        <v>5000</v>
      </c>
      <c r="G51" s="39">
        <v>17500</v>
      </c>
      <c r="H51" s="39">
        <v>55000</v>
      </c>
      <c r="I51" s="36">
        <f t="shared" si="14"/>
        <v>77500</v>
      </c>
      <c r="J51" s="39">
        <v>37</v>
      </c>
      <c r="K51" s="40">
        <v>4.4999999999999997E-3</v>
      </c>
    </row>
    <row r="52" spans="1:11" x14ac:dyDescent="0.2">
      <c r="A52" t="s">
        <v>50</v>
      </c>
      <c r="D52" s="16" t="s">
        <v>78</v>
      </c>
      <c r="E52" s="36"/>
      <c r="F52" s="39">
        <v>5000</v>
      </c>
      <c r="G52" s="39" t="s">
        <v>79</v>
      </c>
      <c r="H52" s="39">
        <v>55000</v>
      </c>
      <c r="I52" s="36">
        <f t="shared" si="14"/>
        <v>60000</v>
      </c>
      <c r="J52" s="39">
        <v>37</v>
      </c>
      <c r="K52" s="40">
        <v>4.4999999999999997E-3</v>
      </c>
    </row>
    <row r="53" spans="1:11" x14ac:dyDescent="0.2">
      <c r="A53" t="s">
        <v>51</v>
      </c>
      <c r="D53" s="16" t="s">
        <v>78</v>
      </c>
      <c r="E53" s="36"/>
      <c r="F53" s="39">
        <v>3000</v>
      </c>
      <c r="G53" s="39" t="s">
        <v>79</v>
      </c>
      <c r="H53" s="39">
        <v>20000</v>
      </c>
      <c r="I53" s="36">
        <f t="shared" si="14"/>
        <v>23000</v>
      </c>
      <c r="J53" s="39">
        <v>37</v>
      </c>
      <c r="K53" s="40">
        <v>4.4999999999999997E-3</v>
      </c>
    </row>
    <row r="54" spans="1:11" x14ac:dyDescent="0.2">
      <c r="A54" t="s">
        <v>52</v>
      </c>
      <c r="D54" s="16" t="s">
        <v>78</v>
      </c>
      <c r="E54" s="36"/>
      <c r="F54" s="39">
        <v>6337.333333333333</v>
      </c>
      <c r="G54" s="39">
        <v>35000</v>
      </c>
      <c r="H54" s="39">
        <v>65000</v>
      </c>
      <c r="I54" s="36">
        <f t="shared" si="14"/>
        <v>106337</v>
      </c>
      <c r="J54" s="39">
        <v>12</v>
      </c>
      <c r="K54" s="40">
        <v>4.4999999999999997E-3</v>
      </c>
    </row>
    <row r="55" spans="1:11" x14ac:dyDescent="0.2">
      <c r="A55" t="s">
        <v>53</v>
      </c>
      <c r="D55" s="16" t="s">
        <v>78</v>
      </c>
      <c r="E55" s="36"/>
      <c r="F55" s="39">
        <v>6337.333333333333</v>
      </c>
      <c r="G55" s="37">
        <v>50000</v>
      </c>
      <c r="H55" s="37">
        <v>39000</v>
      </c>
      <c r="I55" s="36">
        <f t="shared" si="14"/>
        <v>95337</v>
      </c>
      <c r="J55" s="39">
        <v>12</v>
      </c>
      <c r="K55" s="40">
        <v>4.4999999999999997E-3</v>
      </c>
    </row>
    <row r="56" spans="1:11" x14ac:dyDescent="0.2">
      <c r="A56" t="s">
        <v>54</v>
      </c>
      <c r="D56" s="16" t="s">
        <v>78</v>
      </c>
      <c r="E56" s="36"/>
      <c r="F56" s="39">
        <v>5000</v>
      </c>
      <c r="G56" s="39" t="s">
        <v>79</v>
      </c>
      <c r="H56" s="39">
        <v>55000</v>
      </c>
      <c r="I56" s="36">
        <f t="shared" si="14"/>
        <v>60000</v>
      </c>
      <c r="J56" s="39">
        <v>12</v>
      </c>
      <c r="K56" s="40">
        <v>4.4999999999999997E-3</v>
      </c>
    </row>
    <row r="57" spans="1:11" x14ac:dyDescent="0.2">
      <c r="A57" t="s">
        <v>55</v>
      </c>
      <c r="D57" s="16" t="s">
        <v>78</v>
      </c>
      <c r="E57" s="36"/>
      <c r="F57" s="39">
        <v>16.5</v>
      </c>
      <c r="G57" s="39" t="s">
        <v>79</v>
      </c>
      <c r="H57" s="39" t="s">
        <v>80</v>
      </c>
      <c r="I57" s="36">
        <f t="shared" si="14"/>
        <v>17</v>
      </c>
      <c r="J57" s="39">
        <v>35</v>
      </c>
      <c r="K57" s="40">
        <v>0</v>
      </c>
    </row>
    <row r="58" spans="1:11" x14ac:dyDescent="0.2">
      <c r="A58" t="s">
        <v>56</v>
      </c>
      <c r="D58" s="16" t="s">
        <v>78</v>
      </c>
      <c r="E58" s="36"/>
      <c r="F58" s="39">
        <v>16.5</v>
      </c>
      <c r="G58" s="39" t="s">
        <v>79</v>
      </c>
      <c r="H58" s="39" t="s">
        <v>80</v>
      </c>
      <c r="I58" s="36">
        <f t="shared" si="14"/>
        <v>17</v>
      </c>
      <c r="J58" s="39">
        <v>35</v>
      </c>
      <c r="K58" s="40">
        <v>0</v>
      </c>
    </row>
  </sheetData>
  <dataValidations count="1">
    <dataValidation type="list" showInputMessage="1" showErrorMessage="1" sqref="E2:E20" xr:uid="{2407E0DD-0817-8640-BDF0-EAB82BB8A064}">
      <formula1>$A$56:$A$58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HighDG</vt:lpstr>
      <vt:lpstr>NormalCase</vt:lpstr>
      <vt:lpstr>SAM 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Xu</dc:creator>
  <cp:lastModifiedBy>Qingyu Xu</cp:lastModifiedBy>
  <dcterms:created xsi:type="dcterms:W3CDTF">2021-05-27T21:38:41Z</dcterms:created>
  <dcterms:modified xsi:type="dcterms:W3CDTF">2021-08-03T20:04:35Z</dcterms:modified>
</cp:coreProperties>
</file>