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https://d.docs.live.net/1f3b28bfb5a9bc4f/桌面/Strategy/Financial Model/"/>
    </mc:Choice>
  </mc:AlternateContent>
  <xr:revisionPtr revIDLastSave="0" documentId="8_{C063A84D-5AE9-4277-B22D-3653E7AD076E}" xr6:coauthVersionLast="47" xr6:coauthVersionMax="47" xr10:uidLastSave="{00000000-0000-0000-0000-000000000000}"/>
  <bookViews>
    <workbookView xWindow="-108" yWindow="-108" windowWidth="23256" windowHeight="12576" tabRatio="571" xr2:uid="{00000000-000D-0000-FFFF-FFFF00000000}"/>
  </bookViews>
  <sheets>
    <sheet name="Best" sheetId="17" r:id="rId1"/>
    <sheet name="Normal" sheetId="19" r:id="rId2"/>
    <sheet name="FinancialFeasibility" sheetId="10" state="hidden" r:id="rId3"/>
    <sheet name="Worst" sheetId="18" r:id="rId4"/>
    <sheet name="Malacca" sheetId="14" r:id="rId5"/>
    <sheet name="NSR" sheetId="16" r:id="rId6"/>
    <sheet name="Summary" sheetId="1" r:id="rId7"/>
    <sheet name="NSR_ShippingVolume" sheetId="6" state="hidden" r:id="rId8"/>
    <sheet name="workingsheet" sheetId="5" state="hidden"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19" l="1"/>
  <c r="C33" i="19"/>
  <c r="C34" i="19"/>
  <c r="C35" i="19"/>
  <c r="C36" i="19"/>
  <c r="C37" i="19"/>
  <c r="C38" i="19"/>
  <c r="C39" i="19"/>
  <c r="C40" i="19"/>
  <c r="C41" i="19"/>
  <c r="C31" i="19"/>
  <c r="C21" i="19"/>
  <c r="C22" i="19"/>
  <c r="C23" i="19"/>
  <c r="C24" i="19"/>
  <c r="C25" i="19"/>
  <c r="C26" i="19"/>
  <c r="C27" i="19"/>
  <c r="C28" i="19"/>
  <c r="C29" i="19"/>
  <c r="C30" i="19"/>
  <c r="D30" i="19" s="1"/>
  <c r="E30" i="19" s="1"/>
  <c r="B41" i="19"/>
  <c r="B40" i="19"/>
  <c r="D39" i="19"/>
  <c r="E39" i="19" s="1"/>
  <c r="B39" i="19"/>
  <c r="B38" i="19"/>
  <c r="D38" i="19" s="1"/>
  <c r="E38" i="19" s="1"/>
  <c r="B37" i="19"/>
  <c r="D37" i="19" s="1"/>
  <c r="E37" i="19" s="1"/>
  <c r="D36" i="19"/>
  <c r="E36" i="19" s="1"/>
  <c r="B36" i="19"/>
  <c r="B35" i="19"/>
  <c r="D34" i="19"/>
  <c r="E34" i="19" s="1"/>
  <c r="B34" i="19"/>
  <c r="D33" i="19"/>
  <c r="E33" i="19" s="1"/>
  <c r="B33" i="19"/>
  <c r="B32" i="19"/>
  <c r="B31" i="19"/>
  <c r="D31" i="19" s="1"/>
  <c r="E31" i="19" s="1"/>
  <c r="B30" i="19"/>
  <c r="B29" i="19"/>
  <c r="B28" i="19"/>
  <c r="D28" i="19" s="1"/>
  <c r="E28" i="19" s="1"/>
  <c r="D27" i="19"/>
  <c r="E27" i="19" s="1"/>
  <c r="B27" i="19"/>
  <c r="B26" i="19"/>
  <c r="B25" i="19"/>
  <c r="B24" i="19"/>
  <c r="D23" i="19"/>
  <c r="E23" i="19" s="1"/>
  <c r="B23" i="19"/>
  <c r="B22" i="19"/>
  <c r="D22" i="19" s="1"/>
  <c r="E22" i="19" s="1"/>
  <c r="B21" i="19"/>
  <c r="D21" i="19" s="1"/>
  <c r="E21" i="19" s="1"/>
  <c r="D20" i="19"/>
  <c r="E20" i="19" s="1"/>
  <c r="G20" i="19" s="1"/>
  <c r="C20" i="19"/>
  <c r="B20" i="19"/>
  <c r="C19" i="19"/>
  <c r="B19" i="19"/>
  <c r="D19" i="19" s="1"/>
  <c r="E19" i="19" s="1"/>
  <c r="G19" i="19" s="1"/>
  <c r="D18" i="19"/>
  <c r="E18" i="19" s="1"/>
  <c r="G18" i="19" s="1"/>
  <c r="C18" i="19"/>
  <c r="B18" i="19"/>
  <c r="E17" i="19"/>
  <c r="D17" i="19"/>
  <c r="C17" i="19"/>
  <c r="B17" i="19"/>
  <c r="C16" i="19"/>
  <c r="B16" i="19"/>
  <c r="D16" i="19" s="1"/>
  <c r="E16" i="19" s="1"/>
  <c r="G16" i="19" s="1"/>
  <c r="C15" i="19"/>
  <c r="B15" i="19"/>
  <c r="D15" i="19" s="1"/>
  <c r="E15" i="19" s="1"/>
  <c r="G15" i="19" s="1"/>
  <c r="C14" i="19"/>
  <c r="D14" i="19" s="1"/>
  <c r="E14" i="19" s="1"/>
  <c r="G14" i="19" s="1"/>
  <c r="B14" i="19"/>
  <c r="D13" i="19"/>
  <c r="E13" i="19" s="1"/>
  <c r="G13" i="19" s="1"/>
  <c r="C13" i="19"/>
  <c r="B13" i="19"/>
  <c r="D12" i="19"/>
  <c r="E12" i="19" s="1"/>
  <c r="G12" i="19" s="1"/>
  <c r="C12" i="19"/>
  <c r="B12" i="19"/>
  <c r="F3" i="19"/>
  <c r="F4" i="19" s="1"/>
  <c r="F5" i="19" s="1"/>
  <c r="F6" i="19" s="1"/>
  <c r="F7" i="19" s="1"/>
  <c r="F8" i="19" s="1"/>
  <c r="F9" i="19" s="1"/>
  <c r="F10" i="19" s="1"/>
  <c r="F11" i="19" s="1"/>
  <c r="F12" i="19" s="1"/>
  <c r="F13" i="19" s="1"/>
  <c r="F14" i="19" s="1"/>
  <c r="F15" i="19" s="1"/>
  <c r="F16" i="19" s="1"/>
  <c r="F17" i="19" s="1"/>
  <c r="F18" i="19" s="1"/>
  <c r="F19" i="19" s="1"/>
  <c r="F20" i="19" s="1"/>
  <c r="F21" i="19" s="1"/>
  <c r="F22" i="19" s="1"/>
  <c r="F23" i="19" s="1"/>
  <c r="F24" i="19" s="1"/>
  <c r="F25" i="19" s="1"/>
  <c r="F26" i="19" s="1"/>
  <c r="F27" i="19" s="1"/>
  <c r="M2" i="19"/>
  <c r="M3" i="19" s="1"/>
  <c r="C22" i="18"/>
  <c r="C23" i="18"/>
  <c r="C24" i="18"/>
  <c r="C25" i="18"/>
  <c r="C26" i="18"/>
  <c r="C27" i="18"/>
  <c r="C28" i="18"/>
  <c r="C29" i="18"/>
  <c r="C30" i="18"/>
  <c r="D30" i="18" s="1"/>
  <c r="E30" i="18" s="1"/>
  <c r="C21" i="18"/>
  <c r="C32" i="18"/>
  <c r="C33" i="18"/>
  <c r="C34" i="18"/>
  <c r="C35" i="18"/>
  <c r="C36" i="18"/>
  <c r="C37" i="18"/>
  <c r="C38" i="18"/>
  <c r="C39" i="18"/>
  <c r="C40" i="18"/>
  <c r="C41" i="18"/>
  <c r="C31" i="18"/>
  <c r="C12" i="18"/>
  <c r="C13" i="18"/>
  <c r="C14" i="18"/>
  <c r="C15" i="18"/>
  <c r="C16" i="18"/>
  <c r="C17" i="18"/>
  <c r="D17" i="18" s="1"/>
  <c r="E17" i="18" s="1"/>
  <c r="C18" i="18"/>
  <c r="C19" i="18"/>
  <c r="C20" i="18"/>
  <c r="D28" i="18"/>
  <c r="E28" i="18" s="1"/>
  <c r="D23" i="18"/>
  <c r="E23" i="18" s="1"/>
  <c r="D39" i="18"/>
  <c r="E39" i="18" s="1"/>
  <c r="D12" i="18"/>
  <c r="E12" i="18" s="1"/>
  <c r="B41" i="18"/>
  <c r="B40" i="18"/>
  <c r="B39" i="18"/>
  <c r="B38" i="18"/>
  <c r="D37" i="18"/>
  <c r="E37" i="18" s="1"/>
  <c r="B37" i="18"/>
  <c r="D36" i="18"/>
  <c r="E36" i="18" s="1"/>
  <c r="B36" i="18"/>
  <c r="B35" i="18"/>
  <c r="D35" i="18" s="1"/>
  <c r="E35" i="18" s="1"/>
  <c r="B34" i="18"/>
  <c r="D34" i="18" s="1"/>
  <c r="E34" i="18" s="1"/>
  <c r="D33" i="18"/>
  <c r="E33" i="18" s="1"/>
  <c r="B33" i="18"/>
  <c r="B32" i="18"/>
  <c r="D32" i="18" s="1"/>
  <c r="E32" i="18" s="1"/>
  <c r="D31" i="18"/>
  <c r="E31" i="18" s="1"/>
  <c r="B31" i="18"/>
  <c r="B30" i="18"/>
  <c r="D29" i="18"/>
  <c r="E29" i="18" s="1"/>
  <c r="B29" i="18"/>
  <c r="B28" i="18"/>
  <c r="B27" i="18"/>
  <c r="B26" i="18"/>
  <c r="B25" i="18"/>
  <c r="B24" i="18"/>
  <c r="B23" i="18"/>
  <c r="B22" i="18"/>
  <c r="D22" i="18" s="1"/>
  <c r="E22" i="18" s="1"/>
  <c r="D21" i="18"/>
  <c r="E21" i="18" s="1"/>
  <c r="B21" i="18"/>
  <c r="D20" i="18"/>
  <c r="E20" i="18" s="1"/>
  <c r="B20" i="18"/>
  <c r="B19" i="18"/>
  <c r="D19" i="18" s="1"/>
  <c r="E19" i="18" s="1"/>
  <c r="B18" i="18"/>
  <c r="B17" i="18"/>
  <c r="B16" i="18"/>
  <c r="D16" i="18" s="1"/>
  <c r="E16" i="18" s="1"/>
  <c r="B15" i="18"/>
  <c r="D15" i="18" s="1"/>
  <c r="E15" i="18" s="1"/>
  <c r="G15" i="18" s="1"/>
  <c r="B14" i="18"/>
  <c r="D14" i="18" s="1"/>
  <c r="E14" i="18" s="1"/>
  <c r="G14" i="18" s="1"/>
  <c r="B13" i="18"/>
  <c r="D13" i="18" s="1"/>
  <c r="E13" i="18" s="1"/>
  <c r="B12" i="18"/>
  <c r="F3" i="18"/>
  <c r="F4" i="18" s="1"/>
  <c r="F5" i="18" s="1"/>
  <c r="F6" i="18" s="1"/>
  <c r="F7" i="18" s="1"/>
  <c r="F8" i="18" s="1"/>
  <c r="F9" i="18" s="1"/>
  <c r="F10" i="18" s="1"/>
  <c r="F11" i="18" s="1"/>
  <c r="F12" i="18" s="1"/>
  <c r="F13" i="18" s="1"/>
  <c r="F14" i="18" s="1"/>
  <c r="F15" i="18" s="1"/>
  <c r="F16" i="18" s="1"/>
  <c r="F17" i="18" s="1"/>
  <c r="F18" i="18" s="1"/>
  <c r="F19" i="18" s="1"/>
  <c r="F20" i="18" s="1"/>
  <c r="F21" i="18" s="1"/>
  <c r="F22" i="18" s="1"/>
  <c r="F23" i="18" s="1"/>
  <c r="F24" i="18" s="1"/>
  <c r="F25" i="18" s="1"/>
  <c r="F26" i="18" s="1"/>
  <c r="F27" i="18" s="1"/>
  <c r="F28" i="18" s="1"/>
  <c r="F29" i="18" s="1"/>
  <c r="F30" i="18" s="1"/>
  <c r="F31" i="18" s="1"/>
  <c r="F32" i="18" s="1"/>
  <c r="F33" i="18" s="1"/>
  <c r="F34" i="18" s="1"/>
  <c r="F35" i="18" s="1"/>
  <c r="F36" i="18" s="1"/>
  <c r="F37" i="18" s="1"/>
  <c r="F38" i="18" s="1"/>
  <c r="F39" i="18" s="1"/>
  <c r="F40" i="18" s="1"/>
  <c r="F41" i="18" s="1"/>
  <c r="P2" i="18"/>
  <c r="M2" i="18"/>
  <c r="M3" i="18" s="1"/>
  <c r="A1" i="17"/>
  <c r="C41" i="17"/>
  <c r="B41" i="17"/>
  <c r="D41" i="17" s="1"/>
  <c r="E41" i="17" s="1"/>
  <c r="C40" i="17"/>
  <c r="B40" i="17"/>
  <c r="D40" i="17" s="1"/>
  <c r="E40" i="17" s="1"/>
  <c r="C39" i="17"/>
  <c r="D39" i="17" s="1"/>
  <c r="E39" i="17" s="1"/>
  <c r="B39" i="17"/>
  <c r="C38" i="17"/>
  <c r="B38" i="17"/>
  <c r="D38" i="17" s="1"/>
  <c r="E38" i="17" s="1"/>
  <c r="C37" i="17"/>
  <c r="B37" i="17"/>
  <c r="D37" i="17" s="1"/>
  <c r="E37" i="17" s="1"/>
  <c r="C36" i="17"/>
  <c r="B36" i="17"/>
  <c r="D36" i="17" s="1"/>
  <c r="E36" i="17" s="1"/>
  <c r="C35" i="17"/>
  <c r="B35" i="17"/>
  <c r="D35" i="17" s="1"/>
  <c r="E35" i="17" s="1"/>
  <c r="C34" i="17"/>
  <c r="D34" i="17" s="1"/>
  <c r="E34" i="17" s="1"/>
  <c r="B34" i="17"/>
  <c r="C33" i="17"/>
  <c r="B33" i="17"/>
  <c r="D33" i="17" s="1"/>
  <c r="E33" i="17" s="1"/>
  <c r="C32" i="17"/>
  <c r="B32" i="17"/>
  <c r="D32" i="17" s="1"/>
  <c r="E32" i="17" s="1"/>
  <c r="C31" i="17"/>
  <c r="B31" i="17"/>
  <c r="C30" i="17"/>
  <c r="B30" i="17"/>
  <c r="D30" i="17" s="1"/>
  <c r="E30" i="17" s="1"/>
  <c r="C29" i="17"/>
  <c r="B29" i="17"/>
  <c r="D29" i="17" s="1"/>
  <c r="E29" i="17" s="1"/>
  <c r="C28" i="17"/>
  <c r="B28" i="17"/>
  <c r="C27" i="17"/>
  <c r="B27" i="17"/>
  <c r="D27" i="17" s="1"/>
  <c r="E27" i="17" s="1"/>
  <c r="C26" i="17"/>
  <c r="B26" i="17"/>
  <c r="D26" i="17" s="1"/>
  <c r="E26" i="17" s="1"/>
  <c r="C25" i="17"/>
  <c r="B25" i="17"/>
  <c r="D25" i="17" s="1"/>
  <c r="E25" i="17" s="1"/>
  <c r="C24" i="17"/>
  <c r="B24" i="17"/>
  <c r="D24" i="17" s="1"/>
  <c r="E24" i="17" s="1"/>
  <c r="C23" i="17"/>
  <c r="D23" i="17" s="1"/>
  <c r="E23" i="17" s="1"/>
  <c r="B23" i="17"/>
  <c r="C22" i="17"/>
  <c r="B22" i="17"/>
  <c r="D22" i="17" s="1"/>
  <c r="E22" i="17" s="1"/>
  <c r="C21" i="17"/>
  <c r="B21" i="17"/>
  <c r="C20" i="17"/>
  <c r="B20" i="17"/>
  <c r="D20" i="17" s="1"/>
  <c r="E20" i="17" s="1"/>
  <c r="C19" i="17"/>
  <c r="B19" i="17"/>
  <c r="D19" i="17" s="1"/>
  <c r="E19" i="17" s="1"/>
  <c r="C18" i="17"/>
  <c r="B18" i="17"/>
  <c r="D18" i="17" s="1"/>
  <c r="E18" i="17" s="1"/>
  <c r="C17" i="17"/>
  <c r="B17" i="17"/>
  <c r="D17" i="17" s="1"/>
  <c r="E17" i="17" s="1"/>
  <c r="C16" i="17"/>
  <c r="B16" i="17"/>
  <c r="C15" i="17"/>
  <c r="B15" i="17"/>
  <c r="D15" i="17" s="1"/>
  <c r="E15" i="17" s="1"/>
  <c r="C14" i="17"/>
  <c r="B14" i="17"/>
  <c r="C13" i="17"/>
  <c r="B13" i="17"/>
  <c r="C12" i="17"/>
  <c r="B12" i="17"/>
  <c r="D12" i="17" s="1"/>
  <c r="E12" i="17" s="1"/>
  <c r="F3" i="17"/>
  <c r="F4" i="17" s="1"/>
  <c r="F5" i="17" s="1"/>
  <c r="F6" i="17" s="1"/>
  <c r="F7" i="17" s="1"/>
  <c r="F8" i="17" s="1"/>
  <c r="F9" i="17" s="1"/>
  <c r="F10" i="17" s="1"/>
  <c r="F11" i="17" s="1"/>
  <c r="F12" i="17" s="1"/>
  <c r="F13" i="17" s="1"/>
  <c r="F14" i="17" s="1"/>
  <c r="F15" i="17" s="1"/>
  <c r="F16" i="17" s="1"/>
  <c r="F17" i="17" s="1"/>
  <c r="F18" i="17" s="1"/>
  <c r="F19" i="17" s="1"/>
  <c r="F20" i="17" s="1"/>
  <c r="F21" i="17" s="1"/>
  <c r="F22" i="17" s="1"/>
  <c r="F23" i="17" s="1"/>
  <c r="F24" i="17" s="1"/>
  <c r="F25" i="17" s="1"/>
  <c r="F26" i="17" s="1"/>
  <c r="F27" i="17" s="1"/>
  <c r="F28" i="17" s="1"/>
  <c r="F29" i="17" s="1"/>
  <c r="F30" i="17" s="1"/>
  <c r="M2" i="17"/>
  <c r="M3" i="17" s="1"/>
  <c r="C20" i="10"/>
  <c r="A25" i="10"/>
  <c r="C19" i="10"/>
  <c r="M26" i="10"/>
  <c r="M27" i="10" s="1"/>
  <c r="C15" i="10"/>
  <c r="D15" i="10" s="1"/>
  <c r="R15" i="10"/>
  <c r="F27" i="10"/>
  <c r="F28" i="10" s="1"/>
  <c r="F29" i="10" s="1"/>
  <c r="F30" i="10" s="1"/>
  <c r="F31" i="10" s="1"/>
  <c r="F32" i="10" s="1"/>
  <c r="F33" i="10" s="1"/>
  <c r="F34" i="10" s="1"/>
  <c r="F35" i="10" s="1"/>
  <c r="F36" i="10" s="1"/>
  <c r="F37" i="10" s="1"/>
  <c r="F38" i="10" s="1"/>
  <c r="F39" i="10" s="1"/>
  <c r="F40" i="10" s="1"/>
  <c r="F41" i="10" s="1"/>
  <c r="F42" i="10" s="1"/>
  <c r="F43" i="10" s="1"/>
  <c r="F44" i="10" s="1"/>
  <c r="F45" i="10" s="1"/>
  <c r="F46" i="10" s="1"/>
  <c r="F47" i="10" s="1"/>
  <c r="F48" i="10" s="1"/>
  <c r="F49" i="10" s="1"/>
  <c r="F50" i="10" s="1"/>
  <c r="F51" i="10" s="1"/>
  <c r="F52" i="10" s="1"/>
  <c r="F53" i="10" s="1"/>
  <c r="F54" i="10" s="1"/>
  <c r="F55" i="10" s="1"/>
  <c r="F56" i="10" s="1"/>
  <c r="F57" i="10" s="1"/>
  <c r="F58" i="10" s="1"/>
  <c r="F59" i="10" s="1"/>
  <c r="F60" i="10" s="1"/>
  <c r="F61" i="10" s="1"/>
  <c r="F62" i="10" s="1"/>
  <c r="F63" i="10" s="1"/>
  <c r="F64" i="10" s="1"/>
  <c r="F65" i="10" s="1"/>
  <c r="D38" i="10"/>
  <c r="E38" i="10" s="1"/>
  <c r="D39" i="10"/>
  <c r="E39" i="10" s="1"/>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36" i="10"/>
  <c r="B37" i="10"/>
  <c r="D37" i="10" s="1"/>
  <c r="E37" i="10" s="1"/>
  <c r="B38" i="10"/>
  <c r="B39" i="10"/>
  <c r="B40" i="10"/>
  <c r="D40" i="10" s="1"/>
  <c r="E40" i="10" s="1"/>
  <c r="B41" i="10"/>
  <c r="D41" i="10" s="1"/>
  <c r="E41" i="10" s="1"/>
  <c r="B42" i="10"/>
  <c r="D42" i="10" s="1"/>
  <c r="E42" i="10" s="1"/>
  <c r="B43" i="10"/>
  <c r="B44" i="10"/>
  <c r="D44" i="10" s="1"/>
  <c r="E44" i="10" s="1"/>
  <c r="B45" i="10"/>
  <c r="D45" i="10" s="1"/>
  <c r="E45" i="10" s="1"/>
  <c r="B46" i="10"/>
  <c r="D46" i="10" s="1"/>
  <c r="E46" i="10" s="1"/>
  <c r="B47" i="10"/>
  <c r="D47" i="10" s="1"/>
  <c r="E47" i="10" s="1"/>
  <c r="B48" i="10"/>
  <c r="D48" i="10" s="1"/>
  <c r="E48" i="10" s="1"/>
  <c r="B49" i="10"/>
  <c r="D49" i="10" s="1"/>
  <c r="E49" i="10" s="1"/>
  <c r="B50" i="10"/>
  <c r="D50" i="10" s="1"/>
  <c r="E50" i="10" s="1"/>
  <c r="B51" i="10"/>
  <c r="D51" i="10" s="1"/>
  <c r="E51" i="10" s="1"/>
  <c r="B52" i="10"/>
  <c r="D52" i="10" s="1"/>
  <c r="E52" i="10" s="1"/>
  <c r="B53" i="10"/>
  <c r="D53" i="10" s="1"/>
  <c r="E53" i="10" s="1"/>
  <c r="B54" i="10"/>
  <c r="D54" i="10" s="1"/>
  <c r="E54" i="10" s="1"/>
  <c r="B55" i="10"/>
  <c r="D55" i="10" s="1"/>
  <c r="E55" i="10" s="1"/>
  <c r="B56" i="10"/>
  <c r="D56" i="10" s="1"/>
  <c r="E56" i="10" s="1"/>
  <c r="B57" i="10"/>
  <c r="D57" i="10" s="1"/>
  <c r="E57" i="10" s="1"/>
  <c r="B58" i="10"/>
  <c r="D58" i="10" s="1"/>
  <c r="E58" i="10" s="1"/>
  <c r="B59" i="10"/>
  <c r="B60" i="10"/>
  <c r="D60" i="10" s="1"/>
  <c r="E60" i="10" s="1"/>
  <c r="B61" i="10"/>
  <c r="D61" i="10" s="1"/>
  <c r="E61" i="10" s="1"/>
  <c r="B62" i="10"/>
  <c r="D62" i="10" s="1"/>
  <c r="E62" i="10" s="1"/>
  <c r="B63" i="10"/>
  <c r="D63" i="10" s="1"/>
  <c r="E63" i="10" s="1"/>
  <c r="B64" i="10"/>
  <c r="D64" i="10" s="1"/>
  <c r="E64" i="10" s="1"/>
  <c r="B65" i="10"/>
  <c r="D65" i="10" s="1"/>
  <c r="E65" i="10" s="1"/>
  <c r="B36" i="10"/>
  <c r="D36" i="10" s="1"/>
  <c r="E36" i="10" s="1"/>
  <c r="C22" i="16"/>
  <c r="C38" i="16"/>
  <c r="C54" i="16"/>
  <c r="C23" i="16"/>
  <c r="C39" i="16"/>
  <c r="C55" i="16"/>
  <c r="C43" i="16"/>
  <c r="C44" i="16"/>
  <c r="C49" i="16"/>
  <c r="C24" i="16"/>
  <c r="C40" i="16"/>
  <c r="C56" i="16"/>
  <c r="C26" i="16"/>
  <c r="C27" i="16"/>
  <c r="C25" i="16"/>
  <c r="C41" i="16"/>
  <c r="C42" i="16"/>
  <c r="C28" i="16"/>
  <c r="C48" i="16"/>
  <c r="C29" i="16"/>
  <c r="C45" i="16"/>
  <c r="C30" i="16"/>
  <c r="C46" i="16"/>
  <c r="C31" i="16"/>
  <c r="C47" i="16"/>
  <c r="C32" i="16"/>
  <c r="C33" i="16"/>
  <c r="C34" i="16"/>
  <c r="C50" i="16"/>
  <c r="C35" i="16"/>
  <c r="C51" i="16"/>
  <c r="C52" i="16"/>
  <c r="C36" i="16"/>
  <c r="C37" i="16"/>
  <c r="C53" i="16"/>
  <c r="C20" i="14"/>
  <c r="C36" i="14"/>
  <c r="C52" i="14"/>
  <c r="C50" i="14"/>
  <c r="C21" i="14"/>
  <c r="C37" i="14"/>
  <c r="C53" i="14"/>
  <c r="C22" i="14"/>
  <c r="C38" i="14"/>
  <c r="C54" i="14"/>
  <c r="C23" i="14"/>
  <c r="C39" i="14"/>
  <c r="C55" i="14"/>
  <c r="C58" i="14"/>
  <c r="C60" i="14"/>
  <c r="C62" i="14"/>
  <c r="C34" i="14"/>
  <c r="C24" i="14"/>
  <c r="C40" i="14"/>
  <c r="C56" i="14"/>
  <c r="H2" i="14"/>
  <c r="C44" i="14"/>
  <c r="H8" i="14"/>
  <c r="C48" i="14"/>
  <c r="C25" i="14"/>
  <c r="C41" i="14"/>
  <c r="C57" i="14"/>
  <c r="H3" i="14"/>
  <c r="C42" i="14"/>
  <c r="H4" i="14"/>
  <c r="H7" i="14"/>
  <c r="C63" i="14"/>
  <c r="C33" i="14"/>
  <c r="C35" i="14"/>
  <c r="C26" i="14"/>
  <c r="C46" i="14"/>
  <c r="C27" i="14"/>
  <c r="C43" i="14"/>
  <c r="C59" i="14"/>
  <c r="H5" i="14"/>
  <c r="H6" i="14"/>
  <c r="C28" i="14"/>
  <c r="C47" i="14"/>
  <c r="C51" i="14"/>
  <c r="C29" i="14"/>
  <c r="C45" i="14"/>
  <c r="C61" i="14"/>
  <c r="C49" i="14"/>
  <c r="C30" i="14"/>
  <c r="C31" i="14"/>
  <c r="C32" i="14"/>
  <c r="H19" i="19" l="1"/>
  <c r="I19" i="19" s="1"/>
  <c r="N19" i="19" s="1"/>
  <c r="H18" i="19"/>
  <c r="I18" i="19" s="1"/>
  <c r="N18" i="19" s="1"/>
  <c r="G28" i="19"/>
  <c r="H12" i="19"/>
  <c r="I12" i="19" s="1"/>
  <c r="H13" i="19"/>
  <c r="I13" i="19" s="1"/>
  <c r="H14" i="19"/>
  <c r="I14" i="19" s="1"/>
  <c r="H20" i="19"/>
  <c r="I20" i="19" s="1"/>
  <c r="N20" i="19" s="1"/>
  <c r="H15" i="19"/>
  <c r="I15" i="19" s="1"/>
  <c r="G21" i="19"/>
  <c r="G22" i="19"/>
  <c r="H16" i="19"/>
  <c r="I16" i="19" s="1"/>
  <c r="N16" i="19" s="1"/>
  <c r="G23" i="19"/>
  <c r="D32" i="19"/>
  <c r="E32" i="19" s="1"/>
  <c r="M4" i="19"/>
  <c r="P3" i="19"/>
  <c r="G17" i="19"/>
  <c r="D40" i="19"/>
  <c r="E40" i="19" s="1"/>
  <c r="F28" i="19"/>
  <c r="F29" i="19" s="1"/>
  <c r="F30" i="19" s="1"/>
  <c r="G27" i="19"/>
  <c r="D26" i="19"/>
  <c r="E26" i="19" s="1"/>
  <c r="G26" i="19" s="1"/>
  <c r="P2" i="19"/>
  <c r="D29" i="19"/>
  <c r="E29" i="19" s="1"/>
  <c r="G29" i="19" s="1"/>
  <c r="D35" i="19"/>
  <c r="E35" i="19" s="1"/>
  <c r="D25" i="19"/>
  <c r="E25" i="19" s="1"/>
  <c r="G25" i="19" s="1"/>
  <c r="D41" i="19"/>
  <c r="E41" i="19" s="1"/>
  <c r="D24" i="19"/>
  <c r="E24" i="19" s="1"/>
  <c r="G24" i="19" s="1"/>
  <c r="D40" i="18"/>
  <c r="E40" i="18" s="1"/>
  <c r="G40" i="18" s="1"/>
  <c r="D41" i="18"/>
  <c r="E41" i="18" s="1"/>
  <c r="D18" i="18"/>
  <c r="E18" i="18" s="1"/>
  <c r="D24" i="18"/>
  <c r="E24" i="18" s="1"/>
  <c r="G24" i="18" s="1"/>
  <c r="D25" i="18"/>
  <c r="E25" i="18" s="1"/>
  <c r="G25" i="18" s="1"/>
  <c r="D26" i="18"/>
  <c r="E26" i="18" s="1"/>
  <c r="G26" i="18" s="1"/>
  <c r="D27" i="18"/>
  <c r="E27" i="18" s="1"/>
  <c r="D38" i="18"/>
  <c r="E38" i="18" s="1"/>
  <c r="G38" i="18" s="1"/>
  <c r="G21" i="18"/>
  <c r="G22" i="18"/>
  <c r="G35" i="18"/>
  <c r="G36" i="18"/>
  <c r="G29" i="18"/>
  <c r="G16" i="18"/>
  <c r="H15" i="18"/>
  <c r="I15" i="18" s="1"/>
  <c r="G23" i="18"/>
  <c r="G30" i="18"/>
  <c r="G37" i="18"/>
  <c r="G17" i="18"/>
  <c r="G31" i="18"/>
  <c r="G32" i="18"/>
  <c r="G39" i="18"/>
  <c r="G18" i="18"/>
  <c r="H14" i="18"/>
  <c r="I14" i="18" s="1"/>
  <c r="G19" i="18"/>
  <c r="G27" i="18"/>
  <c r="G33" i="18"/>
  <c r="G28" i="18"/>
  <c r="G41" i="18"/>
  <c r="M4" i="18"/>
  <c r="P3" i="18"/>
  <c r="G12" i="18"/>
  <c r="G34" i="18"/>
  <c r="G13" i="18"/>
  <c r="G20" i="18"/>
  <c r="D14" i="17"/>
  <c r="E14" i="17" s="1"/>
  <c r="D16" i="17"/>
  <c r="E16" i="17" s="1"/>
  <c r="D31" i="17"/>
  <c r="E31" i="17" s="1"/>
  <c r="D21" i="17"/>
  <c r="E21" i="17" s="1"/>
  <c r="D13" i="17"/>
  <c r="E13" i="17" s="1"/>
  <c r="D28" i="17"/>
  <c r="E28" i="17" s="1"/>
  <c r="G28" i="17" s="1"/>
  <c r="G22" i="17"/>
  <c r="G15" i="17"/>
  <c r="G23" i="17"/>
  <c r="G17" i="17"/>
  <c r="G24" i="17"/>
  <c r="G31" i="17"/>
  <c r="G29" i="17"/>
  <c r="G38" i="17"/>
  <c r="M4" i="17"/>
  <c r="P3" i="17"/>
  <c r="G16" i="17"/>
  <c r="G18" i="17"/>
  <c r="G21" i="17"/>
  <c r="F31" i="17"/>
  <c r="F32" i="17" s="1"/>
  <c r="F33" i="17" s="1"/>
  <c r="F34" i="17" s="1"/>
  <c r="F35" i="17" s="1"/>
  <c r="F36" i="17" s="1"/>
  <c r="F37" i="17" s="1"/>
  <c r="F38" i="17" s="1"/>
  <c r="F39" i="17" s="1"/>
  <c r="F40" i="17" s="1"/>
  <c r="F41" i="17" s="1"/>
  <c r="G41" i="17" s="1"/>
  <c r="G30" i="17"/>
  <c r="G12" i="17"/>
  <c r="G13" i="17"/>
  <c r="G19" i="17"/>
  <c r="G27" i="17"/>
  <c r="G35" i="17"/>
  <c r="G20" i="17"/>
  <c r="G25" i="17"/>
  <c r="G26" i="17"/>
  <c r="G33" i="17"/>
  <c r="G14" i="17"/>
  <c r="P2" i="17"/>
  <c r="P27" i="10"/>
  <c r="M28" i="10"/>
  <c r="P26" i="10"/>
  <c r="D43" i="10"/>
  <c r="E43" i="10" s="1"/>
  <c r="G37" i="10"/>
  <c r="G36" i="10"/>
  <c r="H36" i="10" s="1"/>
  <c r="I36" i="10" s="1"/>
  <c r="D59" i="10"/>
  <c r="E59" i="10" s="1"/>
  <c r="G56" i="10"/>
  <c r="G51" i="10"/>
  <c r="H51" i="10" s="1"/>
  <c r="I51" i="10" s="1"/>
  <c r="N51" i="10" s="1"/>
  <c r="G42" i="10"/>
  <c r="H42" i="10" s="1"/>
  <c r="G55" i="10"/>
  <c r="G47" i="10"/>
  <c r="H47" i="10" s="1"/>
  <c r="G41" i="10"/>
  <c r="G58" i="10"/>
  <c r="H58" i="10" s="1"/>
  <c r="G49" i="10"/>
  <c r="H49" i="10" s="1"/>
  <c r="I49" i="10" s="1"/>
  <c r="N49" i="10" s="1"/>
  <c r="G46" i="10"/>
  <c r="H46" i="10" s="1"/>
  <c r="I46" i="10" s="1"/>
  <c r="N46" i="10" s="1"/>
  <c r="G40" i="10"/>
  <c r="G57" i="10"/>
  <c r="G50" i="10"/>
  <c r="H50" i="10" s="1"/>
  <c r="I50" i="10" s="1"/>
  <c r="N50" i="10" s="1"/>
  <c r="G62" i="10"/>
  <c r="G45" i="10"/>
  <c r="H45" i="10" s="1"/>
  <c r="G39" i="10"/>
  <c r="H37" i="10"/>
  <c r="I37" i="10" s="1"/>
  <c r="G48" i="10"/>
  <c r="H48" i="10" s="1"/>
  <c r="G38" i="10"/>
  <c r="G65" i="10"/>
  <c r="H65" i="10" s="1"/>
  <c r="I65" i="10" s="1"/>
  <c r="N65" i="10" s="1"/>
  <c r="G61" i="10"/>
  <c r="H61" i="10" s="1"/>
  <c r="G59" i="10"/>
  <c r="H59" i="10" s="1"/>
  <c r="G53" i="10"/>
  <c r="G64" i="10"/>
  <c r="G44" i="10"/>
  <c r="H44" i="10" s="1"/>
  <c r="G52" i="10"/>
  <c r="H52" i="10" s="1"/>
  <c r="I52" i="10" s="1"/>
  <c r="N52" i="10" s="1"/>
  <c r="G54" i="10"/>
  <c r="G63" i="10"/>
  <c r="G60" i="10"/>
  <c r="H60" i="10" s="1"/>
  <c r="G43" i="10"/>
  <c r="H43" i="10" s="1"/>
  <c r="H63" i="10"/>
  <c r="I63" i="10"/>
  <c r="N63" i="10" s="1"/>
  <c r="H64" i="10"/>
  <c r="I64" i="10" s="1"/>
  <c r="N64" i="10" s="1"/>
  <c r="H62" i="10"/>
  <c r="I62" i="10" s="1"/>
  <c r="N62" i="10" s="1"/>
  <c r="D53" i="16"/>
  <c r="E33" i="16"/>
  <c r="E48" i="16"/>
  <c r="D40" i="16"/>
  <c r="E54" i="16"/>
  <c r="E42" i="16"/>
  <c r="D31" i="16"/>
  <c r="D55" i="16"/>
  <c r="E39" i="16"/>
  <c r="E29" i="16"/>
  <c r="E53" i="16"/>
  <c r="D33" i="16"/>
  <c r="D48" i="16"/>
  <c r="E40" i="16"/>
  <c r="D54" i="16"/>
  <c r="E22" i="16"/>
  <c r="D42" i="16"/>
  <c r="D41" i="16"/>
  <c r="D46" i="16"/>
  <c r="E27" i="16"/>
  <c r="E55" i="16"/>
  <c r="E45" i="16"/>
  <c r="D34" i="16"/>
  <c r="E37" i="16"/>
  <c r="E32" i="16"/>
  <c r="D28" i="16"/>
  <c r="D24" i="16"/>
  <c r="D38" i="16"/>
  <c r="D47" i="16"/>
  <c r="D49" i="16"/>
  <c r="D44" i="16"/>
  <c r="D25" i="16"/>
  <c r="D43" i="16"/>
  <c r="D27" i="16"/>
  <c r="D50" i="16"/>
  <c r="D23" i="16"/>
  <c r="E56" i="16"/>
  <c r="D37" i="16"/>
  <c r="D32" i="16"/>
  <c r="E28" i="16"/>
  <c r="E24" i="16"/>
  <c r="E38" i="16"/>
  <c r="E49" i="16"/>
  <c r="E47" i="16"/>
  <c r="D22" i="16"/>
  <c r="E44" i="16"/>
  <c r="E46" i="16"/>
  <c r="E25" i="16"/>
  <c r="E30" i="16"/>
  <c r="E26" i="16"/>
  <c r="D56" i="16"/>
  <c r="E36" i="16"/>
  <c r="D36" i="16"/>
  <c r="D52" i="16"/>
  <c r="E52" i="16"/>
  <c r="E31" i="16"/>
  <c r="E41" i="16"/>
  <c r="E43" i="16"/>
  <c r="D30" i="16"/>
  <c r="D39" i="16"/>
  <c r="E34" i="16"/>
  <c r="D51" i="16"/>
  <c r="E51" i="16"/>
  <c r="D35" i="16"/>
  <c r="E35" i="16"/>
  <c r="E50" i="16"/>
  <c r="D45" i="16"/>
  <c r="D26" i="16"/>
  <c r="D29" i="16"/>
  <c r="E23" i="16"/>
  <c r="E32" i="14"/>
  <c r="E47" i="14"/>
  <c r="E33" i="14"/>
  <c r="D56" i="14"/>
  <c r="E39" i="14"/>
  <c r="D50" i="14"/>
  <c r="D33" i="14"/>
  <c r="D39" i="14"/>
  <c r="E50" i="14"/>
  <c r="E52" i="14"/>
  <c r="E54" i="14"/>
  <c r="E38" i="14"/>
  <c r="E41" i="14"/>
  <c r="D25" i="14"/>
  <c r="E37" i="14"/>
  <c r="E55" i="14"/>
  <c r="D32" i="14"/>
  <c r="D47" i="14"/>
  <c r="E56" i="14"/>
  <c r="D42" i="14"/>
  <c r="E20" i="14"/>
  <c r="D62" i="14"/>
  <c r="D46" i="14"/>
  <c r="E58" i="14"/>
  <c r="D55" i="14"/>
  <c r="E31" i="14"/>
  <c r="E28" i="14"/>
  <c r="D63" i="14"/>
  <c r="D40" i="14"/>
  <c r="D23" i="14"/>
  <c r="D24" i="14"/>
  <c r="E36" i="14"/>
  <c r="D34" i="14"/>
  <c r="D45" i="14"/>
  <c r="E51" i="14"/>
  <c r="D31" i="14"/>
  <c r="D28" i="14"/>
  <c r="E63" i="14"/>
  <c r="E40" i="14"/>
  <c r="E23" i="14"/>
  <c r="D52" i="14"/>
  <c r="D36" i="14"/>
  <c r="E57" i="14"/>
  <c r="E53" i="14"/>
  <c r="D58" i="14"/>
  <c r="D44" i="14"/>
  <c r="E30" i="14"/>
  <c r="E59" i="14"/>
  <c r="E34" i="14"/>
  <c r="E62" i="14"/>
  <c r="D60" i="14"/>
  <c r="E44" i="14"/>
  <c r="D30" i="14"/>
  <c r="D59" i="14"/>
  <c r="E42" i="14"/>
  <c r="E24" i="14"/>
  <c r="D54" i="14"/>
  <c r="D38" i="14"/>
  <c r="D41" i="14"/>
  <c r="D53" i="14"/>
  <c r="E26" i="14"/>
  <c r="E49" i="14"/>
  <c r="D43" i="14"/>
  <c r="D57" i="14"/>
  <c r="D22" i="14"/>
  <c r="E46" i="14"/>
  <c r="D48" i="14"/>
  <c r="D21" i="14"/>
  <c r="D49" i="14"/>
  <c r="E43" i="14"/>
  <c r="D20" i="14"/>
  <c r="E60" i="14"/>
  <c r="D29" i="14"/>
  <c r="E61" i="14"/>
  <c r="D27" i="14"/>
  <c r="E25" i="14"/>
  <c r="D37" i="14"/>
  <c r="D61" i="14"/>
  <c r="E27" i="14"/>
  <c r="E22" i="14"/>
  <c r="E48" i="14"/>
  <c r="E35" i="14"/>
  <c r="E45" i="14"/>
  <c r="D35" i="14"/>
  <c r="E29" i="14"/>
  <c r="D26" i="14"/>
  <c r="D51" i="14"/>
  <c r="E21" i="14"/>
  <c r="H25" i="19" l="1"/>
  <c r="I25" i="19" s="1"/>
  <c r="N25" i="19" s="1"/>
  <c r="O20" i="19"/>
  <c r="P20" i="19" s="1"/>
  <c r="J14" i="19"/>
  <c r="J13" i="19"/>
  <c r="O16" i="19"/>
  <c r="P16" i="19" s="1"/>
  <c r="J15" i="19"/>
  <c r="J12" i="19"/>
  <c r="H29" i="19"/>
  <c r="I29" i="19" s="1"/>
  <c r="N29" i="19" s="1"/>
  <c r="H26" i="19"/>
  <c r="I26" i="19" s="1"/>
  <c r="N26" i="19" s="1"/>
  <c r="O18" i="19"/>
  <c r="P18" i="19" s="1"/>
  <c r="H24" i="19"/>
  <c r="I24" i="19" s="1"/>
  <c r="N24" i="19" s="1"/>
  <c r="O19" i="19"/>
  <c r="P19" i="19" s="1"/>
  <c r="H23" i="19"/>
  <c r="I23" i="19" s="1"/>
  <c r="N23" i="19" s="1"/>
  <c r="M5" i="19"/>
  <c r="P4" i="19"/>
  <c r="H22" i="19"/>
  <c r="I22" i="19" s="1"/>
  <c r="N22" i="19" s="1"/>
  <c r="H28" i="19"/>
  <c r="I28" i="19" s="1"/>
  <c r="N28" i="19" s="1"/>
  <c r="H27" i="19"/>
  <c r="I27" i="19" s="1"/>
  <c r="N27" i="19" s="1"/>
  <c r="F31" i="19"/>
  <c r="G30" i="19"/>
  <c r="H21" i="19"/>
  <c r="I21" i="19" s="1"/>
  <c r="N21" i="19" s="1"/>
  <c r="H17" i="19"/>
  <c r="I17" i="19" s="1"/>
  <c r="N17" i="19" s="1"/>
  <c r="J15" i="18"/>
  <c r="J14" i="18"/>
  <c r="H34" i="18"/>
  <c r="I34" i="18" s="1"/>
  <c r="N34" i="18" s="1"/>
  <c r="H30" i="18"/>
  <c r="I30" i="18" s="1"/>
  <c r="N30" i="18" s="1"/>
  <c r="H38" i="18"/>
  <c r="I38" i="18" s="1"/>
  <c r="N38" i="18" s="1"/>
  <c r="H24" i="18"/>
  <c r="I24" i="18" s="1"/>
  <c r="N24" i="18" s="1"/>
  <c r="H23" i="18"/>
  <c r="I23" i="18" s="1"/>
  <c r="N23" i="18" s="1"/>
  <c r="H31" i="18"/>
  <c r="I31" i="18" s="1"/>
  <c r="N31" i="18" s="1"/>
  <c r="H17" i="18"/>
  <c r="I17" i="18" s="1"/>
  <c r="N17" i="18" s="1"/>
  <c r="H26" i="18"/>
  <c r="I26" i="18" s="1"/>
  <c r="N26" i="18" s="1"/>
  <c r="H41" i="18"/>
  <c r="I41" i="18" s="1"/>
  <c r="N41" i="18" s="1"/>
  <c r="H33" i="18"/>
  <c r="I33" i="18" s="1"/>
  <c r="N33" i="18" s="1"/>
  <c r="H16" i="18"/>
  <c r="I16" i="18"/>
  <c r="N16" i="18" s="1"/>
  <c r="H25" i="18"/>
  <c r="I25" i="18" s="1"/>
  <c r="N25" i="18" s="1"/>
  <c r="M5" i="18"/>
  <c r="P4" i="18"/>
  <c r="H28" i="18"/>
  <c r="I28" i="18" s="1"/>
  <c r="N28" i="18" s="1"/>
  <c r="H29" i="18"/>
  <c r="I29" i="18" s="1"/>
  <c r="N29" i="18" s="1"/>
  <c r="H12" i="18"/>
  <c r="I12" i="18" s="1"/>
  <c r="H37" i="18"/>
  <c r="I37" i="18" s="1"/>
  <c r="N37" i="18" s="1"/>
  <c r="H27" i="18"/>
  <c r="I27" i="18" s="1"/>
  <c r="N27" i="18" s="1"/>
  <c r="H40" i="18"/>
  <c r="I40" i="18" s="1"/>
  <c r="N40" i="18" s="1"/>
  <c r="H36" i="18"/>
  <c r="I36" i="18" s="1"/>
  <c r="N36" i="18" s="1"/>
  <c r="H18" i="18"/>
  <c r="I18" i="18" s="1"/>
  <c r="N18" i="18" s="1"/>
  <c r="H35" i="18"/>
  <c r="I35" i="18" s="1"/>
  <c r="N35" i="18" s="1"/>
  <c r="I19" i="18"/>
  <c r="N19" i="18" s="1"/>
  <c r="H19" i="18"/>
  <c r="H20" i="18"/>
  <c r="I20" i="18" s="1"/>
  <c r="N20" i="18" s="1"/>
  <c r="H39" i="18"/>
  <c r="I39" i="18" s="1"/>
  <c r="N39" i="18" s="1"/>
  <c r="H22" i="18"/>
  <c r="I22" i="18" s="1"/>
  <c r="N22" i="18" s="1"/>
  <c r="H13" i="18"/>
  <c r="I13" i="18" s="1"/>
  <c r="H32" i="18"/>
  <c r="I32" i="18" s="1"/>
  <c r="N32" i="18" s="1"/>
  <c r="H21" i="18"/>
  <c r="I21" i="18" s="1"/>
  <c r="N21" i="18" s="1"/>
  <c r="G32" i="17"/>
  <c r="H35" i="17"/>
  <c r="I35" i="17" s="1"/>
  <c r="N35" i="17" s="1"/>
  <c r="H29" i="17"/>
  <c r="I29" i="17" s="1"/>
  <c r="N29" i="17" s="1"/>
  <c r="H32" i="17"/>
  <c r="I32" i="17" s="1"/>
  <c r="N32" i="17" s="1"/>
  <c r="H27" i="17"/>
  <c r="I27" i="17" s="1"/>
  <c r="N27" i="17" s="1"/>
  <c r="H31" i="17"/>
  <c r="I31" i="17" s="1"/>
  <c r="N31" i="17" s="1"/>
  <c r="H19" i="17"/>
  <c r="I19" i="17" s="1"/>
  <c r="N19" i="17" s="1"/>
  <c r="H24" i="17"/>
  <c r="I24" i="17"/>
  <c r="N24" i="17" s="1"/>
  <c r="H41" i="17"/>
  <c r="I41" i="17" s="1"/>
  <c r="N41" i="17" s="1"/>
  <c r="H12" i="17"/>
  <c r="I12" i="17" s="1"/>
  <c r="G37" i="17"/>
  <c r="H16" i="17"/>
  <c r="I16" i="17" s="1"/>
  <c r="N16" i="17" s="1"/>
  <c r="H17" i="17"/>
  <c r="I17" i="17" s="1"/>
  <c r="N17" i="17" s="1"/>
  <c r="G40" i="17"/>
  <c r="H23" i="17"/>
  <c r="I23" i="17" s="1"/>
  <c r="N23" i="17" s="1"/>
  <c r="M5" i="17"/>
  <c r="P4" i="17"/>
  <c r="H13" i="17"/>
  <c r="I13" i="17" s="1"/>
  <c r="H30" i="17"/>
  <c r="I30" i="17" s="1"/>
  <c r="N30" i="17" s="1"/>
  <c r="G36" i="17"/>
  <c r="H33" i="17"/>
  <c r="I33" i="17" s="1"/>
  <c r="N33" i="17" s="1"/>
  <c r="H15" i="17"/>
  <c r="I15" i="17" s="1"/>
  <c r="H25" i="17"/>
  <c r="I25" i="17" s="1"/>
  <c r="N25" i="17" s="1"/>
  <c r="H14" i="17"/>
  <c r="I14" i="17" s="1"/>
  <c r="H26" i="17"/>
  <c r="I26" i="17" s="1"/>
  <c r="N26" i="17" s="1"/>
  <c r="H38" i="17"/>
  <c r="I38" i="17" s="1"/>
  <c r="N38" i="17" s="1"/>
  <c r="H21" i="17"/>
  <c r="I21" i="17"/>
  <c r="N21" i="17" s="1"/>
  <c r="H22" i="17"/>
  <c r="I22" i="17" s="1"/>
  <c r="N22" i="17" s="1"/>
  <c r="H20" i="17"/>
  <c r="I20" i="17" s="1"/>
  <c r="N20" i="17" s="1"/>
  <c r="H28" i="17"/>
  <c r="I28" i="17" s="1"/>
  <c r="N28" i="17" s="1"/>
  <c r="G39" i="17"/>
  <c r="H18" i="17"/>
  <c r="I18" i="17" s="1"/>
  <c r="N18" i="17" s="1"/>
  <c r="G34" i="17"/>
  <c r="O65" i="10"/>
  <c r="P65" i="10"/>
  <c r="O51" i="10"/>
  <c r="P51" i="10" s="1"/>
  <c r="J37" i="10"/>
  <c r="I48" i="10"/>
  <c r="N48" i="10" s="1"/>
  <c r="O62" i="10"/>
  <c r="P62" i="10" s="1"/>
  <c r="O50" i="10"/>
  <c r="P50" i="10"/>
  <c r="J36" i="10"/>
  <c r="O64" i="10"/>
  <c r="P64" i="10" s="1"/>
  <c r="P52" i="10"/>
  <c r="O52" i="10"/>
  <c r="O63" i="10"/>
  <c r="P63" i="10" s="1"/>
  <c r="M29" i="10"/>
  <c r="P28" i="10"/>
  <c r="O46" i="10"/>
  <c r="P46" i="10"/>
  <c r="I42" i="10"/>
  <c r="N42" i="10" s="1"/>
  <c r="O49" i="10"/>
  <c r="P49" i="10"/>
  <c r="I61" i="10"/>
  <c r="N61" i="10" s="1"/>
  <c r="H54" i="10"/>
  <c r="I54" i="10" s="1"/>
  <c r="N54" i="10" s="1"/>
  <c r="H40" i="10"/>
  <c r="I40" i="10" s="1"/>
  <c r="N40" i="10" s="1"/>
  <c r="I58" i="10"/>
  <c r="N58" i="10" s="1"/>
  <c r="H41" i="10"/>
  <c r="I41" i="10" s="1"/>
  <c r="N41" i="10" s="1"/>
  <c r="H39" i="10"/>
  <c r="I39" i="10" s="1"/>
  <c r="J39" i="10" s="1"/>
  <c r="H57" i="10"/>
  <c r="I57" i="10" s="1"/>
  <c r="N57" i="10" s="1"/>
  <c r="H53" i="10"/>
  <c r="I53" i="10" s="1"/>
  <c r="N53" i="10" s="1"/>
  <c r="H38" i="10"/>
  <c r="I38" i="10" s="1"/>
  <c r="I43" i="10"/>
  <c r="N43" i="10" s="1"/>
  <c r="I59" i="10"/>
  <c r="N59" i="10" s="1"/>
  <c r="H55" i="10"/>
  <c r="I55" i="10" s="1"/>
  <c r="N55" i="10" s="1"/>
  <c r="I44" i="10"/>
  <c r="N44" i="10" s="1"/>
  <c r="I60" i="10"/>
  <c r="N60" i="10" s="1"/>
  <c r="I47" i="10"/>
  <c r="N47" i="10" s="1"/>
  <c r="I45" i="10"/>
  <c r="N45" i="10" s="1"/>
  <c r="H56" i="10"/>
  <c r="I56" i="10" s="1"/>
  <c r="N56" i="10" s="1"/>
  <c r="O23" i="19" l="1"/>
  <c r="P23" i="19" s="1"/>
  <c r="O24" i="19"/>
  <c r="P24" i="19" s="1"/>
  <c r="O26" i="19"/>
  <c r="P26" i="19" s="1"/>
  <c r="O29" i="19"/>
  <c r="P29" i="19" s="1"/>
  <c r="O17" i="19"/>
  <c r="P17" i="19" s="1"/>
  <c r="O21" i="19"/>
  <c r="P21" i="19" s="1"/>
  <c r="O27" i="19"/>
  <c r="P27" i="19" s="1"/>
  <c r="O22" i="19"/>
  <c r="P22" i="19" s="1"/>
  <c r="O28" i="19"/>
  <c r="P28" i="19" s="1"/>
  <c r="O25" i="19"/>
  <c r="P25" i="19" s="1"/>
  <c r="M6" i="19"/>
  <c r="P5" i="19"/>
  <c r="H30" i="19"/>
  <c r="I30" i="19" s="1"/>
  <c r="N30" i="19" s="1"/>
  <c r="F32" i="19"/>
  <c r="G31" i="19"/>
  <c r="O33" i="18"/>
  <c r="P33" i="18" s="1"/>
  <c r="O35" i="18"/>
  <c r="P35" i="18" s="1"/>
  <c r="O41" i="18"/>
  <c r="P41" i="18" s="1"/>
  <c r="O18" i="18"/>
  <c r="P18" i="18" s="1"/>
  <c r="O26" i="18"/>
  <c r="P26" i="18" s="1"/>
  <c r="O36" i="18"/>
  <c r="P36" i="18" s="1"/>
  <c r="O40" i="18"/>
  <c r="P40" i="18" s="1"/>
  <c r="O27" i="18"/>
  <c r="P27" i="18" s="1"/>
  <c r="O31" i="18"/>
  <c r="P31" i="18" s="1"/>
  <c r="O23" i="18"/>
  <c r="P23" i="18" s="1"/>
  <c r="O21" i="18"/>
  <c r="P21" i="18" s="1"/>
  <c r="O20" i="18"/>
  <c r="P20" i="18" s="1"/>
  <c r="J12" i="18"/>
  <c r="O29" i="18"/>
  <c r="P29" i="18" s="1"/>
  <c r="O38" i="18"/>
  <c r="P38" i="18" s="1"/>
  <c r="O28" i="18"/>
  <c r="P28" i="18" s="1"/>
  <c r="O30" i="18"/>
  <c r="P30" i="18" s="1"/>
  <c r="O34" i="18"/>
  <c r="P34" i="18" s="1"/>
  <c r="O22" i="18"/>
  <c r="P22" i="18" s="1"/>
  <c r="O39" i="18"/>
  <c r="P39" i="18" s="1"/>
  <c r="O25" i="18"/>
  <c r="P25" i="18" s="1"/>
  <c r="M6" i="18"/>
  <c r="P5" i="18"/>
  <c r="O24" i="18"/>
  <c r="P24" i="18" s="1"/>
  <c r="O32" i="18"/>
  <c r="P32" i="18" s="1"/>
  <c r="J13" i="18"/>
  <c r="O16" i="18"/>
  <c r="P16" i="18" s="1"/>
  <c r="O37" i="18"/>
  <c r="P37" i="18" s="1"/>
  <c r="O19" i="18"/>
  <c r="P19" i="18" s="1"/>
  <c r="O17" i="18"/>
  <c r="P17" i="18" s="1"/>
  <c r="O22" i="17"/>
  <c r="P22" i="17" s="1"/>
  <c r="O17" i="17"/>
  <c r="P17" i="17" s="1"/>
  <c r="O16" i="17"/>
  <c r="P16" i="17" s="1"/>
  <c r="O38" i="17"/>
  <c r="P38" i="17" s="1"/>
  <c r="O26" i="17"/>
  <c r="P26" i="17" s="1"/>
  <c r="J12" i="17"/>
  <c r="J14" i="17"/>
  <c r="O25" i="17"/>
  <c r="P25" i="17" s="1"/>
  <c r="J15" i="17"/>
  <c r="O41" i="17"/>
  <c r="P41" i="17" s="1"/>
  <c r="O33" i="17"/>
  <c r="P33" i="17" s="1"/>
  <c r="O30" i="17"/>
  <c r="P30" i="17" s="1"/>
  <c r="O19" i="17"/>
  <c r="P19" i="17" s="1"/>
  <c r="J13" i="17"/>
  <c r="O31" i="17"/>
  <c r="P31" i="17"/>
  <c r="O27" i="17"/>
  <c r="P27" i="17" s="1"/>
  <c r="O32" i="17"/>
  <c r="P32" i="17" s="1"/>
  <c r="O28" i="17"/>
  <c r="P28" i="17" s="1"/>
  <c r="O23" i="17"/>
  <c r="P23" i="17" s="1"/>
  <c r="O29" i="17"/>
  <c r="P29" i="17" s="1"/>
  <c r="O20" i="17"/>
  <c r="P20" i="17" s="1"/>
  <c r="O35" i="17"/>
  <c r="P35" i="17" s="1"/>
  <c r="M6" i="17"/>
  <c r="P5" i="17"/>
  <c r="O24" i="17"/>
  <c r="P24" i="17" s="1"/>
  <c r="H40" i="17"/>
  <c r="I40" i="17" s="1"/>
  <c r="N40" i="17" s="1"/>
  <c r="H39" i="17"/>
  <c r="I39" i="17" s="1"/>
  <c r="N39" i="17" s="1"/>
  <c r="H36" i="17"/>
  <c r="I36" i="17" s="1"/>
  <c r="N36" i="17" s="1"/>
  <c r="O18" i="17"/>
  <c r="P18" i="17" s="1"/>
  <c r="H37" i="17"/>
  <c r="I37" i="17"/>
  <c r="N37" i="17" s="1"/>
  <c r="O21" i="17"/>
  <c r="P21" i="17" s="1"/>
  <c r="H34" i="17"/>
  <c r="I34" i="17" s="1"/>
  <c r="N34" i="17" s="1"/>
  <c r="O53" i="10"/>
  <c r="P53" i="10" s="1"/>
  <c r="O54" i="10"/>
  <c r="P54" i="10" s="1"/>
  <c r="O56" i="10"/>
  <c r="P56" i="10" s="1"/>
  <c r="O45" i="10"/>
  <c r="P45" i="10" s="1"/>
  <c r="O47" i="10"/>
  <c r="P47" i="10"/>
  <c r="O61" i="10"/>
  <c r="P61" i="10"/>
  <c r="O60" i="10"/>
  <c r="P60" i="10" s="1"/>
  <c r="O44" i="10"/>
  <c r="P44" i="10" s="1"/>
  <c r="O55" i="10"/>
  <c r="P55" i="10" s="1"/>
  <c r="O59" i="10"/>
  <c r="P59" i="10" s="1"/>
  <c r="O42" i="10"/>
  <c r="P42" i="10" s="1"/>
  <c r="O43" i="10"/>
  <c r="P43" i="10" s="1"/>
  <c r="J38" i="10"/>
  <c r="O48" i="10"/>
  <c r="P48" i="10" s="1"/>
  <c r="M30" i="10"/>
  <c r="P29" i="10"/>
  <c r="P40" i="10"/>
  <c r="O40" i="10"/>
  <c r="O57" i="10"/>
  <c r="P57" i="10"/>
  <c r="O41" i="10"/>
  <c r="P41" i="10" s="1"/>
  <c r="O58" i="10"/>
  <c r="P58" i="10" s="1"/>
  <c r="M3" i="10"/>
  <c r="N3" i="10" s="1"/>
  <c r="O3" i="10" s="1"/>
  <c r="P3" i="10" s="1"/>
  <c r="Q3" i="10" s="1"/>
  <c r="M2" i="10"/>
  <c r="N2" i="10" s="1"/>
  <c r="BF15" i="10"/>
  <c r="BG15" i="10"/>
  <c r="BH15" i="10"/>
  <c r="BI15" i="10"/>
  <c r="BJ15" i="10"/>
  <c r="BK15" i="10"/>
  <c r="BL15" i="10"/>
  <c r="BM15" i="10"/>
  <c r="BN15" i="10"/>
  <c r="BO15" i="10"/>
  <c r="BP15" i="10"/>
  <c r="BQ15" i="10"/>
  <c r="BR15" i="10"/>
  <c r="BS15" i="10"/>
  <c r="BT15" i="10"/>
  <c r="BU15" i="10"/>
  <c r="BV15" i="10"/>
  <c r="BW15" i="10"/>
  <c r="BX15" i="10"/>
  <c r="BY15" i="10"/>
  <c r="BZ15" i="10"/>
  <c r="CA15" i="10"/>
  <c r="CB15" i="10"/>
  <c r="CC15" i="10"/>
  <c r="CD15" i="10"/>
  <c r="S15" i="10"/>
  <c r="T15" i="10"/>
  <c r="U15" i="10"/>
  <c r="V15" i="10"/>
  <c r="W15" i="10"/>
  <c r="X15" i="10"/>
  <c r="Y15" i="10"/>
  <c r="Z15" i="10"/>
  <c r="AA15" i="10"/>
  <c r="AB15" i="10"/>
  <c r="AC15" i="10"/>
  <c r="AD15" i="10"/>
  <c r="AE15" i="10"/>
  <c r="AF15" i="10"/>
  <c r="AG15" i="10"/>
  <c r="AH15" i="10"/>
  <c r="AI15" i="10"/>
  <c r="AJ15" i="10"/>
  <c r="AK15" i="10"/>
  <c r="AL15" i="10"/>
  <c r="AM15" i="10"/>
  <c r="AN15" i="10"/>
  <c r="AO15" i="10"/>
  <c r="AP15" i="10"/>
  <c r="AQ15" i="10"/>
  <c r="AR15" i="10"/>
  <c r="AS15" i="10"/>
  <c r="AT15" i="10"/>
  <c r="AU15" i="10"/>
  <c r="AV15" i="10"/>
  <c r="AW15" i="10"/>
  <c r="AX15" i="10"/>
  <c r="AY15" i="10"/>
  <c r="AZ15" i="10"/>
  <c r="BA15" i="10"/>
  <c r="BB15" i="10"/>
  <c r="BC15" i="10"/>
  <c r="BD15" i="10"/>
  <c r="BE15" i="10"/>
  <c r="O30" i="19" l="1"/>
  <c r="P30" i="19" s="1"/>
  <c r="H31" i="19"/>
  <c r="I31" i="19" s="1"/>
  <c r="N31" i="19" s="1"/>
  <c r="F33" i="19"/>
  <c r="G32" i="19"/>
  <c r="P6" i="19"/>
  <c r="M7" i="19"/>
  <c r="P6" i="18"/>
  <c r="M7" i="18"/>
  <c r="O34" i="17"/>
  <c r="P34" i="17" s="1"/>
  <c r="O40" i="17"/>
  <c r="P40" i="17" s="1"/>
  <c r="O36" i="17"/>
  <c r="P36" i="17" s="1"/>
  <c r="O39" i="17"/>
  <c r="P39" i="17" s="1"/>
  <c r="P6" i="17"/>
  <c r="M7" i="17"/>
  <c r="O37" i="17"/>
  <c r="P37" i="17" s="1"/>
  <c r="M31" i="10"/>
  <c r="P30" i="10"/>
  <c r="N4" i="10"/>
  <c r="N5" i="10" s="1"/>
  <c r="M4" i="10"/>
  <c r="M5" i="10" s="1"/>
  <c r="O2" i="10"/>
  <c r="R3" i="10"/>
  <c r="O31" i="19" l="1"/>
  <c r="P31" i="19" s="1"/>
  <c r="F34" i="19"/>
  <c r="G33" i="19"/>
  <c r="M8" i="19"/>
  <c r="P7" i="19"/>
  <c r="H32" i="19"/>
  <c r="I32" i="19" s="1"/>
  <c r="N32" i="19" s="1"/>
  <c r="M8" i="18"/>
  <c r="P7" i="18"/>
  <c r="M8" i="17"/>
  <c r="P7" i="17"/>
  <c r="M32" i="10"/>
  <c r="P31" i="10"/>
  <c r="P2" i="10"/>
  <c r="O4" i="10"/>
  <c r="O5" i="10" s="1"/>
  <c r="S3" i="10"/>
  <c r="O32" i="19" l="1"/>
  <c r="P32" i="19" s="1"/>
  <c r="F35" i="19"/>
  <c r="G34" i="19"/>
  <c r="M9" i="19"/>
  <c r="P8" i="19"/>
  <c r="H33" i="19"/>
  <c r="I33" i="19" s="1"/>
  <c r="N33" i="19" s="1"/>
  <c r="M9" i="18"/>
  <c r="P8" i="18"/>
  <c r="M9" i="17"/>
  <c r="P8" i="17"/>
  <c r="M33" i="10"/>
  <c r="P32" i="10"/>
  <c r="Q2" i="10"/>
  <c r="P4" i="10"/>
  <c r="P5" i="10" s="1"/>
  <c r="T3" i="10"/>
  <c r="D6" i="10"/>
  <c r="E6" i="10" s="1"/>
  <c r="F6" i="10" s="1"/>
  <c r="G6" i="10" s="1"/>
  <c r="H6" i="10" s="1"/>
  <c r="I6" i="10" s="1"/>
  <c r="J6" i="10" s="1"/>
  <c r="K6" i="10" s="1"/>
  <c r="L6" i="10" s="1"/>
  <c r="M6" i="10" s="1"/>
  <c r="M7" i="10" s="1"/>
  <c r="D28" i="1"/>
  <c r="D27" i="1"/>
  <c r="D26" i="1"/>
  <c r="D25" i="1"/>
  <c r="D24" i="1"/>
  <c r="D23" i="1"/>
  <c r="D22" i="1"/>
  <c r="D21" i="1"/>
  <c r="D20" i="1"/>
  <c r="D19" i="1"/>
  <c r="G28" i="1"/>
  <c r="G29" i="1" s="1"/>
  <c r="B27" i="1"/>
  <c r="B26" i="1"/>
  <c r="B25" i="1"/>
  <c r="B24" i="1"/>
  <c r="B23" i="1"/>
  <c r="B22" i="1"/>
  <c r="B21" i="1"/>
  <c r="B20" i="1"/>
  <c r="B19" i="1"/>
  <c r="C23" i="1"/>
  <c r="C24" i="1"/>
  <c r="C25" i="1"/>
  <c r="C26" i="1"/>
  <c r="C27" i="1"/>
  <c r="C28" i="1"/>
  <c r="C29" i="1" s="1"/>
  <c r="K5" i="6"/>
  <c r="B28" i="1" s="1"/>
  <c r="B29" i="1" s="1"/>
  <c r="B30" i="1" s="1"/>
  <c r="B31" i="1" s="1"/>
  <c r="B32" i="1" s="1"/>
  <c r="B33" i="1" s="1"/>
  <c r="B34" i="1" s="1"/>
  <c r="B35" i="1" s="1"/>
  <c r="B36" i="1" s="1"/>
  <c r="B37" i="1" s="1"/>
  <c r="B38" i="1" s="1"/>
  <c r="F4" i="6"/>
  <c r="E4" i="6"/>
  <c r="E6" i="6" s="1"/>
  <c r="C22" i="1" s="1"/>
  <c r="E58" i="5"/>
  <c r="C58" i="5"/>
  <c r="C4" i="6"/>
  <c r="B4" i="6" s="1"/>
  <c r="D6" i="6"/>
  <c r="C21" i="1" s="1"/>
  <c r="C6" i="6"/>
  <c r="B6" i="6" s="1"/>
  <c r="C19" i="1" s="1"/>
  <c r="J59" i="5"/>
  <c r="D64" i="5"/>
  <c r="E64" i="5"/>
  <c r="F64" i="5"/>
  <c r="G64" i="5"/>
  <c r="H64" i="5"/>
  <c r="I64" i="5"/>
  <c r="J64" i="5"/>
  <c r="K64" i="5"/>
  <c r="C64" i="5"/>
  <c r="B64" i="5"/>
  <c r="I59" i="5"/>
  <c r="H59" i="5"/>
  <c r="O33" i="19" l="1"/>
  <c r="P33" i="19" s="1"/>
  <c r="F36" i="19"/>
  <c r="G35" i="19"/>
  <c r="M10" i="19"/>
  <c r="P9" i="19"/>
  <c r="H34" i="19"/>
  <c r="I34" i="19" s="1"/>
  <c r="N34" i="19" s="1"/>
  <c r="M10" i="18"/>
  <c r="P9" i="18"/>
  <c r="M10" i="17"/>
  <c r="P9" i="17"/>
  <c r="M34" i="10"/>
  <c r="P33" i="10"/>
  <c r="C30" i="1"/>
  <c r="D29" i="1"/>
  <c r="C20" i="1"/>
  <c r="N6" i="10"/>
  <c r="R2" i="10"/>
  <c r="Q4" i="10"/>
  <c r="Q5" i="10" s="1"/>
  <c r="U3" i="10"/>
  <c r="O34" i="19" l="1"/>
  <c r="P34" i="19" s="1"/>
  <c r="M11" i="19"/>
  <c r="P10" i="19"/>
  <c r="H35" i="19"/>
  <c r="I35" i="19" s="1"/>
  <c r="N35" i="19" s="1"/>
  <c r="F37" i="19"/>
  <c r="G36" i="19"/>
  <c r="M11" i="18"/>
  <c r="P10" i="18"/>
  <c r="M11" i="17"/>
  <c r="P10" i="17"/>
  <c r="M35" i="10"/>
  <c r="P34" i="10"/>
  <c r="C31" i="1"/>
  <c r="D30" i="1"/>
  <c r="E15" i="10"/>
  <c r="D19" i="10"/>
  <c r="M8" i="10"/>
  <c r="M9" i="10" s="1"/>
  <c r="S2" i="10"/>
  <c r="R4" i="10"/>
  <c r="R5" i="10" s="1"/>
  <c r="O6" i="10"/>
  <c r="N7" i="10"/>
  <c r="N8" i="10" s="1"/>
  <c r="N9" i="10" s="1"/>
  <c r="N10" i="10" s="1"/>
  <c r="V3" i="10"/>
  <c r="O35" i="19" l="1"/>
  <c r="P35" i="19" s="1"/>
  <c r="P11" i="19"/>
  <c r="M12" i="19"/>
  <c r="H36" i="19"/>
  <c r="I36" i="19" s="1"/>
  <c r="N36" i="19" s="1"/>
  <c r="F38" i="19"/>
  <c r="G37" i="19"/>
  <c r="P11" i="18"/>
  <c r="M12" i="18"/>
  <c r="P11" i="17"/>
  <c r="M12" i="17"/>
  <c r="M36" i="10"/>
  <c r="P35" i="10"/>
  <c r="C32" i="1"/>
  <c r="D31" i="1"/>
  <c r="F15" i="10"/>
  <c r="E19" i="10"/>
  <c r="M10" i="10"/>
  <c r="P6" i="10"/>
  <c r="O7" i="10"/>
  <c r="T2" i="10"/>
  <c r="S4" i="10"/>
  <c r="S5" i="10" s="1"/>
  <c r="W3" i="10"/>
  <c r="O36" i="19" l="1"/>
  <c r="P36" i="19" s="1"/>
  <c r="H37" i="19"/>
  <c r="I37" i="19"/>
  <c r="N37" i="19" s="1"/>
  <c r="F39" i="19"/>
  <c r="G38" i="19"/>
  <c r="P12" i="19"/>
  <c r="M13" i="19"/>
  <c r="N12" i="19"/>
  <c r="O12" i="19" s="1"/>
  <c r="P12" i="18"/>
  <c r="M13" i="18"/>
  <c r="N12" i="18"/>
  <c r="O12" i="18" s="1"/>
  <c r="P12" i="17"/>
  <c r="M13" i="17"/>
  <c r="N12" i="17"/>
  <c r="O12" i="17" s="1"/>
  <c r="P36" i="10"/>
  <c r="M37" i="10"/>
  <c r="N36" i="10"/>
  <c r="O36" i="10" s="1"/>
  <c r="C33" i="1"/>
  <c r="D32" i="1"/>
  <c r="G15" i="10"/>
  <c r="F19" i="10"/>
  <c r="O8" i="10"/>
  <c r="O9" i="10" s="1"/>
  <c r="O10" i="10" s="1"/>
  <c r="Q15" i="10" s="1"/>
  <c r="U2" i="10"/>
  <c r="T4" i="10"/>
  <c r="T5" i="10" s="1"/>
  <c r="Q6" i="10"/>
  <c r="P7" i="10"/>
  <c r="X3" i="10"/>
  <c r="O37" i="19" l="1"/>
  <c r="P37" i="19" s="1"/>
  <c r="P13" i="19"/>
  <c r="M14" i="19"/>
  <c r="N13" i="19"/>
  <c r="O13" i="19" s="1"/>
  <c r="F40" i="19"/>
  <c r="G39" i="19"/>
  <c r="H38" i="19"/>
  <c r="I38" i="19" s="1"/>
  <c r="N38" i="19" s="1"/>
  <c r="P13" i="18"/>
  <c r="M14" i="18"/>
  <c r="N13" i="18"/>
  <c r="O13" i="18" s="1"/>
  <c r="P13" i="17"/>
  <c r="M14" i="17"/>
  <c r="N13" i="17"/>
  <c r="O13" i="17" s="1"/>
  <c r="M38" i="10"/>
  <c r="P37" i="10"/>
  <c r="N37" i="10"/>
  <c r="O37" i="10" s="1"/>
  <c r="C34" i="1"/>
  <c r="D33" i="1"/>
  <c r="H15" i="10"/>
  <c r="I15" i="10" s="1"/>
  <c r="G19" i="10"/>
  <c r="P8" i="10"/>
  <c r="P9" i="10" s="1"/>
  <c r="P10" i="10" s="1"/>
  <c r="R6" i="10"/>
  <c r="Q7" i="10"/>
  <c r="Q8" i="10" s="1"/>
  <c r="Q9" i="10" s="1"/>
  <c r="Q10" i="10" s="1"/>
  <c r="Q17" i="10" s="1"/>
  <c r="Q18" i="10" s="1"/>
  <c r="Q19" i="10" s="1"/>
  <c r="V2" i="10"/>
  <c r="U4" i="10"/>
  <c r="U5" i="10" s="1"/>
  <c r="Y3" i="10"/>
  <c r="O38" i="19" l="1"/>
  <c r="P38" i="19" s="1"/>
  <c r="H39" i="19"/>
  <c r="I39" i="19" s="1"/>
  <c r="N39" i="19" s="1"/>
  <c r="F41" i="19"/>
  <c r="G41" i="19" s="1"/>
  <c r="G40" i="19"/>
  <c r="M15" i="19"/>
  <c r="N15" i="19" s="1"/>
  <c r="N14" i="19"/>
  <c r="M15" i="18"/>
  <c r="N15" i="18" s="1"/>
  <c r="N14" i="18"/>
  <c r="M15" i="17"/>
  <c r="N15" i="17" s="1"/>
  <c r="N14" i="17"/>
  <c r="M39" i="10"/>
  <c r="N39" i="10" s="1"/>
  <c r="O39" i="10" s="1"/>
  <c r="P39" i="10" s="1"/>
  <c r="N38" i="10"/>
  <c r="C35" i="1"/>
  <c r="D34" i="1"/>
  <c r="H19" i="10"/>
  <c r="W2" i="10"/>
  <c r="V4" i="10"/>
  <c r="V5" i="10" s="1"/>
  <c r="S6" i="10"/>
  <c r="R7" i="10"/>
  <c r="R8" i="10" s="1"/>
  <c r="R9" i="10" s="1"/>
  <c r="R10" i="10" s="1"/>
  <c r="R17" i="10" s="1"/>
  <c r="R18" i="10" s="1"/>
  <c r="R19" i="10" s="1"/>
  <c r="Z3" i="10"/>
  <c r="O39" i="19" l="1"/>
  <c r="P39" i="19" s="1"/>
  <c r="H41" i="19"/>
  <c r="I41" i="19" s="1"/>
  <c r="N41" i="19" s="1"/>
  <c r="O14" i="19"/>
  <c r="P14" i="19" s="1"/>
  <c r="H40" i="19"/>
  <c r="I40" i="19" s="1"/>
  <c r="N40" i="19" s="1"/>
  <c r="O15" i="19"/>
  <c r="P15" i="19" s="1"/>
  <c r="O14" i="18"/>
  <c r="P14" i="18" s="1"/>
  <c r="O15" i="18"/>
  <c r="P15" i="18"/>
  <c r="O14" i="17"/>
  <c r="P14" i="17" s="1"/>
  <c r="O15" i="17"/>
  <c r="P15" i="17" s="1"/>
  <c r="O38" i="10"/>
  <c r="P38" i="10" s="1"/>
  <c r="C36" i="1"/>
  <c r="D35" i="1"/>
  <c r="J15" i="10"/>
  <c r="I19" i="10"/>
  <c r="T6" i="10"/>
  <c r="S7" i="10"/>
  <c r="X2" i="10"/>
  <c r="W4" i="10"/>
  <c r="W5" i="10" s="1"/>
  <c r="AA3" i="10"/>
  <c r="O41" i="19" l="1"/>
  <c r="P41" i="19" s="1"/>
  <c r="A1" i="19" s="1"/>
  <c r="O40" i="19"/>
  <c r="P40" i="19" s="1"/>
  <c r="A1" i="18"/>
  <c r="C37" i="1"/>
  <c r="D36" i="1"/>
  <c r="K15" i="10"/>
  <c r="J19" i="10"/>
  <c r="S8" i="10"/>
  <c r="S9" i="10" s="1"/>
  <c r="S10" i="10" s="1"/>
  <c r="S17" i="10" s="1"/>
  <c r="Y2" i="10"/>
  <c r="X4" i="10"/>
  <c r="X5" i="10" s="1"/>
  <c r="U6" i="10"/>
  <c r="T7" i="10"/>
  <c r="AB3" i="10"/>
  <c r="C38" i="1" l="1"/>
  <c r="D38" i="1" s="1"/>
  <c r="D37" i="1"/>
  <c r="L15" i="10"/>
  <c r="M15" i="10" s="1"/>
  <c r="K19" i="10"/>
  <c r="T8" i="10"/>
  <c r="T9" i="10" s="1"/>
  <c r="T10" i="10" s="1"/>
  <c r="T17" i="10" s="1"/>
  <c r="S18" i="10"/>
  <c r="S19" i="10"/>
  <c r="V6" i="10"/>
  <c r="U7" i="10"/>
  <c r="Z2" i="10"/>
  <c r="Y4" i="10"/>
  <c r="Y5" i="10" s="1"/>
  <c r="AC3" i="10"/>
  <c r="N15" i="10" l="1"/>
  <c r="M19" i="10"/>
  <c r="L19" i="10"/>
  <c r="O15" i="10"/>
  <c r="P17" i="10" s="1"/>
  <c r="U8" i="10"/>
  <c r="U9" i="10" s="1"/>
  <c r="U10" i="10" s="1"/>
  <c r="U17" i="10" s="1"/>
  <c r="U18" i="10" s="1"/>
  <c r="U19" i="10" s="1"/>
  <c r="T18" i="10"/>
  <c r="T19" i="10" s="1"/>
  <c r="W6" i="10"/>
  <c r="V7" i="10"/>
  <c r="V8" i="10" s="1"/>
  <c r="V9" i="10" s="1"/>
  <c r="V10" i="10" s="1"/>
  <c r="V17" i="10" s="1"/>
  <c r="V18" i="10" s="1"/>
  <c r="V19" i="10" s="1"/>
  <c r="AA2" i="10"/>
  <c r="Z4" i="10"/>
  <c r="Z5" i="10" s="1"/>
  <c r="AD3" i="10"/>
  <c r="AB2" i="10" l="1"/>
  <c r="AA4" i="10"/>
  <c r="AA5" i="10" s="1"/>
  <c r="X6" i="10"/>
  <c r="W7" i="10"/>
  <c r="AE3" i="10"/>
  <c r="N19" i="10" l="1"/>
  <c r="W8" i="10"/>
  <c r="W9" i="10" s="1"/>
  <c r="W10" i="10" s="1"/>
  <c r="W17" i="10" s="1"/>
  <c r="W18" i="10" s="1"/>
  <c r="W19" i="10" s="1"/>
  <c r="Y6" i="10"/>
  <c r="X7" i="10"/>
  <c r="AC2" i="10"/>
  <c r="AB4" i="10"/>
  <c r="AB5" i="10" s="1"/>
  <c r="AF3" i="10"/>
  <c r="O19" i="10" l="1"/>
  <c r="X8" i="10"/>
  <c r="X9" i="10" s="1"/>
  <c r="X10" i="10" s="1"/>
  <c r="X17" i="10" s="1"/>
  <c r="AD2" i="10"/>
  <c r="AC4" i="10"/>
  <c r="AC5" i="10" s="1"/>
  <c r="Z6" i="10"/>
  <c r="Y7" i="10"/>
  <c r="AG3" i="10"/>
  <c r="P18" i="10" l="1"/>
  <c r="P19" i="10"/>
  <c r="X18" i="10"/>
  <c r="X19" i="10" s="1"/>
  <c r="Y8" i="10"/>
  <c r="Y9" i="10" s="1"/>
  <c r="Y10" i="10" s="1"/>
  <c r="Y17" i="10" s="1"/>
  <c r="Y18" i="10" s="1"/>
  <c r="Y19" i="10" s="1"/>
  <c r="AA6" i="10"/>
  <c r="Z7" i="10"/>
  <c r="AE2" i="10"/>
  <c r="AD4" i="10"/>
  <c r="AD5" i="10" s="1"/>
  <c r="AH3" i="10"/>
  <c r="Z8" i="10" l="1"/>
  <c r="Z9" i="10"/>
  <c r="Z10" i="10" s="1"/>
  <c r="Z17" i="10" s="1"/>
  <c r="Z18" i="10" s="1"/>
  <c r="Z19" i="10" s="1"/>
  <c r="AF2" i="10"/>
  <c r="AE4" i="10"/>
  <c r="AE5" i="10" s="1"/>
  <c r="AB6" i="10"/>
  <c r="AA7" i="10"/>
  <c r="AI3" i="10"/>
  <c r="AA8" i="10" l="1"/>
  <c r="AA9" i="10" s="1"/>
  <c r="AA10" i="10" s="1"/>
  <c r="AA17" i="10" s="1"/>
  <c r="AA18" i="10" s="1"/>
  <c r="AA19" i="10" s="1"/>
  <c r="AC6" i="10"/>
  <c r="AB7" i="10"/>
  <c r="AB8" i="10" s="1"/>
  <c r="AB9" i="10" s="1"/>
  <c r="AB10" i="10" s="1"/>
  <c r="AB17" i="10" s="1"/>
  <c r="AB18" i="10" s="1"/>
  <c r="AB19" i="10" s="1"/>
  <c r="AG2" i="10"/>
  <c r="AF4" i="10"/>
  <c r="AF5" i="10" s="1"/>
  <c r="AJ3" i="10"/>
  <c r="AD6" i="10" l="1"/>
  <c r="AC7" i="10"/>
  <c r="AC8" i="10" s="1"/>
  <c r="AC9" i="10" s="1"/>
  <c r="AC10" i="10" s="1"/>
  <c r="AC17" i="10" s="1"/>
  <c r="AH2" i="10"/>
  <c r="AG4" i="10"/>
  <c r="AG5" i="10" s="1"/>
  <c r="AK3" i="10"/>
  <c r="AC18" i="10" l="1"/>
  <c r="AC19" i="10" s="1"/>
  <c r="AI2" i="10"/>
  <c r="AH4" i="10"/>
  <c r="AH5" i="10" s="1"/>
  <c r="AE6" i="10"/>
  <c r="AD7" i="10"/>
  <c r="AD8" i="10" s="1"/>
  <c r="AD9" i="10" s="1"/>
  <c r="AD10" i="10" s="1"/>
  <c r="AD17" i="10" s="1"/>
  <c r="AL3" i="10"/>
  <c r="AD18" i="10" l="1"/>
  <c r="AD19" i="10" s="1"/>
  <c r="AF6" i="10"/>
  <c r="AE7" i="10"/>
  <c r="AJ2" i="10"/>
  <c r="AI4" i="10"/>
  <c r="AI5" i="10" s="1"/>
  <c r="AM3" i="10"/>
  <c r="AE8" i="10" l="1"/>
  <c r="AE9" i="10" s="1"/>
  <c r="AE10" i="10" s="1"/>
  <c r="AE17" i="10" s="1"/>
  <c r="AK2" i="10"/>
  <c r="AJ4" i="10"/>
  <c r="AJ5" i="10" s="1"/>
  <c r="AG6" i="10"/>
  <c r="AF7" i="10"/>
  <c r="AF8" i="10" s="1"/>
  <c r="AF9" i="10" s="1"/>
  <c r="AF10" i="10" s="1"/>
  <c r="AF17" i="10" s="1"/>
  <c r="AN3" i="10"/>
  <c r="AF18" i="10" l="1"/>
  <c r="AF19" i="10"/>
  <c r="AE18" i="10"/>
  <c r="AE19" i="10" s="1"/>
  <c r="AH6" i="10"/>
  <c r="AG7" i="10"/>
  <c r="AG8" i="10" s="1"/>
  <c r="AG9" i="10" s="1"/>
  <c r="AG10" i="10" s="1"/>
  <c r="AG17" i="10" s="1"/>
  <c r="AL2" i="10"/>
  <c r="AK4" i="10"/>
  <c r="AK5" i="10" s="1"/>
  <c r="AO3" i="10"/>
  <c r="AG18" i="10" l="1"/>
  <c r="AG19" i="10"/>
  <c r="AI6" i="10"/>
  <c r="AH7" i="10"/>
  <c r="AH8" i="10" s="1"/>
  <c r="AH9" i="10" s="1"/>
  <c r="AH10" i="10" s="1"/>
  <c r="AH17" i="10" s="1"/>
  <c r="AM2" i="10"/>
  <c r="AL4" i="10"/>
  <c r="AL5" i="10" s="1"/>
  <c r="AP3" i="10"/>
  <c r="AH18" i="10" l="1"/>
  <c r="AH19" i="10" s="1"/>
  <c r="AN2" i="10"/>
  <c r="AM4" i="10"/>
  <c r="AM5" i="10" s="1"/>
  <c r="AJ6" i="10"/>
  <c r="AI7" i="10"/>
  <c r="AQ3" i="10"/>
  <c r="AI8" i="10" l="1"/>
  <c r="AI9" i="10" s="1"/>
  <c r="AI10" i="10" s="1"/>
  <c r="AI17" i="10" s="1"/>
  <c r="AK6" i="10"/>
  <c r="AJ7" i="10"/>
  <c r="AO2" i="10"/>
  <c r="AN4" i="10"/>
  <c r="AN5" i="10" s="1"/>
  <c r="AR3" i="10"/>
  <c r="AJ8" i="10" l="1"/>
  <c r="AJ9" i="10"/>
  <c r="AJ10" i="10" s="1"/>
  <c r="AJ17" i="10" s="1"/>
  <c r="AJ18" i="10" s="1"/>
  <c r="AJ19" i="10" s="1"/>
  <c r="AI18" i="10"/>
  <c r="AI19" i="10" s="1"/>
  <c r="AP2" i="10"/>
  <c r="AO4" i="10"/>
  <c r="AO5" i="10" s="1"/>
  <c r="AL6" i="10"/>
  <c r="AK7" i="10"/>
  <c r="AS3" i="10"/>
  <c r="AK8" i="10" l="1"/>
  <c r="AK9" i="10" s="1"/>
  <c r="AK10" i="10" s="1"/>
  <c r="AK17" i="10" s="1"/>
  <c r="AQ2" i="10"/>
  <c r="AP4" i="10"/>
  <c r="AP5" i="10" s="1"/>
  <c r="AM6" i="10"/>
  <c r="AL7" i="10"/>
  <c r="AL8" i="10" s="1"/>
  <c r="AL9" i="10" s="1"/>
  <c r="AL10" i="10" s="1"/>
  <c r="AL17" i="10" s="1"/>
  <c r="AT3" i="10"/>
  <c r="AL18" i="10" l="1"/>
  <c r="AL19" i="10" s="1"/>
  <c r="AK18" i="10"/>
  <c r="AK19" i="10" s="1"/>
  <c r="AN6" i="10"/>
  <c r="AM7" i="10"/>
  <c r="AR2" i="10"/>
  <c r="AQ4" i="10"/>
  <c r="AQ5" i="10" s="1"/>
  <c r="AU3" i="10"/>
  <c r="AM8" i="10" l="1"/>
  <c r="AM9" i="10" s="1"/>
  <c r="AM10" i="10" s="1"/>
  <c r="AM17" i="10" s="1"/>
  <c r="AM18" i="10" s="1"/>
  <c r="AM19" i="10" s="1"/>
  <c r="AS2" i="10"/>
  <c r="AR4" i="10"/>
  <c r="AR5" i="10" s="1"/>
  <c r="AO6" i="10"/>
  <c r="AN7" i="10"/>
  <c r="AV3" i="10"/>
  <c r="AN8" i="10" l="1"/>
  <c r="AN9" i="10" s="1"/>
  <c r="AN10" i="10" s="1"/>
  <c r="AN17" i="10" s="1"/>
  <c r="AP6" i="10"/>
  <c r="AO7" i="10"/>
  <c r="AT2" i="10"/>
  <c r="AS4" i="10"/>
  <c r="AS5" i="10" s="1"/>
  <c r="AW3" i="10"/>
  <c r="AN18" i="10" l="1"/>
  <c r="AN19" i="10"/>
  <c r="AO8" i="10"/>
  <c r="AO9" i="10" s="1"/>
  <c r="AO10" i="10" s="1"/>
  <c r="AO17" i="10" s="1"/>
  <c r="AO18" i="10" s="1"/>
  <c r="AO19" i="10" s="1"/>
  <c r="AU2" i="10"/>
  <c r="AT4" i="10"/>
  <c r="AT5" i="10" s="1"/>
  <c r="AQ6" i="10"/>
  <c r="AP7" i="10"/>
  <c r="AX3" i="10"/>
  <c r="AP8" i="10" l="1"/>
  <c r="AP9" i="10" s="1"/>
  <c r="AP10" i="10" s="1"/>
  <c r="AP17" i="10" s="1"/>
  <c r="AP18" i="10" s="1"/>
  <c r="AP19" i="10" s="1"/>
  <c r="AR6" i="10"/>
  <c r="AQ7" i="10"/>
  <c r="AV2" i="10"/>
  <c r="AU4" i="10"/>
  <c r="AU5" i="10" s="1"/>
  <c r="AY3" i="10"/>
  <c r="AQ8" i="10" l="1"/>
  <c r="AQ9" i="10" s="1"/>
  <c r="AQ10" i="10" s="1"/>
  <c r="AQ17" i="10" s="1"/>
  <c r="AQ18" i="10" s="1"/>
  <c r="AQ19" i="10" s="1"/>
  <c r="AW2" i="10"/>
  <c r="AV4" i="10"/>
  <c r="AV5" i="10" s="1"/>
  <c r="AS6" i="10"/>
  <c r="AR7" i="10"/>
  <c r="AR8" i="10" s="1"/>
  <c r="AR9" i="10" s="1"/>
  <c r="AR10" i="10" s="1"/>
  <c r="AR17" i="10" s="1"/>
  <c r="AR18" i="10" s="1"/>
  <c r="AR19" i="10" s="1"/>
  <c r="AZ3" i="10"/>
  <c r="AT6" i="10" l="1"/>
  <c r="AS7" i="10"/>
  <c r="AS8" i="10" s="1"/>
  <c r="AS9" i="10" s="1"/>
  <c r="AS10" i="10" s="1"/>
  <c r="AS17" i="10" s="1"/>
  <c r="AS18" i="10" s="1"/>
  <c r="AS19" i="10" s="1"/>
  <c r="AX2" i="10"/>
  <c r="AW4" i="10"/>
  <c r="AW5" i="10" s="1"/>
  <c r="BA3" i="10"/>
  <c r="AY2" i="10" l="1"/>
  <c r="AX4" i="10"/>
  <c r="AX5" i="10" s="1"/>
  <c r="AU6" i="10"/>
  <c r="AT7" i="10"/>
  <c r="AT8" i="10" s="1"/>
  <c r="AT9" i="10" s="1"/>
  <c r="AT10" i="10" s="1"/>
  <c r="AT17" i="10" s="1"/>
  <c r="AT18" i="10" s="1"/>
  <c r="AT19" i="10" s="1"/>
  <c r="BB3" i="10"/>
  <c r="AV6" i="10" l="1"/>
  <c r="AU7" i="10"/>
  <c r="AZ2" i="10"/>
  <c r="AY4" i="10"/>
  <c r="AY5" i="10" s="1"/>
  <c r="BC3" i="10"/>
  <c r="AU8" i="10" l="1"/>
  <c r="AU9" i="10"/>
  <c r="AU10" i="10" s="1"/>
  <c r="AU17" i="10" s="1"/>
  <c r="BA2" i="10"/>
  <c r="AZ4" i="10"/>
  <c r="AZ5" i="10" s="1"/>
  <c r="AW6" i="10"/>
  <c r="AV7" i="10"/>
  <c r="AV8" i="10" s="1"/>
  <c r="AV9" i="10" s="1"/>
  <c r="AV10" i="10" s="1"/>
  <c r="AV17" i="10" s="1"/>
  <c r="BD3" i="10"/>
  <c r="AV18" i="10" l="1"/>
  <c r="AV19" i="10" s="1"/>
  <c r="AU18" i="10"/>
  <c r="AU19" i="10" s="1"/>
  <c r="AX6" i="10"/>
  <c r="AW7" i="10"/>
  <c r="AW8" i="10" s="1"/>
  <c r="AW9" i="10" s="1"/>
  <c r="AW10" i="10" s="1"/>
  <c r="AW17" i="10" s="1"/>
  <c r="BB2" i="10"/>
  <c r="BA4" i="10"/>
  <c r="BA5" i="10" s="1"/>
  <c r="BE3" i="10"/>
  <c r="BF3" i="10" s="1"/>
  <c r="BG3" i="10" l="1"/>
  <c r="AW18" i="10"/>
  <c r="AW19" i="10" s="1"/>
  <c r="BC2" i="10"/>
  <c r="BB4" i="10"/>
  <c r="BB5" i="10" s="1"/>
  <c r="AY6" i="10"/>
  <c r="AX7" i="10"/>
  <c r="AX8" i="10" s="1"/>
  <c r="AX9" i="10" s="1"/>
  <c r="AX10" i="10" s="1"/>
  <c r="AX17" i="10" s="1"/>
  <c r="AX18" i="10" l="1"/>
  <c r="AX19" i="10" s="1"/>
  <c r="BH3" i="10"/>
  <c r="AZ6" i="10"/>
  <c r="AY7" i="10"/>
  <c r="BD2" i="10"/>
  <c r="BC4" i="10"/>
  <c r="BC5" i="10" s="1"/>
  <c r="AY8" i="10" l="1"/>
  <c r="AY9" i="10" s="1"/>
  <c r="AY10" i="10" s="1"/>
  <c r="AY17" i="10" s="1"/>
  <c r="BI3" i="10"/>
  <c r="BE2" i="10"/>
  <c r="BD4" i="10"/>
  <c r="BD5" i="10" s="1"/>
  <c r="BA6" i="10"/>
  <c r="AZ7" i="10"/>
  <c r="BE4" i="10" l="1"/>
  <c r="BE5" i="10" s="1"/>
  <c r="BF2" i="10"/>
  <c r="AZ8" i="10"/>
  <c r="AZ9" i="10" s="1"/>
  <c r="AZ10" i="10" s="1"/>
  <c r="AZ17" i="10" s="1"/>
  <c r="BJ3" i="10"/>
  <c r="AY18" i="10"/>
  <c r="AY19" i="10" s="1"/>
  <c r="BB6" i="10"/>
  <c r="BA7" i="10"/>
  <c r="BG2" i="10" l="1"/>
  <c r="BF4" i="10"/>
  <c r="BF5" i="10" s="1"/>
  <c r="BA8" i="10"/>
  <c r="BA9" i="10"/>
  <c r="BA10" i="10" s="1"/>
  <c r="BA17" i="10" s="1"/>
  <c r="BA18" i="10" s="1"/>
  <c r="BA19" i="10" s="1"/>
  <c r="BK3" i="10"/>
  <c r="AZ18" i="10"/>
  <c r="AZ19" i="10" s="1"/>
  <c r="BC6" i="10"/>
  <c r="BB7" i="10"/>
  <c r="BB8" i="10" s="1"/>
  <c r="BB9" i="10" s="1"/>
  <c r="BB10" i="10" s="1"/>
  <c r="BB17" i="10" s="1"/>
  <c r="BH2" i="10" l="1"/>
  <c r="BG4" i="10"/>
  <c r="BG5" i="10" s="1"/>
  <c r="BB18" i="10"/>
  <c r="BB19" i="10" s="1"/>
  <c r="BL3" i="10"/>
  <c r="BD6" i="10"/>
  <c r="BC7" i="10"/>
  <c r="BI2" i="10" l="1"/>
  <c r="BH4" i="10"/>
  <c r="BH5" i="10" s="1"/>
  <c r="BC8" i="10"/>
  <c r="BC9" i="10"/>
  <c r="BC10" i="10" s="1"/>
  <c r="BC17" i="10" s="1"/>
  <c r="BM3" i="10"/>
  <c r="BE6" i="10"/>
  <c r="BD7" i="10"/>
  <c r="BE7" i="10" l="1"/>
  <c r="BF6" i="10"/>
  <c r="BJ2" i="10"/>
  <c r="BI4" i="10"/>
  <c r="BI5" i="10" s="1"/>
  <c r="BD8" i="10"/>
  <c r="BD9" i="10"/>
  <c r="BD10" i="10" s="1"/>
  <c r="BD17" i="10" s="1"/>
  <c r="BD18" i="10" s="1"/>
  <c r="BD19" i="10" s="1"/>
  <c r="BE8" i="10"/>
  <c r="BE9" i="10" s="1"/>
  <c r="BE10" i="10" s="1"/>
  <c r="BE17" i="10" s="1"/>
  <c r="BE18" i="10" s="1"/>
  <c r="BE19" i="10" s="1"/>
  <c r="BN3" i="10"/>
  <c r="BC18" i="10"/>
  <c r="BC19" i="10"/>
  <c r="BK2" i="10" l="1"/>
  <c r="BJ4" i="10"/>
  <c r="BJ5" i="10" s="1"/>
  <c r="BG6" i="10"/>
  <c r="BF7" i="10"/>
  <c r="BF8" i="10" s="1"/>
  <c r="BF9" i="10" s="1"/>
  <c r="BF10" i="10" s="1"/>
  <c r="BF17" i="10" s="1"/>
  <c r="BF18" i="10" s="1"/>
  <c r="BF19" i="10" s="1"/>
  <c r="BO3" i="10"/>
  <c r="BL2" i="10" l="1"/>
  <c r="BK4" i="10"/>
  <c r="BK5" i="10" s="1"/>
  <c r="BH6" i="10"/>
  <c r="BG7" i="10"/>
  <c r="BG8" i="10" s="1"/>
  <c r="BG9" i="10" s="1"/>
  <c r="BG10" i="10" s="1"/>
  <c r="BG17" i="10" s="1"/>
  <c r="BP3" i="10"/>
  <c r="BG18" i="10" l="1"/>
  <c r="BG19" i="10"/>
  <c r="BI6" i="10"/>
  <c r="BH7" i="10"/>
  <c r="BH8" i="10" s="1"/>
  <c r="BH9" i="10" s="1"/>
  <c r="BH10" i="10" s="1"/>
  <c r="BH17" i="10" s="1"/>
  <c r="BM2" i="10"/>
  <c r="BL4" i="10"/>
  <c r="BL5" i="10" s="1"/>
  <c r="BQ3" i="10"/>
  <c r="BN2" i="10" l="1"/>
  <c r="BM4" i="10"/>
  <c r="BM5" i="10" s="1"/>
  <c r="BH18" i="10"/>
  <c r="BH19" i="10"/>
  <c r="BJ6" i="10"/>
  <c r="BI7" i="10"/>
  <c r="BI8" i="10" s="1"/>
  <c r="BI9" i="10" s="1"/>
  <c r="BI10" i="10" s="1"/>
  <c r="BI17" i="10" s="1"/>
  <c r="BI18" i="10" s="1"/>
  <c r="BI19" i="10" s="1"/>
  <c r="BR3" i="10"/>
  <c r="BK6" i="10" l="1"/>
  <c r="BJ7" i="10"/>
  <c r="BJ8" i="10" s="1"/>
  <c r="BJ9" i="10" s="1"/>
  <c r="BJ10" i="10" s="1"/>
  <c r="BJ17" i="10" s="1"/>
  <c r="BJ18" i="10" s="1"/>
  <c r="BJ19" i="10" s="1"/>
  <c r="BO2" i="10"/>
  <c r="BN4" i="10"/>
  <c r="BN5" i="10" s="1"/>
  <c r="BS3" i="10"/>
  <c r="BP2" i="10" l="1"/>
  <c r="BO4" i="10"/>
  <c r="BO5" i="10" s="1"/>
  <c r="BL6" i="10"/>
  <c r="BK7" i="10"/>
  <c r="BK8" i="10" s="1"/>
  <c r="BK9" i="10" s="1"/>
  <c r="BK10" i="10" s="1"/>
  <c r="BK17" i="10" s="1"/>
  <c r="BK18" i="10" s="1"/>
  <c r="BK19" i="10" s="1"/>
  <c r="BT3" i="10"/>
  <c r="BM6" i="10" l="1"/>
  <c r="BL7" i="10"/>
  <c r="BL8" i="10" s="1"/>
  <c r="BL9" i="10" s="1"/>
  <c r="BL10" i="10" s="1"/>
  <c r="BL17" i="10" s="1"/>
  <c r="BL18" i="10" s="1"/>
  <c r="BL19" i="10" s="1"/>
  <c r="BQ2" i="10"/>
  <c r="BP4" i="10"/>
  <c r="BP5" i="10" s="1"/>
  <c r="BU3" i="10"/>
  <c r="BR2" i="10" l="1"/>
  <c r="BQ4" i="10"/>
  <c r="BQ5" i="10" s="1"/>
  <c r="BN6" i="10"/>
  <c r="BM7" i="10"/>
  <c r="BM8" i="10" s="1"/>
  <c r="BM9" i="10" s="1"/>
  <c r="BM10" i="10" s="1"/>
  <c r="BM17" i="10" s="1"/>
  <c r="BM18" i="10" s="1"/>
  <c r="BM19" i="10" s="1"/>
  <c r="BV3" i="10"/>
  <c r="BO6" i="10" l="1"/>
  <c r="BN7" i="10"/>
  <c r="BN8" i="10" s="1"/>
  <c r="BN9" i="10" s="1"/>
  <c r="BN10" i="10" s="1"/>
  <c r="BN17" i="10" s="1"/>
  <c r="BN18" i="10" s="1"/>
  <c r="BN19" i="10" s="1"/>
  <c r="BS2" i="10"/>
  <c r="BR4" i="10"/>
  <c r="BR5" i="10" s="1"/>
  <c r="BW3" i="10"/>
  <c r="BT2" i="10" l="1"/>
  <c r="BS4" i="10"/>
  <c r="BS5" i="10" s="1"/>
  <c r="BP6" i="10"/>
  <c r="BO7" i="10"/>
  <c r="BO8" i="10" s="1"/>
  <c r="BO9" i="10" s="1"/>
  <c r="BO10" i="10" s="1"/>
  <c r="BO17" i="10" s="1"/>
  <c r="BO18" i="10" s="1"/>
  <c r="BO19" i="10" s="1"/>
  <c r="BX3" i="10"/>
  <c r="BQ6" i="10" l="1"/>
  <c r="BP7" i="10"/>
  <c r="BP8" i="10" s="1"/>
  <c r="BP9" i="10" s="1"/>
  <c r="BP10" i="10" s="1"/>
  <c r="BP17" i="10" s="1"/>
  <c r="BP18" i="10" s="1"/>
  <c r="BP19" i="10" s="1"/>
  <c r="BU2" i="10"/>
  <c r="BT4" i="10"/>
  <c r="BT5" i="10" s="1"/>
  <c r="BY3" i="10"/>
  <c r="BV2" i="10" l="1"/>
  <c r="BU4" i="10"/>
  <c r="BU5" i="10" s="1"/>
  <c r="BR6" i="10"/>
  <c r="BQ7" i="10"/>
  <c r="BZ3" i="10"/>
  <c r="BQ8" i="10" l="1"/>
  <c r="BQ9" i="10" s="1"/>
  <c r="BQ10" i="10" s="1"/>
  <c r="BQ17" i="10" s="1"/>
  <c r="BQ18" i="10" s="1"/>
  <c r="BQ19" i="10" s="1"/>
  <c r="BS6" i="10"/>
  <c r="BR7" i="10"/>
  <c r="BW2" i="10"/>
  <c r="BV4" i="10"/>
  <c r="BV5" i="10" s="1"/>
  <c r="CA3" i="10"/>
  <c r="BX2" i="10" l="1"/>
  <c r="BW4" i="10"/>
  <c r="BW5" i="10" s="1"/>
  <c r="BR8" i="10"/>
  <c r="BR9" i="10" s="1"/>
  <c r="BR10" i="10" s="1"/>
  <c r="BR17" i="10" s="1"/>
  <c r="BT6" i="10"/>
  <c r="BS7" i="10"/>
  <c r="CB3" i="10"/>
  <c r="BR18" i="10" l="1"/>
  <c r="BR19" i="10" s="1"/>
  <c r="BS8" i="10"/>
  <c r="BS9" i="10" s="1"/>
  <c r="BS10" i="10" s="1"/>
  <c r="BS17" i="10" s="1"/>
  <c r="BS18" i="10" s="1"/>
  <c r="BS19" i="10" s="1"/>
  <c r="BU6" i="10"/>
  <c r="BT7" i="10"/>
  <c r="BT8" i="10" s="1"/>
  <c r="BT9" i="10" s="1"/>
  <c r="BT10" i="10" s="1"/>
  <c r="BT17" i="10" s="1"/>
  <c r="BT18" i="10" s="1"/>
  <c r="BT19" i="10" s="1"/>
  <c r="BY2" i="10"/>
  <c r="BX4" i="10"/>
  <c r="BX5" i="10" s="1"/>
  <c r="CC3" i="10"/>
  <c r="BV6" i="10" l="1"/>
  <c r="BU7" i="10"/>
  <c r="BU8" i="10" s="1"/>
  <c r="BU9" i="10" s="1"/>
  <c r="BU10" i="10" s="1"/>
  <c r="BU17" i="10" s="1"/>
  <c r="BZ2" i="10"/>
  <c r="BY4" i="10"/>
  <c r="BY5" i="10" s="1"/>
  <c r="CD3" i="10"/>
  <c r="CA2" i="10" l="1"/>
  <c r="BZ4" i="10"/>
  <c r="BZ5" i="10" s="1"/>
  <c r="BU18" i="10"/>
  <c r="BU19" i="10"/>
  <c r="BW6" i="10"/>
  <c r="BV7" i="10"/>
  <c r="BV8" i="10" s="1"/>
  <c r="BV9" i="10" s="1"/>
  <c r="BV10" i="10" s="1"/>
  <c r="BV17" i="10" s="1"/>
  <c r="BX6" i="10" l="1"/>
  <c r="BW7" i="10"/>
  <c r="BW8" i="10" s="1"/>
  <c r="BW9" i="10" s="1"/>
  <c r="BW10" i="10" s="1"/>
  <c r="BW17" i="10" s="1"/>
  <c r="BV18" i="10"/>
  <c r="BV19" i="10" s="1"/>
  <c r="CB2" i="10"/>
  <c r="CA4" i="10"/>
  <c r="CA5" i="10" s="1"/>
  <c r="CC2" i="10" l="1"/>
  <c r="CB4" i="10"/>
  <c r="CB5" i="10" s="1"/>
  <c r="BW18" i="10"/>
  <c r="BW19" i="10" s="1"/>
  <c r="BY6" i="10"/>
  <c r="BX7" i="10"/>
  <c r="BX8" i="10" s="1"/>
  <c r="BX9" i="10" s="1"/>
  <c r="BX10" i="10" s="1"/>
  <c r="BX17" i="10" s="1"/>
  <c r="BX18" i="10" s="1"/>
  <c r="BX19" i="10" s="1"/>
  <c r="BZ6" i="10" l="1"/>
  <c r="BY7" i="10"/>
  <c r="BY8" i="10" s="1"/>
  <c r="BY9" i="10" s="1"/>
  <c r="BY10" i="10" s="1"/>
  <c r="BY17" i="10" s="1"/>
  <c r="BY18" i="10" s="1"/>
  <c r="BY19" i="10" s="1"/>
  <c r="CD2" i="10"/>
  <c r="CD4" i="10" s="1"/>
  <c r="CD5" i="10" s="1"/>
  <c r="CC4" i="10"/>
  <c r="CC5" i="10" s="1"/>
  <c r="CA6" i="10" l="1"/>
  <c r="BZ7" i="10"/>
  <c r="BZ8" i="10" s="1"/>
  <c r="BZ9" i="10" s="1"/>
  <c r="BZ10" i="10" s="1"/>
  <c r="BZ17" i="10" s="1"/>
  <c r="BZ18" i="10" s="1"/>
  <c r="BZ19" i="10" s="1"/>
  <c r="CB6" i="10" l="1"/>
  <c r="CA7" i="10"/>
  <c r="CA8" i="10" s="1"/>
  <c r="CA9" i="10" s="1"/>
  <c r="CA10" i="10" s="1"/>
  <c r="CA17" i="10" s="1"/>
  <c r="CA18" i="10" s="1"/>
  <c r="CA19" i="10" s="1"/>
  <c r="CC6" i="10" l="1"/>
  <c r="CB7" i="10"/>
  <c r="CB8" i="10" s="1"/>
  <c r="CB9" i="10" s="1"/>
  <c r="CB10" i="10" s="1"/>
  <c r="CB17" i="10" s="1"/>
  <c r="CB18" i="10" s="1"/>
  <c r="CB19" i="10" s="1"/>
  <c r="CD6" i="10" l="1"/>
  <c r="CD7" i="10" s="1"/>
  <c r="CD8" i="10" s="1"/>
  <c r="CD9" i="10" s="1"/>
  <c r="CD10" i="10" s="1"/>
  <c r="CD17" i="10" s="1"/>
  <c r="CD18" i="10" s="1"/>
  <c r="CD19" i="10" s="1"/>
  <c r="CC7" i="10"/>
  <c r="CC8" i="10" s="1"/>
  <c r="CC9" i="10" s="1"/>
  <c r="CC10" i="10" s="1"/>
  <c r="CC17" i="10" s="1"/>
  <c r="CC18" i="10" s="1"/>
  <c r="CC19"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Yusuf Zhang</author>
  </authors>
  <commentList>
    <comment ref="C1" authorId="0" shapeId="0" xr:uid="{4346E04A-0B06-4E60-89C2-114906CE4E86}">
      <text>
        <r>
          <rPr>
            <b/>
            <sz val="9"/>
            <color indexed="81"/>
            <rFont val="Tahoma"/>
            <family val="2"/>
          </rPr>
          <t>Yusuf Zhang:</t>
        </r>
        <r>
          <rPr>
            <sz val="9"/>
            <color indexed="81"/>
            <rFont val="Tahoma"/>
            <family val="2"/>
          </rPr>
          <t xml:space="preserve">
Estimated 1500 svessels will pass through the NSR in 2031 with annuel growth rate of 5%
</t>
        </r>
      </text>
    </comment>
    <comment ref="D1" authorId="0" shapeId="0" xr:uid="{BB75C211-4DC6-4812-BBAE-F3C3D6E81A5F}">
      <text>
        <r>
          <rPr>
            <b/>
            <sz val="9"/>
            <color indexed="81"/>
            <rFont val="Tahoma"/>
            <family val="2"/>
          </rPr>
          <t>Yusuf Zhang:</t>
        </r>
        <r>
          <rPr>
            <sz val="9"/>
            <color indexed="81"/>
            <rFont val="Tahoma"/>
            <family val="2"/>
          </rPr>
          <t xml:space="preserve">
The rational is to use the total Nr. etween Europe and Asia to 
deduct the Nr. Transit through NSR, the remaining will have to pass through either Malacca or Thai Canal</t>
        </r>
      </text>
    </comment>
    <comment ref="E1" authorId="0" shapeId="0" xr:uid="{D961CF2C-11C0-46D3-836E-9DB7A5ED84DA}">
      <text>
        <r>
          <rPr>
            <b/>
            <sz val="9"/>
            <color indexed="81"/>
            <rFont val="Tahoma"/>
            <family val="2"/>
          </rPr>
          <t>Yusuf Zhang:</t>
        </r>
        <r>
          <rPr>
            <sz val="9"/>
            <color indexed="81"/>
            <rFont val="Tahoma"/>
            <family val="2"/>
          </rPr>
          <t xml:space="preserve">
We assume 50% of will go through Malacca strait and 50% will go through Thai Canal</t>
        </r>
      </text>
    </comment>
    <comment ref="F1" authorId="0" shapeId="0" xr:uid="{74D0A0E8-3036-46B0-832E-187968233C1F}">
      <text>
        <r>
          <rPr>
            <b/>
            <sz val="9"/>
            <color indexed="81"/>
            <rFont val="Tahoma"/>
            <family val="2"/>
          </rPr>
          <t>Yusuf Zhang:</t>
        </r>
        <r>
          <rPr>
            <sz val="9"/>
            <color indexed="81"/>
            <rFont val="Tahoma"/>
            <family val="2"/>
          </rPr>
          <t xml:space="preserve">
The toll charges is estimated according the toll charges in Suez Canal and Panama Canal(300-400K) per vessel, also the fuel cost saving if the vessel go through Thai Canal rather than the Malacca Strait</t>
        </r>
      </text>
    </comment>
    <comment ref="H1" authorId="0" shapeId="0" xr:uid="{D0CFC5A6-0A4E-41B1-A3E6-9FB420BCB04B}">
      <text>
        <r>
          <rPr>
            <b/>
            <sz val="9"/>
            <color indexed="81"/>
            <rFont val="Tahoma"/>
            <family val="2"/>
          </rPr>
          <t>Yusuf Zhang:</t>
        </r>
        <r>
          <rPr>
            <sz val="9"/>
            <color indexed="81"/>
            <rFont val="Tahoma"/>
            <family val="2"/>
          </rPr>
          <t xml:space="preserve">
We assume the maintenance and operational cost to be 20% of total revenue</t>
        </r>
      </text>
    </comment>
    <comment ref="J1" authorId="0" shapeId="0" xr:uid="{33AC92FA-B078-45A6-B45E-E7B9C337AB77}">
      <text>
        <r>
          <rPr>
            <b/>
            <sz val="9"/>
            <color indexed="81"/>
            <rFont val="Tahoma"/>
            <family val="2"/>
          </rPr>
          <t>Yusuf Zhang:</t>
        </r>
        <r>
          <rPr>
            <sz val="9"/>
            <color indexed="81"/>
            <rFont val="Tahoma"/>
            <family val="2"/>
          </rPr>
          <t xml:space="preserve">
We assume the Owner of the Thai Canal will pay the construction debt using their full Revenue.</t>
        </r>
      </text>
    </comment>
    <comment ref="K1" authorId="0" shapeId="0" xr:uid="{A6B5BE5A-5731-40FA-95DC-CEAE220EBD83}">
      <text>
        <r>
          <rPr>
            <b/>
            <sz val="9"/>
            <color indexed="81"/>
            <rFont val="Tahoma"/>
            <family val="2"/>
          </rPr>
          <t>Yusuf Zhang:</t>
        </r>
        <r>
          <rPr>
            <sz val="9"/>
            <color indexed="81"/>
            <rFont val="Tahoma"/>
            <family val="2"/>
          </rPr>
          <t xml:space="preserve">
Total construction cost is estimated to be 28Billion USD according to media reports, the construction period will be 10 years.</t>
        </r>
      </text>
    </comment>
    <comment ref="L1" authorId="0" shapeId="0" xr:uid="{F3D4CA52-1AF5-401F-B5FD-B8E0BDFE863F}">
      <text>
        <r>
          <rPr>
            <b/>
            <sz val="9"/>
            <color indexed="81"/>
            <rFont val="Tahoma"/>
            <family val="2"/>
          </rPr>
          <t>Yusuf Zhang:</t>
        </r>
        <r>
          <rPr>
            <sz val="9"/>
            <color indexed="81"/>
            <rFont val="Tahoma"/>
            <family val="2"/>
          </rPr>
          <t xml:space="preserve">
We use the 20 years bond rate as the financial interest rate for the Construction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Yusuf Zhang</author>
  </authors>
  <commentList>
    <comment ref="C1" authorId="0" shapeId="0" xr:uid="{767C274F-85EC-4FBB-8EB1-A28C5D5CDA29}">
      <text>
        <r>
          <rPr>
            <b/>
            <sz val="9"/>
            <color indexed="81"/>
            <rFont val="Tahoma"/>
            <family val="2"/>
          </rPr>
          <t>Yusuf Zhang:</t>
        </r>
        <r>
          <rPr>
            <sz val="9"/>
            <color indexed="81"/>
            <rFont val="Tahoma"/>
            <family val="2"/>
          </rPr>
          <t xml:space="preserve">
Estimated 1500 svessels will pass through the NSR in 2031 with annuel growth rate of 5%
</t>
        </r>
      </text>
    </comment>
    <comment ref="D1" authorId="0" shapeId="0" xr:uid="{3CCA3D73-00CE-4902-8103-5678D64A620B}">
      <text>
        <r>
          <rPr>
            <b/>
            <sz val="9"/>
            <color indexed="81"/>
            <rFont val="Tahoma"/>
            <family val="2"/>
          </rPr>
          <t>Yusuf Zhang:</t>
        </r>
        <r>
          <rPr>
            <sz val="9"/>
            <color indexed="81"/>
            <rFont val="Tahoma"/>
            <family val="2"/>
          </rPr>
          <t xml:space="preserve">
The rational is to use the total Nr. etween Europe and Asia to 
deduct the Nr. Transit through NSR, the remaining will have to pass through either Malacca or Thai Canal</t>
        </r>
      </text>
    </comment>
    <comment ref="E1" authorId="0" shapeId="0" xr:uid="{2BF49CDB-6860-4D08-83E9-AF7FADF83134}">
      <text>
        <r>
          <rPr>
            <b/>
            <sz val="9"/>
            <color indexed="81"/>
            <rFont val="Tahoma"/>
            <family val="2"/>
          </rPr>
          <t>Yusuf Zhang:</t>
        </r>
        <r>
          <rPr>
            <sz val="9"/>
            <color indexed="81"/>
            <rFont val="Tahoma"/>
            <family val="2"/>
          </rPr>
          <t xml:space="preserve">
We assume 50% of will go through Malacca strait and 50% will go through Thai Canal</t>
        </r>
      </text>
    </comment>
    <comment ref="F1" authorId="0" shapeId="0" xr:uid="{6B24319E-B00E-42DD-993A-D2FC4AAFEF77}">
      <text>
        <r>
          <rPr>
            <b/>
            <sz val="9"/>
            <color indexed="81"/>
            <rFont val="Tahoma"/>
            <family val="2"/>
          </rPr>
          <t>Yusuf Zhang:</t>
        </r>
        <r>
          <rPr>
            <sz val="9"/>
            <color indexed="81"/>
            <rFont val="Tahoma"/>
            <family val="2"/>
          </rPr>
          <t xml:space="preserve">
The toll charges is estimated according the toll charges in Suez Canal and Panama Canal(300-400K) per vessel, also the fuel cost saving if the vessel go through Thai Canal rather than the Malacca Strait</t>
        </r>
      </text>
    </comment>
    <comment ref="H1" authorId="0" shapeId="0" xr:uid="{CD6D3693-2A2E-4232-A0C4-0C34CE630CB6}">
      <text>
        <r>
          <rPr>
            <b/>
            <sz val="9"/>
            <color indexed="81"/>
            <rFont val="Tahoma"/>
            <family val="2"/>
          </rPr>
          <t>Yusuf Zhang:</t>
        </r>
        <r>
          <rPr>
            <sz val="9"/>
            <color indexed="81"/>
            <rFont val="Tahoma"/>
            <family val="2"/>
          </rPr>
          <t xml:space="preserve">
We assume the maintenance and operational cost to be 20% of total revenue</t>
        </r>
      </text>
    </comment>
    <comment ref="J1" authorId="0" shapeId="0" xr:uid="{9139A019-21C7-47CA-8FFE-01601F2DFAFB}">
      <text>
        <r>
          <rPr>
            <b/>
            <sz val="9"/>
            <color indexed="81"/>
            <rFont val="Tahoma"/>
            <family val="2"/>
          </rPr>
          <t>Yusuf Zhang:</t>
        </r>
        <r>
          <rPr>
            <sz val="9"/>
            <color indexed="81"/>
            <rFont val="Tahoma"/>
            <family val="2"/>
          </rPr>
          <t xml:space="preserve">
We assume the Owner of the Thai Canal will pay the construction debt using their full Revenue.</t>
        </r>
      </text>
    </comment>
    <comment ref="K1" authorId="0" shapeId="0" xr:uid="{91876A56-B312-48C5-8078-32750C41316A}">
      <text>
        <r>
          <rPr>
            <b/>
            <sz val="9"/>
            <color indexed="81"/>
            <rFont val="Tahoma"/>
            <family val="2"/>
          </rPr>
          <t>Yusuf Zhang:</t>
        </r>
        <r>
          <rPr>
            <sz val="9"/>
            <color indexed="81"/>
            <rFont val="Tahoma"/>
            <family val="2"/>
          </rPr>
          <t xml:space="preserve">
Total construction cost is estimated to be 28Billion USD according to media reports, the construction period will be 10 years.</t>
        </r>
      </text>
    </comment>
    <comment ref="L1" authorId="0" shapeId="0" xr:uid="{5DE7FF1F-F5AD-4ABC-AB23-1FBA14FC8E83}">
      <text>
        <r>
          <rPr>
            <b/>
            <sz val="9"/>
            <color indexed="81"/>
            <rFont val="Tahoma"/>
            <family val="2"/>
          </rPr>
          <t>Yusuf Zhang:</t>
        </r>
        <r>
          <rPr>
            <sz val="9"/>
            <color indexed="81"/>
            <rFont val="Tahoma"/>
            <family val="2"/>
          </rPr>
          <t xml:space="preserve">
We use the 20 years bond rate as the financial interest rate for the Construction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Yusuf Zhang</author>
  </authors>
  <commentList>
    <comment ref="B2" authorId="0" shapeId="0" xr:uid="{62981AEE-DA9C-40D8-AC6C-06667AC7FEA2}">
      <text>
        <r>
          <rPr>
            <b/>
            <sz val="9"/>
            <color indexed="81"/>
            <rFont val="Tahoma"/>
            <family val="2"/>
          </rPr>
          <t>Yusuf Zhang:</t>
        </r>
        <r>
          <rPr>
            <sz val="9"/>
            <color indexed="81"/>
            <rFont val="Tahoma"/>
            <family val="2"/>
          </rPr>
          <t xml:space="preserve">
starting from 100,000 vessels in 2031 with annual growth rate of 1%</t>
        </r>
      </text>
    </comment>
    <comment ref="B3" authorId="0" shapeId="0" xr:uid="{421CAFF7-AC36-47B7-9750-5063E17B84BF}">
      <text>
        <r>
          <rPr>
            <b/>
            <sz val="9"/>
            <color indexed="81"/>
            <rFont val="Tahoma"/>
            <family val="2"/>
          </rPr>
          <t>Yusuf Zhang:</t>
        </r>
        <r>
          <rPr>
            <sz val="9"/>
            <color indexed="81"/>
            <rFont val="Tahoma"/>
            <family val="2"/>
          </rPr>
          <t xml:space="preserve">
Estimated 1500 svessels will pass through the NSR in 2031 with annuel growth rate of 5%
</t>
        </r>
      </text>
    </comment>
    <comment ref="B4" authorId="0" shapeId="0" xr:uid="{749CE5B9-78C3-4C31-AC1E-0CD775506DB5}">
      <text>
        <r>
          <rPr>
            <b/>
            <sz val="9"/>
            <color indexed="81"/>
            <rFont val="Tahoma"/>
            <family val="2"/>
          </rPr>
          <t>Yusuf Zhang:</t>
        </r>
        <r>
          <rPr>
            <sz val="9"/>
            <color indexed="81"/>
            <rFont val="Tahoma"/>
            <family val="2"/>
          </rPr>
          <t xml:space="preserve">
The rational is to use the total Nr. etween Europe and Asia to 
deduct the Nr. Transit through NSR, the remaining will have to pass through either Malacca or Thai Canal</t>
        </r>
      </text>
    </comment>
    <comment ref="B5" authorId="0" shapeId="0" xr:uid="{25E89000-2777-4920-9B3C-CDDA76580EFC}">
      <text>
        <r>
          <rPr>
            <b/>
            <sz val="9"/>
            <color indexed="81"/>
            <rFont val="Tahoma"/>
            <family val="2"/>
          </rPr>
          <t>Yusuf Zhang:</t>
        </r>
        <r>
          <rPr>
            <sz val="9"/>
            <color indexed="81"/>
            <rFont val="Tahoma"/>
            <family val="2"/>
          </rPr>
          <t xml:space="preserve">
We assume 50% of will go through Malacca strait and 50% will go through Thai Canal</t>
        </r>
      </text>
    </comment>
    <comment ref="B6" authorId="0" shapeId="0" xr:uid="{969C18AF-BA07-4280-8F4B-6928584E91C2}">
      <text>
        <r>
          <rPr>
            <b/>
            <sz val="9"/>
            <color indexed="81"/>
            <rFont val="Tahoma"/>
            <family val="2"/>
          </rPr>
          <t>Yusuf Zhang:</t>
        </r>
        <r>
          <rPr>
            <sz val="9"/>
            <color indexed="81"/>
            <rFont val="Tahoma"/>
            <family val="2"/>
          </rPr>
          <t xml:space="preserve">
The toll charges is estimated according the toll charges in Suez Canal and Panama Canal(300-400K) per vessel, also the fuel cost saving if the vessel go through Thai Canal rather than the Malacca Strait</t>
        </r>
      </text>
    </comment>
    <comment ref="B8" authorId="0" shapeId="0" xr:uid="{E3EBF8FC-FB47-443B-8EA8-4D8FCFA8D97F}">
      <text>
        <r>
          <rPr>
            <b/>
            <sz val="9"/>
            <color indexed="81"/>
            <rFont val="Tahoma"/>
            <family val="2"/>
          </rPr>
          <t>Yusuf Zhang:</t>
        </r>
        <r>
          <rPr>
            <sz val="9"/>
            <color indexed="81"/>
            <rFont val="Tahoma"/>
            <family val="2"/>
          </rPr>
          <t xml:space="preserve">
We assume the maintenance and operational cost to be 20% of total revenue</t>
        </r>
      </text>
    </comment>
    <comment ref="B10" authorId="0" shapeId="0" xr:uid="{D0CCB213-B728-4783-82C8-B395645B9D06}">
      <text>
        <r>
          <rPr>
            <b/>
            <sz val="9"/>
            <color indexed="81"/>
            <rFont val="Tahoma"/>
            <family val="2"/>
          </rPr>
          <t>Yusuf Zhang:</t>
        </r>
        <r>
          <rPr>
            <sz val="9"/>
            <color indexed="81"/>
            <rFont val="Tahoma"/>
            <family val="2"/>
          </rPr>
          <t xml:space="preserve">
We assume the Owner of the Thai Canal will pay the construction debt using their full Revenue.</t>
        </r>
      </text>
    </comment>
    <comment ref="B13" authorId="0" shapeId="0" xr:uid="{BD2FE0BE-4DC1-4A86-A2EC-41C59DF23A38}">
      <text>
        <r>
          <rPr>
            <b/>
            <sz val="9"/>
            <color indexed="81"/>
            <rFont val="Tahoma"/>
            <family val="2"/>
          </rPr>
          <t>Yusuf Zhang:</t>
        </r>
        <r>
          <rPr>
            <sz val="9"/>
            <color indexed="81"/>
            <rFont val="Tahoma"/>
            <family val="2"/>
          </rPr>
          <t xml:space="preserve">
Total construction cost is estimated to be 28Billion USD according to media reports, the construction period will be 10 years.</t>
        </r>
      </text>
    </comment>
    <comment ref="B14" authorId="0" shapeId="0" xr:uid="{766B3C16-2647-4D72-84B8-B26EEE193038}">
      <text>
        <r>
          <rPr>
            <b/>
            <sz val="9"/>
            <color indexed="81"/>
            <rFont val="Tahoma"/>
            <family val="2"/>
          </rPr>
          <t>Yusuf Zhang:</t>
        </r>
        <r>
          <rPr>
            <sz val="9"/>
            <color indexed="81"/>
            <rFont val="Tahoma"/>
            <family val="2"/>
          </rPr>
          <t xml:space="preserve">
We use the 20 years bond rate as the financial interest rate for the Construction</t>
        </r>
      </text>
    </comment>
    <comment ref="C25" authorId="0" shapeId="0" xr:uid="{29B81142-8458-46F4-8279-30FCC7639BE4}">
      <text>
        <r>
          <rPr>
            <b/>
            <sz val="9"/>
            <color indexed="81"/>
            <rFont val="Tahoma"/>
            <family val="2"/>
          </rPr>
          <t>Yusuf Zhang:</t>
        </r>
        <r>
          <rPr>
            <sz val="9"/>
            <color indexed="81"/>
            <rFont val="Tahoma"/>
            <family val="2"/>
          </rPr>
          <t xml:space="preserve">
Estimated 1500 svessels will pass through the NSR in 2031 with annuel growth rate of 5%
</t>
        </r>
      </text>
    </comment>
    <comment ref="D25" authorId="0" shapeId="0" xr:uid="{00CC5915-DB53-45CD-90B6-170957DD255B}">
      <text>
        <r>
          <rPr>
            <b/>
            <sz val="9"/>
            <color indexed="81"/>
            <rFont val="Tahoma"/>
            <family val="2"/>
          </rPr>
          <t>Yusuf Zhang:</t>
        </r>
        <r>
          <rPr>
            <sz val="9"/>
            <color indexed="81"/>
            <rFont val="Tahoma"/>
            <family val="2"/>
          </rPr>
          <t xml:space="preserve">
The rational is to use the total Nr. etween Europe and Asia to 
deduct the Nr. Transit through NSR, the remaining will have to pass through either Malacca or Thai Canal</t>
        </r>
      </text>
    </comment>
    <comment ref="E25" authorId="0" shapeId="0" xr:uid="{48DCD913-14DC-4C94-A18C-8F07A2E8B4C4}">
      <text>
        <r>
          <rPr>
            <b/>
            <sz val="9"/>
            <color indexed="81"/>
            <rFont val="Tahoma"/>
            <family val="2"/>
          </rPr>
          <t>Yusuf Zhang:</t>
        </r>
        <r>
          <rPr>
            <sz val="9"/>
            <color indexed="81"/>
            <rFont val="Tahoma"/>
            <family val="2"/>
          </rPr>
          <t xml:space="preserve">
We assume 50% of will go through Malacca strait and 50% will go through Thai Canal</t>
        </r>
      </text>
    </comment>
    <comment ref="F25" authorId="0" shapeId="0" xr:uid="{1CC0FEBD-5516-4CD1-98FA-E770356E16AA}">
      <text>
        <r>
          <rPr>
            <b/>
            <sz val="9"/>
            <color indexed="81"/>
            <rFont val="Tahoma"/>
            <family val="2"/>
          </rPr>
          <t>Yusuf Zhang:</t>
        </r>
        <r>
          <rPr>
            <sz val="9"/>
            <color indexed="81"/>
            <rFont val="Tahoma"/>
            <family val="2"/>
          </rPr>
          <t xml:space="preserve">
The toll charges is estimated according the toll charges in Suez Canal and Panama Canal(300-400K) per vessel, also the fuel cost saving if the vessel go through Thai Canal rather than the Malacca Strait</t>
        </r>
      </text>
    </comment>
    <comment ref="H25" authorId="0" shapeId="0" xr:uid="{C283489B-D393-4237-971A-720CB4A18C3C}">
      <text>
        <r>
          <rPr>
            <b/>
            <sz val="9"/>
            <color indexed="81"/>
            <rFont val="Tahoma"/>
            <family val="2"/>
          </rPr>
          <t>Yusuf Zhang:</t>
        </r>
        <r>
          <rPr>
            <sz val="9"/>
            <color indexed="81"/>
            <rFont val="Tahoma"/>
            <family val="2"/>
          </rPr>
          <t xml:space="preserve">
We assume the maintenance and operational cost to be 20% of total revenue</t>
        </r>
      </text>
    </comment>
    <comment ref="J25" authorId="0" shapeId="0" xr:uid="{0BC058B6-32D6-4088-B035-C366D8F32598}">
      <text>
        <r>
          <rPr>
            <b/>
            <sz val="9"/>
            <color indexed="81"/>
            <rFont val="Tahoma"/>
            <family val="2"/>
          </rPr>
          <t>Yusuf Zhang:</t>
        </r>
        <r>
          <rPr>
            <sz val="9"/>
            <color indexed="81"/>
            <rFont val="Tahoma"/>
            <family val="2"/>
          </rPr>
          <t xml:space="preserve">
We assume the Owner of the Thai Canal will pay the construction debt using their full Revenue.</t>
        </r>
      </text>
    </comment>
    <comment ref="K25" authorId="0" shapeId="0" xr:uid="{2143BB87-2CB3-4EB4-AD88-A986114B49DB}">
      <text>
        <r>
          <rPr>
            <b/>
            <sz val="9"/>
            <color indexed="81"/>
            <rFont val="Tahoma"/>
            <family val="2"/>
          </rPr>
          <t>Yusuf Zhang:</t>
        </r>
        <r>
          <rPr>
            <sz val="9"/>
            <color indexed="81"/>
            <rFont val="Tahoma"/>
            <family val="2"/>
          </rPr>
          <t xml:space="preserve">
Total construction cost is estimated to be 28Billion USD according to media reports, the construction period will be 10 years.</t>
        </r>
      </text>
    </comment>
    <comment ref="L25" authorId="0" shapeId="0" xr:uid="{F42AFC04-2341-4AF2-9204-EAE5E8125B9F}">
      <text>
        <r>
          <rPr>
            <b/>
            <sz val="9"/>
            <color indexed="81"/>
            <rFont val="Tahoma"/>
            <family val="2"/>
          </rPr>
          <t>Yusuf Zhang:</t>
        </r>
        <r>
          <rPr>
            <sz val="9"/>
            <color indexed="81"/>
            <rFont val="Tahoma"/>
            <family val="2"/>
          </rPr>
          <t xml:space="preserve">
We use the 20 years bond rate as the financial interest rate for the Construction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Yusuf Zhang</author>
  </authors>
  <commentList>
    <comment ref="C1" authorId="0" shapeId="0" xr:uid="{66E9D707-2100-4513-BBA7-26AF997C38A1}">
      <text>
        <r>
          <rPr>
            <b/>
            <sz val="9"/>
            <color indexed="81"/>
            <rFont val="Tahoma"/>
            <family val="2"/>
          </rPr>
          <t>Yusuf Zhang:</t>
        </r>
        <r>
          <rPr>
            <sz val="9"/>
            <color indexed="81"/>
            <rFont val="Tahoma"/>
            <family val="2"/>
          </rPr>
          <t xml:space="preserve">
Estimated 1500 svessels will pass through the NSR in 2031 with annuel growth rate of 5%
</t>
        </r>
      </text>
    </comment>
    <comment ref="D1" authorId="0" shapeId="0" xr:uid="{1C1AC4AF-2B50-484B-884F-8E3453155AA6}">
      <text>
        <r>
          <rPr>
            <b/>
            <sz val="9"/>
            <color indexed="81"/>
            <rFont val="Tahoma"/>
            <family val="2"/>
          </rPr>
          <t>Yusuf Zhang:</t>
        </r>
        <r>
          <rPr>
            <sz val="9"/>
            <color indexed="81"/>
            <rFont val="Tahoma"/>
            <family val="2"/>
          </rPr>
          <t xml:space="preserve">
The rational is to use the total Nr. etween Europe and Asia to 
deduct the Nr. Transit through NSR, the remaining will have to pass through either Malacca or Thai Canal</t>
        </r>
      </text>
    </comment>
    <comment ref="E1" authorId="0" shapeId="0" xr:uid="{C8FE6F49-9DF4-4A2C-8240-3BD66307C0F8}">
      <text>
        <r>
          <rPr>
            <b/>
            <sz val="9"/>
            <color indexed="81"/>
            <rFont val="Tahoma"/>
            <family val="2"/>
          </rPr>
          <t>Yusuf Zhang:</t>
        </r>
        <r>
          <rPr>
            <sz val="9"/>
            <color indexed="81"/>
            <rFont val="Tahoma"/>
            <family val="2"/>
          </rPr>
          <t xml:space="preserve">
We assume 50% of will go through Malacca strait and 50% will go through Thai Canal</t>
        </r>
      </text>
    </comment>
    <comment ref="F1" authorId="0" shapeId="0" xr:uid="{479E74AF-FF10-49BE-B44D-3727D3BC14C4}">
      <text>
        <r>
          <rPr>
            <b/>
            <sz val="9"/>
            <color indexed="81"/>
            <rFont val="Tahoma"/>
            <family val="2"/>
          </rPr>
          <t>Yusuf Zhang:</t>
        </r>
        <r>
          <rPr>
            <sz val="9"/>
            <color indexed="81"/>
            <rFont val="Tahoma"/>
            <family val="2"/>
          </rPr>
          <t xml:space="preserve">
The toll charges is estimated according the toll charges in Suez Canal and Panama Canal(300-400K) per vessel, also the fuel cost saving if the vessel go through Thai Canal rather than the Malacca Strait</t>
        </r>
      </text>
    </comment>
    <comment ref="H1" authorId="0" shapeId="0" xr:uid="{1DDE2BFC-B3C7-437F-B151-C1E27A89F23A}">
      <text>
        <r>
          <rPr>
            <b/>
            <sz val="9"/>
            <color indexed="81"/>
            <rFont val="Tahoma"/>
            <family val="2"/>
          </rPr>
          <t>Yusuf Zhang:</t>
        </r>
        <r>
          <rPr>
            <sz val="9"/>
            <color indexed="81"/>
            <rFont val="Tahoma"/>
            <family val="2"/>
          </rPr>
          <t xml:space="preserve">
We assume the maintenance and operational cost to be 20% of total revenue</t>
        </r>
      </text>
    </comment>
    <comment ref="J1" authorId="0" shapeId="0" xr:uid="{EE0E55AB-0BCB-4D0A-B38E-0BDCD06F063A}">
      <text>
        <r>
          <rPr>
            <b/>
            <sz val="9"/>
            <color indexed="81"/>
            <rFont val="Tahoma"/>
            <family val="2"/>
          </rPr>
          <t>Yusuf Zhang:</t>
        </r>
        <r>
          <rPr>
            <sz val="9"/>
            <color indexed="81"/>
            <rFont val="Tahoma"/>
            <family val="2"/>
          </rPr>
          <t xml:space="preserve">
We assume the Owner of the Thai Canal will pay the construction debt using their full Revenue.</t>
        </r>
      </text>
    </comment>
    <comment ref="K1" authorId="0" shapeId="0" xr:uid="{11985DC9-84B3-4430-B275-0EF7E9FF9059}">
      <text>
        <r>
          <rPr>
            <b/>
            <sz val="9"/>
            <color indexed="81"/>
            <rFont val="Tahoma"/>
            <family val="2"/>
          </rPr>
          <t>Yusuf Zhang:</t>
        </r>
        <r>
          <rPr>
            <sz val="9"/>
            <color indexed="81"/>
            <rFont val="Tahoma"/>
            <family val="2"/>
          </rPr>
          <t xml:space="preserve">
Total construction cost is estimated to be 28Billion USD according to media reports, the construction period will be 10 years.</t>
        </r>
      </text>
    </comment>
    <comment ref="L1" authorId="0" shapeId="0" xr:uid="{E93AE195-4703-4002-9AF9-7B423376D3A0}">
      <text>
        <r>
          <rPr>
            <b/>
            <sz val="9"/>
            <color indexed="81"/>
            <rFont val="Tahoma"/>
            <family val="2"/>
          </rPr>
          <t>Yusuf Zhang:</t>
        </r>
        <r>
          <rPr>
            <sz val="9"/>
            <color indexed="81"/>
            <rFont val="Tahoma"/>
            <family val="2"/>
          </rPr>
          <t xml:space="preserve">
We use the 20 years bond rate as the financial interest rate for the Construction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Yusuf Zhang</author>
  </authors>
  <commentList>
    <comment ref="F1" authorId="0" shapeId="0" xr:uid="{EAD4965B-2211-4099-AB28-D93BF53066B9}">
      <text>
        <r>
          <rPr>
            <b/>
            <sz val="9"/>
            <color indexed="81"/>
            <rFont val="Tahoma"/>
            <family val="2"/>
          </rPr>
          <t>Yusuf Zhang:</t>
        </r>
        <r>
          <rPr>
            <sz val="9"/>
            <color indexed="81"/>
            <rFont val="Tahoma"/>
            <family val="2"/>
          </rPr>
          <t xml:space="preserve">
Total Nr. Of Vessels passing malacca strait each year, from 2000 to 2017.</t>
        </r>
      </text>
    </comment>
    <comment ref="G1" authorId="0" shapeId="0" xr:uid="{881F5013-B428-43B4-8FEA-2B19CC119E53}">
      <text>
        <r>
          <rPr>
            <b/>
            <sz val="9"/>
            <color indexed="81"/>
            <rFont val="Tahoma"/>
            <family val="2"/>
          </rPr>
          <t>Yusuf Zhang:</t>
        </r>
        <r>
          <rPr>
            <sz val="9"/>
            <color indexed="81"/>
            <rFont val="Tahoma"/>
            <family val="2"/>
          </rPr>
          <t xml:space="preserve">
Total world shiping volumn from 1970 to 2019. Data for 2020 and 2021 is based on predictions by experts.</t>
        </r>
      </text>
    </comment>
    <comment ref="G28" authorId="0" shapeId="0" xr:uid="{24547E29-761C-4769-A327-3D624A141AE2}">
      <text>
        <r>
          <rPr>
            <b/>
            <sz val="9"/>
            <color indexed="81"/>
            <rFont val="Tahoma"/>
            <charset val="1"/>
          </rPr>
          <t>Yusuf Zhang:</t>
        </r>
        <r>
          <rPr>
            <sz val="9"/>
            <color indexed="81"/>
            <rFont val="Tahoma"/>
            <charset val="1"/>
          </rPr>
          <t xml:space="preserve">
https://www.opportimes.com/international-maritime-trade-volume-4-1/</t>
        </r>
      </text>
    </comment>
    <comment ref="G29" authorId="0" shapeId="0" xr:uid="{F8581539-F919-4907-917D-6E78C139143C}">
      <text>
        <r>
          <rPr>
            <b/>
            <sz val="9"/>
            <color indexed="81"/>
            <rFont val="Tahoma"/>
            <charset val="1"/>
          </rPr>
          <t>Yusuf Zhang:</t>
        </r>
        <r>
          <rPr>
            <sz val="9"/>
            <color indexed="81"/>
            <rFont val="Tahoma"/>
            <charset val="1"/>
          </rPr>
          <t xml:space="preserve">
https://www.opportimes.com/international-maritime-trade-volume-4-1/</t>
        </r>
      </text>
    </comment>
    <comment ref="B32" authorId="0" shapeId="0" xr:uid="{E8300684-692A-4F13-BFD7-32A94DF1ACA8}">
      <text>
        <r>
          <rPr>
            <b/>
            <sz val="9"/>
            <color indexed="81"/>
            <rFont val="Tahoma"/>
            <charset val="1"/>
          </rPr>
          <t>Yusuf Zhang:</t>
        </r>
        <r>
          <rPr>
            <sz val="9"/>
            <color indexed="81"/>
            <rFont val="Tahoma"/>
            <charset val="1"/>
          </rPr>
          <t xml:space="preserve">
Target set by Putin  is 80Million Ton by 2024</t>
        </r>
      </text>
    </comment>
    <comment ref="C38" authorId="0" shapeId="0" xr:uid="{67F7FCE1-8CD4-430F-9CD6-4966B52C2C5A}">
      <text>
        <r>
          <rPr>
            <b/>
            <sz val="9"/>
            <color indexed="81"/>
            <rFont val="Tahoma"/>
            <charset val="1"/>
          </rPr>
          <t>Yusuf Zhang:</t>
        </r>
        <r>
          <rPr>
            <sz val="9"/>
            <color indexed="81"/>
            <rFont val="Tahoma"/>
            <charset val="1"/>
          </rPr>
          <t xml:space="preserve">
https://thebarentsobserver.com/en/arctic/2021/07/moscows-big-plan-trans-arctic-shipping-2000-percent-growth-10-years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Yusuf Zhang</author>
  </authors>
  <commentList>
    <comment ref="J6" authorId="0" shapeId="0" xr:uid="{F48AF7F6-46E1-4EA8-AA46-B92DF8DD33B4}">
      <text>
        <r>
          <rPr>
            <b/>
            <sz val="9"/>
            <color indexed="81"/>
            <rFont val="Tahoma"/>
            <charset val="1"/>
          </rPr>
          <t>Yusuf Zhang:</t>
        </r>
        <r>
          <rPr>
            <sz val="9"/>
            <color indexed="81"/>
            <rFont val="Tahoma"/>
            <charset val="1"/>
          </rPr>
          <t xml:space="preserve">
https://app.powerbi.com/view?r=eyJrIjoiOGJiNGU4NGEtNjI0Yi00M2Y2LTlhYWUtMWU5NDQ1ZjU5M2FkIiwidCI6ImNmZGM5ZTVjLTI2NzctNGZjNS1hYjIxLTRiNjY5MjE2OWVmYSIsImMiOjh9
</t>
        </r>
      </text>
    </comment>
    <comment ref="K6" authorId="0" shapeId="0" xr:uid="{3E35AC38-D4FF-469C-B5DE-4C13D9AE06AF}">
      <text>
        <r>
          <rPr>
            <b/>
            <sz val="9"/>
            <color indexed="81"/>
            <rFont val="Tahoma"/>
            <charset val="1"/>
          </rPr>
          <t>Yusuf Zhang:</t>
        </r>
        <r>
          <rPr>
            <sz val="9"/>
            <color indexed="81"/>
            <rFont val="Tahoma"/>
            <charset val="1"/>
          </rPr>
          <t xml:space="preserve">
https://arctic-lio.com/nsr-shipping-traffic-transit-voyages-in-2020/</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Yusuf Zhang</author>
  </authors>
  <commentList>
    <comment ref="K59" authorId="0" shapeId="0" xr:uid="{6CF26A28-D3ED-4C3D-A4DA-AF0366C75109}">
      <text>
        <r>
          <rPr>
            <b/>
            <sz val="9"/>
            <color indexed="81"/>
            <rFont val="Tahoma"/>
            <charset val="1"/>
          </rPr>
          <t>Yusuf Zhang:</t>
        </r>
        <r>
          <rPr>
            <sz val="9"/>
            <color indexed="81"/>
            <rFont val="Tahoma"/>
            <charset val="1"/>
          </rPr>
          <t xml:space="preserve">
https://arctic-lio.com/nsr-shipping-traffic-transit-voyages-in-2020/</t>
        </r>
      </text>
    </comment>
  </commentList>
</comments>
</file>

<file path=xl/sharedStrings.xml><?xml version="1.0" encoding="utf-8"?>
<sst xmlns="http://schemas.openxmlformats.org/spreadsheetml/2006/main" count="242" uniqueCount="103">
  <si>
    <t>Year</t>
  </si>
  <si>
    <t>GRT</t>
  </si>
  <si>
    <t>Vessels</t>
  </si>
  <si>
    <t>https://app.powerbi.com/view?r=eyJrIjoiOGJiNGU4NGEtNjI0Yi00M2Y2LTlhYWUtMWU5NDQ1ZjU5M2FkIiwidCI6ImNmZGM5ZTVjLTI2NzctNGZjNS1hYjIxLTRiNjY5MjE2OWVmYSIsImMiOjh9</t>
  </si>
  <si>
    <t>TransitCargoVolume</t>
  </si>
  <si>
    <t>https://app.powerbi.com/view?r=eyJrIjoiMTI1NmE0MmQtMThkMS00MmI0LTllMjYtYWFhOTc3NmY1ZjdlIiwidCI6ImNmZGM5ZTVjLTI2NzctNGZjNS1hYjIxLTRiNjY5MjE2OWVmYSIsImMiOjh9</t>
  </si>
  <si>
    <t>https://arctic-lio.com/analysys-of-shipping-traffic-in-the-nsr-waters-in-2020/</t>
  </si>
  <si>
    <t>https://arctic-lio.com/nsr-shipping-traffic-transit-voyages-in-2020/</t>
  </si>
  <si>
    <t>CargoVolume(000Ton)</t>
  </si>
  <si>
    <t>CargoVolume(Ton)</t>
  </si>
  <si>
    <t>Target Growth Rate</t>
  </si>
  <si>
    <t xml:space="preserve"> Total NSR Shipping Volume </t>
  </si>
  <si>
    <t xml:space="preserve">NSR EuroAsia Transit Volume </t>
  </si>
  <si>
    <t>MalaccaTotalVessel/Nr.</t>
  </si>
  <si>
    <t>WorldMarineTrade/MilionTons</t>
  </si>
  <si>
    <t>Transit Vessels</t>
  </si>
  <si>
    <t>Revnue(USD'000)</t>
  </si>
  <si>
    <t>Construction Cost(USD'000)</t>
  </si>
  <si>
    <t>Cumulated Cost(USD'000)</t>
  </si>
  <si>
    <t>EBIT</t>
  </si>
  <si>
    <t>Operation Cost 20% of Revenue(USD'000)</t>
  </si>
  <si>
    <t>Thailand CorpTax(20%)</t>
  </si>
  <si>
    <t>Debt Repayment</t>
  </si>
  <si>
    <t>EearningBeforeTax</t>
  </si>
  <si>
    <t>Net Profit</t>
  </si>
  <si>
    <t>Internal Rate of Return</t>
  </si>
  <si>
    <t>Total Nr. Of  Vessels between Europe and Asia</t>
  </si>
  <si>
    <t>Predicted Nr. Of Vessels through Thai Canal</t>
  </si>
  <si>
    <t>Total Nr. Of Vessels through Malacca and Thai Canal</t>
  </si>
  <si>
    <t>Toll Charges per vessel(USD'000)</t>
  </si>
  <si>
    <t xml:space="preserve">Nr.of TransitVesselsfromEuropetoAsia throughNSR </t>
  </si>
  <si>
    <t xml:space="preserve">CargoVolume of TransitVesselsfromEuropetoAsia throughNSR </t>
  </si>
  <si>
    <t xml:space="preserve">TotalCargoVolume throughNSR </t>
  </si>
  <si>
    <t>Nr.of Vessels sailing throughNSR</t>
  </si>
  <si>
    <t>Nr.of Voyages sailing throughNSR</t>
  </si>
  <si>
    <t>Total Nr. Of Vessels transit through North Sea Route</t>
  </si>
  <si>
    <t>Interest Rate(20 years Thai Bond)</t>
  </si>
  <si>
    <t>Timeline</t>
  </si>
  <si>
    <t>Values</t>
  </si>
  <si>
    <t>Forecast</t>
  </si>
  <si>
    <t>Lower Confidence Bound</t>
  </si>
  <si>
    <t>Upper Confidence Bound</t>
  </si>
  <si>
    <t>Statistic</t>
  </si>
  <si>
    <t>Value</t>
  </si>
  <si>
    <t>Alpha</t>
  </si>
  <si>
    <t>Beta</t>
  </si>
  <si>
    <t>Gamma</t>
  </si>
  <si>
    <t>MASE</t>
  </si>
  <si>
    <t>SMAPE</t>
  </si>
  <si>
    <t>MAE</t>
  </si>
  <si>
    <t>RMSE</t>
  </si>
  <si>
    <t>No. of  Vessels passing the North Sea Route</t>
  </si>
  <si>
    <t>Y2021</t>
  </si>
  <si>
    <t>Y2022</t>
  </si>
  <si>
    <t>Y2023</t>
  </si>
  <si>
    <t>Y2024</t>
  </si>
  <si>
    <t>Y2025</t>
  </si>
  <si>
    <t>Y2026</t>
  </si>
  <si>
    <t>Y2027</t>
  </si>
  <si>
    <t>Y2028</t>
  </si>
  <si>
    <t>Y2029</t>
  </si>
  <si>
    <t>Y2030</t>
  </si>
  <si>
    <t>Y2031</t>
  </si>
  <si>
    <t>Y2032</t>
  </si>
  <si>
    <t>Y2033</t>
  </si>
  <si>
    <t>Y2034</t>
  </si>
  <si>
    <t>Y2035</t>
  </si>
  <si>
    <t>Y2036</t>
  </si>
  <si>
    <t>Y2037</t>
  </si>
  <si>
    <t>Y2038</t>
  </si>
  <si>
    <t>Y2039</t>
  </si>
  <si>
    <t>Y2040</t>
  </si>
  <si>
    <t>Y2041</t>
  </si>
  <si>
    <t>Y2042</t>
  </si>
  <si>
    <t>Y2043</t>
  </si>
  <si>
    <t>Y2044</t>
  </si>
  <si>
    <t>Y2045</t>
  </si>
  <si>
    <t>Y2046</t>
  </si>
  <si>
    <t>Y2047</t>
  </si>
  <si>
    <t>Y2048</t>
  </si>
  <si>
    <t>Y2049</t>
  </si>
  <si>
    <t>Y2050</t>
  </si>
  <si>
    <t>Y2051</t>
  </si>
  <si>
    <t>Y2052</t>
  </si>
  <si>
    <t>Y2053</t>
  </si>
  <si>
    <t>Y2054</t>
  </si>
  <si>
    <t>Y2055</t>
  </si>
  <si>
    <t>Y2056</t>
  </si>
  <si>
    <t>Y2057</t>
  </si>
  <si>
    <t>Y2058</t>
  </si>
  <si>
    <t>Y2059</t>
  </si>
  <si>
    <t>Y2060</t>
  </si>
  <si>
    <t>Eearning 
Before
Tax</t>
  </si>
  <si>
    <t>Revnue
(USD'000)</t>
  </si>
  <si>
    <t>Toll Charges 
per vessel
(USD'000)</t>
  </si>
  <si>
    <t>Predicted Nr. Of 
Vessels through 
Thai Canal</t>
  </si>
  <si>
    <t>Total Nr. Of 
Vessels through 
Malacca and 
Thai Canal</t>
  </si>
  <si>
    <t>Total Nr. Of  
Vessels between 
Europe and Asia</t>
  </si>
  <si>
    <t>Operation Cost 
20% of Revenue
(USD'000)</t>
  </si>
  <si>
    <t>Construction Cost
(USD'000)</t>
  </si>
  <si>
    <t>Interest Rate
(20 years Thai Bond)</t>
  </si>
  <si>
    <t>Cumulated Cost
(USD'000)</t>
  </si>
  <si>
    <t>Thailand CorpTax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</si>
</sst>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 #,##0.00_);_(* \(#,##0.00\);_(* &quot;-&quot;??_);_(@_)"/>
    <numFmt numFmtId="166" formatCode="0.0%"/>
  </numFmts>
  <fonts count="28"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u/>
      <sz val="11"/>
      <color theme="10"/>
      <name val="Corbel"/>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b/>
      <sz val="14"/>
      <color theme="1"/>
      <name val="Corbel"/>
      <family val="2"/>
      <scheme val="minor"/>
    </font>
    <font>
      <b/>
      <sz val="12"/>
      <color theme="1"/>
      <name val="Arial"/>
      <family val="2"/>
    </font>
    <font>
      <sz val="12"/>
      <color theme="1"/>
      <name val="Arial"/>
      <family val="2"/>
    </font>
    <font>
      <sz val="8"/>
      <name val="Corbel"/>
      <family val="2"/>
      <scheme val="minor"/>
    </font>
    <font>
      <b/>
      <sz val="12"/>
      <color rgb="FFC00000"/>
      <name val="Arial"/>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4"/>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0"/>
        <bgColor indexed="64"/>
      </patternFill>
    </fill>
    <fill>
      <patternFill patternType="solid">
        <fgColor theme="8" tint="0.79998168889431442"/>
        <bgColor indexed="64"/>
      </patternFill>
    </fill>
    <fill>
      <patternFill patternType="solid">
        <fgColor rgb="FFFFFF00"/>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thin">
        <color indexed="64"/>
      </left>
      <right style="dotted">
        <color indexed="64"/>
      </right>
      <top/>
      <bottom style="dotted">
        <color indexed="64"/>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5"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164" fontId="1" fillId="0" borderId="0" applyFont="0" applyFill="0" applyBorder="0" applyAlignment="0" applyProtection="0"/>
  </cellStyleXfs>
  <cellXfs count="85">
    <xf numFmtId="0" fontId="0" fillId="0" borderId="0" xfId="0"/>
    <xf numFmtId="165" fontId="0" fillId="0" borderId="0" xfId="42" applyFont="1"/>
    <xf numFmtId="10" fontId="0" fillId="0" borderId="0" xfId="43" applyNumberFormat="1" applyFont="1"/>
    <xf numFmtId="165" fontId="0" fillId="33" borderId="0" xfId="42" applyFont="1" applyFill="1"/>
    <xf numFmtId="0" fontId="0" fillId="34" borderId="0" xfId="0" applyFill="1"/>
    <xf numFmtId="0" fontId="18" fillId="34" borderId="0" xfId="44" applyFill="1"/>
    <xf numFmtId="165" fontId="0" fillId="35" borderId="0" xfId="42" applyFont="1" applyFill="1"/>
    <xf numFmtId="165" fontId="18" fillId="35" borderId="0" xfId="44" applyNumberFormat="1" applyFill="1"/>
    <xf numFmtId="165" fontId="0" fillId="36" borderId="0" xfId="42" applyFont="1" applyFill="1"/>
    <xf numFmtId="0" fontId="18" fillId="36" borderId="0" xfId="44" applyFill="1"/>
    <xf numFmtId="165" fontId="0" fillId="37" borderId="0" xfId="42" applyFont="1" applyFill="1"/>
    <xf numFmtId="0" fontId="18" fillId="37" borderId="0" xfId="44" applyFill="1"/>
    <xf numFmtId="165" fontId="0" fillId="38" borderId="0" xfId="42" applyFont="1" applyFill="1"/>
    <xf numFmtId="0" fontId="18" fillId="38" borderId="0" xfId="44" applyFill="1"/>
    <xf numFmtId="0" fontId="0" fillId="39" borderId="0" xfId="0" applyFill="1"/>
    <xf numFmtId="0" fontId="0" fillId="38" borderId="0" xfId="42" applyNumberFormat="1" applyFont="1" applyFill="1" applyAlignment="1">
      <alignment horizontal="center"/>
    </xf>
    <xf numFmtId="0" fontId="0" fillId="37" borderId="0" xfId="42" applyNumberFormat="1" applyFont="1" applyFill="1" applyAlignment="1">
      <alignment horizontal="center"/>
    </xf>
    <xf numFmtId="0" fontId="0" fillId="34" borderId="0" xfId="0" applyFill="1" applyAlignment="1">
      <alignment horizontal="center"/>
    </xf>
    <xf numFmtId="0" fontId="0" fillId="0" borderId="0" xfId="0" applyAlignment="1">
      <alignment horizontal="center"/>
    </xf>
    <xf numFmtId="165" fontId="0" fillId="40" borderId="0" xfId="0" applyNumberFormat="1" applyFill="1"/>
    <xf numFmtId="4" fontId="0" fillId="40" borderId="0" xfId="0" applyNumberFormat="1" applyFill="1"/>
    <xf numFmtId="165" fontId="0" fillId="40" borderId="0" xfId="42" applyFont="1" applyFill="1"/>
    <xf numFmtId="165" fontId="0" fillId="41" borderId="0" xfId="42" applyFont="1" applyFill="1"/>
    <xf numFmtId="165" fontId="14" fillId="41" borderId="0" xfId="42" applyFont="1" applyFill="1"/>
    <xf numFmtId="0" fontId="16" fillId="42" borderId="0" xfId="0" applyFont="1" applyFill="1" applyAlignment="1">
      <alignment horizontal="center"/>
    </xf>
    <xf numFmtId="166" fontId="0" fillId="0" borderId="0" xfId="0" applyNumberFormat="1" applyAlignment="1">
      <alignment horizontal="center"/>
    </xf>
    <xf numFmtId="10" fontId="0" fillId="0" borderId="0" xfId="0" applyNumberFormat="1" applyAlignment="1">
      <alignment horizontal="center"/>
    </xf>
    <xf numFmtId="0" fontId="0" fillId="36" borderId="0" xfId="0" applyFill="1" applyAlignment="1">
      <alignment horizontal="center"/>
    </xf>
    <xf numFmtId="0" fontId="0" fillId="44" borderId="0" xfId="0" applyFill="1"/>
    <xf numFmtId="0" fontId="16" fillId="45" borderId="0" xfId="0" applyFont="1" applyFill="1" applyAlignment="1">
      <alignment horizontal="center"/>
    </xf>
    <xf numFmtId="0" fontId="16" fillId="45" borderId="0" xfId="0" applyFont="1" applyFill="1"/>
    <xf numFmtId="10" fontId="0" fillId="0" borderId="0" xfId="0" applyNumberFormat="1"/>
    <xf numFmtId="164" fontId="0" fillId="0" borderId="0" xfId="45" applyFont="1"/>
    <xf numFmtId="164" fontId="0" fillId="0" borderId="0" xfId="0" applyNumberFormat="1"/>
    <xf numFmtId="165" fontId="0" fillId="0" borderId="0" xfId="0" applyNumberFormat="1"/>
    <xf numFmtId="9" fontId="0" fillId="0" borderId="0" xfId="0" applyNumberFormat="1"/>
    <xf numFmtId="166" fontId="0" fillId="0" borderId="0" xfId="43" applyNumberFormat="1" applyFont="1"/>
    <xf numFmtId="166" fontId="0" fillId="0" borderId="0" xfId="0" applyNumberFormat="1"/>
    <xf numFmtId="0" fontId="0" fillId="0" borderId="0" xfId="0" applyAlignment="1">
      <alignment horizontal="left" vertical="top"/>
    </xf>
    <xf numFmtId="165" fontId="0" fillId="0" borderId="0" xfId="42" applyFont="1" applyAlignment="1">
      <alignment horizontal="left" vertical="top"/>
    </xf>
    <xf numFmtId="164" fontId="0" fillId="0" borderId="0" xfId="45" applyFont="1" applyAlignment="1">
      <alignment horizontal="left" vertical="top"/>
    </xf>
    <xf numFmtId="0" fontId="0" fillId="0" borderId="0" xfId="0" applyFont="1" applyAlignment="1">
      <alignment horizontal="center"/>
    </xf>
    <xf numFmtId="165" fontId="0" fillId="40" borderId="0" xfId="0" applyNumberFormat="1" applyFont="1" applyFill="1" applyAlignment="1"/>
    <xf numFmtId="4" fontId="0" fillId="40" borderId="0" xfId="0" applyNumberFormat="1" applyFont="1" applyFill="1" applyAlignment="1"/>
    <xf numFmtId="165" fontId="0" fillId="40" borderId="0" xfId="42" applyFont="1" applyFill="1" applyAlignment="1"/>
    <xf numFmtId="165" fontId="0" fillId="41" borderId="0" xfId="42" applyFont="1" applyFill="1" applyAlignment="1">
      <alignment horizontal="center"/>
    </xf>
    <xf numFmtId="0" fontId="0" fillId="43" borderId="0" xfId="0" applyFont="1" applyFill="1" applyAlignment="1">
      <alignment horizontal="center"/>
    </xf>
    <xf numFmtId="4" fontId="0" fillId="0" borderId="0" xfId="0" applyNumberFormat="1"/>
    <xf numFmtId="2" fontId="0" fillId="0" borderId="0" xfId="0" applyNumberFormat="1"/>
    <xf numFmtId="0" fontId="0" fillId="0" borderId="0" xfId="0" applyAlignment="1">
      <alignment horizontal="left" vertical="top" wrapText="1"/>
    </xf>
    <xf numFmtId="0" fontId="0" fillId="0" borderId="0" xfId="0" applyAlignment="1">
      <alignment wrapText="1"/>
    </xf>
    <xf numFmtId="165" fontId="0" fillId="0" borderId="0" xfId="42" applyFont="1" applyAlignment="1">
      <alignment horizontal="left" vertical="top" wrapText="1"/>
    </xf>
    <xf numFmtId="164" fontId="0" fillId="0" borderId="0" xfId="45" applyFont="1" applyAlignment="1">
      <alignment horizontal="left" vertical="top" wrapText="1"/>
    </xf>
    <xf numFmtId="0" fontId="16" fillId="0" borderId="0" xfId="0" applyFont="1"/>
    <xf numFmtId="10" fontId="23" fillId="46" borderId="0" xfId="0" applyNumberFormat="1" applyFont="1" applyFill="1" applyAlignment="1">
      <alignment wrapText="1"/>
    </xf>
    <xf numFmtId="0" fontId="25" fillId="0" borderId="0" xfId="0" applyFont="1"/>
    <xf numFmtId="164" fontId="25" fillId="0" borderId="0" xfId="45" applyFont="1"/>
    <xf numFmtId="0" fontId="25" fillId="0" borderId="0" xfId="0" applyFont="1" applyAlignment="1">
      <alignment horizontal="center" vertical="top"/>
    </xf>
    <xf numFmtId="0" fontId="25" fillId="0" borderId="0" xfId="0" applyFont="1" applyAlignment="1">
      <alignment horizontal="center"/>
    </xf>
    <xf numFmtId="0" fontId="24" fillId="0" borderId="0" xfId="0" applyFont="1" applyAlignment="1">
      <alignment horizontal="center" vertical="center" wrapText="1"/>
    </xf>
    <xf numFmtId="0" fontId="25" fillId="34" borderId="15" xfId="0" applyFont="1" applyFill="1" applyBorder="1" applyAlignment="1">
      <alignment horizontal="center"/>
    </xf>
    <xf numFmtId="0" fontId="25" fillId="34" borderId="16" xfId="0" applyFont="1" applyFill="1" applyBorder="1" applyAlignment="1">
      <alignment horizontal="center" vertical="top"/>
    </xf>
    <xf numFmtId="0" fontId="25" fillId="34" borderId="16" xfId="0" applyFont="1" applyFill="1" applyBorder="1" applyAlignment="1">
      <alignment horizontal="center"/>
    </xf>
    <xf numFmtId="164" fontId="25" fillId="34" borderId="16" xfId="45" applyFont="1" applyFill="1" applyBorder="1"/>
    <xf numFmtId="10" fontId="25" fillId="34" borderId="16" xfId="0" applyNumberFormat="1" applyFont="1" applyFill="1" applyBorder="1"/>
    <xf numFmtId="164" fontId="25" fillId="34" borderId="17" xfId="45" applyFont="1" applyFill="1" applyBorder="1"/>
    <xf numFmtId="0" fontId="25" fillId="34" borderId="11" xfId="0" applyFont="1" applyFill="1" applyBorder="1" applyAlignment="1">
      <alignment horizontal="center" vertical="top"/>
    </xf>
    <xf numFmtId="0" fontId="25" fillId="34" borderId="11" xfId="0" applyFont="1" applyFill="1" applyBorder="1" applyAlignment="1">
      <alignment horizontal="center"/>
    </xf>
    <xf numFmtId="164" fontId="25" fillId="34" borderId="11" xfId="45" applyFont="1" applyFill="1" applyBorder="1"/>
    <xf numFmtId="10" fontId="25" fillId="34" borderId="11" xfId="0" applyNumberFormat="1" applyFont="1" applyFill="1" applyBorder="1"/>
    <xf numFmtId="164" fontId="25" fillId="34" borderId="12" xfId="45" applyFont="1" applyFill="1" applyBorder="1"/>
    <xf numFmtId="165" fontId="25" fillId="34" borderId="11" xfId="42" applyFont="1" applyFill="1" applyBorder="1" applyAlignment="1">
      <alignment horizontal="center"/>
    </xf>
    <xf numFmtId="0" fontId="25" fillId="34" borderId="11" xfId="0" applyFont="1" applyFill="1" applyBorder="1"/>
    <xf numFmtId="0" fontId="25" fillId="34" borderId="13" xfId="0" applyFont="1" applyFill="1" applyBorder="1" applyAlignment="1">
      <alignment horizontal="center" vertical="top"/>
    </xf>
    <xf numFmtId="165" fontId="25" fillId="34" borderId="13" xfId="42" applyFont="1" applyFill="1" applyBorder="1" applyAlignment="1">
      <alignment horizontal="center"/>
    </xf>
    <xf numFmtId="164" fontId="25" fillId="34" borderId="13" xfId="45" applyFont="1" applyFill="1" applyBorder="1"/>
    <xf numFmtId="0" fontId="25" fillId="34" borderId="13" xfId="0" applyFont="1" applyFill="1" applyBorder="1"/>
    <xf numFmtId="164" fontId="25" fillId="34" borderId="14" xfId="45" applyFont="1" applyFill="1" applyBorder="1"/>
    <xf numFmtId="10" fontId="27" fillId="33" borderId="18" xfId="0" applyNumberFormat="1" applyFont="1" applyFill="1" applyBorder="1" applyAlignment="1">
      <alignment horizontal="center" vertical="center" wrapText="1"/>
    </xf>
    <xf numFmtId="165" fontId="24" fillId="33" borderId="19" xfId="42" applyFont="1" applyFill="1" applyBorder="1" applyAlignment="1">
      <alignment horizontal="center" vertical="center" wrapText="1"/>
    </xf>
    <xf numFmtId="0" fontId="24" fillId="33" borderId="19" xfId="0" applyFont="1" applyFill="1" applyBorder="1" applyAlignment="1">
      <alignment horizontal="center" vertical="center" wrapText="1"/>
    </xf>
    <xf numFmtId="164" fontId="24" fillId="33" borderId="19" xfId="45" applyFont="1" applyFill="1" applyBorder="1" applyAlignment="1">
      <alignment horizontal="center" vertical="center" wrapText="1"/>
    </xf>
    <xf numFmtId="164" fontId="24" fillId="33" borderId="20" xfId="45" applyFont="1" applyFill="1" applyBorder="1" applyAlignment="1">
      <alignment horizontal="center" vertical="center" wrapText="1"/>
    </xf>
    <xf numFmtId="0" fontId="25" fillId="34" borderId="10" xfId="0" applyFont="1" applyFill="1" applyBorder="1" applyAlignment="1">
      <alignment horizontal="center"/>
    </xf>
    <xf numFmtId="0" fontId="25" fillId="34" borderId="21" xfId="0" applyFont="1" applyFill="1" applyBorder="1" applyAlignment="1">
      <alignment horizontal="center"/>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5"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6">
    <dxf>
      <numFmt numFmtId="165" formatCode="_(* #,##0.00_);_(* \(#,##0.00\);_(* &quot;-&quot;??_);_(@_)"/>
    </dxf>
    <dxf>
      <numFmt numFmtId="165" formatCode="_(* #,##0.00_);_(* \(#,##0.00\);_(* &quot;-&quot;??_);_(@_)"/>
    </dxf>
    <dxf>
      <numFmt numFmtId="165" formatCode="_(* #,##0.00_);_(* \(#,##0.00\);_(* &quot;-&quot;??_);_(@_)"/>
    </dxf>
    <dxf>
      <numFmt numFmtId="4"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576177641068486E-2"/>
          <c:y val="1.9021642464375686E-2"/>
          <c:w val="0.9069342853882395"/>
          <c:h val="0.76881889763779532"/>
        </c:manualLayout>
      </c:layout>
      <c:lineChart>
        <c:grouping val="standard"/>
        <c:varyColors val="0"/>
        <c:ser>
          <c:idx val="0"/>
          <c:order val="0"/>
          <c:tx>
            <c:strRef>
              <c:f>Malacca!$B$1</c:f>
              <c:strCache>
                <c:ptCount val="1"/>
                <c:pt idx="0">
                  <c:v>Values</c:v>
                </c:pt>
              </c:strCache>
            </c:strRef>
          </c:tx>
          <c:spPr>
            <a:ln w="28575" cap="rnd">
              <a:solidFill>
                <a:schemeClr val="accent1"/>
              </a:solidFill>
              <a:round/>
            </a:ln>
            <a:effectLst/>
          </c:spPr>
          <c:marker>
            <c:symbol val="none"/>
          </c:marker>
          <c:val>
            <c:numRef>
              <c:f>Malacca!$B$2:$B$63</c:f>
              <c:numCache>
                <c:formatCode>General</c:formatCode>
                <c:ptCount val="62"/>
                <c:pt idx="0">
                  <c:v>55957</c:v>
                </c:pt>
                <c:pt idx="1">
                  <c:v>59314</c:v>
                </c:pt>
                <c:pt idx="2">
                  <c:v>60034</c:v>
                </c:pt>
                <c:pt idx="3">
                  <c:v>62334</c:v>
                </c:pt>
                <c:pt idx="4">
                  <c:v>63636</c:v>
                </c:pt>
                <c:pt idx="5">
                  <c:v>62621</c:v>
                </c:pt>
                <c:pt idx="6">
                  <c:v>65649</c:v>
                </c:pt>
                <c:pt idx="7">
                  <c:v>70718</c:v>
                </c:pt>
                <c:pt idx="8">
                  <c:v>76381</c:v>
                </c:pt>
                <c:pt idx="9">
                  <c:v>71359</c:v>
                </c:pt>
                <c:pt idx="10">
                  <c:v>74133</c:v>
                </c:pt>
                <c:pt idx="11">
                  <c:v>73538</c:v>
                </c:pt>
                <c:pt idx="12">
                  <c:v>75477</c:v>
                </c:pt>
                <c:pt idx="13">
                  <c:v>77973</c:v>
                </c:pt>
                <c:pt idx="14">
                  <c:v>79344</c:v>
                </c:pt>
                <c:pt idx="15">
                  <c:v>80960</c:v>
                </c:pt>
                <c:pt idx="16">
                  <c:v>83740</c:v>
                </c:pt>
                <c:pt idx="17">
                  <c:v>84456</c:v>
                </c:pt>
              </c:numCache>
            </c:numRef>
          </c:val>
          <c:smooth val="0"/>
          <c:extLst>
            <c:ext xmlns:c16="http://schemas.microsoft.com/office/drawing/2014/chart" uri="{C3380CC4-5D6E-409C-BE32-E72D297353CC}">
              <c16:uniqueId val="{00000000-E15E-40D4-A88F-17FD645AB600}"/>
            </c:ext>
          </c:extLst>
        </c:ser>
        <c:ser>
          <c:idx val="1"/>
          <c:order val="1"/>
          <c:tx>
            <c:strRef>
              <c:f>Malacca!$C$1</c:f>
              <c:strCache>
                <c:ptCount val="1"/>
                <c:pt idx="0">
                  <c:v>Forecast</c:v>
                </c:pt>
              </c:strCache>
            </c:strRef>
          </c:tx>
          <c:spPr>
            <a:ln w="25400" cap="rnd">
              <a:solidFill>
                <a:schemeClr val="accent2"/>
              </a:solidFill>
              <a:round/>
            </a:ln>
            <a:effectLst/>
          </c:spPr>
          <c:marker>
            <c:symbol val="none"/>
          </c:marker>
          <c:cat>
            <c:numRef>
              <c:f>Malacca!$A$2:$A$63</c:f>
              <c:numCache>
                <c:formatCode>General</c:formatCode>
                <c:ptCount val="6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numCache>
            </c:numRef>
          </c:cat>
          <c:val>
            <c:numRef>
              <c:f>Malacca!$C$2:$C$63</c:f>
              <c:numCache>
                <c:formatCode>General</c:formatCode>
                <c:ptCount val="62"/>
                <c:pt idx="17">
                  <c:v>84456</c:v>
                </c:pt>
                <c:pt idx="18">
                  <c:v>86261.542856961169</c:v>
                </c:pt>
                <c:pt idx="19">
                  <c:v>87895.054410765006</c:v>
                </c:pt>
                <c:pt idx="20">
                  <c:v>89528.565964568857</c:v>
                </c:pt>
                <c:pt idx="21">
                  <c:v>91162.077518372695</c:v>
                </c:pt>
                <c:pt idx="22">
                  <c:v>92795.589072176532</c:v>
                </c:pt>
                <c:pt idx="23">
                  <c:v>94429.100625980369</c:v>
                </c:pt>
                <c:pt idx="24">
                  <c:v>96062.612179784221</c:v>
                </c:pt>
                <c:pt idx="25">
                  <c:v>97696.123733588058</c:v>
                </c:pt>
                <c:pt idx="26">
                  <c:v>99329.635287391895</c:v>
                </c:pt>
                <c:pt idx="27">
                  <c:v>100963.14684119573</c:v>
                </c:pt>
                <c:pt idx="28">
                  <c:v>102596.65839499957</c:v>
                </c:pt>
                <c:pt idx="29">
                  <c:v>104230.16994880342</c:v>
                </c:pt>
                <c:pt idx="30">
                  <c:v>105863.68150260726</c:v>
                </c:pt>
                <c:pt idx="31">
                  <c:v>107497.1930564111</c:v>
                </c:pt>
                <c:pt idx="32">
                  <c:v>109130.70461021495</c:v>
                </c:pt>
                <c:pt idx="33">
                  <c:v>110764.21616401878</c:v>
                </c:pt>
                <c:pt idx="34">
                  <c:v>112397.72771782262</c:v>
                </c:pt>
                <c:pt idx="35">
                  <c:v>114031.23927162646</c:v>
                </c:pt>
                <c:pt idx="36">
                  <c:v>115664.7508254303</c:v>
                </c:pt>
                <c:pt idx="37">
                  <c:v>117298.26237923415</c:v>
                </c:pt>
                <c:pt idx="38">
                  <c:v>118931.77393303798</c:v>
                </c:pt>
                <c:pt idx="39">
                  <c:v>120565.28548684182</c:v>
                </c:pt>
                <c:pt idx="40">
                  <c:v>122198.79704064567</c:v>
                </c:pt>
                <c:pt idx="41">
                  <c:v>123832.30859444951</c:v>
                </c:pt>
                <c:pt idx="42">
                  <c:v>125465.82014825335</c:v>
                </c:pt>
                <c:pt idx="43">
                  <c:v>127099.33170205718</c:v>
                </c:pt>
                <c:pt idx="44">
                  <c:v>128732.84325586102</c:v>
                </c:pt>
                <c:pt idx="45">
                  <c:v>130366.35480966486</c:v>
                </c:pt>
                <c:pt idx="46">
                  <c:v>131999.8663634687</c:v>
                </c:pt>
                <c:pt idx="47">
                  <c:v>133633.37791727256</c:v>
                </c:pt>
                <c:pt idx="48">
                  <c:v>135266.8894710764</c:v>
                </c:pt>
                <c:pt idx="49">
                  <c:v>136900.40102488024</c:v>
                </c:pt>
                <c:pt idx="50">
                  <c:v>138533.91257868407</c:v>
                </c:pt>
                <c:pt idx="51">
                  <c:v>140167.42413248791</c:v>
                </c:pt>
                <c:pt idx="52">
                  <c:v>141800.93568629175</c:v>
                </c:pt>
                <c:pt idx="53">
                  <c:v>143434.44724009559</c:v>
                </c:pt>
                <c:pt idx="54">
                  <c:v>145067.95879389942</c:v>
                </c:pt>
                <c:pt idx="55">
                  <c:v>146701.47034770326</c:v>
                </c:pt>
                <c:pt idx="56">
                  <c:v>148334.98190150713</c:v>
                </c:pt>
                <c:pt idx="57">
                  <c:v>149968.49345531096</c:v>
                </c:pt>
                <c:pt idx="58">
                  <c:v>151602.0050091148</c:v>
                </c:pt>
                <c:pt idx="59">
                  <c:v>153235.51656291864</c:v>
                </c:pt>
                <c:pt idx="60">
                  <c:v>154869.02811672247</c:v>
                </c:pt>
                <c:pt idx="61">
                  <c:v>156502.53967052631</c:v>
                </c:pt>
              </c:numCache>
            </c:numRef>
          </c:val>
          <c:smooth val="0"/>
          <c:extLst>
            <c:ext xmlns:c16="http://schemas.microsoft.com/office/drawing/2014/chart" uri="{C3380CC4-5D6E-409C-BE32-E72D297353CC}">
              <c16:uniqueId val="{00000001-E15E-40D4-A88F-17FD645AB600}"/>
            </c:ext>
          </c:extLst>
        </c:ser>
        <c:ser>
          <c:idx val="2"/>
          <c:order val="2"/>
          <c:tx>
            <c:strRef>
              <c:f>Malacca!$D$1</c:f>
              <c:strCache>
                <c:ptCount val="1"/>
                <c:pt idx="0">
                  <c:v>Lower Confidence Bound</c:v>
                </c:pt>
              </c:strCache>
            </c:strRef>
          </c:tx>
          <c:spPr>
            <a:ln w="12700" cap="rnd">
              <a:solidFill>
                <a:srgbClr val="ED7D31"/>
              </a:solidFill>
              <a:prstDash val="solid"/>
              <a:round/>
            </a:ln>
            <a:effectLst/>
          </c:spPr>
          <c:marker>
            <c:symbol val="none"/>
          </c:marker>
          <c:cat>
            <c:numRef>
              <c:f>Malacca!$A$2:$A$63</c:f>
              <c:numCache>
                <c:formatCode>General</c:formatCode>
                <c:ptCount val="6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numCache>
            </c:numRef>
          </c:cat>
          <c:val>
            <c:numRef>
              <c:f>Malacca!$D$2:$D$63</c:f>
              <c:numCache>
                <c:formatCode>General</c:formatCode>
                <c:ptCount val="62"/>
                <c:pt idx="17" formatCode="0.00">
                  <c:v>84456</c:v>
                </c:pt>
                <c:pt idx="18" formatCode="0.00">
                  <c:v>82337.304800714512</c:v>
                </c:pt>
                <c:pt idx="19" formatCode="0.00">
                  <c:v>83950.851564330223</c:v>
                </c:pt>
                <c:pt idx="20" formatCode="0.00">
                  <c:v>85564.104589633891</c:v>
                </c:pt>
                <c:pt idx="21" formatCode="0.00">
                  <c:v>87177.064492049642</c:v>
                </c:pt>
                <c:pt idx="22" formatCode="0.00">
                  <c:v>88789.731938808924</c:v>
                </c:pt>
                <c:pt idx="23" formatCode="0.00">
                  <c:v>90402.107647143275</c:v>
                </c:pt>
                <c:pt idx="24" formatCode="0.00">
                  <c:v>92014.192382479814</c:v>
                </c:pt>
                <c:pt idx="25" formatCode="0.00">
                  <c:v>93625.986956641864</c:v>
                </c:pt>
                <c:pt idx="26" formatCode="0.00">
                  <c:v>95237.492226058035</c:v>
                </c:pt>
                <c:pt idx="27" formatCode="0.00">
                  <c:v>96848.709089981887</c:v>
                </c:pt>
                <c:pt idx="28" formatCode="0.00">
                  <c:v>98459.638488725119</c:v>
                </c:pt>
                <c:pt idx="29" formatCode="0.00">
                  <c:v>100070.28140190657</c:v>
                </c:pt>
                <c:pt idx="30" formatCode="0.00">
                  <c:v>101680.6388467191</c:v>
                </c:pt>
                <c:pt idx="31" formatCode="0.00">
                  <c:v>103290.71187621681</c:v>
                </c:pt>
                <c:pt idx="32" formatCode="0.00">
                  <c:v>104900.50157762435</c:v>
                </c:pt>
                <c:pt idx="33" formatCode="0.00">
                  <c:v>106510.00907067009</c:v>
                </c:pt>
                <c:pt idx="34" formatCode="0.00">
                  <c:v>108119.23550594512</c:v>
                </c:pt>
                <c:pt idx="35" formatCode="0.00">
                  <c:v>109728.18206328939</c:v>
                </c:pt>
                <c:pt idx="36" formatCode="0.00">
                  <c:v>111336.84995020655</c:v>
                </c:pt>
                <c:pt idx="37" formatCode="0.00">
                  <c:v>112945.24040030874</c:v>
                </c:pt>
                <c:pt idx="38" formatCode="0.00">
                  <c:v>114553.35467179246</c:v>
                </c:pt>
                <c:pt idx="39" formatCode="0.00">
                  <c:v>116161.19404594672</c:v>
                </c:pt>
                <c:pt idx="40" formatCode="0.00">
                  <c:v>117768.75982569413</c:v>
                </c:pt>
                <c:pt idx="41" formatCode="0.00">
                  <c:v>119376.05333416598</c:v>
                </c:pt>
                <c:pt idx="42" formatCode="0.00">
                  <c:v>120983.07591331186</c:v>
                </c:pt>
                <c:pt idx="43" formatCode="0.00">
                  <c:v>122589.82892254436</c:v>
                </c:pt>
                <c:pt idx="44" formatCode="0.00">
                  <c:v>124196.31373741948</c:v>
                </c:pt>
                <c:pt idx="45" formatCode="0.00">
                  <c:v>125802.53174835294</c:v>
                </c:pt>
                <c:pt idx="46" formatCode="0.00">
                  <c:v>127408.4843593728</c:v>
                </c:pt>
                <c:pt idx="47" formatCode="0.00">
                  <c:v>129014.1729869085</c:v>
                </c:pt>
                <c:pt idx="48" formatCode="0.00">
                  <c:v>130619.59905861635</c:v>
                </c:pt>
                <c:pt idx="49" formatCode="0.00">
                  <c:v>132224.76401224179</c:v>
                </c:pt>
                <c:pt idx="50" formatCode="0.00">
                  <c:v>133829.66929451789</c:v>
                </c:pt>
                <c:pt idx="51" formatCode="0.00">
                  <c:v>135434.31636010029</c:v>
                </c:pt>
                <c:pt idx="52" formatCode="0.00">
                  <c:v>137038.70667053832</c:v>
                </c:pt>
                <c:pt idx="53" formatCode="0.00">
                  <c:v>138642.84169328207</c:v>
                </c:pt>
                <c:pt idx="54" formatCode="0.00">
                  <c:v>140246.7229007248</c:v>
                </c:pt>
                <c:pt idx="55" formatCode="0.00">
                  <c:v>141850.35176928068</c:v>
                </c:pt>
                <c:pt idx="56" formatCode="0.00">
                  <c:v>143453.72977849742</c:v>
                </c:pt>
                <c:pt idx="57" formatCode="0.00">
                  <c:v>145056.85841020287</c:v>
                </c:pt>
                <c:pt idx="58" formatCode="0.00">
                  <c:v>146659.73914768576</c:v>
                </c:pt>
                <c:pt idx="59" formatCode="0.00">
                  <c:v>148262.37347490934</c:v>
                </c:pt>
                <c:pt idx="60" formatCode="0.00">
                  <c:v>149864.762875758</c:v>
                </c:pt>
                <c:pt idx="61" formatCode="0.00">
                  <c:v>151466.90883331557</c:v>
                </c:pt>
              </c:numCache>
            </c:numRef>
          </c:val>
          <c:smooth val="0"/>
          <c:extLst>
            <c:ext xmlns:c16="http://schemas.microsoft.com/office/drawing/2014/chart" uri="{C3380CC4-5D6E-409C-BE32-E72D297353CC}">
              <c16:uniqueId val="{00000002-E15E-40D4-A88F-17FD645AB600}"/>
            </c:ext>
          </c:extLst>
        </c:ser>
        <c:ser>
          <c:idx val="3"/>
          <c:order val="3"/>
          <c:tx>
            <c:strRef>
              <c:f>Malacca!$E$1</c:f>
              <c:strCache>
                <c:ptCount val="1"/>
                <c:pt idx="0">
                  <c:v>Upper Confidence Bound</c:v>
                </c:pt>
              </c:strCache>
            </c:strRef>
          </c:tx>
          <c:spPr>
            <a:ln w="12700" cap="rnd">
              <a:solidFill>
                <a:srgbClr val="ED7D31"/>
              </a:solidFill>
              <a:prstDash val="solid"/>
              <a:round/>
            </a:ln>
            <a:effectLst/>
          </c:spPr>
          <c:marker>
            <c:symbol val="none"/>
          </c:marker>
          <c:cat>
            <c:numRef>
              <c:f>Malacca!$A$2:$A$63</c:f>
              <c:numCache>
                <c:formatCode>General</c:formatCode>
                <c:ptCount val="6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numCache>
            </c:numRef>
          </c:cat>
          <c:val>
            <c:numRef>
              <c:f>Malacca!$E$2:$E$63</c:f>
              <c:numCache>
                <c:formatCode>General</c:formatCode>
                <c:ptCount val="62"/>
                <c:pt idx="17" formatCode="0.00">
                  <c:v>84456</c:v>
                </c:pt>
                <c:pt idx="18" formatCode="0.00">
                  <c:v>90185.780913207826</c:v>
                </c:pt>
                <c:pt idx="19" formatCode="0.00">
                  <c:v>91839.257257199788</c:v>
                </c:pt>
                <c:pt idx="20" formatCode="0.00">
                  <c:v>93493.027339503824</c:v>
                </c:pt>
                <c:pt idx="21" formatCode="0.00">
                  <c:v>95147.090544695748</c:v>
                </c:pt>
                <c:pt idx="22" formatCode="0.00">
                  <c:v>96801.44620554414</c:v>
                </c:pt>
                <c:pt idx="23" formatCode="0.00">
                  <c:v>98456.093604817463</c:v>
                </c:pt>
                <c:pt idx="24" formatCode="0.00">
                  <c:v>100111.03197708863</c:v>
                </c:pt>
                <c:pt idx="25" formatCode="0.00">
                  <c:v>101766.26051053425</c:v>
                </c:pt>
                <c:pt idx="26" formatCode="0.00">
                  <c:v>103421.77834872575</c:v>
                </c:pt>
                <c:pt idx="27" formatCode="0.00">
                  <c:v>105077.58459240958</c:v>
                </c:pt>
                <c:pt idx="28" formatCode="0.00">
                  <c:v>106733.67830127402</c:v>
                </c:pt>
                <c:pt idx="29" formatCode="0.00">
                  <c:v>108390.05849570027</c:v>
                </c:pt>
                <c:pt idx="30" formatCode="0.00">
                  <c:v>110046.72415849542</c:v>
                </c:pt>
                <c:pt idx="31" formatCode="0.00">
                  <c:v>111703.67423660538</c:v>
                </c:pt>
                <c:pt idx="32" formatCode="0.00">
                  <c:v>113360.90764280554</c:v>
                </c:pt>
                <c:pt idx="33" formatCode="0.00">
                  <c:v>115018.42325736748</c:v>
                </c:pt>
                <c:pt idx="34" formatCode="0.00">
                  <c:v>116676.21992970012</c:v>
                </c:pt>
                <c:pt idx="35" formatCode="0.00">
                  <c:v>118334.29647996352</c:v>
                </c:pt>
                <c:pt idx="36" formatCode="0.00">
                  <c:v>119992.65170065404</c:v>
                </c:pt>
                <c:pt idx="37" formatCode="0.00">
                  <c:v>121651.28435815955</c:v>
                </c:pt>
                <c:pt idx="38" formatCode="0.00">
                  <c:v>123310.19319428351</c:v>
                </c:pt>
                <c:pt idx="39" formatCode="0.00">
                  <c:v>124969.37692773693</c:v>
                </c:pt>
                <c:pt idx="40" formatCode="0.00">
                  <c:v>126628.83425559722</c:v>
                </c:pt>
                <c:pt idx="41" formatCode="0.00">
                  <c:v>128288.56385473305</c:v>
                </c:pt>
                <c:pt idx="42" formatCode="0.00">
                  <c:v>129948.56438319484</c:v>
                </c:pt>
                <c:pt idx="43" formatCode="0.00">
                  <c:v>131608.83448157</c:v>
                </c:pt>
                <c:pt idx="44" formatCode="0.00">
                  <c:v>133269.37277430255</c:v>
                </c:pt>
                <c:pt idx="45" formatCode="0.00">
                  <c:v>134930.17787097677</c:v>
                </c:pt>
                <c:pt idx="46" formatCode="0.00">
                  <c:v>136591.24836756461</c:v>
                </c:pt>
                <c:pt idx="47" formatCode="0.00">
                  <c:v>138252.58284763663</c:v>
                </c:pt>
                <c:pt idx="48" formatCode="0.00">
                  <c:v>139914.17988353645</c:v>
                </c:pt>
                <c:pt idx="49" formatCode="0.00">
                  <c:v>141576.03803751868</c:v>
                </c:pt>
                <c:pt idx="50" formatCode="0.00">
                  <c:v>143238.15586285025</c:v>
                </c:pt>
                <c:pt idx="51" formatCode="0.00">
                  <c:v>144900.53190487553</c:v>
                </c:pt>
                <c:pt idx="52" formatCode="0.00">
                  <c:v>146563.16470204518</c:v>
                </c:pt>
                <c:pt idx="53" formatCode="0.00">
                  <c:v>148226.0527869091</c:v>
                </c:pt>
                <c:pt idx="54" formatCode="0.00">
                  <c:v>149889.19468707405</c:v>
                </c:pt>
                <c:pt idx="55" formatCode="0.00">
                  <c:v>151552.58892612584</c:v>
                </c:pt>
                <c:pt idx="56" formatCode="0.00">
                  <c:v>153216.23402451683</c:v>
                </c:pt>
                <c:pt idx="57" formatCode="0.00">
                  <c:v>154880.12850041906</c:v>
                </c:pt>
                <c:pt idx="58" formatCode="0.00">
                  <c:v>156544.27087054384</c:v>
                </c:pt>
                <c:pt idx="59" formatCode="0.00">
                  <c:v>158208.65965092793</c:v>
                </c:pt>
                <c:pt idx="60" formatCode="0.00">
                  <c:v>159873.29335768695</c:v>
                </c:pt>
                <c:pt idx="61" formatCode="0.00">
                  <c:v>161538.17050773706</c:v>
                </c:pt>
              </c:numCache>
            </c:numRef>
          </c:val>
          <c:smooth val="0"/>
          <c:extLst>
            <c:ext xmlns:c16="http://schemas.microsoft.com/office/drawing/2014/chart" uri="{C3380CC4-5D6E-409C-BE32-E72D297353CC}">
              <c16:uniqueId val="{00000003-E15E-40D4-A88F-17FD645AB600}"/>
            </c:ext>
          </c:extLst>
        </c:ser>
        <c:dLbls>
          <c:showLegendKey val="0"/>
          <c:showVal val="0"/>
          <c:showCatName val="0"/>
          <c:showSerName val="0"/>
          <c:showPercent val="0"/>
          <c:showBubbleSize val="0"/>
        </c:dLbls>
        <c:smooth val="0"/>
        <c:axId val="648279247"/>
        <c:axId val="648281327"/>
      </c:lineChart>
      <c:catAx>
        <c:axId val="648279247"/>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281327"/>
        <c:crosses val="autoZero"/>
        <c:auto val="1"/>
        <c:lblAlgn val="ctr"/>
        <c:lblOffset val="100"/>
        <c:noMultiLvlLbl val="0"/>
      </c:catAx>
      <c:valAx>
        <c:axId val="648281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279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823954466962575"/>
          <c:y val="2.3278320343459929E-2"/>
          <c:w val="0.86014490047738656"/>
          <c:h val="0.72736449901804234"/>
        </c:manualLayout>
      </c:layout>
      <c:lineChart>
        <c:grouping val="standard"/>
        <c:varyColors val="0"/>
        <c:ser>
          <c:idx val="0"/>
          <c:order val="0"/>
          <c:tx>
            <c:strRef>
              <c:f>NSR!$B$1</c:f>
              <c:strCache>
                <c:ptCount val="1"/>
                <c:pt idx="0">
                  <c:v>Values</c:v>
                </c:pt>
              </c:strCache>
            </c:strRef>
          </c:tx>
          <c:spPr>
            <a:ln w="28575" cap="rnd">
              <a:solidFill>
                <a:schemeClr val="accent1"/>
              </a:solidFill>
              <a:round/>
            </a:ln>
            <a:effectLst/>
          </c:spPr>
          <c:marker>
            <c:symbol val="none"/>
          </c:marker>
          <c:val>
            <c:numRef>
              <c:f>NSR!$B$2:$B$56</c:f>
              <c:numCache>
                <c:formatCode>_(* #,##0.00_);_(* \(#,##0.00\);_(* "-"??_);_(@_)</c:formatCode>
                <c:ptCount val="55"/>
                <c:pt idx="0">
                  <c:v>41</c:v>
                </c:pt>
                <c:pt idx="1">
                  <c:v>46</c:v>
                </c:pt>
                <c:pt idx="2">
                  <c:v>71</c:v>
                </c:pt>
                <c:pt idx="3">
                  <c:v>53</c:v>
                </c:pt>
                <c:pt idx="4">
                  <c:v>18</c:v>
                </c:pt>
                <c:pt idx="5">
                  <c:v>19</c:v>
                </c:pt>
                <c:pt idx="6">
                  <c:v>27</c:v>
                </c:pt>
                <c:pt idx="7">
                  <c:v>27</c:v>
                </c:pt>
                <c:pt idx="8">
                  <c:v>37</c:v>
                </c:pt>
                <c:pt idx="9">
                  <c:v>64</c:v>
                </c:pt>
                <c:pt idx="10">
                  <c:v>78</c:v>
                </c:pt>
                <c:pt idx="11">
                  <c:v>106</c:v>
                </c:pt>
                <c:pt idx="12">
                  <c:v>146</c:v>
                </c:pt>
                <c:pt idx="13">
                  <c:v>199</c:v>
                </c:pt>
                <c:pt idx="14">
                  <c:v>274</c:v>
                </c:pt>
                <c:pt idx="15">
                  <c:v>375</c:v>
                </c:pt>
                <c:pt idx="16">
                  <c:v>514</c:v>
                </c:pt>
                <c:pt idx="17">
                  <c:v>705</c:v>
                </c:pt>
                <c:pt idx="18">
                  <c:v>966</c:v>
                </c:pt>
                <c:pt idx="19">
                  <c:v>1325</c:v>
                </c:pt>
              </c:numCache>
            </c:numRef>
          </c:val>
          <c:smooth val="0"/>
          <c:extLst>
            <c:ext xmlns:c16="http://schemas.microsoft.com/office/drawing/2014/chart" uri="{C3380CC4-5D6E-409C-BE32-E72D297353CC}">
              <c16:uniqueId val="{00000000-8291-4FD8-BA2C-3A115FDC1D31}"/>
            </c:ext>
          </c:extLst>
        </c:ser>
        <c:ser>
          <c:idx val="1"/>
          <c:order val="1"/>
          <c:tx>
            <c:strRef>
              <c:f>NSR!$C$1</c:f>
              <c:strCache>
                <c:ptCount val="1"/>
                <c:pt idx="0">
                  <c:v>Forecast</c:v>
                </c:pt>
              </c:strCache>
            </c:strRef>
          </c:tx>
          <c:spPr>
            <a:ln w="25400" cap="rnd">
              <a:solidFill>
                <a:schemeClr val="accent2"/>
              </a:solidFill>
              <a:round/>
            </a:ln>
            <a:effectLst/>
          </c:spPr>
          <c:marker>
            <c:symbol val="none"/>
          </c:marker>
          <c:cat>
            <c:numRef>
              <c:f>NSR!$A$2:$A$56</c:f>
              <c:numCache>
                <c:formatCode>General</c:formatCode>
                <c:ptCount val="55"/>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pt idx="15">
                  <c:v>2026</c:v>
                </c:pt>
                <c:pt idx="16">
                  <c:v>2027</c:v>
                </c:pt>
                <c:pt idx="17">
                  <c:v>2028</c:v>
                </c:pt>
                <c:pt idx="18">
                  <c:v>2029</c:v>
                </c:pt>
                <c:pt idx="19">
                  <c:v>2030</c:v>
                </c:pt>
                <c:pt idx="20">
                  <c:v>2031</c:v>
                </c:pt>
                <c:pt idx="21">
                  <c:v>2032</c:v>
                </c:pt>
                <c:pt idx="22">
                  <c:v>2033</c:v>
                </c:pt>
                <c:pt idx="23">
                  <c:v>2034</c:v>
                </c:pt>
                <c:pt idx="24">
                  <c:v>2035</c:v>
                </c:pt>
                <c:pt idx="25">
                  <c:v>2036</c:v>
                </c:pt>
                <c:pt idx="26">
                  <c:v>2037</c:v>
                </c:pt>
                <c:pt idx="27">
                  <c:v>2038</c:v>
                </c:pt>
                <c:pt idx="28">
                  <c:v>2039</c:v>
                </c:pt>
                <c:pt idx="29">
                  <c:v>2040</c:v>
                </c:pt>
                <c:pt idx="30">
                  <c:v>2041</c:v>
                </c:pt>
                <c:pt idx="31">
                  <c:v>2042</c:v>
                </c:pt>
                <c:pt idx="32">
                  <c:v>2043</c:v>
                </c:pt>
                <c:pt idx="33">
                  <c:v>2044</c:v>
                </c:pt>
                <c:pt idx="34">
                  <c:v>2045</c:v>
                </c:pt>
                <c:pt idx="35">
                  <c:v>2046</c:v>
                </c:pt>
                <c:pt idx="36">
                  <c:v>2047</c:v>
                </c:pt>
                <c:pt idx="37">
                  <c:v>2048</c:v>
                </c:pt>
                <c:pt idx="38">
                  <c:v>2049</c:v>
                </c:pt>
                <c:pt idx="39">
                  <c:v>2050</c:v>
                </c:pt>
                <c:pt idx="40">
                  <c:v>2051</c:v>
                </c:pt>
                <c:pt idx="41">
                  <c:v>2052</c:v>
                </c:pt>
                <c:pt idx="42">
                  <c:v>2053</c:v>
                </c:pt>
                <c:pt idx="43">
                  <c:v>2054</c:v>
                </c:pt>
                <c:pt idx="44">
                  <c:v>2055</c:v>
                </c:pt>
                <c:pt idx="45">
                  <c:v>2056</c:v>
                </c:pt>
                <c:pt idx="46">
                  <c:v>2057</c:v>
                </c:pt>
                <c:pt idx="47">
                  <c:v>2058</c:v>
                </c:pt>
                <c:pt idx="48">
                  <c:v>2059</c:v>
                </c:pt>
                <c:pt idx="49">
                  <c:v>2060</c:v>
                </c:pt>
                <c:pt idx="50">
                  <c:v>2061</c:v>
                </c:pt>
                <c:pt idx="51">
                  <c:v>2062</c:v>
                </c:pt>
                <c:pt idx="52">
                  <c:v>2063</c:v>
                </c:pt>
                <c:pt idx="53">
                  <c:v>2064</c:v>
                </c:pt>
                <c:pt idx="54">
                  <c:v>2065</c:v>
                </c:pt>
              </c:numCache>
            </c:numRef>
          </c:cat>
          <c:val>
            <c:numRef>
              <c:f>NSR!$C$2:$C$56</c:f>
              <c:numCache>
                <c:formatCode>General</c:formatCode>
                <c:ptCount val="55"/>
                <c:pt idx="19" formatCode="_(* #,##0.00_);_(* \(#,##0.00\);_(* &quot;-&quot;??_);_(@_)">
                  <c:v>1325</c:v>
                </c:pt>
                <c:pt idx="20" formatCode="_(* #,##0.00_);_(* \(#,##0.00\);_(* &quot;-&quot;??_);_(@_)">
                  <c:v>1619.0630118661682</c:v>
                </c:pt>
                <c:pt idx="21" formatCode="_(* #,##0.00_);_(* \(#,##0.00\);_(* &quot;-&quot;??_);_(@_)">
                  <c:v>2015.3110305735227</c:v>
                </c:pt>
                <c:pt idx="22" formatCode="_(* #,##0.00_);_(* \(#,##0.00\);_(* &quot;-&quot;??_);_(@_)">
                  <c:v>2436.7583668713114</c:v>
                </c:pt>
                <c:pt idx="23" formatCode="_(* #,##0.00_);_(* \(#,##0.00\);_(* &quot;-&quot;??_);_(@_)">
                  <c:v>2795.4506361578665</c:v>
                </c:pt>
                <c:pt idx="24" formatCode="_(* #,##0.00_);_(* \(#,##0.00\);_(* &quot;-&quot;??_);_(@_)">
                  <c:v>3089.6922710373146</c:v>
                </c:pt>
                <c:pt idx="25" formatCode="_(* #,##0.00_);_(* \(#,##0.00\);_(* &quot;-&quot;??_);_(@_)">
                  <c:v>3485.9402897446694</c:v>
                </c:pt>
                <c:pt idx="26" formatCode="_(* #,##0.00_);_(* \(#,##0.00\);_(* &quot;-&quot;??_);_(@_)">
                  <c:v>3907.3876260424581</c:v>
                </c:pt>
                <c:pt idx="27" formatCode="_(* #,##0.00_);_(* \(#,##0.00\);_(* &quot;-&quot;??_);_(@_)">
                  <c:v>4266.0798953290141</c:v>
                </c:pt>
                <c:pt idx="28" formatCode="_(* #,##0.00_);_(* \(#,##0.00\);_(* &quot;-&quot;??_);_(@_)">
                  <c:v>4560.3215302084618</c:v>
                </c:pt>
                <c:pt idx="29" formatCode="_(* #,##0.00_);_(* \(#,##0.00\);_(* &quot;-&quot;??_);_(@_)">
                  <c:v>4956.5695489158161</c:v>
                </c:pt>
                <c:pt idx="30" formatCode="_(* #,##0.00_);_(* \(#,##0.00\);_(* &quot;-&quot;??_);_(@_)">
                  <c:v>5378.0168852136048</c:v>
                </c:pt>
                <c:pt idx="31" formatCode="_(* #,##0.00_);_(* \(#,##0.00\);_(* &quot;-&quot;??_);_(@_)">
                  <c:v>5736.7091545001604</c:v>
                </c:pt>
                <c:pt idx="32" formatCode="_(* #,##0.00_);_(* \(#,##0.00\);_(* &quot;-&quot;??_);_(@_)">
                  <c:v>6030.9507893796081</c:v>
                </c:pt>
                <c:pt idx="33" formatCode="_(* #,##0.00_);_(* \(#,##0.00\);_(* &quot;-&quot;??_);_(@_)">
                  <c:v>6427.1988080869623</c:v>
                </c:pt>
                <c:pt idx="34" formatCode="_(* #,##0.00_);_(* \(#,##0.00\);_(* &quot;-&quot;??_);_(@_)">
                  <c:v>6848.6461443847511</c:v>
                </c:pt>
                <c:pt idx="35" formatCode="_(* #,##0.00_);_(* \(#,##0.00\);_(* &quot;-&quot;??_);_(@_)">
                  <c:v>7207.3384136713066</c:v>
                </c:pt>
                <c:pt idx="36" formatCode="_(* #,##0.00_);_(* \(#,##0.00\);_(* &quot;-&quot;??_);_(@_)">
                  <c:v>7501.5800485507543</c:v>
                </c:pt>
                <c:pt idx="37" formatCode="_(* #,##0.00_);_(* \(#,##0.00\);_(* &quot;-&quot;??_);_(@_)">
                  <c:v>7897.8280672581086</c:v>
                </c:pt>
                <c:pt idx="38" formatCode="_(* #,##0.00_);_(* \(#,##0.00\);_(* &quot;-&quot;??_);_(@_)">
                  <c:v>8319.2754035558974</c:v>
                </c:pt>
                <c:pt idx="39" formatCode="_(* #,##0.00_);_(* \(#,##0.00\);_(* &quot;-&quot;??_);_(@_)">
                  <c:v>8677.9676728424529</c:v>
                </c:pt>
                <c:pt idx="40" formatCode="_(* #,##0.00_);_(* \(#,##0.00\);_(* &quot;-&quot;??_);_(@_)">
                  <c:v>8972.2093077219033</c:v>
                </c:pt>
                <c:pt idx="41" formatCode="_(* #,##0.00_);_(* \(#,##0.00\);_(* &quot;-&quot;??_);_(@_)">
                  <c:v>9368.4573264292576</c:v>
                </c:pt>
                <c:pt idx="42" formatCode="_(* #,##0.00_);_(* \(#,##0.00\);_(* &quot;-&quot;??_);_(@_)">
                  <c:v>9789.9046627270436</c:v>
                </c:pt>
                <c:pt idx="43" formatCode="_(* #,##0.00_);_(* \(#,##0.00\);_(* &quot;-&quot;??_);_(@_)">
                  <c:v>10148.596932013601</c:v>
                </c:pt>
                <c:pt idx="44" formatCode="_(* #,##0.00_);_(* \(#,##0.00\);_(* &quot;-&quot;??_);_(@_)">
                  <c:v>10442.83856689305</c:v>
                </c:pt>
                <c:pt idx="45" formatCode="_(* #,##0.00_);_(* \(#,##0.00\);_(* &quot;-&quot;??_);_(@_)">
                  <c:v>10839.086585600404</c:v>
                </c:pt>
                <c:pt idx="46" formatCode="_(* #,##0.00_);_(* \(#,##0.00\);_(* &quot;-&quot;??_);_(@_)">
                  <c:v>11260.533921898192</c:v>
                </c:pt>
                <c:pt idx="47" formatCode="_(* #,##0.00_);_(* \(#,##0.00\);_(* &quot;-&quot;??_);_(@_)">
                  <c:v>11619.226191184747</c:v>
                </c:pt>
                <c:pt idx="48" formatCode="_(* #,##0.00_);_(* \(#,##0.00\);_(* &quot;-&quot;??_);_(@_)">
                  <c:v>11913.467826064196</c:v>
                </c:pt>
                <c:pt idx="49" formatCode="_(* #,##0.00_);_(* \(#,##0.00\);_(* &quot;-&quot;??_);_(@_)">
                  <c:v>12309.71584477155</c:v>
                </c:pt>
                <c:pt idx="50" formatCode="_(* #,##0.00_);_(* \(#,##0.00\);_(* &quot;-&quot;??_);_(@_)">
                  <c:v>12731.163181069338</c:v>
                </c:pt>
                <c:pt idx="51" formatCode="_(* #,##0.00_);_(* \(#,##0.00\);_(* &quot;-&quot;??_);_(@_)">
                  <c:v>13089.855450355893</c:v>
                </c:pt>
                <c:pt idx="52" formatCode="_(* #,##0.00_);_(* \(#,##0.00\);_(* &quot;-&quot;??_);_(@_)">
                  <c:v>13384.097085235342</c:v>
                </c:pt>
                <c:pt idx="53" formatCode="_(* #,##0.00_);_(* \(#,##0.00\);_(* &quot;-&quot;??_);_(@_)">
                  <c:v>13780.345103942696</c:v>
                </c:pt>
                <c:pt idx="54" formatCode="_(* #,##0.00_);_(* \(#,##0.00\);_(* &quot;-&quot;??_);_(@_)">
                  <c:v>14201.792440240484</c:v>
                </c:pt>
              </c:numCache>
            </c:numRef>
          </c:val>
          <c:smooth val="0"/>
          <c:extLst>
            <c:ext xmlns:c16="http://schemas.microsoft.com/office/drawing/2014/chart" uri="{C3380CC4-5D6E-409C-BE32-E72D297353CC}">
              <c16:uniqueId val="{00000001-8291-4FD8-BA2C-3A115FDC1D31}"/>
            </c:ext>
          </c:extLst>
        </c:ser>
        <c:ser>
          <c:idx val="2"/>
          <c:order val="2"/>
          <c:tx>
            <c:strRef>
              <c:f>NSR!$D$1</c:f>
              <c:strCache>
                <c:ptCount val="1"/>
                <c:pt idx="0">
                  <c:v>Lower Confidence Bound</c:v>
                </c:pt>
              </c:strCache>
            </c:strRef>
          </c:tx>
          <c:spPr>
            <a:ln w="12700" cap="rnd">
              <a:solidFill>
                <a:srgbClr val="ED7D31"/>
              </a:solidFill>
              <a:prstDash val="solid"/>
              <a:round/>
            </a:ln>
            <a:effectLst/>
          </c:spPr>
          <c:marker>
            <c:symbol val="none"/>
          </c:marker>
          <c:cat>
            <c:numRef>
              <c:f>NSR!$A$2:$A$56</c:f>
              <c:numCache>
                <c:formatCode>General</c:formatCode>
                <c:ptCount val="55"/>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pt idx="15">
                  <c:v>2026</c:v>
                </c:pt>
                <c:pt idx="16">
                  <c:v>2027</c:v>
                </c:pt>
                <c:pt idx="17">
                  <c:v>2028</c:v>
                </c:pt>
                <c:pt idx="18">
                  <c:v>2029</c:v>
                </c:pt>
                <c:pt idx="19">
                  <c:v>2030</c:v>
                </c:pt>
                <c:pt idx="20">
                  <c:v>2031</c:v>
                </c:pt>
                <c:pt idx="21">
                  <c:v>2032</c:v>
                </c:pt>
                <c:pt idx="22">
                  <c:v>2033</c:v>
                </c:pt>
                <c:pt idx="23">
                  <c:v>2034</c:v>
                </c:pt>
                <c:pt idx="24">
                  <c:v>2035</c:v>
                </c:pt>
                <c:pt idx="25">
                  <c:v>2036</c:v>
                </c:pt>
                <c:pt idx="26">
                  <c:v>2037</c:v>
                </c:pt>
                <c:pt idx="27">
                  <c:v>2038</c:v>
                </c:pt>
                <c:pt idx="28">
                  <c:v>2039</c:v>
                </c:pt>
                <c:pt idx="29">
                  <c:v>2040</c:v>
                </c:pt>
                <c:pt idx="30">
                  <c:v>2041</c:v>
                </c:pt>
                <c:pt idx="31">
                  <c:v>2042</c:v>
                </c:pt>
                <c:pt idx="32">
                  <c:v>2043</c:v>
                </c:pt>
                <c:pt idx="33">
                  <c:v>2044</c:v>
                </c:pt>
                <c:pt idx="34">
                  <c:v>2045</c:v>
                </c:pt>
                <c:pt idx="35">
                  <c:v>2046</c:v>
                </c:pt>
                <c:pt idx="36">
                  <c:v>2047</c:v>
                </c:pt>
                <c:pt idx="37">
                  <c:v>2048</c:v>
                </c:pt>
                <c:pt idx="38">
                  <c:v>2049</c:v>
                </c:pt>
                <c:pt idx="39">
                  <c:v>2050</c:v>
                </c:pt>
                <c:pt idx="40">
                  <c:v>2051</c:v>
                </c:pt>
                <c:pt idx="41">
                  <c:v>2052</c:v>
                </c:pt>
                <c:pt idx="42">
                  <c:v>2053</c:v>
                </c:pt>
                <c:pt idx="43">
                  <c:v>2054</c:v>
                </c:pt>
                <c:pt idx="44">
                  <c:v>2055</c:v>
                </c:pt>
                <c:pt idx="45">
                  <c:v>2056</c:v>
                </c:pt>
                <c:pt idx="46">
                  <c:v>2057</c:v>
                </c:pt>
                <c:pt idx="47">
                  <c:v>2058</c:v>
                </c:pt>
                <c:pt idx="48">
                  <c:v>2059</c:v>
                </c:pt>
                <c:pt idx="49">
                  <c:v>2060</c:v>
                </c:pt>
                <c:pt idx="50">
                  <c:v>2061</c:v>
                </c:pt>
                <c:pt idx="51">
                  <c:v>2062</c:v>
                </c:pt>
                <c:pt idx="52">
                  <c:v>2063</c:v>
                </c:pt>
                <c:pt idx="53">
                  <c:v>2064</c:v>
                </c:pt>
                <c:pt idx="54">
                  <c:v>2065</c:v>
                </c:pt>
              </c:numCache>
            </c:numRef>
          </c:cat>
          <c:val>
            <c:numRef>
              <c:f>NSR!$D$2:$D$56</c:f>
              <c:numCache>
                <c:formatCode>General</c:formatCode>
                <c:ptCount val="55"/>
                <c:pt idx="19" formatCode="_(* #,##0.00_);_(* \(#,##0.00\);_(* &quot;-&quot;??_);_(@_)">
                  <c:v>1325</c:v>
                </c:pt>
                <c:pt idx="20" formatCode="_(* #,##0.00_);_(* \(#,##0.00\);_(* &quot;-&quot;??_);_(@_)">
                  <c:v>1469.4711650333506</c:v>
                </c:pt>
                <c:pt idx="21" formatCode="_(* #,##0.00_);_(* \(#,##0.00\);_(* &quot;-&quot;??_);_(@_)">
                  <c:v>1707.413323384661</c:v>
                </c:pt>
                <c:pt idx="22" formatCode="_(* #,##0.00_);_(* \(#,##0.00\);_(* &quot;-&quot;??_);_(@_)">
                  <c:v>1929.1236638836413</c:v>
                </c:pt>
                <c:pt idx="23" formatCode="_(* #,##0.00_);_(* \(#,##0.00\);_(* &quot;-&quot;??_);_(@_)">
                  <c:v>2055.7039945361539</c:v>
                </c:pt>
                <c:pt idx="24" formatCode="_(* #,##0.00_);_(* \(#,##0.00\);_(* &quot;-&quot;??_);_(@_)">
                  <c:v>2079.8859298003608</c:v>
                </c:pt>
                <c:pt idx="25" formatCode="_(* #,##0.00_);_(* \(#,##0.00\);_(* &quot;-&quot;??_);_(@_)">
                  <c:v>2193.2549671855254</c:v>
                </c:pt>
                <c:pt idx="26" formatCode="_(* #,##0.00_);_(* \(#,##0.00\);_(* &quot;-&quot;??_);_(@_)">
                  <c:v>2308.1640252806501</c:v>
                </c:pt>
                <c:pt idx="27" formatCode="_(* #,##0.00_);_(* \(#,##0.00\);_(* &quot;-&quot;??_);_(@_)">
                  <c:v>2338.5626877742743</c:v>
                </c:pt>
                <c:pt idx="28" formatCode="_(* #,##0.00_);_(* \(#,##0.00\);_(* &quot;-&quot;??_);_(@_)">
                  <c:v>2276.3120332480876</c:v>
                </c:pt>
                <c:pt idx="29" formatCode="_(* #,##0.00_);_(* \(#,##0.00\);_(* &quot;-&quot;??_);_(@_)">
                  <c:v>2305.9712436639315</c:v>
                </c:pt>
                <c:pt idx="30" formatCode="_(* #,##0.00_);_(* \(#,##0.00\);_(* &quot;-&quot;??_);_(@_)">
                  <c:v>2342.4801575979222</c:v>
                </c:pt>
                <c:pt idx="31" formatCode="_(* #,##0.00_);_(* \(#,##0.00\);_(* &quot;-&quot;??_);_(@_)">
                  <c:v>2298.7873518263477</c:v>
                </c:pt>
                <c:pt idx="32" formatCode="_(* #,##0.00_);_(* \(#,##0.00\);_(* &quot;-&quot;??_);_(@_)">
                  <c:v>2167.2325749912129</c:v>
                </c:pt>
                <c:pt idx="33" formatCode="_(* #,##0.00_);_(* \(#,##0.00\);_(* &quot;-&quot;??_);_(@_)">
                  <c:v>2129.0971097351812</c:v>
                </c:pt>
                <c:pt idx="34" formatCode="_(* #,##0.00_);_(* \(#,##0.00\);_(* &quot;-&quot;??_);_(@_)">
                  <c:v>2100.6398887615333</c:v>
                </c:pt>
                <c:pt idx="35" formatCode="_(* #,##0.00_);_(* \(#,##0.00\);_(* &quot;-&quot;??_);_(@_)">
                  <c:v>1994.4557740197151</c:v>
                </c:pt>
                <c:pt idx="36" formatCode="_(* #,##0.00_);_(* \(#,##0.00\);_(* &quot;-&quot;??_);_(@_)">
                  <c:v>1803.375494998284</c:v>
                </c:pt>
                <c:pt idx="37" formatCode="_(* #,##0.00_);_(* \(#,##0.00\);_(* &quot;-&quot;??_);_(@_)">
                  <c:v>1706.7033748278154</c:v>
                </c:pt>
                <c:pt idx="38" formatCode="_(* #,##0.00_);_(* \(#,##0.00\);_(* &quot;-&quot;??_);_(@_)">
                  <c:v>1621.5350551411157</c:v>
                </c:pt>
                <c:pt idx="39" formatCode="_(* #,##0.00_);_(* \(#,##0.00\);_(* &quot;-&quot;??_);_(@_)">
                  <c:v>1460.2942956930046</c:v>
                </c:pt>
                <c:pt idx="40" formatCode="_(* #,##0.00_);_(* \(#,##0.00\);_(* &quot;-&quot;??_);_(@_)">
                  <c:v>1216.2233241513504</c:v>
                </c:pt>
                <c:pt idx="41" formatCode="_(* #,##0.00_);_(* \(#,##0.00\);_(* &quot;-&quot;??_);_(@_)">
                  <c:v>1067.2718247861103</c:v>
                </c:pt>
                <c:pt idx="42" formatCode="_(* #,##0.00_);_(* \(#,##0.00\);_(* &quot;-&quot;??_);_(@_)">
                  <c:v>931.12712561214539</c:v>
                </c:pt>
                <c:pt idx="43" formatCode="_(* #,##0.00_);_(* \(#,##0.00\);_(* &quot;-&quot;??_);_(@_)">
                  <c:v>720.11528712813015</c:v>
                </c:pt>
                <c:pt idx="44" formatCode="_(* #,##0.00_);_(* \(#,##0.00\);_(* &quot;-&quot;??_);_(@_)">
                  <c:v>427.81795367430641</c:v>
                </c:pt>
                <c:pt idx="45" formatCode="_(* #,##0.00_);_(* \(#,##0.00\);_(* &quot;-&quot;??_);_(@_)">
                  <c:v>231.18318063226252</c:v>
                </c:pt>
                <c:pt idx="46" formatCode="_(* #,##0.00_);_(* \(#,##0.00\);_(* &quot;-&quot;??_);_(@_)">
                  <c:v>48.345306435510793</c:v>
                </c:pt>
                <c:pt idx="47" formatCode="_(* #,##0.00_);_(* \(#,##0.00\);_(* &quot;-&quot;??_);_(@_)">
                  <c:v>-208.43147947520629</c:v>
                </c:pt>
                <c:pt idx="48" formatCode="_(* #,##0.00_);_(* \(#,##0.00\);_(* &quot;-&quot;??_);_(@_)">
                  <c:v>-545.28259944139791</c:v>
                </c:pt>
                <c:pt idx="49" formatCode="_(* #,##0.00_);_(* \(#,##0.00\);_(* &quot;-&quot;??_);_(@_)">
                  <c:v>-786.03903304677078</c:v>
                </c:pt>
                <c:pt idx="50" formatCode="_(* #,##0.00_);_(* \(#,##0.00\);_(* &quot;-&quot;??_);_(@_)">
                  <c:v>-1012.213302822498</c:v>
                </c:pt>
                <c:pt idx="51" formatCode="_(* #,##0.00_);_(* \(#,##0.00\);_(* &quot;-&quot;??_);_(@_)">
                  <c:v>-1311.5832844267625</c:v>
                </c:pt>
                <c:pt idx="52" formatCode="_(* #,##0.00_);_(* \(#,##0.00\);_(* &quot;-&quot;??_);_(@_)">
                  <c:v>-1690.0450308590498</c:v>
                </c:pt>
                <c:pt idx="53" formatCode="_(* #,##0.00_);_(* \(#,##0.00\);_(* &quot;-&quot;??_);_(@_)">
                  <c:v>-1972.0576765331352</c:v>
                </c:pt>
                <c:pt idx="54" formatCode="_(* #,##0.00_);_(* \(#,##0.00\);_(* &quot;-&quot;??_);_(@_)">
                  <c:v>-2238.8456086091192</c:v>
                </c:pt>
              </c:numCache>
            </c:numRef>
          </c:val>
          <c:smooth val="0"/>
          <c:extLst>
            <c:ext xmlns:c16="http://schemas.microsoft.com/office/drawing/2014/chart" uri="{C3380CC4-5D6E-409C-BE32-E72D297353CC}">
              <c16:uniqueId val="{00000002-8291-4FD8-BA2C-3A115FDC1D31}"/>
            </c:ext>
          </c:extLst>
        </c:ser>
        <c:ser>
          <c:idx val="3"/>
          <c:order val="3"/>
          <c:tx>
            <c:strRef>
              <c:f>NSR!$E$1</c:f>
              <c:strCache>
                <c:ptCount val="1"/>
                <c:pt idx="0">
                  <c:v>Upper Confidence Bound</c:v>
                </c:pt>
              </c:strCache>
            </c:strRef>
          </c:tx>
          <c:spPr>
            <a:ln w="12700" cap="rnd">
              <a:solidFill>
                <a:srgbClr val="ED7D31"/>
              </a:solidFill>
              <a:prstDash val="solid"/>
              <a:round/>
            </a:ln>
            <a:effectLst/>
          </c:spPr>
          <c:marker>
            <c:symbol val="none"/>
          </c:marker>
          <c:cat>
            <c:numRef>
              <c:f>NSR!$A$2:$A$56</c:f>
              <c:numCache>
                <c:formatCode>General</c:formatCode>
                <c:ptCount val="55"/>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pt idx="15">
                  <c:v>2026</c:v>
                </c:pt>
                <c:pt idx="16">
                  <c:v>2027</c:v>
                </c:pt>
                <c:pt idx="17">
                  <c:v>2028</c:v>
                </c:pt>
                <c:pt idx="18">
                  <c:v>2029</c:v>
                </c:pt>
                <c:pt idx="19">
                  <c:v>2030</c:v>
                </c:pt>
                <c:pt idx="20">
                  <c:v>2031</c:v>
                </c:pt>
                <c:pt idx="21">
                  <c:v>2032</c:v>
                </c:pt>
                <c:pt idx="22">
                  <c:v>2033</c:v>
                </c:pt>
                <c:pt idx="23">
                  <c:v>2034</c:v>
                </c:pt>
                <c:pt idx="24">
                  <c:v>2035</c:v>
                </c:pt>
                <c:pt idx="25">
                  <c:v>2036</c:v>
                </c:pt>
                <c:pt idx="26">
                  <c:v>2037</c:v>
                </c:pt>
                <c:pt idx="27">
                  <c:v>2038</c:v>
                </c:pt>
                <c:pt idx="28">
                  <c:v>2039</c:v>
                </c:pt>
                <c:pt idx="29">
                  <c:v>2040</c:v>
                </c:pt>
                <c:pt idx="30">
                  <c:v>2041</c:v>
                </c:pt>
                <c:pt idx="31">
                  <c:v>2042</c:v>
                </c:pt>
                <c:pt idx="32">
                  <c:v>2043</c:v>
                </c:pt>
                <c:pt idx="33">
                  <c:v>2044</c:v>
                </c:pt>
                <c:pt idx="34">
                  <c:v>2045</c:v>
                </c:pt>
                <c:pt idx="35">
                  <c:v>2046</c:v>
                </c:pt>
                <c:pt idx="36">
                  <c:v>2047</c:v>
                </c:pt>
                <c:pt idx="37">
                  <c:v>2048</c:v>
                </c:pt>
                <c:pt idx="38">
                  <c:v>2049</c:v>
                </c:pt>
                <c:pt idx="39">
                  <c:v>2050</c:v>
                </c:pt>
                <c:pt idx="40">
                  <c:v>2051</c:v>
                </c:pt>
                <c:pt idx="41">
                  <c:v>2052</c:v>
                </c:pt>
                <c:pt idx="42">
                  <c:v>2053</c:v>
                </c:pt>
                <c:pt idx="43">
                  <c:v>2054</c:v>
                </c:pt>
                <c:pt idx="44">
                  <c:v>2055</c:v>
                </c:pt>
                <c:pt idx="45">
                  <c:v>2056</c:v>
                </c:pt>
                <c:pt idx="46">
                  <c:v>2057</c:v>
                </c:pt>
                <c:pt idx="47">
                  <c:v>2058</c:v>
                </c:pt>
                <c:pt idx="48">
                  <c:v>2059</c:v>
                </c:pt>
                <c:pt idx="49">
                  <c:v>2060</c:v>
                </c:pt>
                <c:pt idx="50">
                  <c:v>2061</c:v>
                </c:pt>
                <c:pt idx="51">
                  <c:v>2062</c:v>
                </c:pt>
                <c:pt idx="52">
                  <c:v>2063</c:v>
                </c:pt>
                <c:pt idx="53">
                  <c:v>2064</c:v>
                </c:pt>
                <c:pt idx="54">
                  <c:v>2065</c:v>
                </c:pt>
              </c:numCache>
            </c:numRef>
          </c:cat>
          <c:val>
            <c:numRef>
              <c:f>NSR!$E$2:$E$56</c:f>
              <c:numCache>
                <c:formatCode>General</c:formatCode>
                <c:ptCount val="55"/>
                <c:pt idx="19" formatCode="_(* #,##0.00_);_(* \(#,##0.00\);_(* &quot;-&quot;??_);_(@_)">
                  <c:v>1325</c:v>
                </c:pt>
                <c:pt idx="20" formatCode="_(* #,##0.00_);_(* \(#,##0.00\);_(* &quot;-&quot;??_);_(@_)">
                  <c:v>1768.6548586989857</c:v>
                </c:pt>
                <c:pt idx="21" formatCode="_(* #,##0.00_);_(* \(#,##0.00\);_(* &quot;-&quot;??_);_(@_)">
                  <c:v>2323.2087377623843</c:v>
                </c:pt>
                <c:pt idx="22" formatCode="_(* #,##0.00_);_(* \(#,##0.00\);_(* &quot;-&quot;??_);_(@_)">
                  <c:v>2944.3930698589816</c:v>
                </c:pt>
                <c:pt idx="23" formatCode="_(* #,##0.00_);_(* \(#,##0.00\);_(* &quot;-&quot;??_);_(@_)">
                  <c:v>3535.1972777795791</c:v>
                </c:pt>
                <c:pt idx="24" formatCode="_(* #,##0.00_);_(* \(#,##0.00\);_(* &quot;-&quot;??_);_(@_)">
                  <c:v>4099.4986122742685</c:v>
                </c:pt>
                <c:pt idx="25" formatCode="_(* #,##0.00_);_(* \(#,##0.00\);_(* &quot;-&quot;??_);_(@_)">
                  <c:v>4778.6256123038129</c:v>
                </c:pt>
                <c:pt idx="26" formatCode="_(* #,##0.00_);_(* \(#,##0.00\);_(* &quot;-&quot;??_);_(@_)">
                  <c:v>5506.6112268042662</c:v>
                </c:pt>
                <c:pt idx="27" formatCode="_(* #,##0.00_);_(* \(#,##0.00\);_(* &quot;-&quot;??_);_(@_)">
                  <c:v>6193.5971028837539</c:v>
                </c:pt>
                <c:pt idx="28" formatCode="_(* #,##0.00_);_(* \(#,##0.00\);_(* &quot;-&quot;??_);_(@_)">
                  <c:v>6844.331027168836</c:v>
                </c:pt>
                <c:pt idx="29" formatCode="_(* #,##0.00_);_(* \(#,##0.00\);_(* &quot;-&quot;??_);_(@_)">
                  <c:v>7607.1678541677011</c:v>
                </c:pt>
                <c:pt idx="30" formatCode="_(* #,##0.00_);_(* \(#,##0.00\);_(* &quot;-&quot;??_);_(@_)">
                  <c:v>8413.5536128292879</c:v>
                </c:pt>
                <c:pt idx="31" formatCode="_(* #,##0.00_);_(* \(#,##0.00\);_(* &quot;-&quot;??_);_(@_)">
                  <c:v>9174.630957173973</c:v>
                </c:pt>
                <c:pt idx="32" formatCode="_(* #,##0.00_);_(* \(#,##0.00\);_(* &quot;-&quot;??_);_(@_)">
                  <c:v>9894.6690037680037</c:v>
                </c:pt>
                <c:pt idx="33" formatCode="_(* #,##0.00_);_(* \(#,##0.00\);_(* &quot;-&quot;??_);_(@_)">
                  <c:v>10725.300506438743</c:v>
                </c:pt>
                <c:pt idx="34" formatCode="_(* #,##0.00_);_(* \(#,##0.00\);_(* &quot;-&quot;??_);_(@_)">
                  <c:v>11596.65240000797</c:v>
                </c:pt>
                <c:pt idx="35" formatCode="_(* #,##0.00_);_(* \(#,##0.00\);_(* &quot;-&quot;??_);_(@_)">
                  <c:v>12420.221053322897</c:v>
                </c:pt>
                <c:pt idx="36" formatCode="_(* #,##0.00_);_(* \(#,##0.00\);_(* &quot;-&quot;??_);_(@_)">
                  <c:v>13199.784602103224</c:v>
                </c:pt>
                <c:pt idx="37" formatCode="_(* #,##0.00_);_(* \(#,##0.00\);_(* &quot;-&quot;??_);_(@_)">
                  <c:v>14088.952759688402</c:v>
                </c:pt>
                <c:pt idx="38" formatCode="_(* #,##0.00_);_(* \(#,##0.00\);_(* &quot;-&quot;??_);_(@_)">
                  <c:v>15017.015751970679</c:v>
                </c:pt>
                <c:pt idx="39" formatCode="_(* #,##0.00_);_(* \(#,##0.00\);_(* &quot;-&quot;??_);_(@_)">
                  <c:v>15895.6410499919</c:v>
                </c:pt>
                <c:pt idx="40" formatCode="_(* #,##0.00_);_(* \(#,##0.00\);_(* &quot;-&quot;??_);_(@_)">
                  <c:v>16728.195291292457</c:v>
                </c:pt>
                <c:pt idx="41" formatCode="_(* #,##0.00_);_(* \(#,##0.00\);_(* &quot;-&quot;??_);_(@_)">
                  <c:v>17669.642828072407</c:v>
                </c:pt>
                <c:pt idx="42" formatCode="_(* #,##0.00_);_(* \(#,##0.00\);_(* &quot;-&quot;??_);_(@_)">
                  <c:v>18648.68219984194</c:v>
                </c:pt>
                <c:pt idx="43" formatCode="_(* #,##0.00_);_(* \(#,##0.00\);_(* &quot;-&quot;??_);_(@_)">
                  <c:v>19577.078576899072</c:v>
                </c:pt>
                <c:pt idx="44" formatCode="_(* #,##0.00_);_(* \(#,##0.00\);_(* &quot;-&quot;??_);_(@_)">
                  <c:v>20457.859180111795</c:v>
                </c:pt>
                <c:pt idx="45" formatCode="_(* #,##0.00_);_(* \(#,##0.00\);_(* &quot;-&quot;??_);_(@_)">
                  <c:v>21446.989990568545</c:v>
                </c:pt>
                <c:pt idx="46" formatCode="_(* #,##0.00_);_(* \(#,##0.00\);_(* &quot;-&quot;??_);_(@_)">
                  <c:v>22472.722537360874</c:v>
                </c:pt>
                <c:pt idx="47" formatCode="_(* #,##0.00_);_(* \(#,##0.00\);_(* &quot;-&quot;??_);_(@_)">
                  <c:v>23446.883861844701</c:v>
                </c:pt>
                <c:pt idx="48" formatCode="_(* #,##0.00_);_(* \(#,##0.00\);_(* &quot;-&quot;??_);_(@_)">
                  <c:v>24372.21825156979</c:v>
                </c:pt>
                <c:pt idx="49" formatCode="_(* #,##0.00_);_(* \(#,##0.00\);_(* &quot;-&quot;??_);_(@_)">
                  <c:v>25405.470722589871</c:v>
                </c:pt>
                <c:pt idx="50" formatCode="_(* #,##0.00_);_(* \(#,##0.00\);_(* &quot;-&quot;??_);_(@_)">
                  <c:v>26474.539664961172</c:v>
                </c:pt>
                <c:pt idx="51" formatCode="_(* #,##0.00_);_(* \(#,##0.00\);_(* &quot;-&quot;??_);_(@_)">
                  <c:v>27491.294185138548</c:v>
                </c:pt>
                <c:pt idx="52" formatCode="_(* #,##0.00_);_(* \(#,##0.00\);_(* &quot;-&quot;??_);_(@_)">
                  <c:v>28458.239201329736</c:v>
                </c:pt>
                <c:pt idx="53" formatCode="_(* #,##0.00_);_(* \(#,##0.00\);_(* &quot;-&quot;??_);_(@_)">
                  <c:v>29532.747884418528</c:v>
                </c:pt>
                <c:pt idx="54" formatCode="_(* #,##0.00_);_(* \(#,##0.00\);_(* &quot;-&quot;??_);_(@_)">
                  <c:v>30642.430489090089</c:v>
                </c:pt>
              </c:numCache>
            </c:numRef>
          </c:val>
          <c:smooth val="0"/>
          <c:extLst>
            <c:ext xmlns:c16="http://schemas.microsoft.com/office/drawing/2014/chart" uri="{C3380CC4-5D6E-409C-BE32-E72D297353CC}">
              <c16:uniqueId val="{00000003-8291-4FD8-BA2C-3A115FDC1D31}"/>
            </c:ext>
          </c:extLst>
        </c:ser>
        <c:dLbls>
          <c:showLegendKey val="0"/>
          <c:showVal val="0"/>
          <c:showCatName val="0"/>
          <c:showSerName val="0"/>
          <c:showPercent val="0"/>
          <c:showBubbleSize val="0"/>
        </c:dLbls>
        <c:smooth val="0"/>
        <c:axId val="633488751"/>
        <c:axId val="633487503"/>
      </c:lineChart>
      <c:catAx>
        <c:axId val="633488751"/>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487503"/>
        <c:crosses val="autoZero"/>
        <c:auto val="1"/>
        <c:lblAlgn val="ctr"/>
        <c:lblOffset val="100"/>
        <c:noMultiLvlLbl val="0"/>
      </c:catAx>
      <c:valAx>
        <c:axId val="633487503"/>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488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15240</xdr:colOff>
      <xdr:row>8</xdr:row>
      <xdr:rowOff>111034</xdr:rowOff>
    </xdr:from>
    <xdr:to>
      <xdr:col>18</xdr:col>
      <xdr:colOff>413385</xdr:colOff>
      <xdr:row>28</xdr:row>
      <xdr:rowOff>120559</xdr:rowOff>
    </xdr:to>
    <xdr:graphicFrame macro="">
      <xdr:nvGraphicFramePr>
        <xdr:cNvPr id="2" name="Chart 1">
          <a:extLst>
            <a:ext uri="{FF2B5EF4-FFF2-40B4-BE49-F238E27FC236}">
              <a16:creationId xmlns:a16="http://schemas.microsoft.com/office/drawing/2014/main" id="{B8980965-F41F-48CB-8020-1CDB091688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185058</xdr:colOff>
      <xdr:row>30</xdr:row>
      <xdr:rowOff>43544</xdr:rowOff>
    </xdr:from>
    <xdr:to>
      <xdr:col>23</xdr:col>
      <xdr:colOff>123918</xdr:colOff>
      <xdr:row>68</xdr:row>
      <xdr:rowOff>38301</xdr:rowOff>
    </xdr:to>
    <xdr:pic>
      <xdr:nvPicPr>
        <xdr:cNvPr id="3" name="Picture 2">
          <a:extLst>
            <a:ext uri="{FF2B5EF4-FFF2-40B4-BE49-F238E27FC236}">
              <a16:creationId xmlns:a16="http://schemas.microsoft.com/office/drawing/2014/main" id="{132AD8BF-A769-40D0-8A79-D69A747BA6F7}"/>
            </a:ext>
          </a:extLst>
        </xdr:cNvPr>
        <xdr:cNvPicPr>
          <a:picLocks noChangeAspect="1"/>
        </xdr:cNvPicPr>
      </xdr:nvPicPr>
      <xdr:blipFill>
        <a:blip xmlns:r="http://schemas.openxmlformats.org/officeDocument/2006/relationships" r:embed="rId2"/>
        <a:stretch>
          <a:fillRect/>
        </a:stretch>
      </xdr:blipFill>
      <xdr:spPr>
        <a:xfrm>
          <a:off x="5388429" y="5595258"/>
          <a:ext cx="10868118" cy="7026929"/>
        </a:xfrm>
        <a:prstGeom prst="rect">
          <a:avLst/>
        </a:prstGeom>
      </xdr:spPr>
    </xdr:pic>
    <xdr:clientData/>
  </xdr:twoCellAnchor>
  <xdr:twoCellAnchor editAs="oneCell">
    <xdr:from>
      <xdr:col>18</xdr:col>
      <xdr:colOff>427541</xdr:colOff>
      <xdr:row>0</xdr:row>
      <xdr:rowOff>0</xdr:rowOff>
    </xdr:from>
    <xdr:to>
      <xdr:col>24</xdr:col>
      <xdr:colOff>592470</xdr:colOff>
      <xdr:row>29</xdr:row>
      <xdr:rowOff>108857</xdr:rowOff>
    </xdr:to>
    <xdr:pic>
      <xdr:nvPicPr>
        <xdr:cNvPr id="4" name="Picture 3">
          <a:extLst>
            <a:ext uri="{FF2B5EF4-FFF2-40B4-BE49-F238E27FC236}">
              <a16:creationId xmlns:a16="http://schemas.microsoft.com/office/drawing/2014/main" id="{0A35D343-90D7-4DC0-8AA6-B4A96AD8A495}"/>
            </a:ext>
          </a:extLst>
        </xdr:cNvPr>
        <xdr:cNvPicPr>
          <a:picLocks noChangeAspect="1"/>
        </xdr:cNvPicPr>
      </xdr:nvPicPr>
      <xdr:blipFill>
        <a:blip xmlns:r="http://schemas.openxmlformats.org/officeDocument/2006/relationships" r:embed="rId3"/>
        <a:stretch>
          <a:fillRect/>
        </a:stretch>
      </xdr:blipFill>
      <xdr:spPr>
        <a:xfrm>
          <a:off x="13512170" y="0"/>
          <a:ext cx="3822529" cy="54755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114300</xdr:colOff>
      <xdr:row>0</xdr:row>
      <xdr:rowOff>121920</xdr:rowOff>
    </xdr:from>
    <xdr:to>
      <xdr:col>15</xdr:col>
      <xdr:colOff>43815</xdr:colOff>
      <xdr:row>17</xdr:row>
      <xdr:rowOff>9525</xdr:rowOff>
    </xdr:to>
    <xdr:graphicFrame macro="">
      <xdr:nvGraphicFramePr>
        <xdr:cNvPr id="2" name="Chart 1">
          <a:extLst>
            <a:ext uri="{FF2B5EF4-FFF2-40B4-BE49-F238E27FC236}">
              <a16:creationId xmlns:a16="http://schemas.microsoft.com/office/drawing/2014/main" id="{35D11B30-674A-4E20-B701-58B368945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4657696-9FAE-46B3-960B-7325314565B9}" name="Table4" displayName="Table4" ref="A1:E63" totalsRowShown="0">
  <autoFilter ref="A1:E63" xr:uid="{C4657696-9FAE-46B3-960B-7325314565B9}"/>
  <tableColumns count="5">
    <tableColumn id="1" xr3:uid="{6C80496B-2704-472F-8C31-E99AD48FE3B4}" name="Timeline"/>
    <tableColumn id="2" xr3:uid="{E9709EF5-3D47-42B9-A7F4-0C3FEB456440}" name="Values"/>
    <tableColumn id="3" xr3:uid="{268F27A6-108D-4676-A1C3-92B352DF199F}" name="Forecast">
      <calculatedColumnFormula>_xlfn.FORECAST.ETS(A2,$B$2:$B$19,$A$2:$A$19,1,1)</calculatedColumnFormula>
    </tableColumn>
    <tableColumn id="4" xr3:uid="{C5644217-00D5-4A0D-9410-DA07F9CB0C52}" name="Lower Confidence Bound" dataDxfId="5">
      <calculatedColumnFormula>C2-_xlfn.FORECAST.ETS.CONFINT(A2,$B$2:$B$19,$A$2:$A$19,0.95,1,1)</calculatedColumnFormula>
    </tableColumn>
    <tableColumn id="5" xr3:uid="{18C8E0F0-68A7-4A40-9F85-85DD623BDB55}" name="Upper Confidence Bound" dataDxfId="4">
      <calculatedColumnFormula>C2+_xlfn.FORECAST.ETS.CONFINT(A2,$B$2:$B$19,$A$2:$A$19,0.95,1,1)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A2C734-9150-4B36-91C0-AF9B5CC1486B}" name="Table5" displayName="Table5" ref="G1:H8" totalsRowShown="0">
  <autoFilter ref="G1:H8" xr:uid="{07A2C734-9150-4B36-91C0-AF9B5CC1486B}"/>
  <tableColumns count="2">
    <tableColumn id="1" xr3:uid="{8A047862-9842-4E60-AA4F-92C2A13FA5CD}" name="Statistic"/>
    <tableColumn id="2" xr3:uid="{6E714582-104E-4000-865B-7748AD1E814A}" name="Value"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396978C-0EDD-4F4F-BFFC-AF09E376AE8E}" name="Table6" displayName="Table6" ref="A1:E56" totalsRowShown="0">
  <autoFilter ref="A1:E56" xr:uid="{C396978C-0EDD-4F4F-BFFC-AF09E376AE8E}"/>
  <tableColumns count="5">
    <tableColumn id="1" xr3:uid="{F32BE008-5887-4E23-BAB8-8E3A84BDEFF3}" name="Timeline"/>
    <tableColumn id="2" xr3:uid="{723D28D4-1770-47C2-9933-76C9AA4E1AF3}" name="Values"/>
    <tableColumn id="3" xr3:uid="{4F81CF9D-F89C-4EC9-ACA3-ADB11B0BF83D}" name="Forecast" dataDxfId="2">
      <calculatedColumnFormula>_xlfn.FORECAST.ETS(A2,$B$2:$B$21,$A$2:$A$21,4,1)</calculatedColumnFormula>
    </tableColumn>
    <tableColumn id="4" xr3:uid="{5C1521E0-0E6B-4C76-99C2-B4F4ED5DF95F}" name="Lower Confidence Bound" dataDxfId="1">
      <calculatedColumnFormula>C2-_xlfn.FORECAST.ETS.CONFINT(A2,$B$2:$B$21,$A$2:$A$21,0.95,4,1)</calculatedColumnFormula>
    </tableColumn>
    <tableColumn id="5" xr3:uid="{C925E7D9-4BFD-410A-85D8-D87A5B6A76D1}" name="Upper Confidence Bound" dataDxfId="0">
      <calculatedColumnFormula>C2+_xlfn.FORECAST.ETS.CONFINT(A2,$B$2:$B$21,$A$2:$A$21,0.95,4,1)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Basis">
  <a:themeElements>
    <a:clrScheme name="Basis">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hyperlink" Target="https://app.powerbi.com/view?r=eyJrIjoiOGJiNGU4NGEtNjI0Yi00M2Y2LTlhYWUtMWU5NDQ1ZjU5M2FkIiwidCI6ImNmZGM5ZTVjLTI2NzctNGZjNS1hYjIxLTRiNjY5MjE2OWVmYSIsImMiOjh9" TargetMode="External"/><Relationship Id="rId7" Type="http://schemas.openxmlformats.org/officeDocument/2006/relationships/vmlDrawing" Target="../drawings/vmlDrawing6.vml"/><Relationship Id="rId2" Type="http://schemas.openxmlformats.org/officeDocument/2006/relationships/hyperlink" Target="https://arctic-lio.com/analysys-of-shipping-traffic-in-the-nsr-waters-in-2020/" TargetMode="External"/><Relationship Id="rId1" Type="http://schemas.openxmlformats.org/officeDocument/2006/relationships/hyperlink" Target="https://app.powerbi.com/view?r=eyJrIjoiMTI1NmE0MmQtMThkMS00MmI0LTllMjYtYWFhOTc3NmY1ZjdlIiwidCI6ImNmZGM5ZTVjLTI2NzctNGZjNS1hYjIxLTRiNjY5MjE2OWVmYSIsImMiOjh9" TargetMode="External"/><Relationship Id="rId6" Type="http://schemas.openxmlformats.org/officeDocument/2006/relationships/printerSettings" Target="../printerSettings/printerSettings3.bin"/><Relationship Id="rId5" Type="http://schemas.openxmlformats.org/officeDocument/2006/relationships/hyperlink" Target="https://app.powerbi.com/view?r=eyJrIjoiMTI1NmE0MmQtMThkMS00MmI0LTllMjYtYWFhOTc3NmY1ZjdlIiwidCI6ImNmZGM5ZTVjLTI2NzctNGZjNS1hYjIxLTRiNjY5MjE2OWVmYSIsImMiOjh9" TargetMode="External"/><Relationship Id="rId4" Type="http://schemas.openxmlformats.org/officeDocument/2006/relationships/hyperlink" Target="https://app.powerbi.com/view?r=eyJrIjoiMTI1NmE0MmQtMThkMS00MmI0LTllMjYtYWFhOTc3NmY1ZjdlIiwidCI6ImNmZGM5ZTVjLTI2NzctNGZjNS1hYjIxLTRiNjY5MjE2OWVmYSIsImMiOjh9"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82BC0-8244-4639-B6D8-5FF028664FA2}">
  <dimension ref="A1:P41"/>
  <sheetViews>
    <sheetView tabSelected="1" zoomScale="55" zoomScaleNormal="55" workbookViewId="0">
      <pane xSplit="2" ySplit="1" topLeftCell="C2" activePane="bottomRight" state="frozen"/>
      <selection pane="topRight" activeCell="B1" sqref="B1"/>
      <selection pane="bottomLeft" activeCell="A2" sqref="A2"/>
      <selection pane="bottomRight" activeCell="B1" sqref="B1"/>
    </sheetView>
  </sheetViews>
  <sheetFormatPr defaultRowHeight="15" x14ac:dyDescent="0.25"/>
  <cols>
    <col min="1" max="1" width="12.109375" style="55" customWidth="1"/>
    <col min="2" max="2" width="15.21875" style="57" customWidth="1"/>
    <col min="3" max="3" width="18.5546875" style="58" customWidth="1"/>
    <col min="4" max="5" width="17.5546875" style="58" customWidth="1"/>
    <col min="6" max="6" width="14.109375" style="56" customWidth="1"/>
    <col min="7" max="7" width="18.6640625" style="56" customWidth="1"/>
    <col min="8" max="8" width="17.44140625" style="56" customWidth="1"/>
    <col min="9" max="9" width="18.6640625" style="56" customWidth="1"/>
    <col min="10" max="10" width="17.44140625" style="56" customWidth="1"/>
    <col min="11" max="11" width="18.5546875" style="56" customWidth="1"/>
    <col min="12" max="12" width="18.5546875" style="55" customWidth="1"/>
    <col min="13" max="14" width="18.6640625" style="56" customWidth="1"/>
    <col min="15" max="15" width="17.44140625" style="56" customWidth="1"/>
    <col min="16" max="16" width="19.6640625" style="56" customWidth="1"/>
    <col min="17" max="18" width="15.44140625" style="55" customWidth="1"/>
    <col min="19" max="58" width="15.44140625" style="55" bestFit="1" customWidth="1"/>
    <col min="59" max="78" width="10.44140625" style="55" bestFit="1" customWidth="1"/>
    <col min="79" max="82" width="15.44140625" style="55" bestFit="1" customWidth="1"/>
    <col min="83" max="16384" width="8.88671875" style="55"/>
  </cols>
  <sheetData>
    <row r="1" spans="1:16" s="59" customFormat="1" ht="126" customHeight="1" x14ac:dyDescent="0.3">
      <c r="A1" s="78" t="str">
        <f>"Internal Rate Of Return: "&amp;TEXT(IRR(P2:P41), "0.0%")</f>
        <v>Internal Rate Of Return: 1.6%</v>
      </c>
      <c r="B1" s="79" t="s">
        <v>97</v>
      </c>
      <c r="C1" s="80" t="s">
        <v>35</v>
      </c>
      <c r="D1" s="80" t="s">
        <v>96</v>
      </c>
      <c r="E1" s="79" t="s">
        <v>95</v>
      </c>
      <c r="F1" s="81" t="s">
        <v>94</v>
      </c>
      <c r="G1" s="81" t="s">
        <v>93</v>
      </c>
      <c r="H1" s="81" t="s">
        <v>98</v>
      </c>
      <c r="I1" s="81" t="s">
        <v>19</v>
      </c>
      <c r="J1" s="81" t="s">
        <v>22</v>
      </c>
      <c r="K1" s="81" t="s">
        <v>99</v>
      </c>
      <c r="L1" s="80" t="s">
        <v>100</v>
      </c>
      <c r="M1" s="81" t="s">
        <v>101</v>
      </c>
      <c r="N1" s="81" t="s">
        <v>92</v>
      </c>
      <c r="O1" s="81" t="s">
        <v>102</v>
      </c>
      <c r="P1" s="82" t="s">
        <v>24</v>
      </c>
    </row>
    <row r="2" spans="1:16" x14ac:dyDescent="0.25">
      <c r="A2" s="60" t="s">
        <v>52</v>
      </c>
      <c r="B2" s="61"/>
      <c r="C2" s="62"/>
      <c r="D2" s="62"/>
      <c r="E2" s="62"/>
      <c r="F2" s="63">
        <v>200</v>
      </c>
      <c r="G2" s="63"/>
      <c r="H2" s="63"/>
      <c r="I2" s="63"/>
      <c r="J2" s="63"/>
      <c r="K2" s="63">
        <v>2800000</v>
      </c>
      <c r="L2" s="64">
        <v>2.5770000000000001E-2</v>
      </c>
      <c r="M2" s="63">
        <f>+K2*(1+L2)</f>
        <v>2872156</v>
      </c>
      <c r="N2" s="63"/>
      <c r="O2" s="63"/>
      <c r="P2" s="65">
        <f>-M2</f>
        <v>-2872156</v>
      </c>
    </row>
    <row r="3" spans="1:16" x14ac:dyDescent="0.25">
      <c r="A3" s="60" t="s">
        <v>53</v>
      </c>
      <c r="B3" s="66"/>
      <c r="C3" s="67"/>
      <c r="D3" s="67"/>
      <c r="E3" s="67"/>
      <c r="F3" s="68">
        <f>+ROUND(F2*1.01,0)</f>
        <v>202</v>
      </c>
      <c r="G3" s="68"/>
      <c r="H3" s="68"/>
      <c r="I3" s="68"/>
      <c r="J3" s="68"/>
      <c r="K3" s="68">
        <v>2800000</v>
      </c>
      <c r="L3" s="69">
        <v>2.5770000000000001E-2</v>
      </c>
      <c r="M3" s="68">
        <f>+ROUND((M2+K3)*(1+L3),0)</f>
        <v>5818327</v>
      </c>
      <c r="N3" s="68"/>
      <c r="O3" s="68"/>
      <c r="P3" s="70">
        <f t="shared" ref="P3:P13" si="0">-M3</f>
        <v>-5818327</v>
      </c>
    </row>
    <row r="4" spans="1:16" x14ac:dyDescent="0.25">
      <c r="A4" s="60" t="s">
        <v>54</v>
      </c>
      <c r="B4" s="66"/>
      <c r="C4" s="67"/>
      <c r="D4" s="67"/>
      <c r="E4" s="67"/>
      <c r="F4" s="68">
        <f t="shared" ref="F4:F41" si="1">+ROUND(F3*1.01,0)</f>
        <v>204</v>
      </c>
      <c r="G4" s="68"/>
      <c r="H4" s="68"/>
      <c r="I4" s="68"/>
      <c r="J4" s="68"/>
      <c r="K4" s="68">
        <v>2800000</v>
      </c>
      <c r="L4" s="69">
        <v>2.5770000000000001E-2</v>
      </c>
      <c r="M4" s="68">
        <f t="shared" ref="M4:M11" si="2">+ROUND((M3+K4)*(1+L4),0)</f>
        <v>8840421</v>
      </c>
      <c r="N4" s="68"/>
      <c r="O4" s="68"/>
      <c r="P4" s="70">
        <f t="shared" si="0"/>
        <v>-8840421</v>
      </c>
    </row>
    <row r="5" spans="1:16" x14ac:dyDescent="0.25">
      <c r="A5" s="60" t="s">
        <v>55</v>
      </c>
      <c r="B5" s="66"/>
      <c r="C5" s="67"/>
      <c r="D5" s="67"/>
      <c r="E5" s="67"/>
      <c r="F5" s="68">
        <f t="shared" si="1"/>
        <v>206</v>
      </c>
      <c r="G5" s="68"/>
      <c r="H5" s="68"/>
      <c r="I5" s="68"/>
      <c r="J5" s="68"/>
      <c r="K5" s="68">
        <v>2800000</v>
      </c>
      <c r="L5" s="69">
        <v>2.5770000000000001E-2</v>
      </c>
      <c r="M5" s="68">
        <f t="shared" si="2"/>
        <v>11940395</v>
      </c>
      <c r="N5" s="68"/>
      <c r="O5" s="68"/>
      <c r="P5" s="70">
        <f t="shared" si="0"/>
        <v>-11940395</v>
      </c>
    </row>
    <row r="6" spans="1:16" x14ac:dyDescent="0.25">
      <c r="A6" s="60" t="s">
        <v>56</v>
      </c>
      <c r="B6" s="66"/>
      <c r="C6" s="67"/>
      <c r="D6" s="67"/>
      <c r="E6" s="67"/>
      <c r="F6" s="68">
        <f t="shared" si="1"/>
        <v>208</v>
      </c>
      <c r="G6" s="68"/>
      <c r="H6" s="68"/>
      <c r="I6" s="68"/>
      <c r="J6" s="68"/>
      <c r="K6" s="68">
        <v>2800000</v>
      </c>
      <c r="L6" s="69">
        <v>2.5770000000000001E-2</v>
      </c>
      <c r="M6" s="68">
        <f t="shared" si="2"/>
        <v>15120255</v>
      </c>
      <c r="N6" s="68"/>
      <c r="O6" s="68"/>
      <c r="P6" s="70">
        <f t="shared" si="0"/>
        <v>-15120255</v>
      </c>
    </row>
    <row r="7" spans="1:16" x14ac:dyDescent="0.25">
      <c r="A7" s="60" t="s">
        <v>57</v>
      </c>
      <c r="B7" s="66"/>
      <c r="C7" s="67"/>
      <c r="D7" s="67"/>
      <c r="E7" s="67"/>
      <c r="F7" s="68">
        <f t="shared" si="1"/>
        <v>210</v>
      </c>
      <c r="G7" s="68"/>
      <c r="H7" s="68"/>
      <c r="I7" s="68"/>
      <c r="J7" s="68"/>
      <c r="K7" s="68">
        <v>2800000</v>
      </c>
      <c r="L7" s="69">
        <v>2.5770000000000001E-2</v>
      </c>
      <c r="M7" s="68">
        <f t="shared" si="2"/>
        <v>18382060</v>
      </c>
      <c r="N7" s="68"/>
      <c r="O7" s="68"/>
      <c r="P7" s="70">
        <f t="shared" si="0"/>
        <v>-18382060</v>
      </c>
    </row>
    <row r="8" spans="1:16" x14ac:dyDescent="0.25">
      <c r="A8" s="60" t="s">
        <v>58</v>
      </c>
      <c r="B8" s="66"/>
      <c r="C8" s="67"/>
      <c r="D8" s="67"/>
      <c r="E8" s="67"/>
      <c r="F8" s="68">
        <f t="shared" si="1"/>
        <v>212</v>
      </c>
      <c r="G8" s="68"/>
      <c r="H8" s="68"/>
      <c r="I8" s="68"/>
      <c r="J8" s="68"/>
      <c r="K8" s="68">
        <v>2800000</v>
      </c>
      <c r="L8" s="69">
        <v>2.5770000000000001E-2</v>
      </c>
      <c r="M8" s="68">
        <f t="shared" si="2"/>
        <v>21727922</v>
      </c>
      <c r="N8" s="68"/>
      <c r="O8" s="68"/>
      <c r="P8" s="70">
        <f t="shared" si="0"/>
        <v>-21727922</v>
      </c>
    </row>
    <row r="9" spans="1:16" x14ac:dyDescent="0.25">
      <c r="A9" s="60" t="s">
        <v>59</v>
      </c>
      <c r="B9" s="66"/>
      <c r="C9" s="67"/>
      <c r="D9" s="67"/>
      <c r="E9" s="67"/>
      <c r="F9" s="68">
        <f t="shared" si="1"/>
        <v>214</v>
      </c>
      <c r="G9" s="68"/>
      <c r="H9" s="68"/>
      <c r="I9" s="68"/>
      <c r="J9" s="68"/>
      <c r="K9" s="68">
        <v>2800000</v>
      </c>
      <c r="L9" s="69">
        <v>2.5770000000000001E-2</v>
      </c>
      <c r="M9" s="68">
        <f t="shared" si="2"/>
        <v>25160007</v>
      </c>
      <c r="N9" s="68"/>
      <c r="O9" s="68"/>
      <c r="P9" s="70">
        <f t="shared" si="0"/>
        <v>-25160007</v>
      </c>
    </row>
    <row r="10" spans="1:16" x14ac:dyDescent="0.25">
      <c r="A10" s="60" t="s">
        <v>60</v>
      </c>
      <c r="B10" s="66"/>
      <c r="C10" s="67"/>
      <c r="D10" s="67"/>
      <c r="E10" s="67"/>
      <c r="F10" s="68">
        <f t="shared" si="1"/>
        <v>216</v>
      </c>
      <c r="G10" s="68"/>
      <c r="H10" s="68"/>
      <c r="I10" s="68"/>
      <c r="J10" s="68"/>
      <c r="K10" s="68">
        <v>2800000</v>
      </c>
      <c r="L10" s="69">
        <v>2.5770000000000001E-2</v>
      </c>
      <c r="M10" s="68">
        <f t="shared" si="2"/>
        <v>28680536</v>
      </c>
      <c r="N10" s="68"/>
      <c r="O10" s="68"/>
      <c r="P10" s="70">
        <f t="shared" si="0"/>
        <v>-28680536</v>
      </c>
    </row>
    <row r="11" spans="1:16" x14ac:dyDescent="0.25">
      <c r="A11" s="60" t="s">
        <v>61</v>
      </c>
      <c r="B11" s="66"/>
      <c r="C11" s="67"/>
      <c r="D11" s="67"/>
      <c r="E11" s="67"/>
      <c r="F11" s="68">
        <f t="shared" si="1"/>
        <v>218</v>
      </c>
      <c r="G11" s="68"/>
      <c r="H11" s="68"/>
      <c r="I11" s="68"/>
      <c r="J11" s="68"/>
      <c r="K11" s="68">
        <v>2800000</v>
      </c>
      <c r="L11" s="69">
        <v>2.5770000000000001E-2</v>
      </c>
      <c r="M11" s="68">
        <f t="shared" si="2"/>
        <v>32291789</v>
      </c>
      <c r="N11" s="68"/>
      <c r="O11" s="68"/>
      <c r="P11" s="70">
        <f t="shared" si="0"/>
        <v>-32291789</v>
      </c>
    </row>
    <row r="12" spans="1:16" x14ac:dyDescent="0.25">
      <c r="A12" s="60" t="s">
        <v>62</v>
      </c>
      <c r="B12" s="66">
        <f>+ROUND(Malacca!C33,0)</f>
        <v>107497</v>
      </c>
      <c r="C12" s="71">
        <f>+ROUND(NSR!C22,0)</f>
        <v>1619</v>
      </c>
      <c r="D12" s="71">
        <f>+B12-C12</f>
        <v>105878</v>
      </c>
      <c r="E12" s="71">
        <f>+ROUND(D12*0.5,0)</f>
        <v>52939</v>
      </c>
      <c r="F12" s="68">
        <f t="shared" si="1"/>
        <v>220</v>
      </c>
      <c r="G12" s="68">
        <f>+E12*F12</f>
        <v>11646580</v>
      </c>
      <c r="H12" s="68">
        <f>+ROUND(G12*0.2,0)</f>
        <v>2329316</v>
      </c>
      <c r="I12" s="68">
        <f>+G12-H12</f>
        <v>9317264</v>
      </c>
      <c r="J12" s="68">
        <f>+I12</f>
        <v>9317264</v>
      </c>
      <c r="K12" s="68"/>
      <c r="L12" s="72"/>
      <c r="M12" s="68">
        <f>IF(+ROUND((M11-J12)*(1+$L$11),0)&gt;=0,+ROUND((M11-J12)*(1+$L$11),0),0)</f>
        <v>23566579</v>
      </c>
      <c r="N12" s="68">
        <f>+IF(I12-M12&gt;0,I12-M12,0)</f>
        <v>0</v>
      </c>
      <c r="O12" s="68">
        <f>+ROUND(N12*0.2,0)</f>
        <v>0</v>
      </c>
      <c r="P12" s="70">
        <f t="shared" si="0"/>
        <v>-23566579</v>
      </c>
    </row>
    <row r="13" spans="1:16" x14ac:dyDescent="0.25">
      <c r="A13" s="60" t="s">
        <v>63</v>
      </c>
      <c r="B13" s="66">
        <f>+ROUND(Malacca!C34,0)</f>
        <v>109131</v>
      </c>
      <c r="C13" s="71">
        <f>+ROUND(NSR!C23,0)</f>
        <v>2015</v>
      </c>
      <c r="D13" s="71">
        <f t="shared" ref="D13:D41" si="3">+B13-C13</f>
        <v>107116</v>
      </c>
      <c r="E13" s="71">
        <f t="shared" ref="E13:E41" si="4">+ROUND(D13*0.5,0)</f>
        <v>53558</v>
      </c>
      <c r="F13" s="68">
        <f t="shared" si="1"/>
        <v>222</v>
      </c>
      <c r="G13" s="68">
        <f t="shared" ref="G13:G41" si="5">+E13*F13</f>
        <v>11889876</v>
      </c>
      <c r="H13" s="68">
        <f t="shared" ref="H13:H41" si="6">+ROUND(G13*0.2,0)</f>
        <v>2377975</v>
      </c>
      <c r="I13" s="68">
        <f t="shared" ref="I13:I41" si="7">+G13-H13</f>
        <v>9511901</v>
      </c>
      <c r="J13" s="68">
        <f t="shared" ref="J13:J15" si="8">+I13</f>
        <v>9511901</v>
      </c>
      <c r="K13" s="68"/>
      <c r="L13" s="72"/>
      <c r="M13" s="68">
        <f t="shared" ref="M13:M15" si="9">IF(+ROUND((M12-J13)*(1+$L$11),0)&gt;=0,+ROUND((M12-J13)*(1+$L$11),0),0)</f>
        <v>14416867</v>
      </c>
      <c r="N13" s="68">
        <f t="shared" ref="N13:N40" si="10">+IF(I13-M13&gt;0,I13-M13,0)</f>
        <v>0</v>
      </c>
      <c r="O13" s="68">
        <f t="shared" ref="O13:O41" si="11">+ROUND(N13*0.2,0)</f>
        <v>0</v>
      </c>
      <c r="P13" s="70">
        <f t="shared" si="0"/>
        <v>-14416867</v>
      </c>
    </row>
    <row r="14" spans="1:16" x14ac:dyDescent="0.25">
      <c r="A14" s="60" t="s">
        <v>64</v>
      </c>
      <c r="B14" s="66">
        <f>+ROUND(Malacca!C35,0)</f>
        <v>110764</v>
      </c>
      <c r="C14" s="71">
        <f>+ROUND(NSR!C24,0)</f>
        <v>2437</v>
      </c>
      <c r="D14" s="71">
        <f t="shared" si="3"/>
        <v>108327</v>
      </c>
      <c r="E14" s="71">
        <f t="shared" si="4"/>
        <v>54164</v>
      </c>
      <c r="F14" s="68">
        <f t="shared" si="1"/>
        <v>224</v>
      </c>
      <c r="G14" s="68">
        <f t="shared" si="5"/>
        <v>12132736</v>
      </c>
      <c r="H14" s="68">
        <f t="shared" si="6"/>
        <v>2426547</v>
      </c>
      <c r="I14" s="68">
        <f t="shared" si="7"/>
        <v>9706189</v>
      </c>
      <c r="J14" s="68">
        <f t="shared" si="8"/>
        <v>9706189</v>
      </c>
      <c r="K14" s="68"/>
      <c r="L14" s="72"/>
      <c r="M14" s="68">
        <f t="shared" si="9"/>
        <v>4832072</v>
      </c>
      <c r="N14" s="68">
        <f>+IF(I14-M14&gt;0,I14-M14,0)</f>
        <v>4874117</v>
      </c>
      <c r="O14" s="68">
        <f t="shared" si="11"/>
        <v>974823</v>
      </c>
      <c r="P14" s="70">
        <f>+N14-O14</f>
        <v>3899294</v>
      </c>
    </row>
    <row r="15" spans="1:16" x14ac:dyDescent="0.25">
      <c r="A15" s="60" t="s">
        <v>65</v>
      </c>
      <c r="B15" s="66">
        <f>+ROUND(Malacca!C36,0)</f>
        <v>112398</v>
      </c>
      <c r="C15" s="71">
        <f>+ROUND(NSR!C25,0)</f>
        <v>2795</v>
      </c>
      <c r="D15" s="71">
        <f t="shared" si="3"/>
        <v>109603</v>
      </c>
      <c r="E15" s="71">
        <f t="shared" si="4"/>
        <v>54802</v>
      </c>
      <c r="F15" s="68">
        <f t="shared" si="1"/>
        <v>226</v>
      </c>
      <c r="G15" s="68">
        <f t="shared" si="5"/>
        <v>12385252</v>
      </c>
      <c r="H15" s="68">
        <f t="shared" si="6"/>
        <v>2477050</v>
      </c>
      <c r="I15" s="68">
        <f t="shared" si="7"/>
        <v>9908202</v>
      </c>
      <c r="J15" s="68">
        <f t="shared" si="8"/>
        <v>9908202</v>
      </c>
      <c r="K15" s="68"/>
      <c r="L15" s="72"/>
      <c r="M15" s="68">
        <f t="shared" si="9"/>
        <v>0</v>
      </c>
      <c r="N15" s="68">
        <f>+IF(I15-M15&gt;0,I15-M15,0)</f>
        <v>9908202</v>
      </c>
      <c r="O15" s="68">
        <f t="shared" si="11"/>
        <v>1981640</v>
      </c>
      <c r="P15" s="70">
        <f t="shared" ref="P15:P41" si="12">+N15-O15</f>
        <v>7926562</v>
      </c>
    </row>
    <row r="16" spans="1:16" x14ac:dyDescent="0.25">
      <c r="A16" s="60" t="s">
        <v>66</v>
      </c>
      <c r="B16" s="66">
        <f>+ROUND(Malacca!C37,0)</f>
        <v>114031</v>
      </c>
      <c r="C16" s="71">
        <f>+ROUND(NSR!C26,0)</f>
        <v>3090</v>
      </c>
      <c r="D16" s="71">
        <f t="shared" si="3"/>
        <v>110941</v>
      </c>
      <c r="E16" s="71">
        <f t="shared" si="4"/>
        <v>55471</v>
      </c>
      <c r="F16" s="68">
        <f t="shared" si="1"/>
        <v>228</v>
      </c>
      <c r="G16" s="68">
        <f t="shared" si="5"/>
        <v>12647388</v>
      </c>
      <c r="H16" s="68">
        <f t="shared" si="6"/>
        <v>2529478</v>
      </c>
      <c r="I16" s="68">
        <f t="shared" si="7"/>
        <v>10117910</v>
      </c>
      <c r="J16" s="68"/>
      <c r="K16" s="68"/>
      <c r="L16" s="72"/>
      <c r="M16" s="68"/>
      <c r="N16" s="68">
        <f t="shared" si="10"/>
        <v>10117910</v>
      </c>
      <c r="O16" s="68">
        <f t="shared" si="11"/>
        <v>2023582</v>
      </c>
      <c r="P16" s="70">
        <f t="shared" si="12"/>
        <v>8094328</v>
      </c>
    </row>
    <row r="17" spans="1:16" x14ac:dyDescent="0.25">
      <c r="A17" s="60" t="s">
        <v>67</v>
      </c>
      <c r="B17" s="66">
        <f>+ROUND(Malacca!C38,0)</f>
        <v>115665</v>
      </c>
      <c r="C17" s="71">
        <f>+ROUND(NSR!C27,0)</f>
        <v>3486</v>
      </c>
      <c r="D17" s="71">
        <f t="shared" si="3"/>
        <v>112179</v>
      </c>
      <c r="E17" s="71">
        <f t="shared" si="4"/>
        <v>56090</v>
      </c>
      <c r="F17" s="68">
        <f t="shared" si="1"/>
        <v>230</v>
      </c>
      <c r="G17" s="68">
        <f t="shared" si="5"/>
        <v>12900700</v>
      </c>
      <c r="H17" s="68">
        <f t="shared" si="6"/>
        <v>2580140</v>
      </c>
      <c r="I17" s="68">
        <f t="shared" si="7"/>
        <v>10320560</v>
      </c>
      <c r="J17" s="68"/>
      <c r="K17" s="68"/>
      <c r="L17" s="72"/>
      <c r="M17" s="68"/>
      <c r="N17" s="68">
        <f t="shared" si="10"/>
        <v>10320560</v>
      </c>
      <c r="O17" s="68">
        <f t="shared" si="11"/>
        <v>2064112</v>
      </c>
      <c r="P17" s="70">
        <f t="shared" si="12"/>
        <v>8256448</v>
      </c>
    </row>
    <row r="18" spans="1:16" x14ac:dyDescent="0.25">
      <c r="A18" s="60" t="s">
        <v>68</v>
      </c>
      <c r="B18" s="66">
        <f>+ROUND(Malacca!C39,0)</f>
        <v>117298</v>
      </c>
      <c r="C18" s="71">
        <f>+ROUND(NSR!C28,0)</f>
        <v>3907</v>
      </c>
      <c r="D18" s="71">
        <f t="shared" si="3"/>
        <v>113391</v>
      </c>
      <c r="E18" s="71">
        <f t="shared" si="4"/>
        <v>56696</v>
      </c>
      <c r="F18" s="68">
        <f t="shared" si="1"/>
        <v>232</v>
      </c>
      <c r="G18" s="68">
        <f t="shared" si="5"/>
        <v>13153472</v>
      </c>
      <c r="H18" s="68">
        <f t="shared" si="6"/>
        <v>2630694</v>
      </c>
      <c r="I18" s="68">
        <f t="shared" si="7"/>
        <v>10522778</v>
      </c>
      <c r="J18" s="68"/>
      <c r="K18" s="68"/>
      <c r="L18" s="72"/>
      <c r="M18" s="68"/>
      <c r="N18" s="68">
        <f t="shared" si="10"/>
        <v>10522778</v>
      </c>
      <c r="O18" s="68">
        <f t="shared" si="11"/>
        <v>2104556</v>
      </c>
      <c r="P18" s="70">
        <f t="shared" si="12"/>
        <v>8418222</v>
      </c>
    </row>
    <row r="19" spans="1:16" x14ac:dyDescent="0.25">
      <c r="A19" s="60" t="s">
        <v>69</v>
      </c>
      <c r="B19" s="66">
        <f>+ROUND(Malacca!C40,0)</f>
        <v>118932</v>
      </c>
      <c r="C19" s="71">
        <f>+ROUND(NSR!C29,0)</f>
        <v>4266</v>
      </c>
      <c r="D19" s="71">
        <f t="shared" si="3"/>
        <v>114666</v>
      </c>
      <c r="E19" s="71">
        <f t="shared" si="4"/>
        <v>57333</v>
      </c>
      <c r="F19" s="68">
        <f t="shared" si="1"/>
        <v>234</v>
      </c>
      <c r="G19" s="68">
        <f t="shared" si="5"/>
        <v>13415922</v>
      </c>
      <c r="H19" s="68">
        <f t="shared" si="6"/>
        <v>2683184</v>
      </c>
      <c r="I19" s="68">
        <f t="shared" si="7"/>
        <v>10732738</v>
      </c>
      <c r="J19" s="68"/>
      <c r="K19" s="68"/>
      <c r="L19" s="72"/>
      <c r="M19" s="68"/>
      <c r="N19" s="68">
        <f t="shared" si="10"/>
        <v>10732738</v>
      </c>
      <c r="O19" s="68">
        <f t="shared" si="11"/>
        <v>2146548</v>
      </c>
      <c r="P19" s="70">
        <f t="shared" si="12"/>
        <v>8586190</v>
      </c>
    </row>
    <row r="20" spans="1:16" x14ac:dyDescent="0.25">
      <c r="A20" s="60" t="s">
        <v>70</v>
      </c>
      <c r="B20" s="66">
        <f>+ROUND(Malacca!C41,0)</f>
        <v>120565</v>
      </c>
      <c r="C20" s="71">
        <f>+ROUND(NSR!C30,0)</f>
        <v>4560</v>
      </c>
      <c r="D20" s="71">
        <f t="shared" si="3"/>
        <v>116005</v>
      </c>
      <c r="E20" s="71">
        <f t="shared" si="4"/>
        <v>58003</v>
      </c>
      <c r="F20" s="68">
        <f t="shared" si="1"/>
        <v>236</v>
      </c>
      <c r="G20" s="68">
        <f t="shared" si="5"/>
        <v>13688708</v>
      </c>
      <c r="H20" s="68">
        <f t="shared" si="6"/>
        <v>2737742</v>
      </c>
      <c r="I20" s="68">
        <f t="shared" si="7"/>
        <v>10950966</v>
      </c>
      <c r="J20" s="68"/>
      <c r="K20" s="68"/>
      <c r="L20" s="72"/>
      <c r="M20" s="68"/>
      <c r="N20" s="68">
        <f t="shared" si="10"/>
        <v>10950966</v>
      </c>
      <c r="O20" s="68">
        <f t="shared" si="11"/>
        <v>2190193</v>
      </c>
      <c r="P20" s="70">
        <f t="shared" si="12"/>
        <v>8760773</v>
      </c>
    </row>
    <row r="21" spans="1:16" x14ac:dyDescent="0.25">
      <c r="A21" s="60" t="s">
        <v>71</v>
      </c>
      <c r="B21" s="66">
        <f>+ROUND(Malacca!C42,0)</f>
        <v>122199</v>
      </c>
      <c r="C21" s="71">
        <f>+ROUND(NSR!C31,0)</f>
        <v>4957</v>
      </c>
      <c r="D21" s="71">
        <f t="shared" si="3"/>
        <v>117242</v>
      </c>
      <c r="E21" s="71">
        <f t="shared" si="4"/>
        <v>58621</v>
      </c>
      <c r="F21" s="68">
        <f t="shared" si="1"/>
        <v>238</v>
      </c>
      <c r="G21" s="68">
        <f t="shared" si="5"/>
        <v>13951798</v>
      </c>
      <c r="H21" s="68">
        <f t="shared" si="6"/>
        <v>2790360</v>
      </c>
      <c r="I21" s="68">
        <f t="shared" si="7"/>
        <v>11161438</v>
      </c>
      <c r="J21" s="68"/>
      <c r="K21" s="68"/>
      <c r="L21" s="72"/>
      <c r="M21" s="68"/>
      <c r="N21" s="68">
        <f t="shared" si="10"/>
        <v>11161438</v>
      </c>
      <c r="O21" s="68">
        <f t="shared" si="11"/>
        <v>2232288</v>
      </c>
      <c r="P21" s="70">
        <f t="shared" si="12"/>
        <v>8929150</v>
      </c>
    </row>
    <row r="22" spans="1:16" x14ac:dyDescent="0.25">
      <c r="A22" s="60" t="s">
        <v>72</v>
      </c>
      <c r="B22" s="66">
        <f>+ROUND(Malacca!C43,0)</f>
        <v>123832</v>
      </c>
      <c r="C22" s="71">
        <f>+ROUND(NSR!C32,0)</f>
        <v>5378</v>
      </c>
      <c r="D22" s="71">
        <f t="shared" si="3"/>
        <v>118454</v>
      </c>
      <c r="E22" s="71">
        <f t="shared" si="4"/>
        <v>59227</v>
      </c>
      <c r="F22" s="68">
        <f t="shared" si="1"/>
        <v>240</v>
      </c>
      <c r="G22" s="68">
        <f t="shared" si="5"/>
        <v>14214480</v>
      </c>
      <c r="H22" s="68">
        <f t="shared" si="6"/>
        <v>2842896</v>
      </c>
      <c r="I22" s="68">
        <f t="shared" si="7"/>
        <v>11371584</v>
      </c>
      <c r="J22" s="68"/>
      <c r="K22" s="68"/>
      <c r="L22" s="72"/>
      <c r="M22" s="68"/>
      <c r="N22" s="68">
        <f t="shared" si="10"/>
        <v>11371584</v>
      </c>
      <c r="O22" s="68">
        <f t="shared" si="11"/>
        <v>2274317</v>
      </c>
      <c r="P22" s="70">
        <f t="shared" si="12"/>
        <v>9097267</v>
      </c>
    </row>
    <row r="23" spans="1:16" x14ac:dyDescent="0.25">
      <c r="A23" s="60" t="s">
        <v>73</v>
      </c>
      <c r="B23" s="66">
        <f>+ROUND(Malacca!C44,0)</f>
        <v>125466</v>
      </c>
      <c r="C23" s="71">
        <f>+ROUND(NSR!C33,0)</f>
        <v>5737</v>
      </c>
      <c r="D23" s="71">
        <f t="shared" si="3"/>
        <v>119729</v>
      </c>
      <c r="E23" s="71">
        <f t="shared" si="4"/>
        <v>59865</v>
      </c>
      <c r="F23" s="68">
        <f t="shared" si="1"/>
        <v>242</v>
      </c>
      <c r="G23" s="68">
        <f t="shared" si="5"/>
        <v>14487330</v>
      </c>
      <c r="H23" s="68">
        <f t="shared" si="6"/>
        <v>2897466</v>
      </c>
      <c r="I23" s="68">
        <f t="shared" si="7"/>
        <v>11589864</v>
      </c>
      <c r="J23" s="68"/>
      <c r="K23" s="68"/>
      <c r="L23" s="72"/>
      <c r="M23" s="68"/>
      <c r="N23" s="68">
        <f t="shared" si="10"/>
        <v>11589864</v>
      </c>
      <c r="O23" s="68">
        <f t="shared" si="11"/>
        <v>2317973</v>
      </c>
      <c r="P23" s="70">
        <f t="shared" si="12"/>
        <v>9271891</v>
      </c>
    </row>
    <row r="24" spans="1:16" x14ac:dyDescent="0.25">
      <c r="A24" s="60" t="s">
        <v>74</v>
      </c>
      <c r="B24" s="66">
        <f>+ROUND(Malacca!C45,0)</f>
        <v>127099</v>
      </c>
      <c r="C24" s="71">
        <f>+ROUND(NSR!C34,0)</f>
        <v>6031</v>
      </c>
      <c r="D24" s="71">
        <f t="shared" si="3"/>
        <v>121068</v>
      </c>
      <c r="E24" s="71">
        <f t="shared" si="4"/>
        <v>60534</v>
      </c>
      <c r="F24" s="68">
        <f t="shared" si="1"/>
        <v>244</v>
      </c>
      <c r="G24" s="68">
        <f t="shared" si="5"/>
        <v>14770296</v>
      </c>
      <c r="H24" s="68">
        <f t="shared" si="6"/>
        <v>2954059</v>
      </c>
      <c r="I24" s="68">
        <f t="shared" si="7"/>
        <v>11816237</v>
      </c>
      <c r="J24" s="68"/>
      <c r="K24" s="68"/>
      <c r="L24" s="72"/>
      <c r="M24" s="68"/>
      <c r="N24" s="68">
        <f t="shared" si="10"/>
        <v>11816237</v>
      </c>
      <c r="O24" s="68">
        <f t="shared" si="11"/>
        <v>2363247</v>
      </c>
      <c r="P24" s="70">
        <f t="shared" si="12"/>
        <v>9452990</v>
      </c>
    </row>
    <row r="25" spans="1:16" x14ac:dyDescent="0.25">
      <c r="A25" s="60" t="s">
        <v>75</v>
      </c>
      <c r="B25" s="66">
        <f>+ROUND(Malacca!C46,0)</f>
        <v>128733</v>
      </c>
      <c r="C25" s="71">
        <f>+ROUND(NSR!C35,0)</f>
        <v>6427</v>
      </c>
      <c r="D25" s="71">
        <f t="shared" si="3"/>
        <v>122306</v>
      </c>
      <c r="E25" s="71">
        <f t="shared" si="4"/>
        <v>61153</v>
      </c>
      <c r="F25" s="68">
        <f t="shared" si="1"/>
        <v>246</v>
      </c>
      <c r="G25" s="68">
        <f t="shared" si="5"/>
        <v>15043638</v>
      </c>
      <c r="H25" s="68">
        <f t="shared" si="6"/>
        <v>3008728</v>
      </c>
      <c r="I25" s="68">
        <f t="shared" si="7"/>
        <v>12034910</v>
      </c>
      <c r="J25" s="68"/>
      <c r="K25" s="68"/>
      <c r="L25" s="72"/>
      <c r="M25" s="68"/>
      <c r="N25" s="68">
        <f t="shared" si="10"/>
        <v>12034910</v>
      </c>
      <c r="O25" s="68">
        <f t="shared" si="11"/>
        <v>2406982</v>
      </c>
      <c r="P25" s="70">
        <f t="shared" si="12"/>
        <v>9627928</v>
      </c>
    </row>
    <row r="26" spans="1:16" x14ac:dyDescent="0.25">
      <c r="A26" s="60" t="s">
        <v>76</v>
      </c>
      <c r="B26" s="66">
        <f>+ROUND(Malacca!C47,0)</f>
        <v>130366</v>
      </c>
      <c r="C26" s="71">
        <f>+ROUND(NSR!C36,0)</f>
        <v>6849</v>
      </c>
      <c r="D26" s="71">
        <f t="shared" si="3"/>
        <v>123517</v>
      </c>
      <c r="E26" s="71">
        <f t="shared" si="4"/>
        <v>61759</v>
      </c>
      <c r="F26" s="68">
        <f t="shared" si="1"/>
        <v>248</v>
      </c>
      <c r="G26" s="68">
        <f t="shared" si="5"/>
        <v>15316232</v>
      </c>
      <c r="H26" s="68">
        <f t="shared" si="6"/>
        <v>3063246</v>
      </c>
      <c r="I26" s="68">
        <f t="shared" si="7"/>
        <v>12252986</v>
      </c>
      <c r="J26" s="68"/>
      <c r="K26" s="68"/>
      <c r="L26" s="72"/>
      <c r="M26" s="68"/>
      <c r="N26" s="68">
        <f t="shared" si="10"/>
        <v>12252986</v>
      </c>
      <c r="O26" s="68">
        <f t="shared" si="11"/>
        <v>2450597</v>
      </c>
      <c r="P26" s="70">
        <f t="shared" si="12"/>
        <v>9802389</v>
      </c>
    </row>
    <row r="27" spans="1:16" x14ac:dyDescent="0.25">
      <c r="A27" s="60" t="s">
        <v>77</v>
      </c>
      <c r="B27" s="66">
        <f>+ROUND(Malacca!C48,0)</f>
        <v>132000</v>
      </c>
      <c r="C27" s="71">
        <f>+ROUND(NSR!C37,0)</f>
        <v>7207</v>
      </c>
      <c r="D27" s="71">
        <f t="shared" si="3"/>
        <v>124793</v>
      </c>
      <c r="E27" s="71">
        <f t="shared" si="4"/>
        <v>62397</v>
      </c>
      <c r="F27" s="68">
        <f t="shared" si="1"/>
        <v>250</v>
      </c>
      <c r="G27" s="68">
        <f t="shared" si="5"/>
        <v>15599250</v>
      </c>
      <c r="H27" s="68">
        <f t="shared" si="6"/>
        <v>3119850</v>
      </c>
      <c r="I27" s="68">
        <f t="shared" si="7"/>
        <v>12479400</v>
      </c>
      <c r="J27" s="68"/>
      <c r="K27" s="68"/>
      <c r="L27" s="72"/>
      <c r="M27" s="68"/>
      <c r="N27" s="68">
        <f t="shared" si="10"/>
        <v>12479400</v>
      </c>
      <c r="O27" s="68">
        <f t="shared" si="11"/>
        <v>2495880</v>
      </c>
      <c r="P27" s="70">
        <f t="shared" si="12"/>
        <v>9983520</v>
      </c>
    </row>
    <row r="28" spans="1:16" x14ac:dyDescent="0.25">
      <c r="A28" s="60" t="s">
        <v>78</v>
      </c>
      <c r="B28" s="66">
        <f>+ROUND(Malacca!C49,0)</f>
        <v>133633</v>
      </c>
      <c r="C28" s="71">
        <f>+ROUND(NSR!C38,0)</f>
        <v>7502</v>
      </c>
      <c r="D28" s="71">
        <f t="shared" si="3"/>
        <v>126131</v>
      </c>
      <c r="E28" s="71">
        <f t="shared" si="4"/>
        <v>63066</v>
      </c>
      <c r="F28" s="68">
        <f t="shared" si="1"/>
        <v>253</v>
      </c>
      <c r="G28" s="68">
        <f t="shared" si="5"/>
        <v>15955698</v>
      </c>
      <c r="H28" s="68">
        <f t="shared" si="6"/>
        <v>3191140</v>
      </c>
      <c r="I28" s="68">
        <f t="shared" si="7"/>
        <v>12764558</v>
      </c>
      <c r="J28" s="68"/>
      <c r="K28" s="68"/>
      <c r="L28" s="72"/>
      <c r="M28" s="68"/>
      <c r="N28" s="68">
        <f t="shared" si="10"/>
        <v>12764558</v>
      </c>
      <c r="O28" s="68">
        <f t="shared" si="11"/>
        <v>2552912</v>
      </c>
      <c r="P28" s="70">
        <f t="shared" si="12"/>
        <v>10211646</v>
      </c>
    </row>
    <row r="29" spans="1:16" x14ac:dyDescent="0.25">
      <c r="A29" s="60" t="s">
        <v>79</v>
      </c>
      <c r="B29" s="66">
        <f>+ROUND(Malacca!C50,0)</f>
        <v>135267</v>
      </c>
      <c r="C29" s="71">
        <f>+ROUND(NSR!C39,0)</f>
        <v>7898</v>
      </c>
      <c r="D29" s="71">
        <f t="shared" si="3"/>
        <v>127369</v>
      </c>
      <c r="E29" s="71">
        <f t="shared" si="4"/>
        <v>63685</v>
      </c>
      <c r="F29" s="68">
        <f t="shared" si="1"/>
        <v>256</v>
      </c>
      <c r="G29" s="68">
        <f t="shared" si="5"/>
        <v>16303360</v>
      </c>
      <c r="H29" s="68">
        <f t="shared" si="6"/>
        <v>3260672</v>
      </c>
      <c r="I29" s="68">
        <f t="shared" si="7"/>
        <v>13042688</v>
      </c>
      <c r="J29" s="68"/>
      <c r="K29" s="68"/>
      <c r="L29" s="72"/>
      <c r="M29" s="68"/>
      <c r="N29" s="68">
        <f t="shared" si="10"/>
        <v>13042688</v>
      </c>
      <c r="O29" s="68">
        <f t="shared" si="11"/>
        <v>2608538</v>
      </c>
      <c r="P29" s="70">
        <f t="shared" si="12"/>
        <v>10434150</v>
      </c>
    </row>
    <row r="30" spans="1:16" x14ac:dyDescent="0.25">
      <c r="A30" s="60" t="s">
        <v>80</v>
      </c>
      <c r="B30" s="66">
        <f>+ROUND(Malacca!C51,0)</f>
        <v>136900</v>
      </c>
      <c r="C30" s="71">
        <f>+ROUND(NSR!C40,0)</f>
        <v>8319</v>
      </c>
      <c r="D30" s="71">
        <f t="shared" si="3"/>
        <v>128581</v>
      </c>
      <c r="E30" s="71">
        <f t="shared" si="4"/>
        <v>64291</v>
      </c>
      <c r="F30" s="68">
        <f t="shared" si="1"/>
        <v>259</v>
      </c>
      <c r="G30" s="68">
        <f t="shared" si="5"/>
        <v>16651369</v>
      </c>
      <c r="H30" s="68">
        <f t="shared" si="6"/>
        <v>3330274</v>
      </c>
      <c r="I30" s="68">
        <f t="shared" si="7"/>
        <v>13321095</v>
      </c>
      <c r="J30" s="68"/>
      <c r="K30" s="68"/>
      <c r="L30" s="72"/>
      <c r="M30" s="68"/>
      <c r="N30" s="68">
        <f t="shared" si="10"/>
        <v>13321095</v>
      </c>
      <c r="O30" s="68">
        <f t="shared" si="11"/>
        <v>2664219</v>
      </c>
      <c r="P30" s="70">
        <f t="shared" si="12"/>
        <v>10656876</v>
      </c>
    </row>
    <row r="31" spans="1:16" x14ac:dyDescent="0.25">
      <c r="A31" s="60" t="s">
        <v>81</v>
      </c>
      <c r="B31" s="66">
        <f>+ROUND(Malacca!C52,0)</f>
        <v>138534</v>
      </c>
      <c r="C31" s="71">
        <f>+ROUND(NSR!C41,0)</f>
        <v>8678</v>
      </c>
      <c r="D31" s="71">
        <f t="shared" si="3"/>
        <v>129856</v>
      </c>
      <c r="E31" s="71">
        <f t="shared" si="4"/>
        <v>64928</v>
      </c>
      <c r="F31" s="68">
        <f t="shared" si="1"/>
        <v>262</v>
      </c>
      <c r="G31" s="68">
        <f t="shared" si="5"/>
        <v>17011136</v>
      </c>
      <c r="H31" s="68">
        <f t="shared" si="6"/>
        <v>3402227</v>
      </c>
      <c r="I31" s="68">
        <f t="shared" si="7"/>
        <v>13608909</v>
      </c>
      <c r="J31" s="68"/>
      <c r="K31" s="68"/>
      <c r="L31" s="72"/>
      <c r="M31" s="68"/>
      <c r="N31" s="68">
        <f t="shared" si="10"/>
        <v>13608909</v>
      </c>
      <c r="O31" s="68">
        <f t="shared" si="11"/>
        <v>2721782</v>
      </c>
      <c r="P31" s="70">
        <f t="shared" si="12"/>
        <v>10887127</v>
      </c>
    </row>
    <row r="32" spans="1:16" x14ac:dyDescent="0.25">
      <c r="A32" s="60" t="s">
        <v>82</v>
      </c>
      <c r="B32" s="66">
        <f>+ROUND(Malacca!C53,0)</f>
        <v>140167</v>
      </c>
      <c r="C32" s="71">
        <f>+ROUND(NSR!C42,0)</f>
        <v>8972</v>
      </c>
      <c r="D32" s="71">
        <f t="shared" si="3"/>
        <v>131195</v>
      </c>
      <c r="E32" s="71">
        <f t="shared" si="4"/>
        <v>65598</v>
      </c>
      <c r="F32" s="68">
        <f t="shared" si="1"/>
        <v>265</v>
      </c>
      <c r="G32" s="68">
        <f t="shared" si="5"/>
        <v>17383470</v>
      </c>
      <c r="H32" s="68">
        <f t="shared" si="6"/>
        <v>3476694</v>
      </c>
      <c r="I32" s="68">
        <f t="shared" si="7"/>
        <v>13906776</v>
      </c>
      <c r="J32" s="68"/>
      <c r="K32" s="68"/>
      <c r="L32" s="72"/>
      <c r="M32" s="68"/>
      <c r="N32" s="68">
        <f t="shared" si="10"/>
        <v>13906776</v>
      </c>
      <c r="O32" s="68">
        <f t="shared" si="11"/>
        <v>2781355</v>
      </c>
      <c r="P32" s="70">
        <f t="shared" si="12"/>
        <v>11125421</v>
      </c>
    </row>
    <row r="33" spans="1:16" x14ac:dyDescent="0.25">
      <c r="A33" s="60" t="s">
        <v>83</v>
      </c>
      <c r="B33" s="66">
        <f>+ROUND(Malacca!C54,0)</f>
        <v>141801</v>
      </c>
      <c r="C33" s="71">
        <f>+ROUND(NSR!C43,0)</f>
        <v>9368</v>
      </c>
      <c r="D33" s="71">
        <f t="shared" si="3"/>
        <v>132433</v>
      </c>
      <c r="E33" s="71">
        <f t="shared" si="4"/>
        <v>66217</v>
      </c>
      <c r="F33" s="68">
        <f t="shared" si="1"/>
        <v>268</v>
      </c>
      <c r="G33" s="68">
        <f t="shared" si="5"/>
        <v>17746156</v>
      </c>
      <c r="H33" s="68">
        <f t="shared" si="6"/>
        <v>3549231</v>
      </c>
      <c r="I33" s="68">
        <f t="shared" si="7"/>
        <v>14196925</v>
      </c>
      <c r="J33" s="68"/>
      <c r="K33" s="68"/>
      <c r="L33" s="72"/>
      <c r="M33" s="68"/>
      <c r="N33" s="68">
        <f t="shared" si="10"/>
        <v>14196925</v>
      </c>
      <c r="O33" s="68">
        <f t="shared" si="11"/>
        <v>2839385</v>
      </c>
      <c r="P33" s="70">
        <f t="shared" si="12"/>
        <v>11357540</v>
      </c>
    </row>
    <row r="34" spans="1:16" x14ac:dyDescent="0.25">
      <c r="A34" s="60" t="s">
        <v>84</v>
      </c>
      <c r="B34" s="66">
        <f>+ROUND(Malacca!C55,0)</f>
        <v>143434</v>
      </c>
      <c r="C34" s="71">
        <f>+ROUND(NSR!C44,0)</f>
        <v>9790</v>
      </c>
      <c r="D34" s="71">
        <f t="shared" si="3"/>
        <v>133644</v>
      </c>
      <c r="E34" s="71">
        <f t="shared" si="4"/>
        <v>66822</v>
      </c>
      <c r="F34" s="68">
        <f t="shared" si="1"/>
        <v>271</v>
      </c>
      <c r="G34" s="68">
        <f t="shared" si="5"/>
        <v>18108762</v>
      </c>
      <c r="H34" s="68">
        <f t="shared" si="6"/>
        <v>3621752</v>
      </c>
      <c r="I34" s="68">
        <f t="shared" si="7"/>
        <v>14487010</v>
      </c>
      <c r="J34" s="68"/>
      <c r="K34" s="68"/>
      <c r="L34" s="72"/>
      <c r="M34" s="68"/>
      <c r="N34" s="68">
        <f t="shared" si="10"/>
        <v>14487010</v>
      </c>
      <c r="O34" s="68">
        <f t="shared" si="11"/>
        <v>2897402</v>
      </c>
      <c r="P34" s="70">
        <f t="shared" si="12"/>
        <v>11589608</v>
      </c>
    </row>
    <row r="35" spans="1:16" x14ac:dyDescent="0.25">
      <c r="A35" s="60" t="s">
        <v>85</v>
      </c>
      <c r="B35" s="66">
        <f>+ROUND(Malacca!C56,0)</f>
        <v>145068</v>
      </c>
      <c r="C35" s="71">
        <f>+ROUND(NSR!C45,0)</f>
        <v>10149</v>
      </c>
      <c r="D35" s="71">
        <f t="shared" si="3"/>
        <v>134919</v>
      </c>
      <c r="E35" s="71">
        <f t="shared" si="4"/>
        <v>67460</v>
      </c>
      <c r="F35" s="68">
        <f t="shared" si="1"/>
        <v>274</v>
      </c>
      <c r="G35" s="68">
        <f t="shared" si="5"/>
        <v>18484040</v>
      </c>
      <c r="H35" s="68">
        <f t="shared" si="6"/>
        <v>3696808</v>
      </c>
      <c r="I35" s="68">
        <f t="shared" si="7"/>
        <v>14787232</v>
      </c>
      <c r="J35" s="68"/>
      <c r="K35" s="68"/>
      <c r="L35" s="72"/>
      <c r="M35" s="68"/>
      <c r="N35" s="68">
        <f t="shared" si="10"/>
        <v>14787232</v>
      </c>
      <c r="O35" s="68">
        <f t="shared" si="11"/>
        <v>2957446</v>
      </c>
      <c r="P35" s="70">
        <f t="shared" si="12"/>
        <v>11829786</v>
      </c>
    </row>
    <row r="36" spans="1:16" x14ac:dyDescent="0.25">
      <c r="A36" s="60" t="s">
        <v>86</v>
      </c>
      <c r="B36" s="66">
        <f>+ROUND(Malacca!C57,0)</f>
        <v>146701</v>
      </c>
      <c r="C36" s="71">
        <f>+ROUND(NSR!C46,0)</f>
        <v>10443</v>
      </c>
      <c r="D36" s="71">
        <f t="shared" si="3"/>
        <v>136258</v>
      </c>
      <c r="E36" s="71">
        <f t="shared" si="4"/>
        <v>68129</v>
      </c>
      <c r="F36" s="68">
        <f t="shared" si="1"/>
        <v>277</v>
      </c>
      <c r="G36" s="68">
        <f t="shared" si="5"/>
        <v>18871733</v>
      </c>
      <c r="H36" s="68">
        <f t="shared" si="6"/>
        <v>3774347</v>
      </c>
      <c r="I36" s="68">
        <f t="shared" si="7"/>
        <v>15097386</v>
      </c>
      <c r="J36" s="68"/>
      <c r="K36" s="68"/>
      <c r="L36" s="72"/>
      <c r="M36" s="68"/>
      <c r="N36" s="68">
        <f t="shared" si="10"/>
        <v>15097386</v>
      </c>
      <c r="O36" s="68">
        <f t="shared" si="11"/>
        <v>3019477</v>
      </c>
      <c r="P36" s="70">
        <f t="shared" si="12"/>
        <v>12077909</v>
      </c>
    </row>
    <row r="37" spans="1:16" x14ac:dyDescent="0.25">
      <c r="A37" s="60" t="s">
        <v>87</v>
      </c>
      <c r="B37" s="66">
        <f>+ROUND(Malacca!C58,0)</f>
        <v>148335</v>
      </c>
      <c r="C37" s="71">
        <f>+ROUND(NSR!C47,0)</f>
        <v>10839</v>
      </c>
      <c r="D37" s="71">
        <f t="shared" si="3"/>
        <v>137496</v>
      </c>
      <c r="E37" s="71">
        <f t="shared" si="4"/>
        <v>68748</v>
      </c>
      <c r="F37" s="68">
        <f t="shared" si="1"/>
        <v>280</v>
      </c>
      <c r="G37" s="68">
        <f t="shared" si="5"/>
        <v>19249440</v>
      </c>
      <c r="H37" s="68">
        <f t="shared" si="6"/>
        <v>3849888</v>
      </c>
      <c r="I37" s="68">
        <f t="shared" si="7"/>
        <v>15399552</v>
      </c>
      <c r="J37" s="68"/>
      <c r="K37" s="68"/>
      <c r="L37" s="72"/>
      <c r="M37" s="68"/>
      <c r="N37" s="68">
        <f t="shared" si="10"/>
        <v>15399552</v>
      </c>
      <c r="O37" s="68">
        <f t="shared" si="11"/>
        <v>3079910</v>
      </c>
      <c r="P37" s="70">
        <f t="shared" si="12"/>
        <v>12319642</v>
      </c>
    </row>
    <row r="38" spans="1:16" x14ac:dyDescent="0.25">
      <c r="A38" s="60" t="s">
        <v>88</v>
      </c>
      <c r="B38" s="66">
        <f>+ROUND(Malacca!C59,0)</f>
        <v>149968</v>
      </c>
      <c r="C38" s="71">
        <f>+ROUND(NSR!C48,0)</f>
        <v>11261</v>
      </c>
      <c r="D38" s="71">
        <f t="shared" si="3"/>
        <v>138707</v>
      </c>
      <c r="E38" s="71">
        <f t="shared" si="4"/>
        <v>69354</v>
      </c>
      <c r="F38" s="68">
        <f t="shared" si="1"/>
        <v>283</v>
      </c>
      <c r="G38" s="68">
        <f t="shared" si="5"/>
        <v>19627182</v>
      </c>
      <c r="H38" s="68">
        <f t="shared" si="6"/>
        <v>3925436</v>
      </c>
      <c r="I38" s="68">
        <f t="shared" si="7"/>
        <v>15701746</v>
      </c>
      <c r="J38" s="68"/>
      <c r="K38" s="68"/>
      <c r="L38" s="72"/>
      <c r="M38" s="68"/>
      <c r="N38" s="68">
        <f t="shared" si="10"/>
        <v>15701746</v>
      </c>
      <c r="O38" s="68">
        <f t="shared" si="11"/>
        <v>3140349</v>
      </c>
      <c r="P38" s="70">
        <f t="shared" si="12"/>
        <v>12561397</v>
      </c>
    </row>
    <row r="39" spans="1:16" x14ac:dyDescent="0.25">
      <c r="A39" s="60" t="s">
        <v>89</v>
      </c>
      <c r="B39" s="66">
        <f>+ROUND(Malacca!C60,0)</f>
        <v>151602</v>
      </c>
      <c r="C39" s="71">
        <f>+ROUND(NSR!C49,0)</f>
        <v>11619</v>
      </c>
      <c r="D39" s="71">
        <f t="shared" si="3"/>
        <v>139983</v>
      </c>
      <c r="E39" s="71">
        <f t="shared" si="4"/>
        <v>69992</v>
      </c>
      <c r="F39" s="68">
        <f t="shared" si="1"/>
        <v>286</v>
      </c>
      <c r="G39" s="68">
        <f t="shared" si="5"/>
        <v>20017712</v>
      </c>
      <c r="H39" s="68">
        <f t="shared" si="6"/>
        <v>4003542</v>
      </c>
      <c r="I39" s="68">
        <f t="shared" si="7"/>
        <v>16014170</v>
      </c>
      <c r="J39" s="68"/>
      <c r="K39" s="68"/>
      <c r="L39" s="72"/>
      <c r="M39" s="68"/>
      <c r="N39" s="68">
        <f t="shared" si="10"/>
        <v>16014170</v>
      </c>
      <c r="O39" s="68">
        <f t="shared" si="11"/>
        <v>3202834</v>
      </c>
      <c r="P39" s="70">
        <f t="shared" si="12"/>
        <v>12811336</v>
      </c>
    </row>
    <row r="40" spans="1:16" x14ac:dyDescent="0.25">
      <c r="A40" s="83" t="s">
        <v>90</v>
      </c>
      <c r="B40" s="66">
        <f>+ROUND(Malacca!C61,0)</f>
        <v>153236</v>
      </c>
      <c r="C40" s="71">
        <f>+ROUND(NSR!C50,0)</f>
        <v>11913</v>
      </c>
      <c r="D40" s="71">
        <f t="shared" si="3"/>
        <v>141323</v>
      </c>
      <c r="E40" s="71">
        <f t="shared" si="4"/>
        <v>70662</v>
      </c>
      <c r="F40" s="68">
        <f t="shared" si="1"/>
        <v>289</v>
      </c>
      <c r="G40" s="68">
        <f t="shared" si="5"/>
        <v>20421318</v>
      </c>
      <c r="H40" s="68">
        <f t="shared" si="6"/>
        <v>4084264</v>
      </c>
      <c r="I40" s="68">
        <f t="shared" si="7"/>
        <v>16337054</v>
      </c>
      <c r="J40" s="68"/>
      <c r="K40" s="68"/>
      <c r="L40" s="72"/>
      <c r="M40" s="68"/>
      <c r="N40" s="68">
        <f t="shared" si="10"/>
        <v>16337054</v>
      </c>
      <c r="O40" s="68">
        <f t="shared" si="11"/>
        <v>3267411</v>
      </c>
      <c r="P40" s="70">
        <f t="shared" si="12"/>
        <v>13069643</v>
      </c>
    </row>
    <row r="41" spans="1:16" x14ac:dyDescent="0.25">
      <c r="A41" s="84" t="s">
        <v>91</v>
      </c>
      <c r="B41" s="73">
        <f>+ROUND(Malacca!C62,0)</f>
        <v>154869</v>
      </c>
      <c r="C41" s="74">
        <f>+ROUND(NSR!C51,0)</f>
        <v>12310</v>
      </c>
      <c r="D41" s="74">
        <f t="shared" si="3"/>
        <v>142559</v>
      </c>
      <c r="E41" s="74">
        <f t="shared" si="4"/>
        <v>71280</v>
      </c>
      <c r="F41" s="75">
        <f t="shared" si="1"/>
        <v>292</v>
      </c>
      <c r="G41" s="75">
        <f t="shared" si="5"/>
        <v>20813760</v>
      </c>
      <c r="H41" s="75">
        <f t="shared" si="6"/>
        <v>4162752</v>
      </c>
      <c r="I41" s="75">
        <f t="shared" si="7"/>
        <v>16651008</v>
      </c>
      <c r="J41" s="75"/>
      <c r="K41" s="75"/>
      <c r="L41" s="76"/>
      <c r="M41" s="75"/>
      <c r="N41" s="75">
        <f>+IF(I41-M41&gt;0,I41-M41,0)</f>
        <v>16651008</v>
      </c>
      <c r="O41" s="75">
        <f t="shared" si="11"/>
        <v>3330202</v>
      </c>
      <c r="P41" s="77">
        <f t="shared" si="12"/>
        <v>13320806</v>
      </c>
    </row>
  </sheetData>
  <phoneticPr fontId="26"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7AAF4-9193-4960-A40A-5DDBB4DE6F15}">
  <dimension ref="A1:P41"/>
  <sheetViews>
    <sheetView zoomScale="55" zoomScaleNormal="55" workbookViewId="0">
      <pane xSplit="2" ySplit="1" topLeftCell="C2" activePane="bottomRight" state="frozen"/>
      <selection pane="topRight" activeCell="B1" sqref="B1"/>
      <selection pane="bottomLeft" activeCell="A2" sqref="A2"/>
      <selection pane="bottomRight" sqref="A1:P41"/>
    </sheetView>
  </sheetViews>
  <sheetFormatPr defaultRowHeight="15" x14ac:dyDescent="0.25"/>
  <cols>
    <col min="1" max="1" width="10.6640625" style="55" customWidth="1"/>
    <col min="2" max="2" width="15.21875" style="57" customWidth="1"/>
    <col min="3" max="3" width="18.5546875" style="58" customWidth="1"/>
    <col min="4" max="5" width="17.5546875" style="58" customWidth="1"/>
    <col min="6" max="6" width="14.109375" style="56" customWidth="1"/>
    <col min="7" max="7" width="18.6640625" style="56" customWidth="1"/>
    <col min="8" max="8" width="17.44140625" style="56" customWidth="1"/>
    <col min="9" max="9" width="18.6640625" style="56" customWidth="1"/>
    <col min="10" max="10" width="17.44140625" style="56" customWidth="1"/>
    <col min="11" max="11" width="18.5546875" style="56" customWidth="1"/>
    <col min="12" max="12" width="18.5546875" style="55" customWidth="1"/>
    <col min="13" max="14" width="18.6640625" style="56" customWidth="1"/>
    <col min="15" max="15" width="17.44140625" style="56" customWidth="1"/>
    <col min="16" max="16" width="19.6640625" style="56" customWidth="1"/>
    <col min="17" max="18" width="15.44140625" style="55" customWidth="1"/>
    <col min="19" max="58" width="15.44140625" style="55" bestFit="1" customWidth="1"/>
    <col min="59" max="78" width="10.44140625" style="55" bestFit="1" customWidth="1"/>
    <col min="79" max="82" width="15.44140625" style="55" bestFit="1" customWidth="1"/>
    <col min="83" max="16384" width="8.88671875" style="55"/>
  </cols>
  <sheetData>
    <row r="1" spans="1:16" s="59" customFormat="1" ht="126" customHeight="1" x14ac:dyDescent="0.3">
      <c r="A1" s="78" t="str">
        <f>"Internal Rate Of Return: "&amp;TEXT(IRR(P2:P41), "0.0%")</f>
        <v>Internal Rate Of Return: 1.0%</v>
      </c>
      <c r="B1" s="79" t="s">
        <v>97</v>
      </c>
      <c r="C1" s="80" t="s">
        <v>35</v>
      </c>
      <c r="D1" s="80" t="s">
        <v>96</v>
      </c>
      <c r="E1" s="79" t="s">
        <v>95</v>
      </c>
      <c r="F1" s="81" t="s">
        <v>94</v>
      </c>
      <c r="G1" s="81" t="s">
        <v>93</v>
      </c>
      <c r="H1" s="81" t="s">
        <v>98</v>
      </c>
      <c r="I1" s="81" t="s">
        <v>19</v>
      </c>
      <c r="J1" s="81" t="s">
        <v>22</v>
      </c>
      <c r="K1" s="81" t="s">
        <v>99</v>
      </c>
      <c r="L1" s="80" t="s">
        <v>100</v>
      </c>
      <c r="M1" s="81" t="s">
        <v>101</v>
      </c>
      <c r="N1" s="81" t="s">
        <v>92</v>
      </c>
      <c r="O1" s="81" t="s">
        <v>102</v>
      </c>
      <c r="P1" s="82" t="s">
        <v>24</v>
      </c>
    </row>
    <row r="2" spans="1:16" x14ac:dyDescent="0.25">
      <c r="A2" s="60" t="s">
        <v>52</v>
      </c>
      <c r="B2" s="61"/>
      <c r="C2" s="62"/>
      <c r="D2" s="62"/>
      <c r="E2" s="62"/>
      <c r="F2" s="63">
        <v>200</v>
      </c>
      <c r="G2" s="63"/>
      <c r="H2" s="63"/>
      <c r="I2" s="63"/>
      <c r="J2" s="63"/>
      <c r="K2" s="63">
        <v>2800000</v>
      </c>
      <c r="L2" s="64">
        <v>2.5770000000000001E-2</v>
      </c>
      <c r="M2" s="63">
        <f>+K2*(1+L2)</f>
        <v>2872156</v>
      </c>
      <c r="N2" s="63"/>
      <c r="O2" s="63"/>
      <c r="P2" s="65">
        <f>-M2</f>
        <v>-2872156</v>
      </c>
    </row>
    <row r="3" spans="1:16" x14ac:dyDescent="0.25">
      <c r="A3" s="60" t="s">
        <v>53</v>
      </c>
      <c r="B3" s="66"/>
      <c r="C3" s="67"/>
      <c r="D3" s="67"/>
      <c r="E3" s="67"/>
      <c r="F3" s="68">
        <f>+ROUND(F2*1.01,0)</f>
        <v>202</v>
      </c>
      <c r="G3" s="68"/>
      <c r="H3" s="68"/>
      <c r="I3" s="68"/>
      <c r="J3" s="68"/>
      <c r="K3" s="68">
        <v>2800000</v>
      </c>
      <c r="L3" s="69">
        <v>2.5770000000000001E-2</v>
      </c>
      <c r="M3" s="68">
        <f>+ROUND((M2+K3)*(1+L3),0)</f>
        <v>5818327</v>
      </c>
      <c r="N3" s="68"/>
      <c r="O3" s="68"/>
      <c r="P3" s="70">
        <f t="shared" ref="P3:P13" si="0">-M3</f>
        <v>-5818327</v>
      </c>
    </row>
    <row r="4" spans="1:16" x14ac:dyDescent="0.25">
      <c r="A4" s="60" t="s">
        <v>54</v>
      </c>
      <c r="B4" s="66"/>
      <c r="C4" s="67"/>
      <c r="D4" s="67"/>
      <c r="E4" s="67"/>
      <c r="F4" s="68">
        <f t="shared" ref="F4:F41" si="1">+ROUND(F3*1.01,0)</f>
        <v>204</v>
      </c>
      <c r="G4" s="68"/>
      <c r="H4" s="68"/>
      <c r="I4" s="68"/>
      <c r="J4" s="68"/>
      <c r="K4" s="68">
        <v>2800000</v>
      </c>
      <c r="L4" s="69">
        <v>2.5770000000000001E-2</v>
      </c>
      <c r="M4" s="68">
        <f t="shared" ref="M4:M11" si="2">+ROUND((M3+K4)*(1+L4),0)</f>
        <v>8840421</v>
      </c>
      <c r="N4" s="68"/>
      <c r="O4" s="68"/>
      <c r="P4" s="70">
        <f t="shared" si="0"/>
        <v>-8840421</v>
      </c>
    </row>
    <row r="5" spans="1:16" x14ac:dyDescent="0.25">
      <c r="A5" s="60" t="s">
        <v>55</v>
      </c>
      <c r="B5" s="66"/>
      <c r="C5" s="67"/>
      <c r="D5" s="67"/>
      <c r="E5" s="67"/>
      <c r="F5" s="68">
        <f t="shared" si="1"/>
        <v>206</v>
      </c>
      <c r="G5" s="68"/>
      <c r="H5" s="68"/>
      <c r="I5" s="68"/>
      <c r="J5" s="68"/>
      <c r="K5" s="68">
        <v>2800000</v>
      </c>
      <c r="L5" s="69">
        <v>2.5770000000000001E-2</v>
      </c>
      <c r="M5" s="68">
        <f t="shared" si="2"/>
        <v>11940395</v>
      </c>
      <c r="N5" s="68"/>
      <c r="O5" s="68"/>
      <c r="P5" s="70">
        <f t="shared" si="0"/>
        <v>-11940395</v>
      </c>
    </row>
    <row r="6" spans="1:16" x14ac:dyDescent="0.25">
      <c r="A6" s="60" t="s">
        <v>56</v>
      </c>
      <c r="B6" s="66"/>
      <c r="C6" s="67"/>
      <c r="D6" s="67"/>
      <c r="E6" s="67"/>
      <c r="F6" s="68">
        <f t="shared" si="1"/>
        <v>208</v>
      </c>
      <c r="G6" s="68"/>
      <c r="H6" s="68"/>
      <c r="I6" s="68"/>
      <c r="J6" s="68"/>
      <c r="K6" s="68">
        <v>2800000</v>
      </c>
      <c r="L6" s="69">
        <v>2.5770000000000001E-2</v>
      </c>
      <c r="M6" s="68">
        <f t="shared" si="2"/>
        <v>15120255</v>
      </c>
      <c r="N6" s="68"/>
      <c r="O6" s="68"/>
      <c r="P6" s="70">
        <f t="shared" si="0"/>
        <v>-15120255</v>
      </c>
    </row>
    <row r="7" spans="1:16" x14ac:dyDescent="0.25">
      <c r="A7" s="60" t="s">
        <v>57</v>
      </c>
      <c r="B7" s="66"/>
      <c r="C7" s="67"/>
      <c r="D7" s="67"/>
      <c r="E7" s="67"/>
      <c r="F7" s="68">
        <f t="shared" si="1"/>
        <v>210</v>
      </c>
      <c r="G7" s="68"/>
      <c r="H7" s="68"/>
      <c r="I7" s="68"/>
      <c r="J7" s="68"/>
      <c r="K7" s="68">
        <v>2800000</v>
      </c>
      <c r="L7" s="69">
        <v>2.5770000000000001E-2</v>
      </c>
      <c r="M7" s="68">
        <f t="shared" si="2"/>
        <v>18382060</v>
      </c>
      <c r="N7" s="68"/>
      <c r="O7" s="68"/>
      <c r="P7" s="70">
        <f t="shared" si="0"/>
        <v>-18382060</v>
      </c>
    </row>
    <row r="8" spans="1:16" x14ac:dyDescent="0.25">
      <c r="A8" s="60" t="s">
        <v>58</v>
      </c>
      <c r="B8" s="66"/>
      <c r="C8" s="67"/>
      <c r="D8" s="67"/>
      <c r="E8" s="67"/>
      <c r="F8" s="68">
        <f t="shared" si="1"/>
        <v>212</v>
      </c>
      <c r="G8" s="68"/>
      <c r="H8" s="68"/>
      <c r="I8" s="68"/>
      <c r="J8" s="68"/>
      <c r="K8" s="68">
        <v>2800000</v>
      </c>
      <c r="L8" s="69">
        <v>2.5770000000000001E-2</v>
      </c>
      <c r="M8" s="68">
        <f t="shared" si="2"/>
        <v>21727922</v>
      </c>
      <c r="N8" s="68"/>
      <c r="O8" s="68"/>
      <c r="P8" s="70">
        <f t="shared" si="0"/>
        <v>-21727922</v>
      </c>
    </row>
    <row r="9" spans="1:16" x14ac:dyDescent="0.25">
      <c r="A9" s="60" t="s">
        <v>59</v>
      </c>
      <c r="B9" s="66"/>
      <c r="C9" s="67"/>
      <c r="D9" s="67"/>
      <c r="E9" s="67"/>
      <c r="F9" s="68">
        <f t="shared" si="1"/>
        <v>214</v>
      </c>
      <c r="G9" s="68"/>
      <c r="H9" s="68"/>
      <c r="I9" s="68"/>
      <c r="J9" s="68"/>
      <c r="K9" s="68">
        <v>2800000</v>
      </c>
      <c r="L9" s="69">
        <v>2.5770000000000001E-2</v>
      </c>
      <c r="M9" s="68">
        <f t="shared" si="2"/>
        <v>25160007</v>
      </c>
      <c r="N9" s="68"/>
      <c r="O9" s="68"/>
      <c r="P9" s="70">
        <f t="shared" si="0"/>
        <v>-25160007</v>
      </c>
    </row>
    <row r="10" spans="1:16" x14ac:dyDescent="0.25">
      <c r="A10" s="60" t="s">
        <v>60</v>
      </c>
      <c r="B10" s="66"/>
      <c r="C10" s="67"/>
      <c r="D10" s="67"/>
      <c r="E10" s="67"/>
      <c r="F10" s="68">
        <f t="shared" si="1"/>
        <v>216</v>
      </c>
      <c r="G10" s="68"/>
      <c r="H10" s="68"/>
      <c r="I10" s="68"/>
      <c r="J10" s="68"/>
      <c r="K10" s="68">
        <v>2800000</v>
      </c>
      <c r="L10" s="69">
        <v>2.5770000000000001E-2</v>
      </c>
      <c r="M10" s="68">
        <f t="shared" si="2"/>
        <v>28680536</v>
      </c>
      <c r="N10" s="68"/>
      <c r="O10" s="68"/>
      <c r="P10" s="70">
        <f t="shared" si="0"/>
        <v>-28680536</v>
      </c>
    </row>
    <row r="11" spans="1:16" x14ac:dyDescent="0.25">
      <c r="A11" s="60" t="s">
        <v>61</v>
      </c>
      <c r="B11" s="66"/>
      <c r="C11" s="67"/>
      <c r="D11" s="67"/>
      <c r="E11" s="67"/>
      <c r="F11" s="68">
        <f t="shared" si="1"/>
        <v>218</v>
      </c>
      <c r="G11" s="68"/>
      <c r="H11" s="68"/>
      <c r="I11" s="68"/>
      <c r="J11" s="68"/>
      <c r="K11" s="68">
        <v>2800000</v>
      </c>
      <c r="L11" s="69">
        <v>2.5770000000000001E-2</v>
      </c>
      <c r="M11" s="68">
        <f t="shared" si="2"/>
        <v>32291789</v>
      </c>
      <c r="N11" s="68"/>
      <c r="O11" s="68"/>
      <c r="P11" s="70">
        <f t="shared" si="0"/>
        <v>-32291789</v>
      </c>
    </row>
    <row r="12" spans="1:16" x14ac:dyDescent="0.25">
      <c r="A12" s="60" t="s">
        <v>62</v>
      </c>
      <c r="B12" s="66">
        <f>+ROUND(Malacca!C33,0)</f>
        <v>107497</v>
      </c>
      <c r="C12" s="71">
        <f>+ROUND(NSR!C22,0)</f>
        <v>1619</v>
      </c>
      <c r="D12" s="71">
        <f>+B12-C12</f>
        <v>105878</v>
      </c>
      <c r="E12" s="71">
        <f>+ROUND(D12*0.5,0)</f>
        <v>52939</v>
      </c>
      <c r="F12" s="68">
        <f t="shared" si="1"/>
        <v>220</v>
      </c>
      <c r="G12" s="68">
        <f>+E12*F12</f>
        <v>11646580</v>
      </c>
      <c r="H12" s="68">
        <f>+ROUND(G12*0.2,0)</f>
        <v>2329316</v>
      </c>
      <c r="I12" s="68">
        <f>+G12-H12</f>
        <v>9317264</v>
      </c>
      <c r="J12" s="68">
        <f>+I12</f>
        <v>9317264</v>
      </c>
      <c r="K12" s="68"/>
      <c r="L12" s="72"/>
      <c r="M12" s="68">
        <f>IF(+ROUND((M11-J12)*(1+$L$11),0)&gt;=0,+ROUND((M11-J12)*(1+$L$11),0),0)</f>
        <v>23566579</v>
      </c>
      <c r="N12" s="68">
        <f>+IF(I12-M12&gt;0,I12-M12,0)</f>
        <v>0</v>
      </c>
      <c r="O12" s="68">
        <f>+ROUND(N12*0.2,0)</f>
        <v>0</v>
      </c>
      <c r="P12" s="70">
        <f t="shared" si="0"/>
        <v>-23566579</v>
      </c>
    </row>
    <row r="13" spans="1:16" x14ac:dyDescent="0.25">
      <c r="A13" s="60" t="s">
        <v>63</v>
      </c>
      <c r="B13" s="66">
        <f>+ROUND(Malacca!C34,0)</f>
        <v>109131</v>
      </c>
      <c r="C13" s="71">
        <f>+ROUND(NSR!C23,0)</f>
        <v>2015</v>
      </c>
      <c r="D13" s="71">
        <f t="shared" ref="D13:D41" si="3">+B13-C13</f>
        <v>107116</v>
      </c>
      <c r="E13" s="71">
        <f t="shared" ref="E13:E41" si="4">+ROUND(D13*0.5,0)</f>
        <v>53558</v>
      </c>
      <c r="F13" s="68">
        <f t="shared" si="1"/>
        <v>222</v>
      </c>
      <c r="G13" s="68">
        <f t="shared" ref="G13:G41" si="5">+E13*F13</f>
        <v>11889876</v>
      </c>
      <c r="H13" s="68">
        <f t="shared" ref="H13:H41" si="6">+ROUND(G13*0.2,0)</f>
        <v>2377975</v>
      </c>
      <c r="I13" s="68">
        <f t="shared" ref="I13:I41" si="7">+G13-H13</f>
        <v>9511901</v>
      </c>
      <c r="J13" s="68">
        <f t="shared" ref="J13:J15" si="8">+I13</f>
        <v>9511901</v>
      </c>
      <c r="K13" s="68"/>
      <c r="L13" s="72"/>
      <c r="M13" s="68">
        <f t="shared" ref="M13:M15" si="9">IF(+ROUND((M12-J13)*(1+$L$11),0)&gt;=0,+ROUND((M12-J13)*(1+$L$11),0),0)</f>
        <v>14416867</v>
      </c>
      <c r="N13" s="68">
        <f t="shared" ref="N13:N40" si="10">+IF(I13-M13&gt;0,I13-M13,0)</f>
        <v>0</v>
      </c>
      <c r="O13" s="68">
        <f t="shared" ref="O13:O41" si="11">+ROUND(N13*0.2,0)</f>
        <v>0</v>
      </c>
      <c r="P13" s="70">
        <f t="shared" si="0"/>
        <v>-14416867</v>
      </c>
    </row>
    <row r="14" spans="1:16" x14ac:dyDescent="0.25">
      <c r="A14" s="60" t="s">
        <v>64</v>
      </c>
      <c r="B14" s="66">
        <f>+ROUND(Malacca!C35,0)</f>
        <v>110764</v>
      </c>
      <c r="C14" s="71">
        <f>+ROUND(NSR!C24,0)</f>
        <v>2437</v>
      </c>
      <c r="D14" s="71">
        <f t="shared" si="3"/>
        <v>108327</v>
      </c>
      <c r="E14" s="71">
        <f t="shared" si="4"/>
        <v>54164</v>
      </c>
      <c r="F14" s="68">
        <f t="shared" si="1"/>
        <v>224</v>
      </c>
      <c r="G14" s="68">
        <f t="shared" si="5"/>
        <v>12132736</v>
      </c>
      <c r="H14" s="68">
        <f t="shared" si="6"/>
        <v>2426547</v>
      </c>
      <c r="I14" s="68">
        <f t="shared" si="7"/>
        <v>9706189</v>
      </c>
      <c r="J14" s="68">
        <f t="shared" si="8"/>
        <v>9706189</v>
      </c>
      <c r="K14" s="68"/>
      <c r="L14" s="72"/>
      <c r="M14" s="68">
        <f t="shared" si="9"/>
        <v>4832072</v>
      </c>
      <c r="N14" s="68">
        <f>+IF(I14-M14&gt;0,I14-M14,0)</f>
        <v>4874117</v>
      </c>
      <c r="O14" s="68">
        <f t="shared" si="11"/>
        <v>974823</v>
      </c>
      <c r="P14" s="70">
        <f>+N14-O14</f>
        <v>3899294</v>
      </c>
    </row>
    <row r="15" spans="1:16" x14ac:dyDescent="0.25">
      <c r="A15" s="60" t="s">
        <v>65</v>
      </c>
      <c r="B15" s="66">
        <f>+ROUND(Malacca!C36,0)</f>
        <v>112398</v>
      </c>
      <c r="C15" s="71">
        <f>+ROUND(NSR!C25,0)</f>
        <v>2795</v>
      </c>
      <c r="D15" s="71">
        <f t="shared" si="3"/>
        <v>109603</v>
      </c>
      <c r="E15" s="71">
        <f t="shared" si="4"/>
        <v>54802</v>
      </c>
      <c r="F15" s="68">
        <f t="shared" si="1"/>
        <v>226</v>
      </c>
      <c r="G15" s="68">
        <f t="shared" si="5"/>
        <v>12385252</v>
      </c>
      <c r="H15" s="68">
        <f t="shared" si="6"/>
        <v>2477050</v>
      </c>
      <c r="I15" s="68">
        <f t="shared" si="7"/>
        <v>9908202</v>
      </c>
      <c r="J15" s="68">
        <f t="shared" si="8"/>
        <v>9908202</v>
      </c>
      <c r="K15" s="68"/>
      <c r="L15" s="72"/>
      <c r="M15" s="68">
        <f t="shared" si="9"/>
        <v>0</v>
      </c>
      <c r="N15" s="68">
        <f>+IF(I15-M15&gt;0,I15-M15,0)</f>
        <v>9908202</v>
      </c>
      <c r="O15" s="68">
        <f t="shared" si="11"/>
        <v>1981640</v>
      </c>
      <c r="P15" s="70">
        <f t="shared" ref="P15:P41" si="12">+N15-O15</f>
        <v>7926562</v>
      </c>
    </row>
    <row r="16" spans="1:16" x14ac:dyDescent="0.25">
      <c r="A16" s="60" t="s">
        <v>66</v>
      </c>
      <c r="B16" s="66">
        <f>+ROUND(Malacca!C37,0)</f>
        <v>114031</v>
      </c>
      <c r="C16" s="71">
        <f>+ROUND(NSR!C26,0)</f>
        <v>3090</v>
      </c>
      <c r="D16" s="71">
        <f t="shared" si="3"/>
        <v>110941</v>
      </c>
      <c r="E16" s="71">
        <f t="shared" si="4"/>
        <v>55471</v>
      </c>
      <c r="F16" s="68">
        <f t="shared" si="1"/>
        <v>228</v>
      </c>
      <c r="G16" s="68">
        <f t="shared" si="5"/>
        <v>12647388</v>
      </c>
      <c r="H16" s="68">
        <f t="shared" si="6"/>
        <v>2529478</v>
      </c>
      <c r="I16" s="68">
        <f t="shared" si="7"/>
        <v>10117910</v>
      </c>
      <c r="J16" s="68"/>
      <c r="K16" s="68"/>
      <c r="L16" s="72"/>
      <c r="M16" s="68"/>
      <c r="N16" s="68">
        <f t="shared" si="10"/>
        <v>10117910</v>
      </c>
      <c r="O16" s="68">
        <f t="shared" si="11"/>
        <v>2023582</v>
      </c>
      <c r="P16" s="70">
        <f t="shared" si="12"/>
        <v>8094328</v>
      </c>
    </row>
    <row r="17" spans="1:16" x14ac:dyDescent="0.25">
      <c r="A17" s="60" t="s">
        <v>67</v>
      </c>
      <c r="B17" s="66">
        <f>+ROUND(Malacca!C38,0)</f>
        <v>115665</v>
      </c>
      <c r="C17" s="71">
        <f>+ROUND(NSR!C27,0)</f>
        <v>3486</v>
      </c>
      <c r="D17" s="71">
        <f t="shared" si="3"/>
        <v>112179</v>
      </c>
      <c r="E17" s="71">
        <f t="shared" si="4"/>
        <v>56090</v>
      </c>
      <c r="F17" s="68">
        <f t="shared" si="1"/>
        <v>230</v>
      </c>
      <c r="G17" s="68">
        <f t="shared" si="5"/>
        <v>12900700</v>
      </c>
      <c r="H17" s="68">
        <f t="shared" si="6"/>
        <v>2580140</v>
      </c>
      <c r="I17" s="68">
        <f t="shared" si="7"/>
        <v>10320560</v>
      </c>
      <c r="J17" s="68"/>
      <c r="K17" s="68"/>
      <c r="L17" s="72"/>
      <c r="M17" s="68"/>
      <c r="N17" s="68">
        <f t="shared" si="10"/>
        <v>10320560</v>
      </c>
      <c r="O17" s="68">
        <f t="shared" si="11"/>
        <v>2064112</v>
      </c>
      <c r="P17" s="70">
        <f t="shared" si="12"/>
        <v>8256448</v>
      </c>
    </row>
    <row r="18" spans="1:16" x14ac:dyDescent="0.25">
      <c r="A18" s="60" t="s">
        <v>68</v>
      </c>
      <c r="B18" s="66">
        <f>+ROUND(Malacca!C39,0)</f>
        <v>117298</v>
      </c>
      <c r="C18" s="71">
        <f>+ROUND(NSR!C28,0)</f>
        <v>3907</v>
      </c>
      <c r="D18" s="71">
        <f t="shared" si="3"/>
        <v>113391</v>
      </c>
      <c r="E18" s="71">
        <f t="shared" si="4"/>
        <v>56696</v>
      </c>
      <c r="F18" s="68">
        <f t="shared" si="1"/>
        <v>232</v>
      </c>
      <c r="G18" s="68">
        <f t="shared" si="5"/>
        <v>13153472</v>
      </c>
      <c r="H18" s="68">
        <f t="shared" si="6"/>
        <v>2630694</v>
      </c>
      <c r="I18" s="68">
        <f t="shared" si="7"/>
        <v>10522778</v>
      </c>
      <c r="J18" s="68"/>
      <c r="K18" s="68"/>
      <c r="L18" s="72"/>
      <c r="M18" s="68"/>
      <c r="N18" s="68">
        <f t="shared" si="10"/>
        <v>10522778</v>
      </c>
      <c r="O18" s="68">
        <f t="shared" si="11"/>
        <v>2104556</v>
      </c>
      <c r="P18" s="70">
        <f t="shared" si="12"/>
        <v>8418222</v>
      </c>
    </row>
    <row r="19" spans="1:16" x14ac:dyDescent="0.25">
      <c r="A19" s="60" t="s">
        <v>69</v>
      </c>
      <c r="B19" s="66">
        <f>+ROUND(Malacca!C40,0)</f>
        <v>118932</v>
      </c>
      <c r="C19" s="71">
        <f>+ROUND(NSR!C29,0)</f>
        <v>4266</v>
      </c>
      <c r="D19" s="71">
        <f t="shared" si="3"/>
        <v>114666</v>
      </c>
      <c r="E19" s="71">
        <f t="shared" si="4"/>
        <v>57333</v>
      </c>
      <c r="F19" s="68">
        <f t="shared" si="1"/>
        <v>234</v>
      </c>
      <c r="G19" s="68">
        <f t="shared" si="5"/>
        <v>13415922</v>
      </c>
      <c r="H19" s="68">
        <f t="shared" si="6"/>
        <v>2683184</v>
      </c>
      <c r="I19" s="68">
        <f t="shared" si="7"/>
        <v>10732738</v>
      </c>
      <c r="J19" s="68"/>
      <c r="K19" s="68"/>
      <c r="L19" s="72"/>
      <c r="M19" s="68"/>
      <c r="N19" s="68">
        <f t="shared" si="10"/>
        <v>10732738</v>
      </c>
      <c r="O19" s="68">
        <f t="shared" si="11"/>
        <v>2146548</v>
      </c>
      <c r="P19" s="70">
        <f t="shared" si="12"/>
        <v>8586190</v>
      </c>
    </row>
    <row r="20" spans="1:16" x14ac:dyDescent="0.25">
      <c r="A20" s="60" t="s">
        <v>70</v>
      </c>
      <c r="B20" s="66">
        <f>+ROUND(Malacca!C41,0)</f>
        <v>120565</v>
      </c>
      <c r="C20" s="71">
        <f>+ROUND(NSR!C30,0)</f>
        <v>4560</v>
      </c>
      <c r="D20" s="71">
        <f t="shared" si="3"/>
        <v>116005</v>
      </c>
      <c r="E20" s="71">
        <f t="shared" si="4"/>
        <v>58003</v>
      </c>
      <c r="F20" s="68">
        <f t="shared" si="1"/>
        <v>236</v>
      </c>
      <c r="G20" s="68">
        <f t="shared" si="5"/>
        <v>13688708</v>
      </c>
      <c r="H20" s="68">
        <f t="shared" si="6"/>
        <v>2737742</v>
      </c>
      <c r="I20" s="68">
        <f t="shared" si="7"/>
        <v>10950966</v>
      </c>
      <c r="J20" s="68"/>
      <c r="K20" s="68"/>
      <c r="L20" s="72"/>
      <c r="M20" s="68"/>
      <c r="N20" s="68">
        <f t="shared" si="10"/>
        <v>10950966</v>
      </c>
      <c r="O20" s="68">
        <f t="shared" si="11"/>
        <v>2190193</v>
      </c>
      <c r="P20" s="70">
        <f t="shared" si="12"/>
        <v>8760773</v>
      </c>
    </row>
    <row r="21" spans="1:16" x14ac:dyDescent="0.25">
      <c r="A21" s="60" t="s">
        <v>71</v>
      </c>
      <c r="B21" s="66">
        <f>+ROUND(Malacca!C42,0)</f>
        <v>122199</v>
      </c>
      <c r="C21" s="71">
        <f>+ROUND(NSR!C31,0)</f>
        <v>4957</v>
      </c>
      <c r="D21" s="71">
        <f t="shared" si="3"/>
        <v>117242</v>
      </c>
      <c r="E21" s="71">
        <f t="shared" si="4"/>
        <v>58621</v>
      </c>
      <c r="F21" s="68">
        <f t="shared" si="1"/>
        <v>238</v>
      </c>
      <c r="G21" s="68">
        <f t="shared" si="5"/>
        <v>13951798</v>
      </c>
      <c r="H21" s="68">
        <f t="shared" si="6"/>
        <v>2790360</v>
      </c>
      <c r="I21" s="68">
        <f t="shared" si="7"/>
        <v>11161438</v>
      </c>
      <c r="J21" s="68"/>
      <c r="K21" s="68"/>
      <c r="L21" s="72"/>
      <c r="M21" s="68"/>
      <c r="N21" s="68">
        <f t="shared" si="10"/>
        <v>11161438</v>
      </c>
      <c r="O21" s="68">
        <f t="shared" si="11"/>
        <v>2232288</v>
      </c>
      <c r="P21" s="70">
        <f t="shared" si="12"/>
        <v>8929150</v>
      </c>
    </row>
    <row r="22" spans="1:16" x14ac:dyDescent="0.25">
      <c r="A22" s="60" t="s">
        <v>72</v>
      </c>
      <c r="B22" s="66">
        <f>+ROUND(Malacca!C43,0)</f>
        <v>123832</v>
      </c>
      <c r="C22" s="71">
        <f>+ROUND(NSR!C32,0)</f>
        <v>5378</v>
      </c>
      <c r="D22" s="71">
        <f t="shared" si="3"/>
        <v>118454</v>
      </c>
      <c r="E22" s="71">
        <f t="shared" si="4"/>
        <v>59227</v>
      </c>
      <c r="F22" s="68">
        <f t="shared" si="1"/>
        <v>240</v>
      </c>
      <c r="G22" s="68">
        <f t="shared" si="5"/>
        <v>14214480</v>
      </c>
      <c r="H22" s="68">
        <f t="shared" si="6"/>
        <v>2842896</v>
      </c>
      <c r="I22" s="68">
        <f t="shared" si="7"/>
        <v>11371584</v>
      </c>
      <c r="J22" s="68"/>
      <c r="K22" s="68"/>
      <c r="L22" s="72"/>
      <c r="M22" s="68"/>
      <c r="N22" s="68">
        <f t="shared" si="10"/>
        <v>11371584</v>
      </c>
      <c r="O22" s="68">
        <f t="shared" si="11"/>
        <v>2274317</v>
      </c>
      <c r="P22" s="70">
        <f t="shared" si="12"/>
        <v>9097267</v>
      </c>
    </row>
    <row r="23" spans="1:16" x14ac:dyDescent="0.25">
      <c r="A23" s="60" t="s">
        <v>73</v>
      </c>
      <c r="B23" s="66">
        <f>+ROUND(Malacca!C44,0)</f>
        <v>125466</v>
      </c>
      <c r="C23" s="71">
        <f>+ROUND(NSR!C33,0)</f>
        <v>5737</v>
      </c>
      <c r="D23" s="71">
        <f t="shared" si="3"/>
        <v>119729</v>
      </c>
      <c r="E23" s="71">
        <f t="shared" si="4"/>
        <v>59865</v>
      </c>
      <c r="F23" s="68">
        <f t="shared" si="1"/>
        <v>242</v>
      </c>
      <c r="G23" s="68">
        <f t="shared" si="5"/>
        <v>14487330</v>
      </c>
      <c r="H23" s="68">
        <f t="shared" si="6"/>
        <v>2897466</v>
      </c>
      <c r="I23" s="68">
        <f t="shared" si="7"/>
        <v>11589864</v>
      </c>
      <c r="J23" s="68"/>
      <c r="K23" s="68"/>
      <c r="L23" s="72"/>
      <c r="M23" s="68"/>
      <c r="N23" s="68">
        <f t="shared" si="10"/>
        <v>11589864</v>
      </c>
      <c r="O23" s="68">
        <f t="shared" si="11"/>
        <v>2317973</v>
      </c>
      <c r="P23" s="70">
        <f t="shared" si="12"/>
        <v>9271891</v>
      </c>
    </row>
    <row r="24" spans="1:16" x14ac:dyDescent="0.25">
      <c r="A24" s="60" t="s">
        <v>74</v>
      </c>
      <c r="B24" s="66">
        <f>+ROUND(Malacca!C45,0)</f>
        <v>127099</v>
      </c>
      <c r="C24" s="71">
        <f>+ROUND(NSR!C34,0)</f>
        <v>6031</v>
      </c>
      <c r="D24" s="71">
        <f t="shared" si="3"/>
        <v>121068</v>
      </c>
      <c r="E24" s="71">
        <f t="shared" si="4"/>
        <v>60534</v>
      </c>
      <c r="F24" s="68">
        <f t="shared" si="1"/>
        <v>244</v>
      </c>
      <c r="G24" s="68">
        <f t="shared" si="5"/>
        <v>14770296</v>
      </c>
      <c r="H24" s="68">
        <f t="shared" si="6"/>
        <v>2954059</v>
      </c>
      <c r="I24" s="68">
        <f t="shared" si="7"/>
        <v>11816237</v>
      </c>
      <c r="J24" s="68"/>
      <c r="K24" s="68"/>
      <c r="L24" s="72"/>
      <c r="M24" s="68"/>
      <c r="N24" s="68">
        <f t="shared" si="10"/>
        <v>11816237</v>
      </c>
      <c r="O24" s="68">
        <f t="shared" si="11"/>
        <v>2363247</v>
      </c>
      <c r="P24" s="70">
        <f t="shared" si="12"/>
        <v>9452990</v>
      </c>
    </row>
    <row r="25" spans="1:16" x14ac:dyDescent="0.25">
      <c r="A25" s="60" t="s">
        <v>75</v>
      </c>
      <c r="B25" s="66">
        <f>+ROUND(Malacca!C46,0)</f>
        <v>128733</v>
      </c>
      <c r="C25" s="71">
        <f>+ROUND(NSR!C35,0)</f>
        <v>6427</v>
      </c>
      <c r="D25" s="71">
        <f t="shared" si="3"/>
        <v>122306</v>
      </c>
      <c r="E25" s="71">
        <f t="shared" si="4"/>
        <v>61153</v>
      </c>
      <c r="F25" s="68">
        <f t="shared" si="1"/>
        <v>246</v>
      </c>
      <c r="G25" s="68">
        <f t="shared" si="5"/>
        <v>15043638</v>
      </c>
      <c r="H25" s="68">
        <f t="shared" si="6"/>
        <v>3008728</v>
      </c>
      <c r="I25" s="68">
        <f t="shared" si="7"/>
        <v>12034910</v>
      </c>
      <c r="J25" s="68"/>
      <c r="K25" s="68"/>
      <c r="L25" s="72"/>
      <c r="M25" s="68"/>
      <c r="N25" s="68">
        <f t="shared" si="10"/>
        <v>12034910</v>
      </c>
      <c r="O25" s="68">
        <f t="shared" si="11"/>
        <v>2406982</v>
      </c>
      <c r="P25" s="70">
        <f t="shared" si="12"/>
        <v>9627928</v>
      </c>
    </row>
    <row r="26" spans="1:16" x14ac:dyDescent="0.25">
      <c r="A26" s="60" t="s">
        <v>76</v>
      </c>
      <c r="B26" s="66">
        <f>+ROUND(Malacca!C47,0)</f>
        <v>130366</v>
      </c>
      <c r="C26" s="71">
        <f>+ROUND(NSR!C36,0)</f>
        <v>6849</v>
      </c>
      <c r="D26" s="71">
        <f t="shared" si="3"/>
        <v>123517</v>
      </c>
      <c r="E26" s="71">
        <f t="shared" si="4"/>
        <v>61759</v>
      </c>
      <c r="F26" s="68">
        <f t="shared" si="1"/>
        <v>248</v>
      </c>
      <c r="G26" s="68">
        <f t="shared" si="5"/>
        <v>15316232</v>
      </c>
      <c r="H26" s="68">
        <f t="shared" si="6"/>
        <v>3063246</v>
      </c>
      <c r="I26" s="68">
        <f t="shared" si="7"/>
        <v>12252986</v>
      </c>
      <c r="J26" s="68"/>
      <c r="K26" s="68"/>
      <c r="L26" s="72"/>
      <c r="M26" s="68"/>
      <c r="N26" s="68">
        <f t="shared" si="10"/>
        <v>12252986</v>
      </c>
      <c r="O26" s="68">
        <f t="shared" si="11"/>
        <v>2450597</v>
      </c>
      <c r="P26" s="70">
        <f t="shared" si="12"/>
        <v>9802389</v>
      </c>
    </row>
    <row r="27" spans="1:16" x14ac:dyDescent="0.25">
      <c r="A27" s="60" t="s">
        <v>77</v>
      </c>
      <c r="B27" s="66">
        <f>+ROUND(Malacca!C48,0)</f>
        <v>132000</v>
      </c>
      <c r="C27" s="71">
        <f>+ROUND(NSR!C37,0)</f>
        <v>7207</v>
      </c>
      <c r="D27" s="71">
        <f t="shared" si="3"/>
        <v>124793</v>
      </c>
      <c r="E27" s="71">
        <f t="shared" si="4"/>
        <v>62397</v>
      </c>
      <c r="F27" s="68">
        <f t="shared" si="1"/>
        <v>250</v>
      </c>
      <c r="G27" s="68">
        <f t="shared" si="5"/>
        <v>15599250</v>
      </c>
      <c r="H27" s="68">
        <f t="shared" si="6"/>
        <v>3119850</v>
      </c>
      <c r="I27" s="68">
        <f t="shared" si="7"/>
        <v>12479400</v>
      </c>
      <c r="J27" s="68"/>
      <c r="K27" s="68"/>
      <c r="L27" s="72"/>
      <c r="M27" s="68"/>
      <c r="N27" s="68">
        <f t="shared" si="10"/>
        <v>12479400</v>
      </c>
      <c r="O27" s="68">
        <f t="shared" si="11"/>
        <v>2495880</v>
      </c>
      <c r="P27" s="70">
        <f t="shared" si="12"/>
        <v>9983520</v>
      </c>
    </row>
    <row r="28" spans="1:16" x14ac:dyDescent="0.25">
      <c r="A28" s="60" t="s">
        <v>78</v>
      </c>
      <c r="B28" s="66">
        <f>+ROUND(Malacca!C49,0)</f>
        <v>133633</v>
      </c>
      <c r="C28" s="71">
        <f>+ROUND(NSR!C38,0)</f>
        <v>7502</v>
      </c>
      <c r="D28" s="71">
        <f t="shared" si="3"/>
        <v>126131</v>
      </c>
      <c r="E28" s="71">
        <f t="shared" si="4"/>
        <v>63066</v>
      </c>
      <c r="F28" s="68">
        <f t="shared" si="1"/>
        <v>253</v>
      </c>
      <c r="G28" s="68">
        <f t="shared" si="5"/>
        <v>15955698</v>
      </c>
      <c r="H28" s="68">
        <f t="shared" si="6"/>
        <v>3191140</v>
      </c>
      <c r="I28" s="68">
        <f t="shared" si="7"/>
        <v>12764558</v>
      </c>
      <c r="J28" s="68"/>
      <c r="K28" s="68"/>
      <c r="L28" s="72"/>
      <c r="M28" s="68"/>
      <c r="N28" s="68">
        <f t="shared" si="10"/>
        <v>12764558</v>
      </c>
      <c r="O28" s="68">
        <f t="shared" si="11"/>
        <v>2552912</v>
      </c>
      <c r="P28" s="70">
        <f t="shared" si="12"/>
        <v>10211646</v>
      </c>
    </row>
    <row r="29" spans="1:16" x14ac:dyDescent="0.25">
      <c r="A29" s="60" t="s">
        <v>79</v>
      </c>
      <c r="B29" s="66">
        <f>+ROUND(Malacca!C50,0)</f>
        <v>135267</v>
      </c>
      <c r="C29" s="71">
        <f>+ROUND(NSR!C39,0)</f>
        <v>7898</v>
      </c>
      <c r="D29" s="71">
        <f t="shared" si="3"/>
        <v>127369</v>
      </c>
      <c r="E29" s="71">
        <f t="shared" si="4"/>
        <v>63685</v>
      </c>
      <c r="F29" s="68">
        <f t="shared" si="1"/>
        <v>256</v>
      </c>
      <c r="G29" s="68">
        <f t="shared" si="5"/>
        <v>16303360</v>
      </c>
      <c r="H29" s="68">
        <f t="shared" si="6"/>
        <v>3260672</v>
      </c>
      <c r="I29" s="68">
        <f t="shared" si="7"/>
        <v>13042688</v>
      </c>
      <c r="J29" s="68"/>
      <c r="K29" s="68"/>
      <c r="L29" s="72"/>
      <c r="M29" s="68"/>
      <c r="N29" s="68">
        <f t="shared" si="10"/>
        <v>13042688</v>
      </c>
      <c r="O29" s="68">
        <f t="shared" si="11"/>
        <v>2608538</v>
      </c>
      <c r="P29" s="70">
        <f t="shared" si="12"/>
        <v>10434150</v>
      </c>
    </row>
    <row r="30" spans="1:16" x14ac:dyDescent="0.25">
      <c r="A30" s="60" t="s">
        <v>80</v>
      </c>
      <c r="B30" s="66">
        <f>+ROUND(Malacca!C51,0)</f>
        <v>136900</v>
      </c>
      <c r="C30" s="71">
        <f>+ROUND(NSR!C40,0)</f>
        <v>8319</v>
      </c>
      <c r="D30" s="71">
        <f t="shared" si="3"/>
        <v>128581</v>
      </c>
      <c r="E30" s="71">
        <f t="shared" si="4"/>
        <v>64291</v>
      </c>
      <c r="F30" s="68">
        <f t="shared" si="1"/>
        <v>259</v>
      </c>
      <c r="G30" s="68">
        <f t="shared" si="5"/>
        <v>16651369</v>
      </c>
      <c r="H30" s="68">
        <f t="shared" si="6"/>
        <v>3330274</v>
      </c>
      <c r="I30" s="68">
        <f t="shared" si="7"/>
        <v>13321095</v>
      </c>
      <c r="J30" s="68"/>
      <c r="K30" s="68"/>
      <c r="L30" s="72"/>
      <c r="M30" s="68"/>
      <c r="N30" s="68">
        <f t="shared" si="10"/>
        <v>13321095</v>
      </c>
      <c r="O30" s="68">
        <f t="shared" si="11"/>
        <v>2664219</v>
      </c>
      <c r="P30" s="70">
        <f t="shared" si="12"/>
        <v>10656876</v>
      </c>
    </row>
    <row r="31" spans="1:16" x14ac:dyDescent="0.25">
      <c r="A31" s="60" t="s">
        <v>81</v>
      </c>
      <c r="B31" s="66">
        <f>+ROUND(Malacca!C52,0)</f>
        <v>138534</v>
      </c>
      <c r="C31" s="71">
        <f>+ROUND(B31*0.3,0)</f>
        <v>41560</v>
      </c>
      <c r="D31" s="71">
        <f t="shared" si="3"/>
        <v>96974</v>
      </c>
      <c r="E31" s="71">
        <f t="shared" si="4"/>
        <v>48487</v>
      </c>
      <c r="F31" s="68">
        <f t="shared" si="1"/>
        <v>262</v>
      </c>
      <c r="G31" s="68">
        <f t="shared" si="5"/>
        <v>12703594</v>
      </c>
      <c r="H31" s="68">
        <f t="shared" si="6"/>
        <v>2540719</v>
      </c>
      <c r="I31" s="68">
        <f t="shared" si="7"/>
        <v>10162875</v>
      </c>
      <c r="J31" s="68"/>
      <c r="K31" s="68"/>
      <c r="L31" s="72"/>
      <c r="M31" s="68"/>
      <c r="N31" s="68">
        <f t="shared" si="10"/>
        <v>10162875</v>
      </c>
      <c r="O31" s="68">
        <f t="shared" si="11"/>
        <v>2032575</v>
      </c>
      <c r="P31" s="70">
        <f t="shared" si="12"/>
        <v>8130300</v>
      </c>
    </row>
    <row r="32" spans="1:16" x14ac:dyDescent="0.25">
      <c r="A32" s="60" t="s">
        <v>82</v>
      </c>
      <c r="B32" s="66">
        <f>+ROUND(Malacca!C53,0)</f>
        <v>140167</v>
      </c>
      <c r="C32" s="71">
        <f t="shared" ref="C32:C41" si="13">+ROUND(B32*0.3,0)</f>
        <v>42050</v>
      </c>
      <c r="D32" s="71">
        <f t="shared" si="3"/>
        <v>98117</v>
      </c>
      <c r="E32" s="71">
        <f t="shared" si="4"/>
        <v>49059</v>
      </c>
      <c r="F32" s="68">
        <f t="shared" si="1"/>
        <v>265</v>
      </c>
      <c r="G32" s="68">
        <f t="shared" si="5"/>
        <v>13000635</v>
      </c>
      <c r="H32" s="68">
        <f t="shared" si="6"/>
        <v>2600127</v>
      </c>
      <c r="I32" s="68">
        <f t="shared" si="7"/>
        <v>10400508</v>
      </c>
      <c r="J32" s="68"/>
      <c r="K32" s="68"/>
      <c r="L32" s="72"/>
      <c r="M32" s="68"/>
      <c r="N32" s="68">
        <f t="shared" si="10"/>
        <v>10400508</v>
      </c>
      <c r="O32" s="68">
        <f t="shared" si="11"/>
        <v>2080102</v>
      </c>
      <c r="P32" s="70">
        <f t="shared" si="12"/>
        <v>8320406</v>
      </c>
    </row>
    <row r="33" spans="1:16" x14ac:dyDescent="0.25">
      <c r="A33" s="60" t="s">
        <v>83</v>
      </c>
      <c r="B33" s="66">
        <f>+ROUND(Malacca!C54,0)</f>
        <v>141801</v>
      </c>
      <c r="C33" s="71">
        <f t="shared" si="13"/>
        <v>42540</v>
      </c>
      <c r="D33" s="71">
        <f t="shared" si="3"/>
        <v>99261</v>
      </c>
      <c r="E33" s="71">
        <f t="shared" si="4"/>
        <v>49631</v>
      </c>
      <c r="F33" s="68">
        <f t="shared" si="1"/>
        <v>268</v>
      </c>
      <c r="G33" s="68">
        <f t="shared" si="5"/>
        <v>13301108</v>
      </c>
      <c r="H33" s="68">
        <f t="shared" si="6"/>
        <v>2660222</v>
      </c>
      <c r="I33" s="68">
        <f t="shared" si="7"/>
        <v>10640886</v>
      </c>
      <c r="J33" s="68"/>
      <c r="K33" s="68"/>
      <c r="L33" s="72"/>
      <c r="M33" s="68"/>
      <c r="N33" s="68">
        <f t="shared" si="10"/>
        <v>10640886</v>
      </c>
      <c r="O33" s="68">
        <f t="shared" si="11"/>
        <v>2128177</v>
      </c>
      <c r="P33" s="70">
        <f t="shared" si="12"/>
        <v>8512709</v>
      </c>
    </row>
    <row r="34" spans="1:16" x14ac:dyDescent="0.25">
      <c r="A34" s="60" t="s">
        <v>84</v>
      </c>
      <c r="B34" s="66">
        <f>+ROUND(Malacca!C55,0)</f>
        <v>143434</v>
      </c>
      <c r="C34" s="71">
        <f t="shared" si="13"/>
        <v>43030</v>
      </c>
      <c r="D34" s="71">
        <f t="shared" si="3"/>
        <v>100404</v>
      </c>
      <c r="E34" s="71">
        <f t="shared" si="4"/>
        <v>50202</v>
      </c>
      <c r="F34" s="68">
        <f t="shared" si="1"/>
        <v>271</v>
      </c>
      <c r="G34" s="68">
        <f t="shared" si="5"/>
        <v>13604742</v>
      </c>
      <c r="H34" s="68">
        <f t="shared" si="6"/>
        <v>2720948</v>
      </c>
      <c r="I34" s="68">
        <f t="shared" si="7"/>
        <v>10883794</v>
      </c>
      <c r="J34" s="68"/>
      <c r="K34" s="68"/>
      <c r="L34" s="72"/>
      <c r="M34" s="68"/>
      <c r="N34" s="68">
        <f t="shared" si="10"/>
        <v>10883794</v>
      </c>
      <c r="O34" s="68">
        <f t="shared" si="11"/>
        <v>2176759</v>
      </c>
      <c r="P34" s="70">
        <f t="shared" si="12"/>
        <v>8707035</v>
      </c>
    </row>
    <row r="35" spans="1:16" x14ac:dyDescent="0.25">
      <c r="A35" s="60" t="s">
        <v>85</v>
      </c>
      <c r="B35" s="66">
        <f>+ROUND(Malacca!C56,0)</f>
        <v>145068</v>
      </c>
      <c r="C35" s="71">
        <f t="shared" si="13"/>
        <v>43520</v>
      </c>
      <c r="D35" s="71">
        <f t="shared" si="3"/>
        <v>101548</v>
      </c>
      <c r="E35" s="71">
        <f t="shared" si="4"/>
        <v>50774</v>
      </c>
      <c r="F35" s="68">
        <f t="shared" si="1"/>
        <v>274</v>
      </c>
      <c r="G35" s="68">
        <f t="shared" si="5"/>
        <v>13912076</v>
      </c>
      <c r="H35" s="68">
        <f t="shared" si="6"/>
        <v>2782415</v>
      </c>
      <c r="I35" s="68">
        <f t="shared" si="7"/>
        <v>11129661</v>
      </c>
      <c r="J35" s="68"/>
      <c r="K35" s="68"/>
      <c r="L35" s="72"/>
      <c r="M35" s="68"/>
      <c r="N35" s="68">
        <f t="shared" si="10"/>
        <v>11129661</v>
      </c>
      <c r="O35" s="68">
        <f t="shared" si="11"/>
        <v>2225932</v>
      </c>
      <c r="P35" s="70">
        <f t="shared" si="12"/>
        <v>8903729</v>
      </c>
    </row>
    <row r="36" spans="1:16" x14ac:dyDescent="0.25">
      <c r="A36" s="60" t="s">
        <v>86</v>
      </c>
      <c r="B36" s="66">
        <f>+ROUND(Malacca!C57,0)</f>
        <v>146701</v>
      </c>
      <c r="C36" s="71">
        <f t="shared" si="13"/>
        <v>44010</v>
      </c>
      <c r="D36" s="71">
        <f t="shared" si="3"/>
        <v>102691</v>
      </c>
      <c r="E36" s="71">
        <f t="shared" si="4"/>
        <v>51346</v>
      </c>
      <c r="F36" s="68">
        <f t="shared" si="1"/>
        <v>277</v>
      </c>
      <c r="G36" s="68">
        <f t="shared" si="5"/>
        <v>14222842</v>
      </c>
      <c r="H36" s="68">
        <f t="shared" si="6"/>
        <v>2844568</v>
      </c>
      <c r="I36" s="68">
        <f t="shared" si="7"/>
        <v>11378274</v>
      </c>
      <c r="J36" s="68"/>
      <c r="K36" s="68"/>
      <c r="L36" s="72"/>
      <c r="M36" s="68"/>
      <c r="N36" s="68">
        <f t="shared" si="10"/>
        <v>11378274</v>
      </c>
      <c r="O36" s="68">
        <f t="shared" si="11"/>
        <v>2275655</v>
      </c>
      <c r="P36" s="70">
        <f t="shared" si="12"/>
        <v>9102619</v>
      </c>
    </row>
    <row r="37" spans="1:16" x14ac:dyDescent="0.25">
      <c r="A37" s="60" t="s">
        <v>87</v>
      </c>
      <c r="B37" s="66">
        <f>+ROUND(Malacca!C58,0)</f>
        <v>148335</v>
      </c>
      <c r="C37" s="71">
        <f t="shared" si="13"/>
        <v>44501</v>
      </c>
      <c r="D37" s="71">
        <f t="shared" si="3"/>
        <v>103834</v>
      </c>
      <c r="E37" s="71">
        <f t="shared" si="4"/>
        <v>51917</v>
      </c>
      <c r="F37" s="68">
        <f t="shared" si="1"/>
        <v>280</v>
      </c>
      <c r="G37" s="68">
        <f t="shared" si="5"/>
        <v>14536760</v>
      </c>
      <c r="H37" s="68">
        <f t="shared" si="6"/>
        <v>2907352</v>
      </c>
      <c r="I37" s="68">
        <f t="shared" si="7"/>
        <v>11629408</v>
      </c>
      <c r="J37" s="68"/>
      <c r="K37" s="68"/>
      <c r="L37" s="72"/>
      <c r="M37" s="68"/>
      <c r="N37" s="68">
        <f t="shared" si="10"/>
        <v>11629408</v>
      </c>
      <c r="O37" s="68">
        <f t="shared" si="11"/>
        <v>2325882</v>
      </c>
      <c r="P37" s="70">
        <f t="shared" si="12"/>
        <v>9303526</v>
      </c>
    </row>
    <row r="38" spans="1:16" x14ac:dyDescent="0.25">
      <c r="A38" s="60" t="s">
        <v>88</v>
      </c>
      <c r="B38" s="66">
        <f>+ROUND(Malacca!C59,0)</f>
        <v>149968</v>
      </c>
      <c r="C38" s="71">
        <f t="shared" si="13"/>
        <v>44990</v>
      </c>
      <c r="D38" s="71">
        <f t="shared" si="3"/>
        <v>104978</v>
      </c>
      <c r="E38" s="71">
        <f t="shared" si="4"/>
        <v>52489</v>
      </c>
      <c r="F38" s="68">
        <f t="shared" si="1"/>
        <v>283</v>
      </c>
      <c r="G38" s="68">
        <f t="shared" si="5"/>
        <v>14854387</v>
      </c>
      <c r="H38" s="68">
        <f t="shared" si="6"/>
        <v>2970877</v>
      </c>
      <c r="I38" s="68">
        <f t="shared" si="7"/>
        <v>11883510</v>
      </c>
      <c r="J38" s="68"/>
      <c r="K38" s="68"/>
      <c r="L38" s="72"/>
      <c r="M38" s="68"/>
      <c r="N38" s="68">
        <f t="shared" si="10"/>
        <v>11883510</v>
      </c>
      <c r="O38" s="68">
        <f t="shared" si="11"/>
        <v>2376702</v>
      </c>
      <c r="P38" s="70">
        <f t="shared" si="12"/>
        <v>9506808</v>
      </c>
    </row>
    <row r="39" spans="1:16" x14ac:dyDescent="0.25">
      <c r="A39" s="83" t="s">
        <v>89</v>
      </c>
      <c r="B39" s="66">
        <f>+ROUND(Malacca!C60,0)</f>
        <v>151602</v>
      </c>
      <c r="C39" s="71">
        <f t="shared" si="13"/>
        <v>45481</v>
      </c>
      <c r="D39" s="71">
        <f t="shared" si="3"/>
        <v>106121</v>
      </c>
      <c r="E39" s="71">
        <f t="shared" si="4"/>
        <v>53061</v>
      </c>
      <c r="F39" s="68">
        <f t="shared" si="1"/>
        <v>286</v>
      </c>
      <c r="G39" s="68">
        <f t="shared" si="5"/>
        <v>15175446</v>
      </c>
      <c r="H39" s="68">
        <f t="shared" si="6"/>
        <v>3035089</v>
      </c>
      <c r="I39" s="68">
        <f t="shared" si="7"/>
        <v>12140357</v>
      </c>
      <c r="J39" s="68"/>
      <c r="K39" s="68"/>
      <c r="L39" s="72"/>
      <c r="M39" s="68"/>
      <c r="N39" s="68">
        <f t="shared" si="10"/>
        <v>12140357</v>
      </c>
      <c r="O39" s="68">
        <f t="shared" si="11"/>
        <v>2428071</v>
      </c>
      <c r="P39" s="70">
        <f t="shared" si="12"/>
        <v>9712286</v>
      </c>
    </row>
    <row r="40" spans="1:16" x14ac:dyDescent="0.25">
      <c r="A40" s="60" t="s">
        <v>90</v>
      </c>
      <c r="B40" s="66">
        <f>+ROUND(Malacca!C61,0)</f>
        <v>153236</v>
      </c>
      <c r="C40" s="71">
        <f t="shared" si="13"/>
        <v>45971</v>
      </c>
      <c r="D40" s="71">
        <f t="shared" si="3"/>
        <v>107265</v>
      </c>
      <c r="E40" s="71">
        <f t="shared" si="4"/>
        <v>53633</v>
      </c>
      <c r="F40" s="68">
        <f t="shared" si="1"/>
        <v>289</v>
      </c>
      <c r="G40" s="68">
        <f t="shared" si="5"/>
        <v>15499937</v>
      </c>
      <c r="H40" s="68">
        <f t="shared" si="6"/>
        <v>3099987</v>
      </c>
      <c r="I40" s="68">
        <f t="shared" si="7"/>
        <v>12399950</v>
      </c>
      <c r="J40" s="68"/>
      <c r="K40" s="68"/>
      <c r="L40" s="72"/>
      <c r="M40" s="68"/>
      <c r="N40" s="68">
        <f t="shared" si="10"/>
        <v>12399950</v>
      </c>
      <c r="O40" s="68">
        <f t="shared" si="11"/>
        <v>2479990</v>
      </c>
      <c r="P40" s="70">
        <f t="shared" si="12"/>
        <v>9919960</v>
      </c>
    </row>
    <row r="41" spans="1:16" x14ac:dyDescent="0.25">
      <c r="A41" s="84" t="s">
        <v>91</v>
      </c>
      <c r="B41" s="73">
        <f>+ROUND(Malacca!C62,0)</f>
        <v>154869</v>
      </c>
      <c r="C41" s="74">
        <f t="shared" si="13"/>
        <v>46461</v>
      </c>
      <c r="D41" s="74">
        <f t="shared" si="3"/>
        <v>108408</v>
      </c>
      <c r="E41" s="74">
        <f t="shared" si="4"/>
        <v>54204</v>
      </c>
      <c r="F41" s="75">
        <f t="shared" si="1"/>
        <v>292</v>
      </c>
      <c r="G41" s="75">
        <f t="shared" si="5"/>
        <v>15827568</v>
      </c>
      <c r="H41" s="75">
        <f t="shared" si="6"/>
        <v>3165514</v>
      </c>
      <c r="I41" s="75">
        <f t="shared" si="7"/>
        <v>12662054</v>
      </c>
      <c r="J41" s="75"/>
      <c r="K41" s="75"/>
      <c r="L41" s="76"/>
      <c r="M41" s="75"/>
      <c r="N41" s="75">
        <f>+IF(I41-M41&gt;0,I41-M41,0)</f>
        <v>12662054</v>
      </c>
      <c r="O41" s="75">
        <f t="shared" si="11"/>
        <v>2532411</v>
      </c>
      <c r="P41" s="77">
        <f t="shared" si="12"/>
        <v>10129643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9FAD9-6795-43E0-9B3A-D11D67A0794F}">
  <dimension ref="A1:CD65"/>
  <sheetViews>
    <sheetView zoomScale="55" zoomScaleNormal="55" workbookViewId="0">
      <pane xSplit="2" ySplit="1" topLeftCell="C2" activePane="bottomRight" state="frozen"/>
      <selection pane="topRight" activeCell="B1" sqref="B1"/>
      <selection pane="bottomLeft" activeCell="A2" sqref="A2"/>
      <selection pane="bottomRight" activeCell="I35" sqref="I35"/>
    </sheetView>
  </sheetViews>
  <sheetFormatPr defaultRowHeight="14.4" x14ac:dyDescent="0.3"/>
  <cols>
    <col min="2" max="2" width="33.109375" style="38" customWidth="1"/>
    <col min="3" max="3" width="18.5546875" customWidth="1"/>
    <col min="4" max="5" width="17.5546875" customWidth="1"/>
    <col min="6" max="12" width="18.5546875" customWidth="1"/>
    <col min="13" max="13" width="16.77734375" customWidth="1"/>
    <col min="14" max="14" width="18.88671875" customWidth="1"/>
    <col min="15" max="15" width="15.5546875" customWidth="1"/>
    <col min="16" max="58" width="15.44140625" customWidth="1"/>
    <col min="59" max="78" width="10.44140625" customWidth="1"/>
    <col min="79" max="82" width="15.44140625" customWidth="1"/>
  </cols>
  <sheetData>
    <row r="1" spans="2:82" x14ac:dyDescent="0.3">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c r="AG1">
        <v>2051</v>
      </c>
      <c r="AH1">
        <v>2052</v>
      </c>
      <c r="AI1">
        <v>2053</v>
      </c>
      <c r="AJ1">
        <v>2054</v>
      </c>
      <c r="AK1">
        <v>2055</v>
      </c>
      <c r="AL1">
        <v>2056</v>
      </c>
      <c r="AM1">
        <v>2057</v>
      </c>
      <c r="AN1">
        <v>2058</v>
      </c>
      <c r="AO1">
        <v>2059</v>
      </c>
      <c r="AP1">
        <v>2060</v>
      </c>
      <c r="AQ1">
        <v>2061</v>
      </c>
      <c r="AR1">
        <v>2062</v>
      </c>
      <c r="AS1">
        <v>2063</v>
      </c>
      <c r="AT1">
        <v>2064</v>
      </c>
      <c r="AU1">
        <v>2065</v>
      </c>
      <c r="AV1">
        <v>2066</v>
      </c>
      <c r="AW1">
        <v>2067</v>
      </c>
      <c r="AX1">
        <v>2068</v>
      </c>
      <c r="AY1">
        <v>2069</v>
      </c>
      <c r="AZ1">
        <v>2070</v>
      </c>
      <c r="BA1">
        <v>2071</v>
      </c>
      <c r="BB1">
        <v>2072</v>
      </c>
      <c r="BC1">
        <v>2073</v>
      </c>
      <c r="BD1">
        <v>2074</v>
      </c>
      <c r="BE1">
        <v>2075</v>
      </c>
      <c r="BF1">
        <v>2076</v>
      </c>
      <c r="BG1">
        <v>2077</v>
      </c>
      <c r="BH1">
        <v>2078</v>
      </c>
      <c r="BI1">
        <v>2079</v>
      </c>
      <c r="BJ1">
        <v>2080</v>
      </c>
      <c r="BK1">
        <v>2081</v>
      </c>
      <c r="BL1">
        <v>2082</v>
      </c>
      <c r="BM1">
        <v>2083</v>
      </c>
      <c r="BN1">
        <v>2084</v>
      </c>
      <c r="BO1">
        <v>2085</v>
      </c>
      <c r="BP1">
        <v>2086</v>
      </c>
      <c r="BQ1">
        <v>2087</v>
      </c>
      <c r="BR1">
        <v>2088</v>
      </c>
      <c r="BS1">
        <v>2089</v>
      </c>
      <c r="BT1">
        <v>2090</v>
      </c>
      <c r="BU1">
        <v>2091</v>
      </c>
      <c r="BV1">
        <v>2092</v>
      </c>
      <c r="BW1">
        <v>2093</v>
      </c>
      <c r="BX1">
        <v>2094</v>
      </c>
      <c r="BY1">
        <v>2095</v>
      </c>
      <c r="BZ1">
        <v>2096</v>
      </c>
      <c r="CA1">
        <v>2097</v>
      </c>
      <c r="CB1">
        <v>2098</v>
      </c>
      <c r="CC1">
        <v>2099</v>
      </c>
      <c r="CD1">
        <v>2100</v>
      </c>
    </row>
    <row r="2" spans="2:82" s="1" customFormat="1" x14ac:dyDescent="0.3">
      <c r="B2" s="39" t="s">
        <v>26</v>
      </c>
      <c r="M2" s="1">
        <f>+Summary!F39</f>
        <v>100000</v>
      </c>
      <c r="N2" s="1">
        <f>+M2*(1+0.01)</f>
        <v>101000</v>
      </c>
      <c r="O2" s="1">
        <f t="shared" ref="O2:BE2" si="0">+N2*(1+0.01)</f>
        <v>102010</v>
      </c>
      <c r="P2" s="1">
        <f t="shared" si="0"/>
        <v>103030.1</v>
      </c>
      <c r="Q2" s="1">
        <f t="shared" si="0"/>
        <v>104060.40100000001</v>
      </c>
      <c r="R2" s="1">
        <f t="shared" si="0"/>
        <v>105101.00501000001</v>
      </c>
      <c r="S2" s="1">
        <f t="shared" si="0"/>
        <v>106152.01506010001</v>
      </c>
      <c r="T2" s="1">
        <f t="shared" si="0"/>
        <v>107213.53521070101</v>
      </c>
      <c r="U2" s="1">
        <f t="shared" si="0"/>
        <v>108285.67056280802</v>
      </c>
      <c r="V2" s="1">
        <f t="shared" si="0"/>
        <v>109368.52726843611</v>
      </c>
      <c r="W2" s="1">
        <f t="shared" si="0"/>
        <v>110462.21254112048</v>
      </c>
      <c r="X2" s="1">
        <f t="shared" si="0"/>
        <v>111566.83466653168</v>
      </c>
      <c r="Y2" s="1">
        <f t="shared" si="0"/>
        <v>112682.503013197</v>
      </c>
      <c r="Z2" s="1">
        <f t="shared" si="0"/>
        <v>113809.32804332896</v>
      </c>
      <c r="AA2" s="1">
        <f t="shared" si="0"/>
        <v>114947.42132376225</v>
      </c>
      <c r="AB2" s="1">
        <f t="shared" si="0"/>
        <v>116096.89553699987</v>
      </c>
      <c r="AC2" s="1">
        <f t="shared" si="0"/>
        <v>117257.86449236987</v>
      </c>
      <c r="AD2" s="1">
        <f t="shared" si="0"/>
        <v>118430.44313729358</v>
      </c>
      <c r="AE2" s="1">
        <f t="shared" si="0"/>
        <v>119614.74756866651</v>
      </c>
      <c r="AF2" s="1">
        <f t="shared" si="0"/>
        <v>120810.89504435318</v>
      </c>
      <c r="AG2" s="1">
        <f t="shared" si="0"/>
        <v>122019.00399479672</v>
      </c>
      <c r="AH2" s="1">
        <f t="shared" si="0"/>
        <v>123239.19403474468</v>
      </c>
      <c r="AI2" s="1">
        <f t="shared" si="0"/>
        <v>124471.58597509212</v>
      </c>
      <c r="AJ2" s="1">
        <f t="shared" si="0"/>
        <v>125716.30183484305</v>
      </c>
      <c r="AK2" s="1">
        <f t="shared" si="0"/>
        <v>126973.46485319149</v>
      </c>
      <c r="AL2" s="1">
        <f t="shared" si="0"/>
        <v>128243.1995017234</v>
      </c>
      <c r="AM2" s="1">
        <f t="shared" si="0"/>
        <v>129525.63149674064</v>
      </c>
      <c r="AN2" s="1">
        <f t="shared" si="0"/>
        <v>130820.88781170805</v>
      </c>
      <c r="AO2" s="1">
        <f t="shared" si="0"/>
        <v>132129.09668982512</v>
      </c>
      <c r="AP2" s="1">
        <f t="shared" si="0"/>
        <v>133450.38765672338</v>
      </c>
      <c r="AQ2" s="1">
        <f t="shared" si="0"/>
        <v>134784.89153329062</v>
      </c>
      <c r="AR2" s="1">
        <f t="shared" si="0"/>
        <v>136132.74044862352</v>
      </c>
      <c r="AS2" s="1">
        <f t="shared" si="0"/>
        <v>137494.06785310977</v>
      </c>
      <c r="AT2" s="1">
        <f t="shared" si="0"/>
        <v>138869.00853164087</v>
      </c>
      <c r="AU2" s="1">
        <f t="shared" si="0"/>
        <v>140257.69861695726</v>
      </c>
      <c r="AV2" s="1">
        <f t="shared" si="0"/>
        <v>141660.27560312685</v>
      </c>
      <c r="AW2" s="1">
        <f t="shared" si="0"/>
        <v>143076.87835915812</v>
      </c>
      <c r="AX2" s="1">
        <f t="shared" si="0"/>
        <v>144507.64714274969</v>
      </c>
      <c r="AY2" s="1">
        <f t="shared" si="0"/>
        <v>145952.72361417717</v>
      </c>
      <c r="AZ2" s="1">
        <f t="shared" si="0"/>
        <v>147412.25085031893</v>
      </c>
      <c r="BA2" s="1">
        <f t="shared" si="0"/>
        <v>148886.37335882211</v>
      </c>
      <c r="BB2" s="1">
        <f t="shared" si="0"/>
        <v>150375.23709241033</v>
      </c>
      <c r="BC2" s="1">
        <f t="shared" si="0"/>
        <v>151878.98946333444</v>
      </c>
      <c r="BD2" s="1">
        <f t="shared" si="0"/>
        <v>153397.77935796778</v>
      </c>
      <c r="BE2" s="1">
        <f t="shared" si="0"/>
        <v>154931.75715154747</v>
      </c>
      <c r="BF2" s="1">
        <f t="shared" ref="BF2:CD2" si="1">+BE2*(1+0.01)</f>
        <v>156481.07472306295</v>
      </c>
      <c r="BG2" s="1">
        <f t="shared" si="1"/>
        <v>158045.88547029358</v>
      </c>
      <c r="BH2" s="1">
        <f t="shared" si="1"/>
        <v>159626.34432499652</v>
      </c>
      <c r="BI2" s="1">
        <f t="shared" si="1"/>
        <v>161222.6077682465</v>
      </c>
      <c r="BJ2" s="1">
        <f t="shared" si="1"/>
        <v>162834.83384592895</v>
      </c>
      <c r="BK2" s="1">
        <f t="shared" si="1"/>
        <v>164463.18218438825</v>
      </c>
      <c r="BL2" s="1">
        <f t="shared" si="1"/>
        <v>166107.81400623213</v>
      </c>
      <c r="BM2" s="1">
        <f t="shared" si="1"/>
        <v>167768.89214629444</v>
      </c>
      <c r="BN2" s="1">
        <f t="shared" si="1"/>
        <v>169446.58106775739</v>
      </c>
      <c r="BO2" s="1">
        <f t="shared" si="1"/>
        <v>171141.04687843498</v>
      </c>
      <c r="BP2" s="1">
        <f t="shared" si="1"/>
        <v>172852.45734721934</v>
      </c>
      <c r="BQ2" s="1">
        <f t="shared" si="1"/>
        <v>174580.98192069153</v>
      </c>
      <c r="BR2" s="1">
        <f t="shared" si="1"/>
        <v>176326.79173989844</v>
      </c>
      <c r="BS2" s="1">
        <f t="shared" si="1"/>
        <v>178090.05965729742</v>
      </c>
      <c r="BT2" s="1">
        <f t="shared" si="1"/>
        <v>179870.96025387041</v>
      </c>
      <c r="BU2" s="1">
        <f t="shared" si="1"/>
        <v>181669.66985640911</v>
      </c>
      <c r="BV2" s="1">
        <f t="shared" si="1"/>
        <v>183486.36655497321</v>
      </c>
      <c r="BW2" s="1">
        <f t="shared" si="1"/>
        <v>185321.23022052294</v>
      </c>
      <c r="BX2" s="1">
        <f t="shared" si="1"/>
        <v>187174.44252272818</v>
      </c>
      <c r="BY2" s="1">
        <f t="shared" si="1"/>
        <v>189046.18694795546</v>
      </c>
      <c r="BZ2" s="1">
        <f t="shared" si="1"/>
        <v>190936.64881743502</v>
      </c>
      <c r="CA2" s="1">
        <f t="shared" si="1"/>
        <v>192846.01530560938</v>
      </c>
      <c r="CB2" s="1">
        <f t="shared" si="1"/>
        <v>194774.47545866549</v>
      </c>
      <c r="CC2" s="1">
        <f t="shared" si="1"/>
        <v>196722.22021325215</v>
      </c>
      <c r="CD2" s="1">
        <f t="shared" si="1"/>
        <v>198689.44241538466</v>
      </c>
    </row>
    <row r="3" spans="2:82" x14ac:dyDescent="0.3">
      <c r="B3" s="38" t="s">
        <v>35</v>
      </c>
      <c r="M3" s="34">
        <f>+Summary!D39</f>
        <v>1500</v>
      </c>
      <c r="N3">
        <f>+M3*(1+0.05)</f>
        <v>1575</v>
      </c>
      <c r="O3">
        <f>+N3*(1+0.05)</f>
        <v>1653.75</v>
      </c>
      <c r="P3">
        <f t="shared" ref="P3:BE3" si="2">+O3*(1+0.05)</f>
        <v>1736.4375</v>
      </c>
      <c r="Q3">
        <f t="shared" si="2"/>
        <v>1823.2593750000001</v>
      </c>
      <c r="R3">
        <f t="shared" si="2"/>
        <v>1914.4223437500002</v>
      </c>
      <c r="S3">
        <f t="shared" si="2"/>
        <v>2010.1434609375003</v>
      </c>
      <c r="T3">
        <f t="shared" si="2"/>
        <v>2110.6506339843754</v>
      </c>
      <c r="U3">
        <f t="shared" si="2"/>
        <v>2216.1831656835943</v>
      </c>
      <c r="V3">
        <f t="shared" si="2"/>
        <v>2326.9923239677742</v>
      </c>
      <c r="W3">
        <f t="shared" si="2"/>
        <v>2443.3419401661631</v>
      </c>
      <c r="X3">
        <f t="shared" si="2"/>
        <v>2565.5090371744714</v>
      </c>
      <c r="Y3">
        <f t="shared" si="2"/>
        <v>2693.7844890331949</v>
      </c>
      <c r="Z3">
        <f t="shared" si="2"/>
        <v>2828.4737134848547</v>
      </c>
      <c r="AA3">
        <f t="shared" si="2"/>
        <v>2969.8973991590974</v>
      </c>
      <c r="AB3">
        <f t="shared" si="2"/>
        <v>3118.3922691170524</v>
      </c>
      <c r="AC3">
        <f t="shared" si="2"/>
        <v>3274.3118825729052</v>
      </c>
      <c r="AD3">
        <f t="shared" si="2"/>
        <v>3438.0274767015508</v>
      </c>
      <c r="AE3">
        <f t="shared" si="2"/>
        <v>3609.9288505366285</v>
      </c>
      <c r="AF3">
        <f t="shared" si="2"/>
        <v>3790.4252930634602</v>
      </c>
      <c r="AG3">
        <f t="shared" si="2"/>
        <v>3979.9465577166334</v>
      </c>
      <c r="AH3">
        <f t="shared" si="2"/>
        <v>4178.9438856024653</v>
      </c>
      <c r="AI3">
        <f t="shared" si="2"/>
        <v>4387.8910798825891</v>
      </c>
      <c r="AJ3">
        <f t="shared" si="2"/>
        <v>4607.2856338767187</v>
      </c>
      <c r="AK3">
        <f t="shared" si="2"/>
        <v>4837.6499155705551</v>
      </c>
      <c r="AL3">
        <f t="shared" si="2"/>
        <v>5079.5324113490833</v>
      </c>
      <c r="AM3">
        <f t="shared" si="2"/>
        <v>5333.5090319165374</v>
      </c>
      <c r="AN3">
        <f t="shared" si="2"/>
        <v>5600.1844835123647</v>
      </c>
      <c r="AO3">
        <f t="shared" si="2"/>
        <v>5880.1937076879831</v>
      </c>
      <c r="AP3">
        <f t="shared" si="2"/>
        <v>6174.2033930723828</v>
      </c>
      <c r="AQ3">
        <f t="shared" si="2"/>
        <v>6482.9135627260021</v>
      </c>
      <c r="AR3">
        <f t="shared" si="2"/>
        <v>6807.0592408623024</v>
      </c>
      <c r="AS3">
        <f t="shared" si="2"/>
        <v>7147.4122029054179</v>
      </c>
      <c r="AT3">
        <f t="shared" si="2"/>
        <v>7504.7828130506887</v>
      </c>
      <c r="AU3">
        <f t="shared" si="2"/>
        <v>7880.0219537032235</v>
      </c>
      <c r="AV3">
        <f t="shared" si="2"/>
        <v>8274.0230513883853</v>
      </c>
      <c r="AW3">
        <f t="shared" si="2"/>
        <v>8687.724203957805</v>
      </c>
      <c r="AX3">
        <f t="shared" si="2"/>
        <v>9122.1104141556953</v>
      </c>
      <c r="AY3">
        <f t="shared" si="2"/>
        <v>9578.2159348634796</v>
      </c>
      <c r="AZ3">
        <f t="shared" si="2"/>
        <v>10057.126731606653</v>
      </c>
      <c r="BA3">
        <f t="shared" si="2"/>
        <v>10559.983068186986</v>
      </c>
      <c r="BB3">
        <f t="shared" si="2"/>
        <v>11087.982221596336</v>
      </c>
      <c r="BC3">
        <f t="shared" si="2"/>
        <v>11642.381332676154</v>
      </c>
      <c r="BD3">
        <f t="shared" si="2"/>
        <v>12224.500399309962</v>
      </c>
      <c r="BE3">
        <f t="shared" si="2"/>
        <v>12835.725419275461</v>
      </c>
      <c r="BF3">
        <f t="shared" ref="BF3:CD3" si="3">+BE3*(1+0.05)</f>
        <v>13477.511690239235</v>
      </c>
      <c r="BG3">
        <f t="shared" si="3"/>
        <v>14151.387274751198</v>
      </c>
      <c r="BH3">
        <f t="shared" si="3"/>
        <v>14858.956638488758</v>
      </c>
      <c r="BI3">
        <f t="shared" si="3"/>
        <v>15601.904470413197</v>
      </c>
      <c r="BJ3">
        <f t="shared" si="3"/>
        <v>16381.999693933858</v>
      </c>
      <c r="BK3">
        <f t="shared" si="3"/>
        <v>17201.099678630551</v>
      </c>
      <c r="BL3">
        <f t="shared" si="3"/>
        <v>18061.154662562079</v>
      </c>
      <c r="BM3">
        <f t="shared" si="3"/>
        <v>18964.212395690185</v>
      </c>
      <c r="BN3">
        <f t="shared" si="3"/>
        <v>19912.423015474695</v>
      </c>
      <c r="BO3">
        <f t="shared" si="3"/>
        <v>20908.04416624843</v>
      </c>
      <c r="BP3">
        <f t="shared" si="3"/>
        <v>21953.446374560852</v>
      </c>
      <c r="BQ3">
        <f t="shared" si="3"/>
        <v>23051.118693288896</v>
      </c>
      <c r="BR3">
        <f t="shared" si="3"/>
        <v>24203.67462795334</v>
      </c>
      <c r="BS3">
        <f t="shared" si="3"/>
        <v>25413.858359351008</v>
      </c>
      <c r="BT3">
        <f t="shared" si="3"/>
        <v>26684.551277318558</v>
      </c>
      <c r="BU3">
        <f t="shared" si="3"/>
        <v>28018.778841184489</v>
      </c>
      <c r="BV3">
        <f t="shared" si="3"/>
        <v>29419.717783243716</v>
      </c>
      <c r="BW3">
        <f t="shared" si="3"/>
        <v>30890.703672405903</v>
      </c>
      <c r="BX3">
        <f t="shared" si="3"/>
        <v>32435.238856026201</v>
      </c>
      <c r="BY3">
        <f t="shared" si="3"/>
        <v>34057.00079882751</v>
      </c>
      <c r="BZ3">
        <f t="shared" si="3"/>
        <v>35759.850838768885</v>
      </c>
      <c r="CA3">
        <f t="shared" si="3"/>
        <v>37547.843380707331</v>
      </c>
      <c r="CB3">
        <f t="shared" si="3"/>
        <v>39425.235549742698</v>
      </c>
      <c r="CC3">
        <f t="shared" si="3"/>
        <v>41396.497327229838</v>
      </c>
      <c r="CD3">
        <f t="shared" si="3"/>
        <v>43466.322193591332</v>
      </c>
    </row>
    <row r="4" spans="2:82" x14ac:dyDescent="0.3">
      <c r="B4" s="38" t="s">
        <v>28</v>
      </c>
      <c r="M4" s="34">
        <f>+M2-M3</f>
        <v>98500</v>
      </c>
      <c r="N4" s="34">
        <f>+N2-N3</f>
        <v>99425</v>
      </c>
      <c r="O4" s="34">
        <f>+O2-O3</f>
        <v>100356.25</v>
      </c>
      <c r="P4" s="34">
        <f t="shared" ref="P4:BE4" si="4">+P2-P3</f>
        <v>101293.66250000001</v>
      </c>
      <c r="Q4" s="34">
        <f t="shared" si="4"/>
        <v>102237.14162500002</v>
      </c>
      <c r="R4" s="34">
        <f t="shared" si="4"/>
        <v>103186.58266625</v>
      </c>
      <c r="S4" s="34">
        <f t="shared" si="4"/>
        <v>104141.87159916251</v>
      </c>
      <c r="T4" s="34">
        <f t="shared" si="4"/>
        <v>105102.88457671663</v>
      </c>
      <c r="U4" s="34">
        <f t="shared" si="4"/>
        <v>106069.48739712442</v>
      </c>
      <c r="V4" s="34">
        <f t="shared" si="4"/>
        <v>107041.53494446834</v>
      </c>
      <c r="W4" s="34">
        <f t="shared" si="4"/>
        <v>108018.87060095431</v>
      </c>
      <c r="X4" s="34">
        <f t="shared" si="4"/>
        <v>109001.3256293572</v>
      </c>
      <c r="Y4" s="34">
        <f t="shared" si="4"/>
        <v>109988.71852416381</v>
      </c>
      <c r="Z4" s="34">
        <f t="shared" si="4"/>
        <v>110980.85432984411</v>
      </c>
      <c r="AA4" s="34">
        <f t="shared" si="4"/>
        <v>111977.52392460316</v>
      </c>
      <c r="AB4" s="34">
        <f t="shared" si="4"/>
        <v>112978.50326788281</v>
      </c>
      <c r="AC4" s="34">
        <f t="shared" si="4"/>
        <v>113983.55260979697</v>
      </c>
      <c r="AD4" s="34">
        <f t="shared" si="4"/>
        <v>114992.41566059203</v>
      </c>
      <c r="AE4" s="34">
        <f t="shared" si="4"/>
        <v>116004.81871812989</v>
      </c>
      <c r="AF4" s="34">
        <f t="shared" si="4"/>
        <v>117020.46975128973</v>
      </c>
      <c r="AG4" s="34">
        <f t="shared" si="4"/>
        <v>118039.05743708009</v>
      </c>
      <c r="AH4" s="34">
        <f t="shared" si="4"/>
        <v>119060.25014914222</v>
      </c>
      <c r="AI4" s="34">
        <f t="shared" si="4"/>
        <v>120083.69489520954</v>
      </c>
      <c r="AJ4" s="34">
        <f t="shared" si="4"/>
        <v>121109.01620096633</v>
      </c>
      <c r="AK4" s="34">
        <f t="shared" si="4"/>
        <v>122135.81493762093</v>
      </c>
      <c r="AL4" s="34">
        <f t="shared" si="4"/>
        <v>123163.66709037432</v>
      </c>
      <c r="AM4" s="34">
        <f t="shared" si="4"/>
        <v>124192.1224648241</v>
      </c>
      <c r="AN4" s="34">
        <f t="shared" si="4"/>
        <v>125220.70332819568</v>
      </c>
      <c r="AO4" s="34">
        <f t="shared" si="4"/>
        <v>126248.90298213714</v>
      </c>
      <c r="AP4" s="34">
        <f t="shared" si="4"/>
        <v>127276.184263651</v>
      </c>
      <c r="AQ4" s="34">
        <f t="shared" si="4"/>
        <v>128301.97797056462</v>
      </c>
      <c r="AR4" s="34">
        <f t="shared" si="4"/>
        <v>129325.68120776121</v>
      </c>
      <c r="AS4" s="34">
        <f t="shared" si="4"/>
        <v>130346.65565020435</v>
      </c>
      <c r="AT4" s="34">
        <f t="shared" si="4"/>
        <v>131364.22571859017</v>
      </c>
      <c r="AU4" s="34">
        <f t="shared" si="4"/>
        <v>132377.67666325404</v>
      </c>
      <c r="AV4" s="34">
        <f t="shared" si="4"/>
        <v>133386.25255173846</v>
      </c>
      <c r="AW4" s="34">
        <f t="shared" si="4"/>
        <v>134389.15415520032</v>
      </c>
      <c r="AX4" s="34">
        <f t="shared" si="4"/>
        <v>135385.53672859399</v>
      </c>
      <c r="AY4" s="34">
        <f t="shared" si="4"/>
        <v>136374.50767931368</v>
      </c>
      <c r="AZ4" s="34">
        <f t="shared" si="4"/>
        <v>137355.12411871227</v>
      </c>
      <c r="BA4" s="34">
        <f t="shared" si="4"/>
        <v>138326.39029063511</v>
      </c>
      <c r="BB4" s="34">
        <f t="shared" si="4"/>
        <v>139287.25487081398</v>
      </c>
      <c r="BC4" s="34">
        <f t="shared" si="4"/>
        <v>140236.60813065828</v>
      </c>
      <c r="BD4" s="34">
        <f t="shared" si="4"/>
        <v>141173.27895865781</v>
      </c>
      <c r="BE4" s="34">
        <f t="shared" si="4"/>
        <v>142096.03173227201</v>
      </c>
      <c r="BF4" s="34">
        <f t="shared" ref="BF4" si="5">+BF2-BF3</f>
        <v>143003.5630328237</v>
      </c>
      <c r="BG4" s="34">
        <f t="shared" ref="BG4" si="6">+BG2-BG3</f>
        <v>143894.49819554237</v>
      </c>
      <c r="BH4" s="34">
        <f t="shared" ref="BH4" si="7">+BH2-BH3</f>
        <v>144767.38768650778</v>
      </c>
      <c r="BI4" s="34">
        <f t="shared" ref="BI4" si="8">+BI2-BI3</f>
        <v>145620.7032978333</v>
      </c>
      <c r="BJ4" s="34">
        <f t="shared" ref="BJ4" si="9">+BJ2-BJ3</f>
        <v>146452.83415199511</v>
      </c>
      <c r="BK4" s="34">
        <f t="shared" ref="BK4" si="10">+BK2-BK3</f>
        <v>147262.08250575769</v>
      </c>
      <c r="BL4" s="34">
        <f t="shared" ref="BL4" si="11">+BL2-BL3</f>
        <v>148046.65934367006</v>
      </c>
      <c r="BM4" s="34">
        <f t="shared" ref="BM4" si="12">+BM2-BM3</f>
        <v>148804.67975060426</v>
      </c>
      <c r="BN4" s="34">
        <f t="shared" ref="BN4" si="13">+BN2-BN3</f>
        <v>149534.1580522827</v>
      </c>
      <c r="BO4" s="34">
        <f t="shared" ref="BO4" si="14">+BO2-BO3</f>
        <v>150233.00271218654</v>
      </c>
      <c r="BP4" s="34">
        <f t="shared" ref="BP4" si="15">+BP2-BP3</f>
        <v>150899.01097265849</v>
      </c>
      <c r="BQ4" s="34">
        <f t="shared" ref="BQ4" si="16">+BQ2-BQ3</f>
        <v>151529.86322740262</v>
      </c>
      <c r="BR4" s="34">
        <f t="shared" ref="BR4" si="17">+BR2-BR3</f>
        <v>152123.11711194512</v>
      </c>
      <c r="BS4" s="34">
        <f t="shared" ref="BS4" si="18">+BS2-BS3</f>
        <v>152676.20129794642</v>
      </c>
      <c r="BT4" s="34">
        <f t="shared" ref="BT4" si="19">+BT2-BT3</f>
        <v>153186.40897655184</v>
      </c>
      <c r="BU4" s="34">
        <f t="shared" ref="BU4" si="20">+BU2-BU3</f>
        <v>153650.89101522462</v>
      </c>
      <c r="BV4" s="34">
        <f t="shared" ref="BV4" si="21">+BV2-BV3</f>
        <v>154066.64877172949</v>
      </c>
      <c r="BW4" s="34">
        <f t="shared" ref="BW4" si="22">+BW2-BW3</f>
        <v>154430.52654811702</v>
      </c>
      <c r="BX4" s="34">
        <f t="shared" ref="BX4" si="23">+BX2-BX3</f>
        <v>154739.20366670197</v>
      </c>
      <c r="BY4" s="34">
        <f t="shared" ref="BY4" si="24">+BY2-BY3</f>
        <v>154989.18614912796</v>
      </c>
      <c r="BZ4" s="34">
        <f t="shared" ref="BZ4" si="25">+BZ2-BZ3</f>
        <v>155176.79797866615</v>
      </c>
      <c r="CA4" s="34">
        <f t="shared" ref="CA4" si="26">+CA2-CA3</f>
        <v>155298.17192490207</v>
      </c>
      <c r="CB4" s="34">
        <f t="shared" ref="CB4" si="27">+CB2-CB3</f>
        <v>155349.23990892278</v>
      </c>
      <c r="CC4" s="34">
        <f t="shared" ref="CC4" si="28">+CC2-CC3</f>
        <v>155325.7228860223</v>
      </c>
      <c r="CD4" s="34">
        <f t="shared" ref="CD4" si="29">+CD2-CD3</f>
        <v>155223.12022179333</v>
      </c>
    </row>
    <row r="5" spans="2:82" s="1" customFormat="1" x14ac:dyDescent="0.3">
      <c r="B5" s="39" t="s">
        <v>27</v>
      </c>
      <c r="M5" s="1">
        <f>+M4*0.5</f>
        <v>49250</v>
      </c>
      <c r="N5" s="1">
        <f>+N4*0.5</f>
        <v>49712.5</v>
      </c>
      <c r="O5" s="1">
        <f>+O4*0.5</f>
        <v>50178.125</v>
      </c>
      <c r="P5" s="1">
        <f t="shared" ref="P5:BE5" si="30">+P4*0.5</f>
        <v>50646.831250000003</v>
      </c>
      <c r="Q5" s="1">
        <f t="shared" si="30"/>
        <v>51118.570812500009</v>
      </c>
      <c r="R5" s="1">
        <f t="shared" si="30"/>
        <v>51593.291333125002</v>
      </c>
      <c r="S5" s="1">
        <f t="shared" si="30"/>
        <v>52070.935799581253</v>
      </c>
      <c r="T5" s="1">
        <f t="shared" si="30"/>
        <v>52551.442288358317</v>
      </c>
      <c r="U5" s="1">
        <f t="shared" si="30"/>
        <v>53034.743698562212</v>
      </c>
      <c r="V5" s="1">
        <f t="shared" si="30"/>
        <v>53520.767472234169</v>
      </c>
      <c r="W5" s="1">
        <f t="shared" si="30"/>
        <v>54009.435300477155</v>
      </c>
      <c r="X5" s="1">
        <f t="shared" si="30"/>
        <v>54500.662814678602</v>
      </c>
      <c r="Y5" s="1">
        <f t="shared" si="30"/>
        <v>54994.359262081904</v>
      </c>
      <c r="Z5" s="1">
        <f t="shared" si="30"/>
        <v>55490.427164922054</v>
      </c>
      <c r="AA5" s="1">
        <f t="shared" si="30"/>
        <v>55988.761962301578</v>
      </c>
      <c r="AB5" s="1">
        <f t="shared" si="30"/>
        <v>56489.251633941407</v>
      </c>
      <c r="AC5" s="1">
        <f t="shared" si="30"/>
        <v>56991.776304898485</v>
      </c>
      <c r="AD5" s="1">
        <f t="shared" si="30"/>
        <v>57496.207830296014</v>
      </c>
      <c r="AE5" s="1">
        <f t="shared" si="30"/>
        <v>58002.409359064943</v>
      </c>
      <c r="AF5" s="1">
        <f t="shared" si="30"/>
        <v>58510.234875644863</v>
      </c>
      <c r="AG5" s="1">
        <f t="shared" si="30"/>
        <v>59019.528718540045</v>
      </c>
      <c r="AH5" s="1">
        <f t="shared" si="30"/>
        <v>59530.125074571108</v>
      </c>
      <c r="AI5" s="1">
        <f t="shared" si="30"/>
        <v>60041.84744760477</v>
      </c>
      <c r="AJ5" s="1">
        <f t="shared" si="30"/>
        <v>60554.508100483166</v>
      </c>
      <c r="AK5" s="1">
        <f t="shared" si="30"/>
        <v>61067.907468810467</v>
      </c>
      <c r="AL5" s="1">
        <f t="shared" si="30"/>
        <v>61581.833545187161</v>
      </c>
      <c r="AM5" s="1">
        <f t="shared" si="30"/>
        <v>62096.061232412052</v>
      </c>
      <c r="AN5" s="1">
        <f t="shared" si="30"/>
        <v>62610.351664097841</v>
      </c>
      <c r="AO5" s="1">
        <f t="shared" si="30"/>
        <v>63124.451491068568</v>
      </c>
      <c r="AP5" s="1">
        <f t="shared" si="30"/>
        <v>63638.092131825499</v>
      </c>
      <c r="AQ5" s="1">
        <f t="shared" si="30"/>
        <v>64150.988985282311</v>
      </c>
      <c r="AR5" s="1">
        <f t="shared" si="30"/>
        <v>64662.840603880606</v>
      </c>
      <c r="AS5" s="1">
        <f t="shared" si="30"/>
        <v>65173.327825102177</v>
      </c>
      <c r="AT5" s="1">
        <f t="shared" si="30"/>
        <v>65682.112859295084</v>
      </c>
      <c r="AU5" s="1">
        <f t="shared" si="30"/>
        <v>66188.838331627019</v>
      </c>
      <c r="AV5" s="1">
        <f t="shared" si="30"/>
        <v>66693.126275869232</v>
      </c>
      <c r="AW5" s="1">
        <f t="shared" si="30"/>
        <v>67194.577077600159</v>
      </c>
      <c r="AX5" s="1">
        <f t="shared" si="30"/>
        <v>67692.768364296993</v>
      </c>
      <c r="AY5" s="1">
        <f t="shared" si="30"/>
        <v>68187.253839656842</v>
      </c>
      <c r="AZ5" s="1">
        <f t="shared" si="30"/>
        <v>68677.562059356133</v>
      </c>
      <c r="BA5" s="1">
        <f t="shared" si="30"/>
        <v>69163.195145317557</v>
      </c>
      <c r="BB5" s="1">
        <f t="shared" si="30"/>
        <v>69643.62743540699</v>
      </c>
      <c r="BC5" s="1">
        <f t="shared" si="30"/>
        <v>70118.304065329139</v>
      </c>
      <c r="BD5" s="1">
        <f t="shared" si="30"/>
        <v>70586.639479328907</v>
      </c>
      <c r="BE5" s="1">
        <f t="shared" si="30"/>
        <v>71048.015866136004</v>
      </c>
      <c r="BF5" s="1">
        <f t="shared" ref="BF5" si="31">+BF4*0.5</f>
        <v>71501.781516411851</v>
      </c>
      <c r="BG5" s="1">
        <f t="shared" ref="BG5" si="32">+BG4*0.5</f>
        <v>71947.249097771186</v>
      </c>
      <c r="BH5" s="1">
        <f t="shared" ref="BH5" si="33">+BH4*0.5</f>
        <v>72383.693843253888</v>
      </c>
      <c r="BI5" s="1">
        <f t="shared" ref="BI5" si="34">+BI4*0.5</f>
        <v>72810.35164891665</v>
      </c>
      <c r="BJ5" s="1">
        <f t="shared" ref="BJ5" si="35">+BJ4*0.5</f>
        <v>73226.417075997553</v>
      </c>
      <c r="BK5" s="1">
        <f t="shared" ref="BK5" si="36">+BK4*0.5</f>
        <v>73631.041252878844</v>
      </c>
      <c r="BL5" s="1">
        <f t="shared" ref="BL5" si="37">+BL4*0.5</f>
        <v>74023.329671835032</v>
      </c>
      <c r="BM5" s="1">
        <f t="shared" ref="BM5" si="38">+BM4*0.5</f>
        <v>74402.339875302132</v>
      </c>
      <c r="BN5" s="1">
        <f t="shared" ref="BN5" si="39">+BN4*0.5</f>
        <v>74767.079026141349</v>
      </c>
      <c r="BO5" s="1">
        <f t="shared" ref="BO5" si="40">+BO4*0.5</f>
        <v>75116.501356093271</v>
      </c>
      <c r="BP5" s="1">
        <f t="shared" ref="BP5" si="41">+BP4*0.5</f>
        <v>75449.505486329246</v>
      </c>
      <c r="BQ5" s="1">
        <f t="shared" ref="BQ5" si="42">+BQ4*0.5</f>
        <v>75764.931613701308</v>
      </c>
      <c r="BR5" s="1">
        <f t="shared" ref="BR5" si="43">+BR4*0.5</f>
        <v>76061.558555972559</v>
      </c>
      <c r="BS5" s="1">
        <f t="shared" ref="BS5" si="44">+BS4*0.5</f>
        <v>76338.10064897321</v>
      </c>
      <c r="BT5" s="1">
        <f t="shared" ref="BT5" si="45">+BT4*0.5</f>
        <v>76593.204488275922</v>
      </c>
      <c r="BU5" s="1">
        <f t="shared" ref="BU5" si="46">+BU4*0.5</f>
        <v>76825.445507612312</v>
      </c>
      <c r="BV5" s="1">
        <f t="shared" ref="BV5" si="47">+BV4*0.5</f>
        <v>77033.324385864747</v>
      </c>
      <c r="BW5" s="1">
        <f t="shared" ref="BW5" si="48">+BW4*0.5</f>
        <v>77215.26327405851</v>
      </c>
      <c r="BX5" s="1">
        <f t="shared" ref="BX5" si="49">+BX4*0.5</f>
        <v>77369.601833350986</v>
      </c>
      <c r="BY5" s="1">
        <f t="shared" ref="BY5" si="50">+BY4*0.5</f>
        <v>77494.593074563978</v>
      </c>
      <c r="BZ5" s="1">
        <f t="shared" ref="BZ5" si="51">+BZ4*0.5</f>
        <v>77588.398989333073</v>
      </c>
      <c r="CA5" s="1">
        <f t="shared" ref="CA5" si="52">+CA4*0.5</f>
        <v>77649.085962451034</v>
      </c>
      <c r="CB5" s="1">
        <f t="shared" ref="CB5" si="53">+CB4*0.5</f>
        <v>77674.619954461392</v>
      </c>
      <c r="CC5" s="1">
        <f t="shared" ref="CC5" si="54">+CC4*0.5</f>
        <v>77662.861443011148</v>
      </c>
      <c r="CD5" s="1">
        <f t="shared" ref="CD5" si="55">+CD4*0.5</f>
        <v>77611.560110896666</v>
      </c>
    </row>
    <row r="6" spans="2:82" s="32" customFormat="1" x14ac:dyDescent="0.3">
      <c r="B6" s="40" t="s">
        <v>29</v>
      </c>
      <c r="C6" s="32">
        <v>200</v>
      </c>
      <c r="D6" s="32">
        <f>C6*(1+0.01)</f>
        <v>202</v>
      </c>
      <c r="E6" s="32">
        <f t="shared" ref="E6:M6" si="56">D6*(1+0.01)</f>
        <v>204.02</v>
      </c>
      <c r="F6" s="32">
        <f t="shared" si="56"/>
        <v>206.06020000000001</v>
      </c>
      <c r="G6" s="32">
        <f t="shared" si="56"/>
        <v>208.120802</v>
      </c>
      <c r="H6" s="32">
        <f t="shared" si="56"/>
        <v>210.20201001999999</v>
      </c>
      <c r="I6" s="32">
        <f t="shared" si="56"/>
        <v>212.3040301202</v>
      </c>
      <c r="J6" s="32">
        <f t="shared" si="56"/>
        <v>214.42707042140199</v>
      </c>
      <c r="K6" s="32">
        <f t="shared" si="56"/>
        <v>216.57134112561602</v>
      </c>
      <c r="L6" s="32">
        <f t="shared" si="56"/>
        <v>218.73705453687217</v>
      </c>
      <c r="M6" s="32">
        <f t="shared" si="56"/>
        <v>220.9244250822409</v>
      </c>
      <c r="N6" s="32">
        <f t="shared" ref="N6:O6" si="57">M6*(1+0.01)</f>
        <v>223.13366933306332</v>
      </c>
      <c r="O6" s="32">
        <f t="shared" si="57"/>
        <v>225.36500602639396</v>
      </c>
      <c r="P6" s="32">
        <f t="shared" ref="P6:BE6" si="58">O6*(1+0.01)</f>
        <v>227.61865608665789</v>
      </c>
      <c r="Q6" s="32">
        <f t="shared" si="58"/>
        <v>229.89484264752448</v>
      </c>
      <c r="R6" s="32">
        <f t="shared" si="58"/>
        <v>232.19379107399973</v>
      </c>
      <c r="S6" s="32">
        <f t="shared" si="58"/>
        <v>234.51572898473972</v>
      </c>
      <c r="T6" s="32">
        <f t="shared" si="58"/>
        <v>236.86088627458713</v>
      </c>
      <c r="U6" s="32">
        <f t="shared" si="58"/>
        <v>239.229495137333</v>
      </c>
      <c r="V6" s="32">
        <f t="shared" si="58"/>
        <v>241.62179008870635</v>
      </c>
      <c r="W6" s="32">
        <f t="shared" si="58"/>
        <v>244.03800798959341</v>
      </c>
      <c r="X6" s="32">
        <f t="shared" si="58"/>
        <v>246.47838806948934</v>
      </c>
      <c r="Y6" s="32">
        <f t="shared" si="58"/>
        <v>248.94317195018425</v>
      </c>
      <c r="Z6" s="32">
        <f t="shared" si="58"/>
        <v>251.4326036696861</v>
      </c>
      <c r="AA6" s="32">
        <f t="shared" si="58"/>
        <v>253.94692970638297</v>
      </c>
      <c r="AB6" s="32">
        <f t="shared" si="58"/>
        <v>256.48639900344682</v>
      </c>
      <c r="AC6" s="32">
        <f t="shared" si="58"/>
        <v>259.05126299348132</v>
      </c>
      <c r="AD6" s="32">
        <f t="shared" si="58"/>
        <v>261.64177562341615</v>
      </c>
      <c r="AE6" s="32">
        <f t="shared" si="58"/>
        <v>264.25819337965032</v>
      </c>
      <c r="AF6" s="32">
        <f t="shared" si="58"/>
        <v>266.90077531344684</v>
      </c>
      <c r="AG6" s="32">
        <f t="shared" si="58"/>
        <v>269.56978306658129</v>
      </c>
      <c r="AH6" s="32">
        <f t="shared" si="58"/>
        <v>272.26548089724713</v>
      </c>
      <c r="AI6" s="32">
        <f t="shared" si="58"/>
        <v>274.98813570621962</v>
      </c>
      <c r="AJ6" s="32">
        <f t="shared" si="58"/>
        <v>277.7380170632818</v>
      </c>
      <c r="AK6" s="32">
        <f t="shared" si="58"/>
        <v>280.5153972339146</v>
      </c>
      <c r="AL6" s="32">
        <f t="shared" si="58"/>
        <v>283.32055120625375</v>
      </c>
      <c r="AM6" s="32">
        <f t="shared" si="58"/>
        <v>286.15375671831629</v>
      </c>
      <c r="AN6" s="32">
        <f t="shared" si="58"/>
        <v>289.01529428549946</v>
      </c>
      <c r="AO6" s="32">
        <f t="shared" si="58"/>
        <v>291.90544722835449</v>
      </c>
      <c r="AP6" s="32">
        <f t="shared" si="58"/>
        <v>294.82450170063805</v>
      </c>
      <c r="AQ6" s="32">
        <f t="shared" si="58"/>
        <v>297.77274671764445</v>
      </c>
      <c r="AR6" s="32">
        <f t="shared" si="58"/>
        <v>300.75047418482092</v>
      </c>
      <c r="AS6" s="32">
        <f t="shared" si="58"/>
        <v>303.75797892666913</v>
      </c>
      <c r="AT6" s="32">
        <f t="shared" si="58"/>
        <v>306.79555871593584</v>
      </c>
      <c r="AU6" s="32">
        <f t="shared" si="58"/>
        <v>309.8635143030952</v>
      </c>
      <c r="AV6" s="32">
        <f t="shared" si="58"/>
        <v>312.96214944612615</v>
      </c>
      <c r="AW6" s="32">
        <f t="shared" si="58"/>
        <v>316.09177094058742</v>
      </c>
      <c r="AX6" s="32">
        <f t="shared" si="58"/>
        <v>319.25268864999327</v>
      </c>
      <c r="AY6" s="32">
        <f t="shared" si="58"/>
        <v>322.44521553649321</v>
      </c>
      <c r="AZ6" s="32">
        <f t="shared" si="58"/>
        <v>325.66966769185814</v>
      </c>
      <c r="BA6" s="32">
        <f t="shared" si="58"/>
        <v>328.92636436877672</v>
      </c>
      <c r="BB6" s="32">
        <f t="shared" si="58"/>
        <v>332.21562801246449</v>
      </c>
      <c r="BC6" s="32">
        <f t="shared" si="58"/>
        <v>335.53778429258915</v>
      </c>
      <c r="BD6" s="32">
        <f t="shared" si="58"/>
        <v>338.89316213551507</v>
      </c>
      <c r="BE6" s="32">
        <f t="shared" si="58"/>
        <v>342.28209375687021</v>
      </c>
      <c r="BF6" s="32">
        <f t="shared" ref="BF6:CD6" si="59">BE6*(1+0.01)</f>
        <v>345.70491469443891</v>
      </c>
      <c r="BG6" s="32">
        <f t="shared" si="59"/>
        <v>349.16196384138328</v>
      </c>
      <c r="BH6" s="32">
        <f t="shared" si="59"/>
        <v>352.65358347979713</v>
      </c>
      <c r="BI6" s="32">
        <f t="shared" si="59"/>
        <v>356.18011931459512</v>
      </c>
      <c r="BJ6" s="32">
        <f t="shared" si="59"/>
        <v>359.7419205077411</v>
      </c>
      <c r="BK6" s="32">
        <f t="shared" si="59"/>
        <v>363.33933971281851</v>
      </c>
      <c r="BL6" s="32">
        <f t="shared" si="59"/>
        <v>366.97273310994672</v>
      </c>
      <c r="BM6" s="32">
        <f t="shared" si="59"/>
        <v>370.64246044104618</v>
      </c>
      <c r="BN6" s="32">
        <f t="shared" si="59"/>
        <v>374.34888504545665</v>
      </c>
      <c r="BO6" s="32">
        <f t="shared" si="59"/>
        <v>378.09237389591124</v>
      </c>
      <c r="BP6" s="32">
        <f t="shared" si="59"/>
        <v>381.87329763487037</v>
      </c>
      <c r="BQ6" s="32">
        <f t="shared" si="59"/>
        <v>385.69203061121908</v>
      </c>
      <c r="BR6" s="32">
        <f t="shared" si="59"/>
        <v>389.5489509173313</v>
      </c>
      <c r="BS6" s="32">
        <f t="shared" si="59"/>
        <v>393.44444042650463</v>
      </c>
      <c r="BT6" s="32">
        <f t="shared" si="59"/>
        <v>397.37888483076966</v>
      </c>
      <c r="BU6" s="32">
        <f t="shared" si="59"/>
        <v>401.35267367907738</v>
      </c>
      <c r="BV6" s="32">
        <f t="shared" si="59"/>
        <v>405.36620041586815</v>
      </c>
      <c r="BW6" s="32">
        <f t="shared" si="59"/>
        <v>409.41986242002685</v>
      </c>
      <c r="BX6" s="32">
        <f t="shared" si="59"/>
        <v>413.51406104422711</v>
      </c>
      <c r="BY6" s="32">
        <f t="shared" si="59"/>
        <v>417.64920165466935</v>
      </c>
      <c r="BZ6" s="32">
        <f t="shared" si="59"/>
        <v>421.82569367121607</v>
      </c>
      <c r="CA6" s="32">
        <f t="shared" si="59"/>
        <v>426.04395060792825</v>
      </c>
      <c r="CB6" s="32">
        <f t="shared" si="59"/>
        <v>430.30439011400756</v>
      </c>
      <c r="CC6" s="32">
        <f t="shared" si="59"/>
        <v>434.60743401514765</v>
      </c>
      <c r="CD6" s="32">
        <f t="shared" si="59"/>
        <v>438.95350835529911</v>
      </c>
    </row>
    <row r="7" spans="2:82" s="32" customFormat="1" x14ac:dyDescent="0.3">
      <c r="B7" s="40" t="s">
        <v>16</v>
      </c>
      <c r="M7" s="32">
        <f>+M5*M6</f>
        <v>10880527.935300365</v>
      </c>
      <c r="N7" s="32">
        <f>+N5*N6</f>
        <v>11092532.536719911</v>
      </c>
      <c r="O7" s="32">
        <f>+O5*O6</f>
        <v>11308393.44301815</v>
      </c>
      <c r="P7" s="32">
        <f t="shared" ref="P7:BE7" si="60">+P5*P6</f>
        <v>11528163.664172748</v>
      </c>
      <c r="Q7" s="32">
        <f t="shared" si="60"/>
        <v>11751895.793306027</v>
      </c>
      <c r="R7" s="32">
        <f t="shared" si="60"/>
        <v>11979641.908623628</v>
      </c>
      <c r="S7" s="32">
        <f t="shared" si="60"/>
        <v>12211453.467956379</v>
      </c>
      <c r="T7" s="32">
        <f t="shared" si="60"/>
        <v>12447381.195428368</v>
      </c>
      <c r="U7" s="32">
        <f t="shared" si="60"/>
        <v>12687474.959744891</v>
      </c>
      <c r="V7" s="32">
        <f t="shared" si="60"/>
        <v>12931783.643562626</v>
      </c>
      <c r="W7" s="32">
        <f t="shared" si="60"/>
        <v>13180355.003371272</v>
      </c>
      <c r="X7" s="32">
        <f t="shared" si="60"/>
        <v>13433235.519280739</v>
      </c>
      <c r="Y7" s="32">
        <f t="shared" si="60"/>
        <v>13690470.234070662</v>
      </c>
      <c r="Z7" s="32">
        <f t="shared" si="60"/>
        <v>13952102.58081943</v>
      </c>
      <c r="AA7" s="32">
        <f t="shared" si="60"/>
        <v>14218174.198388008</v>
      </c>
      <c r="AB7" s="32">
        <f t="shared" si="60"/>
        <v>14488724.733989205</v>
      </c>
      <c r="AC7" s="32">
        <f t="shared" si="60"/>
        <v>14763791.632025914</v>
      </c>
      <c r="AD7" s="32">
        <f t="shared" si="60"/>
        <v>15043409.908331612</v>
      </c>
      <c r="AE7" s="32">
        <f t="shared" si="60"/>
        <v>15327611.908893423</v>
      </c>
      <c r="AF7" s="32">
        <f t="shared" si="60"/>
        <v>15616427.052081492</v>
      </c>
      <c r="AG7" s="32">
        <f t="shared" si="60"/>
        <v>15909881.553348705</v>
      </c>
      <c r="AH7" s="32">
        <f t="shared" si="60"/>
        <v>16207998.131301371</v>
      </c>
      <c r="AI7" s="32">
        <f t="shared" si="60"/>
        <v>16510795.693974078</v>
      </c>
      <c r="AJ7" s="32">
        <f t="shared" si="60"/>
        <v>16818289.004070628</v>
      </c>
      <c r="AK7" s="32">
        <f t="shared" si="60"/>
        <v>17130488.321857307</v>
      </c>
      <c r="AL7" s="32">
        <f t="shared" si="60"/>
        <v>17447399.024314195</v>
      </c>
      <c r="AM7" s="32">
        <f t="shared" si="60"/>
        <v>17769021.199065309</v>
      </c>
      <c r="AN7" s="32">
        <f t="shared" si="60"/>
        <v>18095349.211517848</v>
      </c>
      <c r="AO7" s="32">
        <f t="shared" si="60"/>
        <v>18426371.24354494</v>
      </c>
      <c r="AP7" s="32">
        <f t="shared" si="60"/>
        <v>18762068.801944748</v>
      </c>
      <c r="AQ7" s="32">
        <f t="shared" si="60"/>
        <v>19102416.194800869</v>
      </c>
      <c r="AR7" s="32">
        <f t="shared" si="60"/>
        <v>19447379.973754585</v>
      </c>
      <c r="AS7" s="32">
        <f t="shared" si="60"/>
        <v>19796918.340078287</v>
      </c>
      <c r="AT7" s="32">
        <f t="shared" si="60"/>
        <v>20150980.512310591</v>
      </c>
      <c r="AU7" s="32">
        <f t="shared" si="60"/>
        <v>20509506.053077366</v>
      </c>
      <c r="AV7" s="32">
        <f t="shared" si="60"/>
        <v>20872424.152577948</v>
      </c>
      <c r="AW7" s="32">
        <f t="shared" si="60"/>
        <v>21239652.866062436</v>
      </c>
      <c r="AX7" s="32">
        <f t="shared" si="60"/>
        <v>21611098.302463021</v>
      </c>
      <c r="AY7" s="32">
        <f t="shared" si="60"/>
        <v>21986653.761169724</v>
      </c>
      <c r="AZ7" s="32">
        <f t="shared" si="60"/>
        <v>22366198.813757475</v>
      </c>
      <c r="BA7" s="32">
        <f t="shared" si="60"/>
        <v>22749598.32727753</v>
      </c>
      <c r="BB7" s="32">
        <f t="shared" si="60"/>
        <v>23136701.425519835</v>
      </c>
      <c r="BC7" s="32">
        <f t="shared" si="60"/>
        <v>23527340.384434585</v>
      </c>
      <c r="BD7" s="32">
        <f t="shared" si="60"/>
        <v>23921329.457669359</v>
      </c>
      <c r="BE7" s="32">
        <f t="shared" si="60"/>
        <v>24318463.627932366</v>
      </c>
      <c r="BF7" s="32">
        <f t="shared" ref="BF7" si="61">+BF5*BF6</f>
        <v>24718517.279631566</v>
      </c>
      <c r="BG7" s="32">
        <f t="shared" ref="BG7" si="62">+BG5*BG6</f>
        <v>25121242.787962981</v>
      </c>
      <c r="BH7" s="32">
        <f t="shared" ref="BH7" si="63">+BH5*BH6</f>
        <v>25526369.019328013</v>
      </c>
      <c r="BI7" s="32">
        <f t="shared" ref="BI7" si="64">+BI5*BI6</f>
        <v>25933599.737648759</v>
      </c>
      <c r="BJ7" s="32">
        <f t="shared" ref="BJ7" si="65">+BJ5*BJ6</f>
        <v>26342611.910820208</v>
      </c>
      <c r="BK7" s="32">
        <f t="shared" ref="BK7" si="66">+BK5*BK6</f>
        <v>26753053.911188301</v>
      </c>
      <c r="BL7" s="32">
        <f t="shared" ref="BL7" si="67">+BL5*BL6</f>
        <v>27164543.603571918</v>
      </c>
      <c r="BM7" s="32">
        <f t="shared" ref="BM7" si="68">+BM5*BM6</f>
        <v>27576666.313952945</v>
      </c>
      <c r="BN7" s="32">
        <f t="shared" ref="BN7" si="69">+BN5*BN6</f>
        <v>27988972.67154156</v>
      </c>
      <c r="BO7" s="32">
        <f t="shared" ref="BO7" si="70">+BO5*BO6</f>
        <v>28400976.316480741</v>
      </c>
      <c r="BP7" s="32">
        <f t="shared" ref="BP7" si="71">+BP5*BP6</f>
        <v>28812151.464984793</v>
      </c>
      <c r="BQ7" s="32">
        <f t="shared" ref="BQ7" si="72">+BQ5*BQ6</f>
        <v>29221930.323208604</v>
      </c>
      <c r="BR7" s="32">
        <f t="shared" ref="BR7" si="73">+BR5*BR6</f>
        <v>29629700.340616275</v>
      </c>
      <c r="BS7" s="32">
        <f t="shared" ref="BS7" si="74">+BS5*BS6</f>
        <v>30034801.293057453</v>
      </c>
      <c r="BT7" s="32">
        <f t="shared" ref="BT7" si="75">+BT5*BT6</f>
        <v>30436522.185166188</v>
      </c>
      <c r="BU7" s="32">
        <f t="shared" ref="BU7" si="76">+BU5*BU6</f>
        <v>30834097.961066466</v>
      </c>
      <c r="BV7" s="32">
        <f t="shared" ref="BV7" si="77">+BV5*BV6</f>
        <v>31226706.011701033</v>
      </c>
      <c r="BW7" s="32">
        <f t="shared" ref="BW7" si="78">+BW5*BW6</f>
        <v>31613462.466391187</v>
      </c>
      <c r="BX7" s="32">
        <f t="shared" ref="BX7" si="79">+BX5*BX6</f>
        <v>31993418.255483843</v>
      </c>
      <c r="BY7" s="32">
        <f t="shared" ref="BY7" si="80">+BY5*BY6</f>
        <v>32365554.930145115</v>
      </c>
      <c r="BZ7" s="32">
        <f t="shared" ref="BZ7" si="81">+BZ5*BZ6</f>
        <v>32728780.224514503</v>
      </c>
      <c r="CA7" s="32">
        <f t="shared" ref="CA7" si="82">+CA5*CA6</f>
        <v>33081923.344537262</v>
      </c>
      <c r="CB7" s="32">
        <f t="shared" ref="CB7" si="83">+CB5*CB6</f>
        <v>33423729.966841832</v>
      </c>
      <c r="CC7" s="32">
        <f t="shared" ref="CC7" si="84">+CC5*CC6</f>
        <v>33752856.930021025</v>
      </c>
      <c r="CD7" s="32">
        <f t="shared" ref="CD7" si="85">+CD5*CD6</f>
        <v>34067866.599606276</v>
      </c>
    </row>
    <row r="8" spans="2:82" s="32" customFormat="1" x14ac:dyDescent="0.3">
      <c r="B8" s="40" t="s">
        <v>20</v>
      </c>
      <c r="M8" s="32">
        <f>+M7*0.2</f>
        <v>2176105.5870600729</v>
      </c>
      <c r="N8" s="32">
        <f>+N7*0.2</f>
        <v>2218506.5073439823</v>
      </c>
      <c r="O8" s="32">
        <f t="shared" ref="O8:Q8" si="86">+O7*0.2</f>
        <v>2261678.6886036298</v>
      </c>
      <c r="P8" s="32">
        <f t="shared" si="86"/>
        <v>2305632.7328345496</v>
      </c>
      <c r="Q8" s="32">
        <f t="shared" si="86"/>
        <v>2350379.1586612053</v>
      </c>
      <c r="R8" s="32">
        <f>+R7*0.2</f>
        <v>2395928.3817247259</v>
      </c>
      <c r="S8" s="32">
        <f t="shared" ref="S8:BE8" si="87">+S7*0.2</f>
        <v>2442290.6935912757</v>
      </c>
      <c r="T8" s="32">
        <f t="shared" si="87"/>
        <v>2489476.2390856738</v>
      </c>
      <c r="U8" s="32">
        <f t="shared" si="87"/>
        <v>2537494.9919489785</v>
      </c>
      <c r="V8" s="32">
        <f t="shared" si="87"/>
        <v>2586356.7287125252</v>
      </c>
      <c r="W8" s="32">
        <f t="shared" si="87"/>
        <v>2636071.0006742547</v>
      </c>
      <c r="X8" s="32">
        <f t="shared" si="87"/>
        <v>2686647.1038561482</v>
      </c>
      <c r="Y8" s="32">
        <f t="shared" si="87"/>
        <v>2738094.0468141325</v>
      </c>
      <c r="Z8" s="32">
        <f t="shared" si="87"/>
        <v>2790420.5161638861</v>
      </c>
      <c r="AA8" s="32">
        <f t="shared" si="87"/>
        <v>2843634.8396776021</v>
      </c>
      <c r="AB8" s="32">
        <f t="shared" si="87"/>
        <v>2897744.9467978412</v>
      </c>
      <c r="AC8" s="32">
        <f t="shared" si="87"/>
        <v>2952758.3264051829</v>
      </c>
      <c r="AD8" s="32">
        <f t="shared" si="87"/>
        <v>3008681.9816663228</v>
      </c>
      <c r="AE8" s="32">
        <f t="shared" si="87"/>
        <v>3065522.3817786849</v>
      </c>
      <c r="AF8" s="32">
        <f t="shared" si="87"/>
        <v>3123285.4104162985</v>
      </c>
      <c r="AG8" s="32">
        <f t="shared" si="87"/>
        <v>3181976.3106697411</v>
      </c>
      <c r="AH8" s="32">
        <f t="shared" si="87"/>
        <v>3241599.6262602746</v>
      </c>
      <c r="AI8" s="32">
        <f t="shared" si="87"/>
        <v>3302159.1387948156</v>
      </c>
      <c r="AJ8" s="32">
        <f t="shared" si="87"/>
        <v>3363657.8008141257</v>
      </c>
      <c r="AK8" s="32">
        <f t="shared" si="87"/>
        <v>3426097.6643714616</v>
      </c>
      <c r="AL8" s="32">
        <f t="shared" si="87"/>
        <v>3489479.8048628392</v>
      </c>
      <c r="AM8" s="32">
        <f t="shared" si="87"/>
        <v>3553804.2398130619</v>
      </c>
      <c r="AN8" s="32">
        <f t="shared" si="87"/>
        <v>3619069.8423035699</v>
      </c>
      <c r="AO8" s="32">
        <f t="shared" si="87"/>
        <v>3685274.2487089881</v>
      </c>
      <c r="AP8" s="32">
        <f t="shared" si="87"/>
        <v>3752413.7603889499</v>
      </c>
      <c r="AQ8" s="32">
        <f t="shared" si="87"/>
        <v>3820483.2389601739</v>
      </c>
      <c r="AR8" s="32">
        <f t="shared" si="87"/>
        <v>3889475.994750917</v>
      </c>
      <c r="AS8" s="32">
        <f t="shared" si="87"/>
        <v>3959383.6680156575</v>
      </c>
      <c r="AT8" s="32">
        <f t="shared" si="87"/>
        <v>4030196.1024621185</v>
      </c>
      <c r="AU8" s="32">
        <f t="shared" si="87"/>
        <v>4101901.2106154733</v>
      </c>
      <c r="AV8" s="32">
        <f t="shared" si="87"/>
        <v>4174484.8305155896</v>
      </c>
      <c r="AW8" s="32">
        <f t="shared" si="87"/>
        <v>4247930.5732124876</v>
      </c>
      <c r="AX8" s="32">
        <f t="shared" si="87"/>
        <v>4322219.6604926046</v>
      </c>
      <c r="AY8" s="32">
        <f t="shared" si="87"/>
        <v>4397330.7522339448</v>
      </c>
      <c r="AZ8" s="32">
        <f t="shared" si="87"/>
        <v>4473239.7627514955</v>
      </c>
      <c r="BA8" s="32">
        <f t="shared" si="87"/>
        <v>4549919.6654555062</v>
      </c>
      <c r="BB8" s="32">
        <f t="shared" si="87"/>
        <v>4627340.2851039674</v>
      </c>
      <c r="BC8" s="32">
        <f t="shared" si="87"/>
        <v>4705468.0768869175</v>
      </c>
      <c r="BD8" s="32">
        <f t="shared" si="87"/>
        <v>4784265.8915338721</v>
      </c>
      <c r="BE8" s="32">
        <f t="shared" si="87"/>
        <v>4863692.725586473</v>
      </c>
      <c r="BF8" s="32">
        <f t="shared" ref="BF8" si="88">+BF7*0.2</f>
        <v>4943703.4559263131</v>
      </c>
      <c r="BG8" s="32">
        <f t="shared" ref="BG8" si="89">+BG7*0.2</f>
        <v>5024248.5575925959</v>
      </c>
      <c r="BH8" s="32">
        <f t="shared" ref="BH8" si="90">+BH7*0.2</f>
        <v>5105273.8038656032</v>
      </c>
      <c r="BI8" s="32">
        <f t="shared" ref="BI8" si="91">+BI7*0.2</f>
        <v>5186719.9475297518</v>
      </c>
      <c r="BJ8" s="32">
        <f t="shared" ref="BJ8" si="92">+BJ7*0.2</f>
        <v>5268522.3821640424</v>
      </c>
      <c r="BK8" s="32">
        <f t="shared" ref="BK8" si="93">+BK7*0.2</f>
        <v>5350610.7822376601</v>
      </c>
      <c r="BL8" s="32">
        <f t="shared" ref="BL8" si="94">+BL7*0.2</f>
        <v>5432908.7207143838</v>
      </c>
      <c r="BM8" s="32">
        <f t="shared" ref="BM8" si="95">+BM7*0.2</f>
        <v>5515333.2627905896</v>
      </c>
      <c r="BN8" s="32">
        <f t="shared" ref="BN8" si="96">+BN7*0.2</f>
        <v>5597794.5343083125</v>
      </c>
      <c r="BO8" s="32">
        <f t="shared" ref="BO8" si="97">+BO7*0.2</f>
        <v>5680195.2632961487</v>
      </c>
      <c r="BP8" s="32">
        <f t="shared" ref="BP8" si="98">+BP7*0.2</f>
        <v>5762430.2929969588</v>
      </c>
      <c r="BQ8" s="32">
        <f t="shared" ref="BQ8" si="99">+BQ7*0.2</f>
        <v>5844386.0646417215</v>
      </c>
      <c r="BR8" s="32">
        <f t="shared" ref="BR8" si="100">+BR7*0.2</f>
        <v>5925940.0681232549</v>
      </c>
      <c r="BS8" s="32">
        <f t="shared" ref="BS8" si="101">+BS7*0.2</f>
        <v>6006960.2586114909</v>
      </c>
      <c r="BT8" s="32">
        <f t="shared" ref="BT8" si="102">+BT7*0.2</f>
        <v>6087304.4370332379</v>
      </c>
      <c r="BU8" s="32">
        <f t="shared" ref="BU8" si="103">+BU7*0.2</f>
        <v>6166819.5922132935</v>
      </c>
      <c r="BV8" s="32">
        <f t="shared" ref="BV8" si="104">+BV7*0.2</f>
        <v>6245341.2023402071</v>
      </c>
      <c r="BW8" s="32">
        <f t="shared" ref="BW8" si="105">+BW7*0.2</f>
        <v>6322692.493278238</v>
      </c>
      <c r="BX8" s="32">
        <f t="shared" ref="BX8" si="106">+BX7*0.2</f>
        <v>6398683.6510967687</v>
      </c>
      <c r="BY8" s="32">
        <f t="shared" ref="BY8" si="107">+BY7*0.2</f>
        <v>6473110.9860290233</v>
      </c>
      <c r="BZ8" s="32">
        <f t="shared" ref="BZ8" si="108">+BZ7*0.2</f>
        <v>6545756.0449029012</v>
      </c>
      <c r="CA8" s="32">
        <f t="shared" ref="CA8" si="109">+CA7*0.2</f>
        <v>6616384.6689074524</v>
      </c>
      <c r="CB8" s="32">
        <f t="shared" ref="CB8" si="110">+CB7*0.2</f>
        <v>6684745.9933683667</v>
      </c>
      <c r="CC8" s="32">
        <f t="shared" ref="CC8" si="111">+CC7*0.2</f>
        <v>6750571.3860042058</v>
      </c>
      <c r="CD8" s="32">
        <f t="shared" ref="CD8" si="112">+CD7*0.2</f>
        <v>6813573.3199212551</v>
      </c>
    </row>
    <row r="9" spans="2:82" x14ac:dyDescent="0.3">
      <c r="B9" s="38" t="s">
        <v>19</v>
      </c>
      <c r="M9" s="33">
        <f>M7-M8</f>
        <v>8704422.3482402917</v>
      </c>
      <c r="N9" s="33">
        <f>N7-N8</f>
        <v>8874026.0293759294</v>
      </c>
      <c r="O9" s="33">
        <f t="shared" ref="O9:Q9" si="113">O7-O8</f>
        <v>9046714.7544145193</v>
      </c>
      <c r="P9" s="33">
        <f t="shared" si="113"/>
        <v>9222530.9313381985</v>
      </c>
      <c r="Q9" s="33">
        <f t="shared" si="113"/>
        <v>9401516.6346448213</v>
      </c>
      <c r="R9" s="33">
        <f>R7-R8</f>
        <v>9583713.5268989019</v>
      </c>
      <c r="S9" s="33">
        <f t="shared" ref="S9:BE9" si="114">S7-S8</f>
        <v>9769162.7743651029</v>
      </c>
      <c r="T9" s="33">
        <f t="shared" si="114"/>
        <v>9957904.9563426934</v>
      </c>
      <c r="U9" s="33">
        <f t="shared" si="114"/>
        <v>10149979.967795912</v>
      </c>
      <c r="V9" s="33">
        <f t="shared" si="114"/>
        <v>10345426.914850101</v>
      </c>
      <c r="W9" s="33">
        <f t="shared" si="114"/>
        <v>10544284.002697017</v>
      </c>
      <c r="X9" s="33">
        <f t="shared" si="114"/>
        <v>10746588.415424591</v>
      </c>
      <c r="Y9" s="33">
        <f t="shared" si="114"/>
        <v>10952376.18725653</v>
      </c>
      <c r="Z9" s="33">
        <f t="shared" si="114"/>
        <v>11161682.064655544</v>
      </c>
      <c r="AA9" s="33">
        <f t="shared" si="114"/>
        <v>11374539.358710406</v>
      </c>
      <c r="AB9" s="33">
        <f t="shared" si="114"/>
        <v>11590979.787191365</v>
      </c>
      <c r="AC9" s="33">
        <f t="shared" si="114"/>
        <v>11811033.305620732</v>
      </c>
      <c r="AD9" s="33">
        <f t="shared" si="114"/>
        <v>12034727.926665289</v>
      </c>
      <c r="AE9" s="33">
        <f t="shared" si="114"/>
        <v>12262089.527114738</v>
      </c>
      <c r="AF9" s="33">
        <f t="shared" si="114"/>
        <v>12493141.641665194</v>
      </c>
      <c r="AG9" s="33">
        <f t="shared" si="114"/>
        <v>12727905.242678965</v>
      </c>
      <c r="AH9" s="33">
        <f t="shared" si="114"/>
        <v>12966398.505041096</v>
      </c>
      <c r="AI9" s="33">
        <f t="shared" si="114"/>
        <v>13208636.555179263</v>
      </c>
      <c r="AJ9" s="33">
        <f t="shared" si="114"/>
        <v>13454631.203256503</v>
      </c>
      <c r="AK9" s="33">
        <f t="shared" si="114"/>
        <v>13704390.657485846</v>
      </c>
      <c r="AL9" s="33">
        <f t="shared" si="114"/>
        <v>13957919.219451357</v>
      </c>
      <c r="AM9" s="33">
        <f t="shared" si="114"/>
        <v>14215216.959252248</v>
      </c>
      <c r="AN9" s="33">
        <f t="shared" si="114"/>
        <v>14476279.369214278</v>
      </c>
      <c r="AO9" s="33">
        <f t="shared" si="114"/>
        <v>14741096.994835952</v>
      </c>
      <c r="AP9" s="33">
        <f t="shared" si="114"/>
        <v>15009655.041555798</v>
      </c>
      <c r="AQ9" s="33">
        <f t="shared" si="114"/>
        <v>15281932.955840696</v>
      </c>
      <c r="AR9" s="33">
        <f t="shared" si="114"/>
        <v>15557903.979003668</v>
      </c>
      <c r="AS9" s="33">
        <f t="shared" si="114"/>
        <v>15837534.67206263</v>
      </c>
      <c r="AT9" s="33">
        <f t="shared" si="114"/>
        <v>16120784.409848472</v>
      </c>
      <c r="AU9" s="33">
        <f t="shared" si="114"/>
        <v>16407604.842461893</v>
      </c>
      <c r="AV9" s="33">
        <f t="shared" si="114"/>
        <v>16697939.322062358</v>
      </c>
      <c r="AW9" s="33">
        <f t="shared" si="114"/>
        <v>16991722.29284995</v>
      </c>
      <c r="AX9" s="33">
        <f t="shared" si="114"/>
        <v>17288878.641970418</v>
      </c>
      <c r="AY9" s="33">
        <f t="shared" si="114"/>
        <v>17589323.008935779</v>
      </c>
      <c r="AZ9" s="33">
        <f t="shared" si="114"/>
        <v>17892959.051005982</v>
      </c>
      <c r="BA9" s="33">
        <f t="shared" si="114"/>
        <v>18199678.661822025</v>
      </c>
      <c r="BB9" s="33">
        <f t="shared" si="114"/>
        <v>18509361.14041587</v>
      </c>
      <c r="BC9" s="33">
        <f t="shared" si="114"/>
        <v>18821872.307547666</v>
      </c>
      <c r="BD9" s="33">
        <f t="shared" si="114"/>
        <v>19137063.566135488</v>
      </c>
      <c r="BE9" s="33">
        <f t="shared" si="114"/>
        <v>19454770.902345892</v>
      </c>
      <c r="BF9" s="33">
        <f t="shared" ref="BF9" si="115">BF7-BF8</f>
        <v>19774813.823705252</v>
      </c>
      <c r="BG9" s="33">
        <f t="shared" ref="BG9" si="116">BG7-BG8</f>
        <v>20096994.230370384</v>
      </c>
      <c r="BH9" s="33">
        <f t="shared" ref="BH9" si="117">BH7-BH8</f>
        <v>20421095.215462409</v>
      </c>
      <c r="BI9" s="33">
        <f t="shared" ref="BI9" si="118">BI7-BI8</f>
        <v>20746879.790119007</v>
      </c>
      <c r="BJ9" s="33">
        <f t="shared" ref="BJ9" si="119">BJ7-BJ8</f>
        <v>21074089.528656166</v>
      </c>
      <c r="BK9" s="33">
        <f t="shared" ref="BK9" si="120">BK7-BK8</f>
        <v>21402443.128950641</v>
      </c>
      <c r="BL9" s="33">
        <f t="shared" ref="BL9" si="121">BL7-BL8</f>
        <v>21731634.882857535</v>
      </c>
      <c r="BM9" s="33">
        <f t="shared" ref="BM9" si="122">BM7-BM8</f>
        <v>22061333.051162355</v>
      </c>
      <c r="BN9" s="33">
        <f t="shared" ref="BN9" si="123">BN7-BN8</f>
        <v>22391178.13723325</v>
      </c>
      <c r="BO9" s="33">
        <f t="shared" ref="BO9" si="124">BO7-BO8</f>
        <v>22720781.053184591</v>
      </c>
      <c r="BP9" s="33">
        <f t="shared" ref="BP9" si="125">BP7-BP8</f>
        <v>23049721.171987835</v>
      </c>
      <c r="BQ9" s="33">
        <f t="shared" ref="BQ9" si="126">BQ7-BQ8</f>
        <v>23377544.258566882</v>
      </c>
      <c r="BR9" s="33">
        <f t="shared" ref="BR9" si="127">BR7-BR8</f>
        <v>23703760.27249302</v>
      </c>
      <c r="BS9" s="33">
        <f t="shared" ref="BS9" si="128">BS7-BS8</f>
        <v>24027841.034445964</v>
      </c>
      <c r="BT9" s="33">
        <f t="shared" ref="BT9" si="129">BT7-BT8</f>
        <v>24349217.748132952</v>
      </c>
      <c r="BU9" s="33">
        <f t="shared" ref="BU9" si="130">BU7-BU8</f>
        <v>24667278.368853174</v>
      </c>
      <c r="BV9" s="33">
        <f t="shared" ref="BV9" si="131">BV7-BV8</f>
        <v>24981364.809360825</v>
      </c>
      <c r="BW9" s="33">
        <f t="shared" ref="BW9" si="132">BW7-BW8</f>
        <v>25290769.973112948</v>
      </c>
      <c r="BX9" s="33">
        <f t="shared" ref="BX9" si="133">BX7-BX8</f>
        <v>25594734.604387075</v>
      </c>
      <c r="BY9" s="33">
        <f t="shared" ref="BY9" si="134">BY7-BY8</f>
        <v>25892443.944116093</v>
      </c>
      <c r="BZ9" s="33">
        <f t="shared" ref="BZ9" si="135">BZ7-BZ8</f>
        <v>26183024.179611601</v>
      </c>
      <c r="CA9" s="33">
        <f t="shared" ref="CA9" si="136">CA7-CA8</f>
        <v>26465538.675629809</v>
      </c>
      <c r="CB9" s="33">
        <f t="shared" ref="CB9" si="137">CB7-CB8</f>
        <v>26738983.973473467</v>
      </c>
      <c r="CC9" s="33">
        <f t="shared" ref="CC9" si="138">CC7-CC8</f>
        <v>27002285.544016819</v>
      </c>
      <c r="CD9" s="33">
        <f t="shared" ref="CD9" si="139">CD7-CD8</f>
        <v>27254293.27968502</v>
      </c>
    </row>
    <row r="10" spans="2:82" x14ac:dyDescent="0.3">
      <c r="B10" s="38" t="s">
        <v>22</v>
      </c>
      <c r="M10" s="33">
        <f>+M9</f>
        <v>8704422.3482402917</v>
      </c>
      <c r="N10" s="33">
        <f>+N9</f>
        <v>8874026.0293759294</v>
      </c>
      <c r="O10" s="33">
        <f t="shared" ref="O10:Q10" si="140">+O9</f>
        <v>9046714.7544145193</v>
      </c>
      <c r="P10" s="33">
        <f t="shared" si="140"/>
        <v>9222530.9313381985</v>
      </c>
      <c r="Q10" s="33">
        <f t="shared" si="140"/>
        <v>9401516.6346448213</v>
      </c>
      <c r="R10" s="33">
        <f>+R9</f>
        <v>9583713.5268989019</v>
      </c>
      <c r="S10" s="33">
        <f t="shared" ref="S10:BE10" si="141">+S9</f>
        <v>9769162.7743651029</v>
      </c>
      <c r="T10" s="33">
        <f t="shared" si="141"/>
        <v>9957904.9563426934</v>
      </c>
      <c r="U10" s="33">
        <f t="shared" si="141"/>
        <v>10149979.967795912</v>
      </c>
      <c r="V10" s="33">
        <f t="shared" si="141"/>
        <v>10345426.914850101</v>
      </c>
      <c r="W10" s="33">
        <f t="shared" si="141"/>
        <v>10544284.002697017</v>
      </c>
      <c r="X10" s="33">
        <f t="shared" si="141"/>
        <v>10746588.415424591</v>
      </c>
      <c r="Y10" s="33">
        <f t="shared" si="141"/>
        <v>10952376.18725653</v>
      </c>
      <c r="Z10" s="33">
        <f t="shared" si="141"/>
        <v>11161682.064655544</v>
      </c>
      <c r="AA10" s="33">
        <f t="shared" si="141"/>
        <v>11374539.358710406</v>
      </c>
      <c r="AB10" s="33">
        <f t="shared" si="141"/>
        <v>11590979.787191365</v>
      </c>
      <c r="AC10" s="33">
        <f t="shared" si="141"/>
        <v>11811033.305620732</v>
      </c>
      <c r="AD10" s="33">
        <f t="shared" si="141"/>
        <v>12034727.926665289</v>
      </c>
      <c r="AE10" s="33">
        <f t="shared" si="141"/>
        <v>12262089.527114738</v>
      </c>
      <c r="AF10" s="33">
        <f t="shared" si="141"/>
        <v>12493141.641665194</v>
      </c>
      <c r="AG10" s="33">
        <f t="shared" si="141"/>
        <v>12727905.242678965</v>
      </c>
      <c r="AH10" s="33">
        <f t="shared" si="141"/>
        <v>12966398.505041096</v>
      </c>
      <c r="AI10" s="33">
        <f t="shared" si="141"/>
        <v>13208636.555179263</v>
      </c>
      <c r="AJ10" s="33">
        <f t="shared" si="141"/>
        <v>13454631.203256503</v>
      </c>
      <c r="AK10" s="33">
        <f t="shared" si="141"/>
        <v>13704390.657485846</v>
      </c>
      <c r="AL10" s="33">
        <f t="shared" si="141"/>
        <v>13957919.219451357</v>
      </c>
      <c r="AM10" s="33">
        <f t="shared" si="141"/>
        <v>14215216.959252248</v>
      </c>
      <c r="AN10" s="33">
        <f t="shared" si="141"/>
        <v>14476279.369214278</v>
      </c>
      <c r="AO10" s="33">
        <f t="shared" si="141"/>
        <v>14741096.994835952</v>
      </c>
      <c r="AP10" s="33">
        <f t="shared" si="141"/>
        <v>15009655.041555798</v>
      </c>
      <c r="AQ10" s="33">
        <f t="shared" si="141"/>
        <v>15281932.955840696</v>
      </c>
      <c r="AR10" s="33">
        <f t="shared" si="141"/>
        <v>15557903.979003668</v>
      </c>
      <c r="AS10" s="33">
        <f t="shared" si="141"/>
        <v>15837534.67206263</v>
      </c>
      <c r="AT10" s="33">
        <f t="shared" si="141"/>
        <v>16120784.409848472</v>
      </c>
      <c r="AU10" s="33">
        <f t="shared" si="141"/>
        <v>16407604.842461893</v>
      </c>
      <c r="AV10" s="33">
        <f t="shared" si="141"/>
        <v>16697939.322062358</v>
      </c>
      <c r="AW10" s="33">
        <f t="shared" si="141"/>
        <v>16991722.29284995</v>
      </c>
      <c r="AX10" s="33">
        <f t="shared" si="141"/>
        <v>17288878.641970418</v>
      </c>
      <c r="AY10" s="33">
        <f t="shared" si="141"/>
        <v>17589323.008935779</v>
      </c>
      <c r="AZ10" s="33">
        <f t="shared" si="141"/>
        <v>17892959.051005982</v>
      </c>
      <c r="BA10" s="33">
        <f t="shared" si="141"/>
        <v>18199678.661822025</v>
      </c>
      <c r="BB10" s="33">
        <f t="shared" si="141"/>
        <v>18509361.14041587</v>
      </c>
      <c r="BC10" s="33">
        <f t="shared" si="141"/>
        <v>18821872.307547666</v>
      </c>
      <c r="BD10" s="33">
        <f t="shared" si="141"/>
        <v>19137063.566135488</v>
      </c>
      <c r="BE10" s="33">
        <f t="shared" si="141"/>
        <v>19454770.902345892</v>
      </c>
      <c r="BF10" s="33">
        <f t="shared" ref="BF10" si="142">+BF9</f>
        <v>19774813.823705252</v>
      </c>
      <c r="BG10" s="33">
        <f t="shared" ref="BG10" si="143">+BG9</f>
        <v>20096994.230370384</v>
      </c>
      <c r="BH10" s="33">
        <f t="shared" ref="BH10" si="144">+BH9</f>
        <v>20421095.215462409</v>
      </c>
      <c r="BI10" s="33">
        <f t="shared" ref="BI10" si="145">+BI9</f>
        <v>20746879.790119007</v>
      </c>
      <c r="BJ10" s="33">
        <f t="shared" ref="BJ10" si="146">+BJ9</f>
        <v>21074089.528656166</v>
      </c>
      <c r="BK10" s="33">
        <f t="shared" ref="BK10" si="147">+BK9</f>
        <v>21402443.128950641</v>
      </c>
      <c r="BL10" s="33">
        <f t="shared" ref="BL10" si="148">+BL9</f>
        <v>21731634.882857535</v>
      </c>
      <c r="BM10" s="33">
        <f t="shared" ref="BM10" si="149">+BM9</f>
        <v>22061333.051162355</v>
      </c>
      <c r="BN10" s="33">
        <f t="shared" ref="BN10" si="150">+BN9</f>
        <v>22391178.13723325</v>
      </c>
      <c r="BO10" s="33">
        <f t="shared" ref="BO10" si="151">+BO9</f>
        <v>22720781.053184591</v>
      </c>
      <c r="BP10" s="33">
        <f t="shared" ref="BP10" si="152">+BP9</f>
        <v>23049721.171987835</v>
      </c>
      <c r="BQ10" s="33">
        <f t="shared" ref="BQ10" si="153">+BQ9</f>
        <v>23377544.258566882</v>
      </c>
      <c r="BR10" s="33">
        <f t="shared" ref="BR10" si="154">+BR9</f>
        <v>23703760.27249302</v>
      </c>
      <c r="BS10" s="33">
        <f t="shared" ref="BS10" si="155">+BS9</f>
        <v>24027841.034445964</v>
      </c>
      <c r="BT10" s="33">
        <f t="shared" ref="BT10" si="156">+BT9</f>
        <v>24349217.748132952</v>
      </c>
      <c r="BU10" s="33">
        <f t="shared" ref="BU10" si="157">+BU9</f>
        <v>24667278.368853174</v>
      </c>
      <c r="BV10" s="33">
        <f t="shared" ref="BV10" si="158">+BV9</f>
        <v>24981364.809360825</v>
      </c>
      <c r="BW10" s="33">
        <f t="shared" ref="BW10" si="159">+BW9</f>
        <v>25290769.973112948</v>
      </c>
      <c r="BX10" s="33">
        <f t="shared" ref="BX10" si="160">+BX9</f>
        <v>25594734.604387075</v>
      </c>
      <c r="BY10" s="33">
        <f t="shared" ref="BY10" si="161">+BY9</f>
        <v>25892443.944116093</v>
      </c>
      <c r="BZ10" s="33">
        <f t="shared" ref="BZ10" si="162">+BZ9</f>
        <v>26183024.179611601</v>
      </c>
      <c r="CA10" s="33">
        <f t="shared" ref="CA10" si="163">+CA9</f>
        <v>26465538.675629809</v>
      </c>
      <c r="CB10" s="33">
        <f t="shared" ref="CB10" si="164">+CB9</f>
        <v>26738983.973473467</v>
      </c>
      <c r="CC10" s="33">
        <f t="shared" ref="CC10" si="165">+CC9</f>
        <v>27002285.544016819</v>
      </c>
      <c r="CD10" s="33">
        <f t="shared" ref="CD10" si="166">+CD9</f>
        <v>27254293.27968502</v>
      </c>
    </row>
    <row r="13" spans="2:82" s="32" customFormat="1" x14ac:dyDescent="0.3">
      <c r="B13" s="38" t="s">
        <v>17</v>
      </c>
      <c r="C13" s="32">
        <v>2800000</v>
      </c>
      <c r="D13" s="32">
        <v>2800000</v>
      </c>
      <c r="E13" s="32">
        <v>2800000</v>
      </c>
      <c r="F13" s="32">
        <v>2800000</v>
      </c>
      <c r="G13" s="32">
        <v>2800000</v>
      </c>
      <c r="H13" s="32">
        <v>2800000</v>
      </c>
      <c r="I13" s="32">
        <v>2800000</v>
      </c>
      <c r="J13" s="32">
        <v>2800000</v>
      </c>
      <c r="K13" s="32">
        <v>2800000</v>
      </c>
      <c r="L13" s="32">
        <v>2800000</v>
      </c>
    </row>
    <row r="14" spans="2:82" x14ac:dyDescent="0.3">
      <c r="B14" s="38" t="s">
        <v>36</v>
      </c>
      <c r="C14" s="31">
        <v>2.5770000000000001E-2</v>
      </c>
      <c r="D14" s="31">
        <v>2.5770000000000001E-2</v>
      </c>
      <c r="E14" s="31">
        <v>2.5770000000000001E-2</v>
      </c>
      <c r="F14" s="31">
        <v>2.5770000000000001E-2</v>
      </c>
      <c r="G14" s="31">
        <v>2.5770000000000001E-2</v>
      </c>
      <c r="H14" s="31">
        <v>2.5770000000000001E-2</v>
      </c>
      <c r="I14" s="31">
        <v>2.5770000000000001E-2</v>
      </c>
      <c r="J14" s="31">
        <v>2.5770000000000001E-2</v>
      </c>
      <c r="K14" s="31">
        <v>2.5770000000000001E-2</v>
      </c>
      <c r="L14" s="31">
        <v>2.5770000000000001E-2</v>
      </c>
      <c r="M14" s="31">
        <v>2.5770000000000001E-2</v>
      </c>
      <c r="N14" s="31">
        <v>2.5770000000000001E-2</v>
      </c>
      <c r="O14" s="31">
        <v>2.5770000000000001E-2</v>
      </c>
      <c r="P14" s="31">
        <v>2.5770000000000001E-2</v>
      </c>
      <c r="Q14" s="31">
        <v>2.5770000000000001E-2</v>
      </c>
      <c r="R14" s="31">
        <v>2.5770000000000001E-2</v>
      </c>
      <c r="S14" s="31">
        <v>2.5770000000000001E-2</v>
      </c>
      <c r="T14" s="31">
        <v>2.5770000000000001E-2</v>
      </c>
      <c r="U14" s="31">
        <v>2.5770000000000001E-2</v>
      </c>
      <c r="V14" s="31">
        <v>2.5770000000000001E-2</v>
      </c>
      <c r="W14" s="31">
        <v>2.5770000000000001E-2</v>
      </c>
      <c r="X14" s="31">
        <v>2.5770000000000001E-2</v>
      </c>
      <c r="Y14" s="31">
        <v>2.5770000000000001E-2</v>
      </c>
      <c r="Z14" s="31">
        <v>2.5770000000000001E-2</v>
      </c>
      <c r="AA14" s="31">
        <v>2.5770000000000001E-2</v>
      </c>
      <c r="AB14" s="31">
        <v>2.5770000000000001E-2</v>
      </c>
      <c r="AC14" s="31">
        <v>2.5770000000000001E-2</v>
      </c>
      <c r="AD14" s="31">
        <v>2.5770000000000001E-2</v>
      </c>
      <c r="AE14" s="31">
        <v>2.5770000000000001E-2</v>
      </c>
      <c r="AF14" s="31">
        <v>2.5770000000000001E-2</v>
      </c>
      <c r="AG14" s="31">
        <v>2.5770000000000001E-2</v>
      </c>
      <c r="AH14" s="31">
        <v>2.5770000000000001E-2</v>
      </c>
      <c r="AI14" s="31">
        <v>2.5770000000000001E-2</v>
      </c>
      <c r="AJ14" s="31">
        <v>2.5770000000000001E-2</v>
      </c>
      <c r="AK14" s="31">
        <v>2.5770000000000001E-2</v>
      </c>
      <c r="AL14" s="31">
        <v>2.5770000000000001E-2</v>
      </c>
      <c r="AM14" s="31">
        <v>2.5770000000000001E-2</v>
      </c>
      <c r="AN14" s="31">
        <v>2.5770000000000001E-2</v>
      </c>
      <c r="AO14" s="31">
        <v>2.5770000000000001E-2</v>
      </c>
      <c r="AP14" s="31">
        <v>2.5770000000000001E-2</v>
      </c>
      <c r="AQ14" s="31">
        <v>2.5770000000000001E-2</v>
      </c>
      <c r="AR14" s="31">
        <v>2.5770000000000001E-2</v>
      </c>
      <c r="AS14" s="31">
        <v>2.5770000000000001E-2</v>
      </c>
      <c r="AT14" s="31">
        <v>2.5770000000000001E-2</v>
      </c>
      <c r="AU14" s="31">
        <v>2.5770000000000001E-2</v>
      </c>
      <c r="AV14" s="31">
        <v>2.5770000000000001E-2</v>
      </c>
      <c r="AW14" s="31">
        <v>2.5770000000000001E-2</v>
      </c>
      <c r="AX14" s="31">
        <v>2.5770000000000001E-2</v>
      </c>
      <c r="AY14" s="31">
        <v>2.5770000000000001E-2</v>
      </c>
      <c r="AZ14" s="31">
        <v>2.5770000000000001E-2</v>
      </c>
      <c r="BA14" s="31">
        <v>2.5770000000000001E-2</v>
      </c>
      <c r="BB14" s="31">
        <v>2.5770000000000001E-2</v>
      </c>
      <c r="BC14" s="31">
        <v>2.5770000000000001E-2</v>
      </c>
      <c r="BD14" s="31">
        <v>2.5770000000000001E-2</v>
      </c>
      <c r="BE14" s="31">
        <v>2.5770000000000001E-2</v>
      </c>
      <c r="BF14" s="31">
        <v>2.5770000000000001E-2</v>
      </c>
      <c r="BG14" s="31">
        <v>2.5770000000000001E-2</v>
      </c>
      <c r="BH14" s="31">
        <v>2.5770000000000001E-2</v>
      </c>
      <c r="BI14" s="31">
        <v>2.5770000000000001E-2</v>
      </c>
      <c r="BJ14" s="31">
        <v>2.5770000000000001E-2</v>
      </c>
      <c r="BK14" s="31">
        <v>2.5770000000000001E-2</v>
      </c>
      <c r="BL14" s="31">
        <v>2.5770000000000001E-2</v>
      </c>
      <c r="BM14" s="31">
        <v>2.5770000000000001E-2</v>
      </c>
      <c r="BN14" s="31">
        <v>2.5770000000000001E-2</v>
      </c>
      <c r="BO14" s="31">
        <v>2.5770000000000001E-2</v>
      </c>
      <c r="BP14" s="31">
        <v>2.5770000000000001E-2</v>
      </c>
      <c r="BQ14" s="31">
        <v>2.5770000000000001E-2</v>
      </c>
      <c r="BR14" s="31">
        <v>2.5770000000000001E-2</v>
      </c>
      <c r="BS14" s="31">
        <v>2.5770000000000001E-2</v>
      </c>
      <c r="BT14" s="31">
        <v>2.5770000000000001E-2</v>
      </c>
      <c r="BU14" s="31">
        <v>2.5770000000000001E-2</v>
      </c>
      <c r="BV14" s="31">
        <v>2.5770000000000001E-2</v>
      </c>
      <c r="BW14" s="31">
        <v>2.5770000000000001E-2</v>
      </c>
      <c r="BX14" s="31">
        <v>2.5770000000000001E-2</v>
      </c>
      <c r="BY14" s="31">
        <v>2.5770000000000001E-2</v>
      </c>
      <c r="BZ14" s="31">
        <v>2.5770000000000001E-2</v>
      </c>
      <c r="CA14" s="31">
        <v>2.5770000000000001E-2</v>
      </c>
      <c r="CB14" s="31">
        <v>2.5770000000000001E-2</v>
      </c>
      <c r="CC14" s="31">
        <v>2.5770000000000001E-2</v>
      </c>
      <c r="CD14" s="31">
        <v>2.5770000000000001E-2</v>
      </c>
    </row>
    <row r="15" spans="2:82" x14ac:dyDescent="0.3">
      <c r="B15" s="38" t="s">
        <v>18</v>
      </c>
      <c r="C15" s="33">
        <f>C13*(1+C14)</f>
        <v>2872156</v>
      </c>
      <c r="D15" s="33">
        <f>(D13+C15)*(1+D14)</f>
        <v>5818327.4601199999</v>
      </c>
      <c r="E15" s="33">
        <f>(E13+D15)*(1+E14)</f>
        <v>8840421.7587672938</v>
      </c>
      <c r="F15" s="33">
        <f t="shared" ref="F15:K15" si="167">(F13+E15)*(1+F14)</f>
        <v>11940395.427490728</v>
      </c>
      <c r="G15" s="33">
        <f t="shared" si="167"/>
        <v>15120255.417657165</v>
      </c>
      <c r="H15" s="33">
        <f t="shared" si="167"/>
        <v>18382060.399770193</v>
      </c>
      <c r="I15" s="33">
        <f>(I13+H15)*(1+I14)</f>
        <v>21727922.096272271</v>
      </c>
      <c r="J15" s="33">
        <f t="shared" si="167"/>
        <v>25160006.648693208</v>
      </c>
      <c r="K15" s="33">
        <f t="shared" si="167"/>
        <v>28680536.020030033</v>
      </c>
      <c r="L15" s="33">
        <f>(L13+K15)*(1+L14)</f>
        <v>32291789.433266208</v>
      </c>
      <c r="M15" s="33">
        <f>+L15*(1+M14)-M10</f>
        <v>24419526.49872119</v>
      </c>
      <c r="N15" s="33">
        <f>+M15*(1+N14)-N10</f>
        <v>16174791.667217307</v>
      </c>
      <c r="O15" s="33">
        <f>+N15*(1+O14)-O10</f>
        <v>7544901.2940669786</v>
      </c>
      <c r="P15" s="33">
        <v>0</v>
      </c>
      <c r="Q15" s="33">
        <f t="shared" ref="Q15" si="168">(Q13)*(1+Q14)</f>
        <v>0</v>
      </c>
      <c r="R15" s="33">
        <f>(R13)*(1+R14)</f>
        <v>0</v>
      </c>
      <c r="S15" s="33">
        <f t="shared" ref="S15:BE15" si="169">(S13)*(1+S14)</f>
        <v>0</v>
      </c>
      <c r="T15" s="33">
        <f t="shared" si="169"/>
        <v>0</v>
      </c>
      <c r="U15" s="33">
        <f t="shared" si="169"/>
        <v>0</v>
      </c>
      <c r="V15" s="33">
        <f t="shared" si="169"/>
        <v>0</v>
      </c>
      <c r="W15" s="33">
        <f t="shared" si="169"/>
        <v>0</v>
      </c>
      <c r="X15" s="33">
        <f t="shared" si="169"/>
        <v>0</v>
      </c>
      <c r="Y15" s="33">
        <f t="shared" si="169"/>
        <v>0</v>
      </c>
      <c r="Z15" s="33">
        <f t="shared" si="169"/>
        <v>0</v>
      </c>
      <c r="AA15" s="33">
        <f t="shared" si="169"/>
        <v>0</v>
      </c>
      <c r="AB15" s="33">
        <f t="shared" si="169"/>
        <v>0</v>
      </c>
      <c r="AC15" s="33">
        <f t="shared" si="169"/>
        <v>0</v>
      </c>
      <c r="AD15" s="33">
        <f t="shared" si="169"/>
        <v>0</v>
      </c>
      <c r="AE15" s="33">
        <f t="shared" si="169"/>
        <v>0</v>
      </c>
      <c r="AF15" s="33">
        <f t="shared" si="169"/>
        <v>0</v>
      </c>
      <c r="AG15" s="33">
        <f t="shared" si="169"/>
        <v>0</v>
      </c>
      <c r="AH15" s="33">
        <f t="shared" si="169"/>
        <v>0</v>
      </c>
      <c r="AI15" s="33">
        <f t="shared" si="169"/>
        <v>0</v>
      </c>
      <c r="AJ15" s="33">
        <f t="shared" si="169"/>
        <v>0</v>
      </c>
      <c r="AK15" s="33">
        <f t="shared" si="169"/>
        <v>0</v>
      </c>
      <c r="AL15" s="33">
        <f t="shared" si="169"/>
        <v>0</v>
      </c>
      <c r="AM15" s="33">
        <f t="shared" si="169"/>
        <v>0</v>
      </c>
      <c r="AN15" s="33">
        <f t="shared" si="169"/>
        <v>0</v>
      </c>
      <c r="AO15" s="33">
        <f t="shared" si="169"/>
        <v>0</v>
      </c>
      <c r="AP15" s="33">
        <f t="shared" si="169"/>
        <v>0</v>
      </c>
      <c r="AQ15" s="33">
        <f t="shared" si="169"/>
        <v>0</v>
      </c>
      <c r="AR15" s="33">
        <f t="shared" si="169"/>
        <v>0</v>
      </c>
      <c r="AS15" s="33">
        <f t="shared" si="169"/>
        <v>0</v>
      </c>
      <c r="AT15" s="33">
        <f t="shared" si="169"/>
        <v>0</v>
      </c>
      <c r="AU15" s="33">
        <f t="shared" si="169"/>
        <v>0</v>
      </c>
      <c r="AV15" s="33">
        <f t="shared" si="169"/>
        <v>0</v>
      </c>
      <c r="AW15" s="33">
        <f t="shared" si="169"/>
        <v>0</v>
      </c>
      <c r="AX15" s="33">
        <f t="shared" si="169"/>
        <v>0</v>
      </c>
      <c r="AY15" s="33">
        <f t="shared" si="169"/>
        <v>0</v>
      </c>
      <c r="AZ15" s="33">
        <f t="shared" si="169"/>
        <v>0</v>
      </c>
      <c r="BA15" s="33">
        <f t="shared" si="169"/>
        <v>0</v>
      </c>
      <c r="BB15" s="33">
        <f t="shared" si="169"/>
        <v>0</v>
      </c>
      <c r="BC15" s="33">
        <f t="shared" si="169"/>
        <v>0</v>
      </c>
      <c r="BD15" s="33">
        <f t="shared" si="169"/>
        <v>0</v>
      </c>
      <c r="BE15" s="33">
        <f t="shared" si="169"/>
        <v>0</v>
      </c>
      <c r="BF15" s="33">
        <f t="shared" ref="BF15" si="170">(BF13)*(1+BF14)</f>
        <v>0</v>
      </c>
      <c r="BG15" s="33">
        <f t="shared" ref="BG15" si="171">(BG13)*(1+BG14)</f>
        <v>0</v>
      </c>
      <c r="BH15" s="33">
        <f t="shared" ref="BH15" si="172">(BH13)*(1+BH14)</f>
        <v>0</v>
      </c>
      <c r="BI15" s="33">
        <f t="shared" ref="BI15" si="173">(BI13)*(1+BI14)</f>
        <v>0</v>
      </c>
      <c r="BJ15" s="33">
        <f t="shared" ref="BJ15" si="174">(BJ13)*(1+BJ14)</f>
        <v>0</v>
      </c>
      <c r="BK15" s="33">
        <f t="shared" ref="BK15" si="175">(BK13)*(1+BK14)</f>
        <v>0</v>
      </c>
      <c r="BL15" s="33">
        <f t="shared" ref="BL15" si="176">(BL13)*(1+BL14)</f>
        <v>0</v>
      </c>
      <c r="BM15" s="33">
        <f t="shared" ref="BM15" si="177">(BM13)*(1+BM14)</f>
        <v>0</v>
      </c>
      <c r="BN15" s="33">
        <f t="shared" ref="BN15" si="178">(BN13)*(1+BN14)</f>
        <v>0</v>
      </c>
      <c r="BO15" s="33">
        <f t="shared" ref="BO15" si="179">(BO13)*(1+BO14)</f>
        <v>0</v>
      </c>
      <c r="BP15" s="33">
        <f t="shared" ref="BP15" si="180">(BP13)*(1+BP14)</f>
        <v>0</v>
      </c>
      <c r="BQ15" s="33">
        <f t="shared" ref="BQ15" si="181">(BQ13)*(1+BQ14)</f>
        <v>0</v>
      </c>
      <c r="BR15" s="33">
        <f t="shared" ref="BR15" si="182">(BR13)*(1+BR14)</f>
        <v>0</v>
      </c>
      <c r="BS15" s="33">
        <f t="shared" ref="BS15" si="183">(BS13)*(1+BS14)</f>
        <v>0</v>
      </c>
      <c r="BT15" s="33">
        <f t="shared" ref="BT15" si="184">(BT13)*(1+BT14)</f>
        <v>0</v>
      </c>
      <c r="BU15" s="33">
        <f t="shared" ref="BU15" si="185">(BU13)*(1+BU14)</f>
        <v>0</v>
      </c>
      <c r="BV15" s="33">
        <f t="shared" ref="BV15" si="186">(BV13)*(1+BV14)</f>
        <v>0</v>
      </c>
      <c r="BW15" s="33">
        <f t="shared" ref="BW15" si="187">(BW13)*(1+BW14)</f>
        <v>0</v>
      </c>
      <c r="BX15" s="33">
        <f t="shared" ref="BX15" si="188">(BX13)*(1+BX14)</f>
        <v>0</v>
      </c>
      <c r="BY15" s="33">
        <f t="shared" ref="BY15" si="189">(BY13)*(1+BY14)</f>
        <v>0</v>
      </c>
      <c r="BZ15" s="33">
        <f t="shared" ref="BZ15" si="190">(BZ13)*(1+BZ14)</f>
        <v>0</v>
      </c>
      <c r="CA15" s="33">
        <f t="shared" ref="CA15" si="191">(CA13)*(1+CA14)</f>
        <v>0</v>
      </c>
      <c r="CB15" s="33">
        <f t="shared" ref="CB15" si="192">(CB13)*(1+CB14)</f>
        <v>0</v>
      </c>
      <c r="CC15" s="33">
        <f t="shared" ref="CC15" si="193">(CC13)*(1+CC14)</f>
        <v>0</v>
      </c>
      <c r="CD15" s="33">
        <f t="shared" ref="CD15" si="194">(CD13)*(1+CD14)</f>
        <v>0</v>
      </c>
    </row>
    <row r="17" spans="1:82" x14ac:dyDescent="0.3">
      <c r="B17" s="38" t="s">
        <v>23</v>
      </c>
      <c r="P17" s="33">
        <f>+P10-O15*(1+P14)</f>
        <v>1483197.5309231132</v>
      </c>
      <c r="Q17" s="33">
        <f>+Q10-P15*(1+Q14)</f>
        <v>9401516.6346448213</v>
      </c>
      <c r="R17" s="33">
        <f>+R10-Q15*(1+R14)</f>
        <v>9583713.5268989019</v>
      </c>
      <c r="S17" s="33">
        <f t="shared" ref="S17:BE17" si="195">+S10-R15*(1+S14)</f>
        <v>9769162.7743651029</v>
      </c>
      <c r="T17" s="33">
        <f t="shared" si="195"/>
        <v>9957904.9563426934</v>
      </c>
      <c r="U17" s="33">
        <f t="shared" si="195"/>
        <v>10149979.967795912</v>
      </c>
      <c r="V17" s="33">
        <f t="shared" si="195"/>
        <v>10345426.914850101</v>
      </c>
      <c r="W17" s="33">
        <f t="shared" si="195"/>
        <v>10544284.002697017</v>
      </c>
      <c r="X17" s="33">
        <f t="shared" si="195"/>
        <v>10746588.415424591</v>
      </c>
      <c r="Y17" s="33">
        <f t="shared" si="195"/>
        <v>10952376.18725653</v>
      </c>
      <c r="Z17" s="33">
        <f t="shared" si="195"/>
        <v>11161682.064655544</v>
      </c>
      <c r="AA17" s="33">
        <f t="shared" si="195"/>
        <v>11374539.358710406</v>
      </c>
      <c r="AB17" s="33">
        <f t="shared" si="195"/>
        <v>11590979.787191365</v>
      </c>
      <c r="AC17" s="33">
        <f t="shared" si="195"/>
        <v>11811033.305620732</v>
      </c>
      <c r="AD17" s="33">
        <f t="shared" si="195"/>
        <v>12034727.926665289</v>
      </c>
      <c r="AE17" s="33">
        <f t="shared" si="195"/>
        <v>12262089.527114738</v>
      </c>
      <c r="AF17" s="33">
        <f t="shared" si="195"/>
        <v>12493141.641665194</v>
      </c>
      <c r="AG17" s="33">
        <f t="shared" si="195"/>
        <v>12727905.242678965</v>
      </c>
      <c r="AH17" s="33">
        <f t="shared" si="195"/>
        <v>12966398.505041096</v>
      </c>
      <c r="AI17" s="33">
        <f t="shared" si="195"/>
        <v>13208636.555179263</v>
      </c>
      <c r="AJ17" s="33">
        <f t="shared" si="195"/>
        <v>13454631.203256503</v>
      </c>
      <c r="AK17" s="33">
        <f t="shared" si="195"/>
        <v>13704390.657485846</v>
      </c>
      <c r="AL17" s="33">
        <f t="shared" si="195"/>
        <v>13957919.219451357</v>
      </c>
      <c r="AM17" s="33">
        <f t="shared" si="195"/>
        <v>14215216.959252248</v>
      </c>
      <c r="AN17" s="33">
        <f t="shared" si="195"/>
        <v>14476279.369214278</v>
      </c>
      <c r="AO17" s="33">
        <f t="shared" si="195"/>
        <v>14741096.994835952</v>
      </c>
      <c r="AP17" s="33">
        <f t="shared" si="195"/>
        <v>15009655.041555798</v>
      </c>
      <c r="AQ17" s="33">
        <f t="shared" si="195"/>
        <v>15281932.955840696</v>
      </c>
      <c r="AR17" s="33">
        <f t="shared" si="195"/>
        <v>15557903.979003668</v>
      </c>
      <c r="AS17" s="33">
        <f t="shared" si="195"/>
        <v>15837534.67206263</v>
      </c>
      <c r="AT17" s="33">
        <f t="shared" si="195"/>
        <v>16120784.409848472</v>
      </c>
      <c r="AU17" s="33">
        <f t="shared" si="195"/>
        <v>16407604.842461893</v>
      </c>
      <c r="AV17" s="33">
        <f t="shared" si="195"/>
        <v>16697939.322062358</v>
      </c>
      <c r="AW17" s="33">
        <f t="shared" si="195"/>
        <v>16991722.29284995</v>
      </c>
      <c r="AX17" s="33">
        <f t="shared" si="195"/>
        <v>17288878.641970418</v>
      </c>
      <c r="AY17" s="33">
        <f t="shared" si="195"/>
        <v>17589323.008935779</v>
      </c>
      <c r="AZ17" s="33">
        <f t="shared" si="195"/>
        <v>17892959.051005982</v>
      </c>
      <c r="BA17" s="33">
        <f t="shared" si="195"/>
        <v>18199678.661822025</v>
      </c>
      <c r="BB17" s="33">
        <f t="shared" si="195"/>
        <v>18509361.14041587</v>
      </c>
      <c r="BC17" s="33">
        <f t="shared" si="195"/>
        <v>18821872.307547666</v>
      </c>
      <c r="BD17" s="33">
        <f t="shared" si="195"/>
        <v>19137063.566135488</v>
      </c>
      <c r="BE17" s="33">
        <f t="shared" si="195"/>
        <v>19454770.902345892</v>
      </c>
      <c r="BF17" s="33">
        <f t="shared" ref="BF17:CD17" si="196">+BF10-BE15*(1+BF14)</f>
        <v>19774813.823705252</v>
      </c>
      <c r="BG17" s="33">
        <f t="shared" si="196"/>
        <v>20096994.230370384</v>
      </c>
      <c r="BH17" s="33">
        <f t="shared" si="196"/>
        <v>20421095.215462409</v>
      </c>
      <c r="BI17" s="33">
        <f t="shared" si="196"/>
        <v>20746879.790119007</v>
      </c>
      <c r="BJ17" s="33">
        <f t="shared" si="196"/>
        <v>21074089.528656166</v>
      </c>
      <c r="BK17" s="33">
        <f t="shared" si="196"/>
        <v>21402443.128950641</v>
      </c>
      <c r="BL17" s="33">
        <f t="shared" si="196"/>
        <v>21731634.882857535</v>
      </c>
      <c r="BM17" s="33">
        <f t="shared" si="196"/>
        <v>22061333.051162355</v>
      </c>
      <c r="BN17" s="33">
        <f t="shared" si="196"/>
        <v>22391178.13723325</v>
      </c>
      <c r="BO17" s="33">
        <f t="shared" si="196"/>
        <v>22720781.053184591</v>
      </c>
      <c r="BP17" s="33">
        <f t="shared" si="196"/>
        <v>23049721.171987835</v>
      </c>
      <c r="BQ17" s="33">
        <f t="shared" si="196"/>
        <v>23377544.258566882</v>
      </c>
      <c r="BR17" s="33">
        <f t="shared" si="196"/>
        <v>23703760.27249302</v>
      </c>
      <c r="BS17" s="33">
        <f t="shared" si="196"/>
        <v>24027841.034445964</v>
      </c>
      <c r="BT17" s="33">
        <f t="shared" si="196"/>
        <v>24349217.748132952</v>
      </c>
      <c r="BU17" s="33">
        <f t="shared" si="196"/>
        <v>24667278.368853174</v>
      </c>
      <c r="BV17" s="33">
        <f t="shared" si="196"/>
        <v>24981364.809360825</v>
      </c>
      <c r="BW17" s="33">
        <f t="shared" si="196"/>
        <v>25290769.973112948</v>
      </c>
      <c r="BX17" s="33">
        <f t="shared" si="196"/>
        <v>25594734.604387075</v>
      </c>
      <c r="BY17" s="33">
        <f t="shared" si="196"/>
        <v>25892443.944116093</v>
      </c>
      <c r="BZ17" s="33">
        <f t="shared" si="196"/>
        <v>26183024.179611601</v>
      </c>
      <c r="CA17" s="33">
        <f t="shared" si="196"/>
        <v>26465538.675629809</v>
      </c>
      <c r="CB17" s="33">
        <f t="shared" si="196"/>
        <v>26738983.973473467</v>
      </c>
      <c r="CC17" s="33">
        <f t="shared" si="196"/>
        <v>27002285.544016819</v>
      </c>
      <c r="CD17" s="33">
        <f t="shared" si="196"/>
        <v>27254293.27968502</v>
      </c>
    </row>
    <row r="18" spans="1:82" s="32" customFormat="1" x14ac:dyDescent="0.3">
      <c r="B18" s="40" t="s">
        <v>21</v>
      </c>
      <c r="P18" s="32">
        <f>+P17*0.2</f>
        <v>296639.50618462265</v>
      </c>
      <c r="Q18" s="32">
        <f>+Q17*0.2</f>
        <v>1880303.3269289644</v>
      </c>
      <c r="R18" s="32">
        <f>+R17*0.2</f>
        <v>1916742.7053797804</v>
      </c>
      <c r="S18" s="32">
        <f t="shared" ref="S18:BE18" si="197">+S17*0.2</f>
        <v>1953832.5548730206</v>
      </c>
      <c r="T18" s="32">
        <f t="shared" si="197"/>
        <v>1991580.9912685389</v>
      </c>
      <c r="U18" s="32">
        <f t="shared" si="197"/>
        <v>2029995.9935591826</v>
      </c>
      <c r="V18" s="32">
        <f t="shared" si="197"/>
        <v>2069085.3829700202</v>
      </c>
      <c r="W18" s="32">
        <f t="shared" si="197"/>
        <v>2108856.8005394037</v>
      </c>
      <c r="X18" s="32">
        <f t="shared" si="197"/>
        <v>2149317.6830849182</v>
      </c>
      <c r="Y18" s="32">
        <f t="shared" si="197"/>
        <v>2190475.2374513061</v>
      </c>
      <c r="Z18" s="32">
        <f t="shared" si="197"/>
        <v>2232336.4129311088</v>
      </c>
      <c r="AA18" s="32">
        <f t="shared" si="197"/>
        <v>2274907.8717420814</v>
      </c>
      <c r="AB18" s="32">
        <f t="shared" si="197"/>
        <v>2318195.9574382729</v>
      </c>
      <c r="AC18" s="32">
        <f t="shared" si="197"/>
        <v>2362206.6611241465</v>
      </c>
      <c r="AD18" s="32">
        <f t="shared" si="197"/>
        <v>2406945.5853330581</v>
      </c>
      <c r="AE18" s="32">
        <f t="shared" si="197"/>
        <v>2452417.9054229478</v>
      </c>
      <c r="AF18" s="32">
        <f t="shared" si="197"/>
        <v>2498628.3283330388</v>
      </c>
      <c r="AG18" s="32">
        <f t="shared" si="197"/>
        <v>2545581.0485357931</v>
      </c>
      <c r="AH18" s="32">
        <f t="shared" si="197"/>
        <v>2593279.7010082193</v>
      </c>
      <c r="AI18" s="32">
        <f t="shared" si="197"/>
        <v>2641727.3110358529</v>
      </c>
      <c r="AJ18" s="32">
        <f t="shared" si="197"/>
        <v>2690926.2406513006</v>
      </c>
      <c r="AK18" s="32">
        <f t="shared" si="197"/>
        <v>2740878.1314971694</v>
      </c>
      <c r="AL18" s="32">
        <f t="shared" si="197"/>
        <v>2791583.8438902716</v>
      </c>
      <c r="AM18" s="32">
        <f t="shared" si="197"/>
        <v>2843043.3918504496</v>
      </c>
      <c r="AN18" s="32">
        <f t="shared" si="197"/>
        <v>2895255.8738428559</v>
      </c>
      <c r="AO18" s="32">
        <f t="shared" si="197"/>
        <v>2948219.3989671906</v>
      </c>
      <c r="AP18" s="32">
        <f t="shared" si="197"/>
        <v>3001931.0083111599</v>
      </c>
      <c r="AQ18" s="32">
        <f t="shared" si="197"/>
        <v>3056386.5911681391</v>
      </c>
      <c r="AR18" s="32">
        <f t="shared" si="197"/>
        <v>3111580.7958007338</v>
      </c>
      <c r="AS18" s="32">
        <f t="shared" si="197"/>
        <v>3167506.934412526</v>
      </c>
      <c r="AT18" s="32">
        <f t="shared" si="197"/>
        <v>3224156.8819696945</v>
      </c>
      <c r="AU18" s="32">
        <f t="shared" si="197"/>
        <v>3281520.9684923789</v>
      </c>
      <c r="AV18" s="32">
        <f t="shared" si="197"/>
        <v>3339587.8644124717</v>
      </c>
      <c r="AW18" s="32">
        <f t="shared" si="197"/>
        <v>3398344.4585699905</v>
      </c>
      <c r="AX18" s="32">
        <f t="shared" si="197"/>
        <v>3457775.7283940837</v>
      </c>
      <c r="AY18" s="32">
        <f t="shared" si="197"/>
        <v>3517864.601787156</v>
      </c>
      <c r="AZ18" s="32">
        <f t="shared" si="197"/>
        <v>3578591.8102011965</v>
      </c>
      <c r="BA18" s="32">
        <f t="shared" si="197"/>
        <v>3639935.7323644049</v>
      </c>
      <c r="BB18" s="32">
        <f t="shared" si="197"/>
        <v>3701872.2280831742</v>
      </c>
      <c r="BC18" s="32">
        <f t="shared" si="197"/>
        <v>3764374.4615095332</v>
      </c>
      <c r="BD18" s="32">
        <f t="shared" si="197"/>
        <v>3827412.7132270979</v>
      </c>
      <c r="BE18" s="32">
        <f t="shared" si="197"/>
        <v>3890954.1804691786</v>
      </c>
      <c r="BF18" s="32">
        <f t="shared" ref="BF18" si="198">+BF17*0.2</f>
        <v>3954962.7647410505</v>
      </c>
      <c r="BG18" s="32">
        <f t="shared" ref="BG18" si="199">+BG17*0.2</f>
        <v>4019398.8460740768</v>
      </c>
      <c r="BH18" s="32">
        <f t="shared" ref="BH18" si="200">+BH17*0.2</f>
        <v>4084219.0430924818</v>
      </c>
      <c r="BI18" s="32">
        <f t="shared" ref="BI18" si="201">+BI17*0.2</f>
        <v>4149375.9580238014</v>
      </c>
      <c r="BJ18" s="32">
        <f t="shared" ref="BJ18" si="202">+BJ17*0.2</f>
        <v>4214817.9057312338</v>
      </c>
      <c r="BK18" s="32">
        <f t="shared" ref="BK18" si="203">+BK17*0.2</f>
        <v>4280488.6257901285</v>
      </c>
      <c r="BL18" s="32">
        <f t="shared" ref="BL18" si="204">+BL17*0.2</f>
        <v>4346326.9765715068</v>
      </c>
      <c r="BM18" s="32">
        <f t="shared" ref="BM18" si="205">+BM17*0.2</f>
        <v>4412266.6102324715</v>
      </c>
      <c r="BN18" s="32">
        <f t="shared" ref="BN18" si="206">+BN17*0.2</f>
        <v>4478235.6274466505</v>
      </c>
      <c r="BO18" s="32">
        <f t="shared" ref="BO18" si="207">+BO17*0.2</f>
        <v>4544156.2106369184</v>
      </c>
      <c r="BP18" s="32">
        <f t="shared" ref="BP18" si="208">+BP17*0.2</f>
        <v>4609944.2343975669</v>
      </c>
      <c r="BQ18" s="32">
        <f t="shared" ref="BQ18" si="209">+BQ17*0.2</f>
        <v>4675508.8517133771</v>
      </c>
      <c r="BR18" s="32">
        <f t="shared" ref="BR18" si="210">+BR17*0.2</f>
        <v>4740752.0544986045</v>
      </c>
      <c r="BS18" s="32">
        <f t="shared" ref="BS18" si="211">+BS17*0.2</f>
        <v>4805568.2068891926</v>
      </c>
      <c r="BT18" s="32">
        <f t="shared" ref="BT18" si="212">+BT17*0.2</f>
        <v>4869843.5496265907</v>
      </c>
      <c r="BU18" s="32">
        <f t="shared" ref="BU18" si="213">+BU17*0.2</f>
        <v>4933455.6737706354</v>
      </c>
      <c r="BV18" s="32">
        <f t="shared" ref="BV18" si="214">+BV17*0.2</f>
        <v>4996272.9618721651</v>
      </c>
      <c r="BW18" s="32">
        <f t="shared" ref="BW18" si="215">+BW17*0.2</f>
        <v>5058153.99462259</v>
      </c>
      <c r="BX18" s="32">
        <f t="shared" ref="BX18" si="216">+BX17*0.2</f>
        <v>5118946.9208774157</v>
      </c>
      <c r="BY18" s="32">
        <f t="shared" ref="BY18" si="217">+BY17*0.2</f>
        <v>5178488.788823219</v>
      </c>
      <c r="BZ18" s="32">
        <f t="shared" ref="BZ18" si="218">+BZ17*0.2</f>
        <v>5236604.8359223204</v>
      </c>
      <c r="CA18" s="32">
        <f t="shared" ref="CA18" si="219">+CA17*0.2</f>
        <v>5293107.7351259626</v>
      </c>
      <c r="CB18" s="32">
        <f t="shared" ref="CB18" si="220">+CB17*0.2</f>
        <v>5347796.7946946938</v>
      </c>
      <c r="CC18" s="32">
        <f t="shared" ref="CC18" si="221">+CC17*0.2</f>
        <v>5400457.1088033644</v>
      </c>
      <c r="CD18" s="32">
        <f t="shared" ref="CD18" si="222">+CD17*0.2</f>
        <v>5450858.6559370048</v>
      </c>
    </row>
    <row r="19" spans="1:82" x14ac:dyDescent="0.3">
      <c r="B19" s="38" t="s">
        <v>24</v>
      </c>
      <c r="C19" s="33">
        <f>-C15</f>
        <v>-2872156</v>
      </c>
      <c r="D19" s="33">
        <f t="shared" ref="D19:K19" si="223">-D15</f>
        <v>-5818327.4601199999</v>
      </c>
      <c r="E19" s="33">
        <f t="shared" si="223"/>
        <v>-8840421.7587672938</v>
      </c>
      <c r="F19" s="33">
        <f t="shared" si="223"/>
        <v>-11940395.427490728</v>
      </c>
      <c r="G19" s="33">
        <f t="shared" si="223"/>
        <v>-15120255.417657165</v>
      </c>
      <c r="H19" s="33">
        <f t="shared" si="223"/>
        <v>-18382060.399770193</v>
      </c>
      <c r="I19" s="33">
        <f t="shared" si="223"/>
        <v>-21727922.096272271</v>
      </c>
      <c r="J19" s="33">
        <f t="shared" si="223"/>
        <v>-25160006.648693208</v>
      </c>
      <c r="K19" s="33">
        <f t="shared" si="223"/>
        <v>-28680536.020030033</v>
      </c>
      <c r="L19" s="33">
        <f>-L15</f>
        <v>-32291789.433266208</v>
      </c>
      <c r="M19" s="33">
        <f>-M15</f>
        <v>-24419526.49872119</v>
      </c>
      <c r="N19" s="33">
        <f>-N15</f>
        <v>-16174791.667217307</v>
      </c>
      <c r="O19" s="33">
        <f>-O15</f>
        <v>-7544901.2940669786</v>
      </c>
      <c r="P19" s="33">
        <f>+P17-P18</f>
        <v>1186558.0247384906</v>
      </c>
      <c r="Q19" s="33">
        <f>+Q17-Q18</f>
        <v>7521213.3077158574</v>
      </c>
      <c r="R19" s="33">
        <f>+R17-R18</f>
        <v>7666970.8215191215</v>
      </c>
      <c r="S19" s="33">
        <f t="shared" ref="S19:BE19" si="224">+S17-S18</f>
        <v>7815330.2194920825</v>
      </c>
      <c r="T19" s="33">
        <f t="shared" si="224"/>
        <v>7966323.9650741545</v>
      </c>
      <c r="U19" s="33">
        <f t="shared" si="224"/>
        <v>8119983.9742367296</v>
      </c>
      <c r="V19" s="33">
        <f t="shared" si="224"/>
        <v>8276341.5318800807</v>
      </c>
      <c r="W19" s="33">
        <f t="shared" si="224"/>
        <v>8435427.2021576129</v>
      </c>
      <c r="X19" s="33">
        <f t="shared" si="224"/>
        <v>8597270.7323396727</v>
      </c>
      <c r="Y19" s="33">
        <f t="shared" si="224"/>
        <v>8761900.9498052243</v>
      </c>
      <c r="Z19" s="33">
        <f t="shared" si="224"/>
        <v>8929345.6517244354</v>
      </c>
      <c r="AA19" s="33">
        <f t="shared" si="224"/>
        <v>9099631.4869683255</v>
      </c>
      <c r="AB19" s="33">
        <f t="shared" si="224"/>
        <v>9272783.8297530916</v>
      </c>
      <c r="AC19" s="33">
        <f t="shared" si="224"/>
        <v>9448826.6444965862</v>
      </c>
      <c r="AD19" s="33">
        <f t="shared" si="224"/>
        <v>9627782.3413322307</v>
      </c>
      <c r="AE19" s="33">
        <f t="shared" si="224"/>
        <v>9809671.6216917895</v>
      </c>
      <c r="AF19" s="33">
        <f t="shared" si="224"/>
        <v>9994513.3133321553</v>
      </c>
      <c r="AG19" s="33">
        <f t="shared" si="224"/>
        <v>10182324.194143172</v>
      </c>
      <c r="AH19" s="33">
        <f t="shared" si="224"/>
        <v>10373118.804032877</v>
      </c>
      <c r="AI19" s="33">
        <f t="shared" si="224"/>
        <v>10566909.24414341</v>
      </c>
      <c r="AJ19" s="33">
        <f t="shared" si="224"/>
        <v>10763704.962605203</v>
      </c>
      <c r="AK19" s="33">
        <f t="shared" si="224"/>
        <v>10963512.525988678</v>
      </c>
      <c r="AL19" s="33">
        <f t="shared" si="224"/>
        <v>11166335.375561085</v>
      </c>
      <c r="AM19" s="33">
        <f t="shared" si="224"/>
        <v>11372173.567401798</v>
      </c>
      <c r="AN19" s="33">
        <f t="shared" si="224"/>
        <v>11581023.495371422</v>
      </c>
      <c r="AO19" s="33">
        <f t="shared" si="224"/>
        <v>11792877.595868763</v>
      </c>
      <c r="AP19" s="33">
        <f t="shared" si="224"/>
        <v>12007724.033244638</v>
      </c>
      <c r="AQ19" s="33">
        <f t="shared" si="224"/>
        <v>12225546.364672557</v>
      </c>
      <c r="AR19" s="33">
        <f t="shared" si="224"/>
        <v>12446323.183202934</v>
      </c>
      <c r="AS19" s="33">
        <f t="shared" si="224"/>
        <v>12670027.737650104</v>
      </c>
      <c r="AT19" s="33">
        <f t="shared" si="224"/>
        <v>12896627.527878778</v>
      </c>
      <c r="AU19" s="33">
        <f t="shared" si="224"/>
        <v>13126083.873969514</v>
      </c>
      <c r="AV19" s="33">
        <f t="shared" si="224"/>
        <v>13358351.457649887</v>
      </c>
      <c r="AW19" s="33">
        <f t="shared" si="224"/>
        <v>13593377.83427996</v>
      </c>
      <c r="AX19" s="33">
        <f t="shared" si="224"/>
        <v>13831102.913576335</v>
      </c>
      <c r="AY19" s="33">
        <f t="shared" si="224"/>
        <v>14071458.407148624</v>
      </c>
      <c r="AZ19" s="33">
        <f t="shared" si="224"/>
        <v>14314367.240804786</v>
      </c>
      <c r="BA19" s="33">
        <f t="shared" si="224"/>
        <v>14559742.92945762</v>
      </c>
      <c r="BB19" s="33">
        <f t="shared" si="224"/>
        <v>14807488.912332695</v>
      </c>
      <c r="BC19" s="33">
        <f t="shared" si="224"/>
        <v>15057497.846038133</v>
      </c>
      <c r="BD19" s="33">
        <f t="shared" si="224"/>
        <v>15309650.852908392</v>
      </c>
      <c r="BE19" s="33">
        <f t="shared" si="224"/>
        <v>15563816.721876714</v>
      </c>
      <c r="BF19" s="33">
        <f t="shared" ref="BF19" si="225">+BF17-BF18</f>
        <v>15819851.058964202</v>
      </c>
      <c r="BG19" s="33">
        <f t="shared" ref="BG19" si="226">+BG17-BG18</f>
        <v>16077595.384296307</v>
      </c>
      <c r="BH19" s="33">
        <f t="shared" ref="BH19" si="227">+BH17-BH18</f>
        <v>16336876.172369927</v>
      </c>
      <c r="BI19" s="33">
        <f t="shared" ref="BI19" si="228">+BI17-BI18</f>
        <v>16597503.832095206</v>
      </c>
      <c r="BJ19" s="33">
        <f t="shared" ref="BJ19" si="229">+BJ17-BJ18</f>
        <v>16859271.622924931</v>
      </c>
      <c r="BK19" s="33">
        <f t="shared" ref="BK19" si="230">+BK17-BK18</f>
        <v>17121954.503160514</v>
      </c>
      <c r="BL19" s="33">
        <f t="shared" ref="BL19" si="231">+BL17-BL18</f>
        <v>17385307.906286027</v>
      </c>
      <c r="BM19" s="33">
        <f t="shared" ref="BM19" si="232">+BM17-BM18</f>
        <v>17649066.440929882</v>
      </c>
      <c r="BN19" s="33">
        <f t="shared" ref="BN19" si="233">+BN17-BN18</f>
        <v>17912942.509786598</v>
      </c>
      <c r="BO19" s="33">
        <f t="shared" ref="BO19" si="234">+BO17-BO18</f>
        <v>18176624.842547674</v>
      </c>
      <c r="BP19" s="33">
        <f t="shared" ref="BP19" si="235">+BP17-BP18</f>
        <v>18439776.937590268</v>
      </c>
      <c r="BQ19" s="33">
        <f t="shared" ref="BQ19" si="236">+BQ17-BQ18</f>
        <v>18702035.406853504</v>
      </c>
      <c r="BR19" s="33">
        <f t="shared" ref="BR19" si="237">+BR17-BR18</f>
        <v>18963008.217994414</v>
      </c>
      <c r="BS19" s="33">
        <f t="shared" ref="BS19" si="238">+BS17-BS18</f>
        <v>19222272.82755677</v>
      </c>
      <c r="BT19" s="33">
        <f t="shared" ref="BT19" si="239">+BT17-BT18</f>
        <v>19479374.198506363</v>
      </c>
      <c r="BU19" s="33">
        <f t="shared" ref="BU19" si="240">+BU17-BU18</f>
        <v>19733822.695082538</v>
      </c>
      <c r="BV19" s="33">
        <f t="shared" ref="BV19" si="241">+BV17-BV18</f>
        <v>19985091.84748866</v>
      </c>
      <c r="BW19" s="33">
        <f t="shared" ref="BW19" si="242">+BW17-BW18</f>
        <v>20232615.97849036</v>
      </c>
      <c r="BX19" s="33">
        <f t="shared" ref="BX19" si="243">+BX17-BX18</f>
        <v>20475787.683509659</v>
      </c>
      <c r="BY19" s="33">
        <f t="shared" ref="BY19" si="244">+BY17-BY18</f>
        <v>20713955.155292876</v>
      </c>
      <c r="BZ19" s="33">
        <f t="shared" ref="BZ19" si="245">+BZ17-BZ18</f>
        <v>20946419.343689281</v>
      </c>
      <c r="CA19" s="33">
        <f t="shared" ref="CA19" si="246">+CA17-CA18</f>
        <v>21172430.940503847</v>
      </c>
      <c r="CB19" s="33">
        <f t="shared" ref="CB19" si="247">+CB17-CB18</f>
        <v>21391187.178778775</v>
      </c>
      <c r="CC19" s="33">
        <f t="shared" ref="CC19" si="248">+CC17-CC18</f>
        <v>21601828.435213454</v>
      </c>
      <c r="CD19" s="33">
        <f t="shared" ref="CD19" si="249">+CD17-CD18</f>
        <v>21803434.623748016</v>
      </c>
    </row>
    <row r="20" spans="1:82" x14ac:dyDescent="0.3">
      <c r="B20" s="38" t="s">
        <v>25</v>
      </c>
      <c r="C20" s="36">
        <f>IRR(C19:AP19)</f>
        <v>6.8286734891833678E-3</v>
      </c>
    </row>
    <row r="21" spans="1:82" x14ac:dyDescent="0.3">
      <c r="C21" s="35"/>
    </row>
    <row r="22" spans="1:82" x14ac:dyDescent="0.3">
      <c r="C22" s="37"/>
    </row>
    <row r="24" spans="1:82" ht="43.2" x14ac:dyDescent="0.3">
      <c r="A24" s="49" t="s">
        <v>25</v>
      </c>
    </row>
    <row r="25" spans="1:82" s="50" customFormat="1" ht="57.6" x14ac:dyDescent="0.35">
      <c r="A25" s="54">
        <f>IRR(P26:P65)</f>
        <v>1.5787389926714246E-2</v>
      </c>
      <c r="B25" s="51" t="s">
        <v>26</v>
      </c>
      <c r="C25" s="49" t="s">
        <v>35</v>
      </c>
      <c r="D25" s="49" t="s">
        <v>28</v>
      </c>
      <c r="E25" s="51" t="s">
        <v>27</v>
      </c>
      <c r="F25" s="52" t="s">
        <v>29</v>
      </c>
      <c r="G25" s="52" t="s">
        <v>16</v>
      </c>
      <c r="H25" s="52" t="s">
        <v>20</v>
      </c>
      <c r="I25" s="49" t="s">
        <v>19</v>
      </c>
      <c r="J25" s="49" t="s">
        <v>22</v>
      </c>
      <c r="K25" s="49" t="s">
        <v>17</v>
      </c>
      <c r="L25" s="49" t="s">
        <v>36</v>
      </c>
      <c r="M25" s="49" t="s">
        <v>18</v>
      </c>
      <c r="N25" s="49" t="s">
        <v>23</v>
      </c>
      <c r="O25" s="52" t="s">
        <v>21</v>
      </c>
      <c r="P25" s="49" t="s">
        <v>24</v>
      </c>
      <c r="Q25" s="49"/>
    </row>
    <row r="26" spans="1:82" x14ac:dyDescent="0.3">
      <c r="A26">
        <v>2021</v>
      </c>
      <c r="F26">
        <v>200</v>
      </c>
      <c r="K26">
        <v>2800000</v>
      </c>
      <c r="L26" s="31">
        <v>2.5770000000000001E-2</v>
      </c>
      <c r="M26">
        <f>+K26*(1+L26)</f>
        <v>2872156</v>
      </c>
      <c r="P26">
        <f>-M26</f>
        <v>-2872156</v>
      </c>
    </row>
    <row r="27" spans="1:82" x14ac:dyDescent="0.3">
      <c r="A27">
        <v>2022</v>
      </c>
      <c r="F27">
        <f>+ROUND(F26*1.01,0)</f>
        <v>202</v>
      </c>
      <c r="K27">
        <v>2800000</v>
      </c>
      <c r="L27" s="31">
        <v>2.5770000000000001E-2</v>
      </c>
      <c r="M27">
        <f>+ROUND((M26+K27)*(1+L27),0)</f>
        <v>5818327</v>
      </c>
      <c r="P27">
        <f t="shared" ref="P27:P37" si="250">-M27</f>
        <v>-5818327</v>
      </c>
    </row>
    <row r="28" spans="1:82" x14ac:dyDescent="0.3">
      <c r="A28">
        <v>2023</v>
      </c>
      <c r="F28">
        <f t="shared" ref="F28:F65" si="251">+ROUND(F27*1.01,0)</f>
        <v>204</v>
      </c>
      <c r="K28">
        <v>2800000</v>
      </c>
      <c r="L28" s="31">
        <v>2.5770000000000001E-2</v>
      </c>
      <c r="M28">
        <f t="shared" ref="M28:M35" si="252">+ROUND((M27+K28)*(1+L28),0)</f>
        <v>8840421</v>
      </c>
      <c r="P28">
        <f t="shared" si="250"/>
        <v>-8840421</v>
      </c>
    </row>
    <row r="29" spans="1:82" x14ac:dyDescent="0.3">
      <c r="A29">
        <v>2024</v>
      </c>
      <c r="F29">
        <f t="shared" si="251"/>
        <v>206</v>
      </c>
      <c r="K29">
        <v>2800000</v>
      </c>
      <c r="L29" s="31">
        <v>2.5770000000000001E-2</v>
      </c>
      <c r="M29">
        <f t="shared" si="252"/>
        <v>11940395</v>
      </c>
      <c r="P29">
        <f t="shared" si="250"/>
        <v>-11940395</v>
      </c>
    </row>
    <row r="30" spans="1:82" x14ac:dyDescent="0.3">
      <c r="A30">
        <v>2025</v>
      </c>
      <c r="F30">
        <f t="shared" si="251"/>
        <v>208</v>
      </c>
      <c r="K30">
        <v>2800000</v>
      </c>
      <c r="L30" s="31">
        <v>2.5770000000000001E-2</v>
      </c>
      <c r="M30">
        <f t="shared" si="252"/>
        <v>15120255</v>
      </c>
      <c r="P30">
        <f t="shared" si="250"/>
        <v>-15120255</v>
      </c>
    </row>
    <row r="31" spans="1:82" x14ac:dyDescent="0.3">
      <c r="A31">
        <v>2026</v>
      </c>
      <c r="F31">
        <f t="shared" si="251"/>
        <v>210</v>
      </c>
      <c r="K31">
        <v>2800000</v>
      </c>
      <c r="L31" s="31">
        <v>2.5770000000000001E-2</v>
      </c>
      <c r="M31">
        <f t="shared" si="252"/>
        <v>18382060</v>
      </c>
      <c r="P31">
        <f t="shared" si="250"/>
        <v>-18382060</v>
      </c>
    </row>
    <row r="32" spans="1:82" x14ac:dyDescent="0.3">
      <c r="A32">
        <v>2027</v>
      </c>
      <c r="F32">
        <f t="shared" si="251"/>
        <v>212</v>
      </c>
      <c r="K32">
        <v>2800000</v>
      </c>
      <c r="L32" s="31">
        <v>2.5770000000000001E-2</v>
      </c>
      <c r="M32">
        <f t="shared" si="252"/>
        <v>21727922</v>
      </c>
      <c r="P32">
        <f t="shared" si="250"/>
        <v>-21727922</v>
      </c>
    </row>
    <row r="33" spans="1:16" x14ac:dyDescent="0.3">
      <c r="A33">
        <v>2028</v>
      </c>
      <c r="F33">
        <f t="shared" si="251"/>
        <v>214</v>
      </c>
      <c r="K33">
        <v>2800000</v>
      </c>
      <c r="L33" s="31">
        <v>2.5770000000000001E-2</v>
      </c>
      <c r="M33">
        <f t="shared" si="252"/>
        <v>25160007</v>
      </c>
      <c r="P33">
        <f t="shared" si="250"/>
        <v>-25160007</v>
      </c>
    </row>
    <row r="34" spans="1:16" x14ac:dyDescent="0.3">
      <c r="A34">
        <v>2029</v>
      </c>
      <c r="F34">
        <f t="shared" si="251"/>
        <v>216</v>
      </c>
      <c r="K34">
        <v>2800000</v>
      </c>
      <c r="L34" s="31">
        <v>2.5770000000000001E-2</v>
      </c>
      <c r="M34">
        <f t="shared" si="252"/>
        <v>28680536</v>
      </c>
      <c r="P34">
        <f t="shared" si="250"/>
        <v>-28680536</v>
      </c>
    </row>
    <row r="35" spans="1:16" x14ac:dyDescent="0.3">
      <c r="A35">
        <v>2030</v>
      </c>
      <c r="F35">
        <f t="shared" si="251"/>
        <v>218</v>
      </c>
      <c r="K35">
        <v>2800000</v>
      </c>
      <c r="L35" s="31">
        <v>2.5770000000000001E-2</v>
      </c>
      <c r="M35">
        <f t="shared" si="252"/>
        <v>32291789</v>
      </c>
      <c r="P35">
        <f t="shared" si="250"/>
        <v>-32291789</v>
      </c>
    </row>
    <row r="36" spans="1:16" x14ac:dyDescent="0.3">
      <c r="A36">
        <v>2031</v>
      </c>
      <c r="B36" s="38">
        <f>+ROUND(Malacca!C33,0)</f>
        <v>107497</v>
      </c>
      <c r="C36" s="34">
        <f>+ROUND(NSR!C22,0)</f>
        <v>1619</v>
      </c>
      <c r="D36" s="34">
        <f>+B36-C36</f>
        <v>105878</v>
      </c>
      <c r="E36">
        <f>+ROUND(D36*0.5,0)</f>
        <v>52939</v>
      </c>
      <c r="F36">
        <f t="shared" si="251"/>
        <v>220</v>
      </c>
      <c r="G36">
        <f>+E36*F36</f>
        <v>11646580</v>
      </c>
      <c r="H36">
        <f>+ROUND(G36*0.2,0)</f>
        <v>2329316</v>
      </c>
      <c r="I36">
        <f>+G36-H36</f>
        <v>9317264</v>
      </c>
      <c r="J36">
        <f>+I36</f>
        <v>9317264</v>
      </c>
      <c r="M36">
        <f>IF(+ROUND((M35-J36)*(1+$L$35),0)&gt;=0,+ROUND((M35-J36)*(1+$L$35),0),0)</f>
        <v>23566579</v>
      </c>
      <c r="N36">
        <f>+IF(I36-M36&gt;0,I36-M36,0)</f>
        <v>0</v>
      </c>
      <c r="O36">
        <f>+ROUND(N36*0.2,0)</f>
        <v>0</v>
      </c>
      <c r="P36">
        <f t="shared" si="250"/>
        <v>-23566579</v>
      </c>
    </row>
    <row r="37" spans="1:16" x14ac:dyDescent="0.3">
      <c r="A37">
        <v>2032</v>
      </c>
      <c r="B37" s="38">
        <f>+ROUND(Malacca!C34,0)</f>
        <v>109131</v>
      </c>
      <c r="C37" s="34">
        <f>+ROUND(NSR!C23,0)</f>
        <v>2015</v>
      </c>
      <c r="D37" s="34">
        <f t="shared" ref="D37:D65" si="253">+B37-C37</f>
        <v>107116</v>
      </c>
      <c r="E37">
        <f t="shared" ref="E37:E65" si="254">+ROUND(D37*0.5,0)</f>
        <v>53558</v>
      </c>
      <c r="F37">
        <f t="shared" si="251"/>
        <v>222</v>
      </c>
      <c r="G37">
        <f t="shared" ref="G37:G65" si="255">+E37*F37</f>
        <v>11889876</v>
      </c>
      <c r="H37">
        <f t="shared" ref="H37:H65" si="256">+ROUND(G37*0.2,0)</f>
        <v>2377975</v>
      </c>
      <c r="I37">
        <f t="shared" ref="I37:I65" si="257">+G37-H37</f>
        <v>9511901</v>
      </c>
      <c r="J37">
        <f t="shared" ref="J37:J39" si="258">+I37</f>
        <v>9511901</v>
      </c>
      <c r="M37">
        <f t="shared" ref="M37:M39" si="259">IF(+ROUND((M36-J37)*(1+$L$35),0)&gt;=0,+ROUND((M36-J37)*(1+$L$35),0),0)</f>
        <v>14416867</v>
      </c>
      <c r="N37">
        <f t="shared" ref="N37:N64" si="260">+IF(I37-M37&gt;0,I37-M37,0)</f>
        <v>0</v>
      </c>
      <c r="O37">
        <f t="shared" ref="O37:O65" si="261">+ROUND(N37*0.2,0)</f>
        <v>0</v>
      </c>
      <c r="P37">
        <f t="shared" si="250"/>
        <v>-14416867</v>
      </c>
    </row>
    <row r="38" spans="1:16" x14ac:dyDescent="0.3">
      <c r="A38">
        <v>2033</v>
      </c>
      <c r="B38" s="38">
        <f>+ROUND(Malacca!C35,0)</f>
        <v>110764</v>
      </c>
      <c r="C38" s="34">
        <f>+ROUND(NSR!C24,0)</f>
        <v>2437</v>
      </c>
      <c r="D38" s="34">
        <f t="shared" si="253"/>
        <v>108327</v>
      </c>
      <c r="E38">
        <f t="shared" si="254"/>
        <v>54164</v>
      </c>
      <c r="F38">
        <f t="shared" si="251"/>
        <v>224</v>
      </c>
      <c r="G38">
        <f t="shared" si="255"/>
        <v>12132736</v>
      </c>
      <c r="H38">
        <f t="shared" si="256"/>
        <v>2426547</v>
      </c>
      <c r="I38">
        <f t="shared" si="257"/>
        <v>9706189</v>
      </c>
      <c r="J38">
        <f t="shared" si="258"/>
        <v>9706189</v>
      </c>
      <c r="M38">
        <f t="shared" si="259"/>
        <v>4832072</v>
      </c>
      <c r="N38">
        <f>+IF(I38-M38&gt;0,I38-M38,0)</f>
        <v>4874117</v>
      </c>
      <c r="O38">
        <f t="shared" si="261"/>
        <v>974823</v>
      </c>
      <c r="P38">
        <f>+N38-O38</f>
        <v>3899294</v>
      </c>
    </row>
    <row r="39" spans="1:16" x14ac:dyDescent="0.3">
      <c r="A39">
        <v>2034</v>
      </c>
      <c r="B39" s="38">
        <f>+ROUND(Malacca!C36,0)</f>
        <v>112398</v>
      </c>
      <c r="C39" s="34">
        <f>+ROUND(NSR!C25,0)</f>
        <v>2795</v>
      </c>
      <c r="D39" s="34">
        <f t="shared" si="253"/>
        <v>109603</v>
      </c>
      <c r="E39">
        <f t="shared" si="254"/>
        <v>54802</v>
      </c>
      <c r="F39">
        <f t="shared" si="251"/>
        <v>226</v>
      </c>
      <c r="G39">
        <f t="shared" si="255"/>
        <v>12385252</v>
      </c>
      <c r="H39">
        <f t="shared" si="256"/>
        <v>2477050</v>
      </c>
      <c r="I39">
        <f t="shared" si="257"/>
        <v>9908202</v>
      </c>
      <c r="J39">
        <f t="shared" si="258"/>
        <v>9908202</v>
      </c>
      <c r="M39">
        <f t="shared" si="259"/>
        <v>0</v>
      </c>
      <c r="N39">
        <f>+IF(I39-M39&gt;0,I39-M39,0)</f>
        <v>9908202</v>
      </c>
      <c r="O39">
        <f t="shared" si="261"/>
        <v>1981640</v>
      </c>
      <c r="P39">
        <f t="shared" ref="P39:P65" si="262">+N39-O39</f>
        <v>7926562</v>
      </c>
    </row>
    <row r="40" spans="1:16" x14ac:dyDescent="0.3">
      <c r="A40">
        <v>2035</v>
      </c>
      <c r="B40" s="38">
        <f>+ROUND(Malacca!C37,0)</f>
        <v>114031</v>
      </c>
      <c r="C40" s="34">
        <f>+ROUND(NSR!C26,0)</f>
        <v>3090</v>
      </c>
      <c r="D40" s="34">
        <f t="shared" si="253"/>
        <v>110941</v>
      </c>
      <c r="E40">
        <f t="shared" si="254"/>
        <v>55471</v>
      </c>
      <c r="F40">
        <f t="shared" si="251"/>
        <v>228</v>
      </c>
      <c r="G40">
        <f t="shared" si="255"/>
        <v>12647388</v>
      </c>
      <c r="H40">
        <f t="shared" si="256"/>
        <v>2529478</v>
      </c>
      <c r="I40">
        <f t="shared" si="257"/>
        <v>10117910</v>
      </c>
      <c r="N40">
        <f t="shared" si="260"/>
        <v>10117910</v>
      </c>
      <c r="O40">
        <f t="shared" si="261"/>
        <v>2023582</v>
      </c>
      <c r="P40">
        <f t="shared" si="262"/>
        <v>8094328</v>
      </c>
    </row>
    <row r="41" spans="1:16" x14ac:dyDescent="0.3">
      <c r="A41">
        <v>2036</v>
      </c>
      <c r="B41" s="38">
        <f>+ROUND(Malacca!C38,0)</f>
        <v>115665</v>
      </c>
      <c r="C41" s="34">
        <f>+ROUND(NSR!C27,0)</f>
        <v>3486</v>
      </c>
      <c r="D41" s="34">
        <f t="shared" si="253"/>
        <v>112179</v>
      </c>
      <c r="E41">
        <f t="shared" si="254"/>
        <v>56090</v>
      </c>
      <c r="F41">
        <f t="shared" si="251"/>
        <v>230</v>
      </c>
      <c r="G41">
        <f t="shared" si="255"/>
        <v>12900700</v>
      </c>
      <c r="H41">
        <f t="shared" si="256"/>
        <v>2580140</v>
      </c>
      <c r="I41">
        <f t="shared" si="257"/>
        <v>10320560</v>
      </c>
      <c r="N41">
        <f t="shared" si="260"/>
        <v>10320560</v>
      </c>
      <c r="O41">
        <f t="shared" si="261"/>
        <v>2064112</v>
      </c>
      <c r="P41">
        <f t="shared" si="262"/>
        <v>8256448</v>
      </c>
    </row>
    <row r="42" spans="1:16" x14ac:dyDescent="0.3">
      <c r="A42">
        <v>2037</v>
      </c>
      <c r="B42" s="38">
        <f>+ROUND(Malacca!C39,0)</f>
        <v>117298</v>
      </c>
      <c r="C42" s="34">
        <f>+ROUND(NSR!C28,0)</f>
        <v>3907</v>
      </c>
      <c r="D42" s="34">
        <f t="shared" si="253"/>
        <v>113391</v>
      </c>
      <c r="E42">
        <f t="shared" si="254"/>
        <v>56696</v>
      </c>
      <c r="F42">
        <f t="shared" si="251"/>
        <v>232</v>
      </c>
      <c r="G42">
        <f t="shared" si="255"/>
        <v>13153472</v>
      </c>
      <c r="H42">
        <f t="shared" si="256"/>
        <v>2630694</v>
      </c>
      <c r="I42">
        <f t="shared" si="257"/>
        <v>10522778</v>
      </c>
      <c r="N42">
        <f t="shared" si="260"/>
        <v>10522778</v>
      </c>
      <c r="O42">
        <f t="shared" si="261"/>
        <v>2104556</v>
      </c>
      <c r="P42">
        <f t="shared" si="262"/>
        <v>8418222</v>
      </c>
    </row>
    <row r="43" spans="1:16" x14ac:dyDescent="0.3">
      <c r="A43">
        <v>2038</v>
      </c>
      <c r="B43" s="38">
        <f>+ROUND(Malacca!C40,0)</f>
        <v>118932</v>
      </c>
      <c r="C43" s="34">
        <f>+ROUND(NSR!C29,0)</f>
        <v>4266</v>
      </c>
      <c r="D43" s="34">
        <f t="shared" si="253"/>
        <v>114666</v>
      </c>
      <c r="E43">
        <f t="shared" si="254"/>
        <v>57333</v>
      </c>
      <c r="F43">
        <f t="shared" si="251"/>
        <v>234</v>
      </c>
      <c r="G43">
        <f t="shared" si="255"/>
        <v>13415922</v>
      </c>
      <c r="H43">
        <f t="shared" si="256"/>
        <v>2683184</v>
      </c>
      <c r="I43">
        <f t="shared" si="257"/>
        <v>10732738</v>
      </c>
      <c r="N43">
        <f t="shared" si="260"/>
        <v>10732738</v>
      </c>
      <c r="O43">
        <f t="shared" si="261"/>
        <v>2146548</v>
      </c>
      <c r="P43">
        <f t="shared" si="262"/>
        <v>8586190</v>
      </c>
    </row>
    <row r="44" spans="1:16" x14ac:dyDescent="0.3">
      <c r="A44">
        <v>2039</v>
      </c>
      <c r="B44" s="38">
        <f>+ROUND(Malacca!C41,0)</f>
        <v>120565</v>
      </c>
      <c r="C44" s="34">
        <f>+ROUND(NSR!C30,0)</f>
        <v>4560</v>
      </c>
      <c r="D44" s="34">
        <f t="shared" si="253"/>
        <v>116005</v>
      </c>
      <c r="E44">
        <f t="shared" si="254"/>
        <v>58003</v>
      </c>
      <c r="F44">
        <f t="shared" si="251"/>
        <v>236</v>
      </c>
      <c r="G44">
        <f t="shared" si="255"/>
        <v>13688708</v>
      </c>
      <c r="H44">
        <f t="shared" si="256"/>
        <v>2737742</v>
      </c>
      <c r="I44">
        <f t="shared" si="257"/>
        <v>10950966</v>
      </c>
      <c r="N44">
        <f t="shared" si="260"/>
        <v>10950966</v>
      </c>
      <c r="O44">
        <f t="shared" si="261"/>
        <v>2190193</v>
      </c>
      <c r="P44">
        <f t="shared" si="262"/>
        <v>8760773</v>
      </c>
    </row>
    <row r="45" spans="1:16" x14ac:dyDescent="0.3">
      <c r="A45">
        <v>2040</v>
      </c>
      <c r="B45" s="38">
        <f>+ROUND(Malacca!C42,0)</f>
        <v>122199</v>
      </c>
      <c r="C45" s="34">
        <f>+ROUND(NSR!C31,0)</f>
        <v>4957</v>
      </c>
      <c r="D45" s="34">
        <f t="shared" si="253"/>
        <v>117242</v>
      </c>
      <c r="E45">
        <f t="shared" si="254"/>
        <v>58621</v>
      </c>
      <c r="F45">
        <f t="shared" si="251"/>
        <v>238</v>
      </c>
      <c r="G45">
        <f t="shared" si="255"/>
        <v>13951798</v>
      </c>
      <c r="H45">
        <f t="shared" si="256"/>
        <v>2790360</v>
      </c>
      <c r="I45">
        <f t="shared" si="257"/>
        <v>11161438</v>
      </c>
      <c r="N45">
        <f t="shared" si="260"/>
        <v>11161438</v>
      </c>
      <c r="O45">
        <f t="shared" si="261"/>
        <v>2232288</v>
      </c>
      <c r="P45">
        <f t="shared" si="262"/>
        <v>8929150</v>
      </c>
    </row>
    <row r="46" spans="1:16" x14ac:dyDescent="0.3">
      <c r="A46">
        <v>2041</v>
      </c>
      <c r="B46" s="38">
        <f>+ROUND(Malacca!C43,0)</f>
        <v>123832</v>
      </c>
      <c r="C46" s="34">
        <f>+ROUND(NSR!C32,0)</f>
        <v>5378</v>
      </c>
      <c r="D46" s="34">
        <f t="shared" si="253"/>
        <v>118454</v>
      </c>
      <c r="E46">
        <f t="shared" si="254"/>
        <v>59227</v>
      </c>
      <c r="F46">
        <f t="shared" si="251"/>
        <v>240</v>
      </c>
      <c r="G46">
        <f t="shared" si="255"/>
        <v>14214480</v>
      </c>
      <c r="H46">
        <f t="shared" si="256"/>
        <v>2842896</v>
      </c>
      <c r="I46">
        <f t="shared" si="257"/>
        <v>11371584</v>
      </c>
      <c r="N46">
        <f t="shared" si="260"/>
        <v>11371584</v>
      </c>
      <c r="O46">
        <f t="shared" si="261"/>
        <v>2274317</v>
      </c>
      <c r="P46">
        <f t="shared" si="262"/>
        <v>9097267</v>
      </c>
    </row>
    <row r="47" spans="1:16" x14ac:dyDescent="0.3">
      <c r="A47">
        <v>2042</v>
      </c>
      <c r="B47" s="38">
        <f>+ROUND(Malacca!C44,0)</f>
        <v>125466</v>
      </c>
      <c r="C47" s="34">
        <f>+ROUND(NSR!C33,0)</f>
        <v>5737</v>
      </c>
      <c r="D47" s="34">
        <f t="shared" si="253"/>
        <v>119729</v>
      </c>
      <c r="E47">
        <f t="shared" si="254"/>
        <v>59865</v>
      </c>
      <c r="F47">
        <f t="shared" si="251"/>
        <v>242</v>
      </c>
      <c r="G47">
        <f t="shared" si="255"/>
        <v>14487330</v>
      </c>
      <c r="H47">
        <f t="shared" si="256"/>
        <v>2897466</v>
      </c>
      <c r="I47">
        <f t="shared" si="257"/>
        <v>11589864</v>
      </c>
      <c r="N47">
        <f t="shared" si="260"/>
        <v>11589864</v>
      </c>
      <c r="O47">
        <f t="shared" si="261"/>
        <v>2317973</v>
      </c>
      <c r="P47">
        <f t="shared" si="262"/>
        <v>9271891</v>
      </c>
    </row>
    <row r="48" spans="1:16" x14ac:dyDescent="0.3">
      <c r="A48">
        <v>2043</v>
      </c>
      <c r="B48" s="38">
        <f>+ROUND(Malacca!C45,0)</f>
        <v>127099</v>
      </c>
      <c r="C48" s="34">
        <f>+ROUND(NSR!C34,0)</f>
        <v>6031</v>
      </c>
      <c r="D48" s="34">
        <f t="shared" si="253"/>
        <v>121068</v>
      </c>
      <c r="E48">
        <f t="shared" si="254"/>
        <v>60534</v>
      </c>
      <c r="F48">
        <f t="shared" si="251"/>
        <v>244</v>
      </c>
      <c r="G48">
        <f t="shared" si="255"/>
        <v>14770296</v>
      </c>
      <c r="H48">
        <f t="shared" si="256"/>
        <v>2954059</v>
      </c>
      <c r="I48">
        <f t="shared" si="257"/>
        <v>11816237</v>
      </c>
      <c r="N48">
        <f t="shared" si="260"/>
        <v>11816237</v>
      </c>
      <c r="O48">
        <f t="shared" si="261"/>
        <v>2363247</v>
      </c>
      <c r="P48">
        <f t="shared" si="262"/>
        <v>9452990</v>
      </c>
    </row>
    <row r="49" spans="1:16" x14ac:dyDescent="0.3">
      <c r="A49">
        <v>2044</v>
      </c>
      <c r="B49" s="38">
        <f>+ROUND(Malacca!C46,0)</f>
        <v>128733</v>
      </c>
      <c r="C49" s="34">
        <f>+ROUND(NSR!C35,0)</f>
        <v>6427</v>
      </c>
      <c r="D49" s="34">
        <f t="shared" si="253"/>
        <v>122306</v>
      </c>
      <c r="E49">
        <f t="shared" si="254"/>
        <v>61153</v>
      </c>
      <c r="F49">
        <f t="shared" si="251"/>
        <v>246</v>
      </c>
      <c r="G49">
        <f t="shared" si="255"/>
        <v>15043638</v>
      </c>
      <c r="H49">
        <f t="shared" si="256"/>
        <v>3008728</v>
      </c>
      <c r="I49">
        <f t="shared" si="257"/>
        <v>12034910</v>
      </c>
      <c r="N49">
        <f t="shared" si="260"/>
        <v>12034910</v>
      </c>
      <c r="O49">
        <f t="shared" si="261"/>
        <v>2406982</v>
      </c>
      <c r="P49">
        <f t="shared" si="262"/>
        <v>9627928</v>
      </c>
    </row>
    <row r="50" spans="1:16" x14ac:dyDescent="0.3">
      <c r="A50">
        <v>2045</v>
      </c>
      <c r="B50" s="38">
        <f>+ROUND(Malacca!C47,0)</f>
        <v>130366</v>
      </c>
      <c r="C50" s="34">
        <f>+ROUND(NSR!C36,0)</f>
        <v>6849</v>
      </c>
      <c r="D50" s="34">
        <f t="shared" si="253"/>
        <v>123517</v>
      </c>
      <c r="E50">
        <f t="shared" si="254"/>
        <v>61759</v>
      </c>
      <c r="F50">
        <f t="shared" si="251"/>
        <v>248</v>
      </c>
      <c r="G50">
        <f t="shared" si="255"/>
        <v>15316232</v>
      </c>
      <c r="H50">
        <f t="shared" si="256"/>
        <v>3063246</v>
      </c>
      <c r="I50">
        <f t="shared" si="257"/>
        <v>12252986</v>
      </c>
      <c r="N50">
        <f t="shared" si="260"/>
        <v>12252986</v>
      </c>
      <c r="O50">
        <f t="shared" si="261"/>
        <v>2450597</v>
      </c>
      <c r="P50">
        <f t="shared" si="262"/>
        <v>9802389</v>
      </c>
    </row>
    <row r="51" spans="1:16" x14ac:dyDescent="0.3">
      <c r="A51">
        <v>2046</v>
      </c>
      <c r="B51" s="38">
        <f>+ROUND(Malacca!C48,0)</f>
        <v>132000</v>
      </c>
      <c r="C51" s="34">
        <f>+ROUND(NSR!C37,0)</f>
        <v>7207</v>
      </c>
      <c r="D51" s="34">
        <f t="shared" si="253"/>
        <v>124793</v>
      </c>
      <c r="E51">
        <f t="shared" si="254"/>
        <v>62397</v>
      </c>
      <c r="F51">
        <f t="shared" si="251"/>
        <v>250</v>
      </c>
      <c r="G51">
        <f t="shared" si="255"/>
        <v>15599250</v>
      </c>
      <c r="H51">
        <f t="shared" si="256"/>
        <v>3119850</v>
      </c>
      <c r="I51">
        <f t="shared" si="257"/>
        <v>12479400</v>
      </c>
      <c r="N51">
        <f t="shared" si="260"/>
        <v>12479400</v>
      </c>
      <c r="O51">
        <f t="shared" si="261"/>
        <v>2495880</v>
      </c>
      <c r="P51">
        <f t="shared" si="262"/>
        <v>9983520</v>
      </c>
    </row>
    <row r="52" spans="1:16" x14ac:dyDescent="0.3">
      <c r="A52">
        <v>2047</v>
      </c>
      <c r="B52" s="38">
        <f>+ROUND(Malacca!C49,0)</f>
        <v>133633</v>
      </c>
      <c r="C52" s="34">
        <f>+ROUND(NSR!C38,0)</f>
        <v>7502</v>
      </c>
      <c r="D52" s="34">
        <f t="shared" si="253"/>
        <v>126131</v>
      </c>
      <c r="E52">
        <f t="shared" si="254"/>
        <v>63066</v>
      </c>
      <c r="F52">
        <f t="shared" si="251"/>
        <v>253</v>
      </c>
      <c r="G52">
        <f t="shared" si="255"/>
        <v>15955698</v>
      </c>
      <c r="H52">
        <f t="shared" si="256"/>
        <v>3191140</v>
      </c>
      <c r="I52">
        <f t="shared" si="257"/>
        <v>12764558</v>
      </c>
      <c r="N52">
        <f t="shared" si="260"/>
        <v>12764558</v>
      </c>
      <c r="O52">
        <f t="shared" si="261"/>
        <v>2552912</v>
      </c>
      <c r="P52">
        <f t="shared" si="262"/>
        <v>10211646</v>
      </c>
    </row>
    <row r="53" spans="1:16" x14ac:dyDescent="0.3">
      <c r="A53">
        <v>2048</v>
      </c>
      <c r="B53" s="38">
        <f>+ROUND(Malacca!C50,0)</f>
        <v>135267</v>
      </c>
      <c r="C53" s="34">
        <f>+ROUND(NSR!C39,0)</f>
        <v>7898</v>
      </c>
      <c r="D53" s="34">
        <f t="shared" si="253"/>
        <v>127369</v>
      </c>
      <c r="E53">
        <f t="shared" si="254"/>
        <v>63685</v>
      </c>
      <c r="F53">
        <f t="shared" si="251"/>
        <v>256</v>
      </c>
      <c r="G53">
        <f t="shared" si="255"/>
        <v>16303360</v>
      </c>
      <c r="H53">
        <f t="shared" si="256"/>
        <v>3260672</v>
      </c>
      <c r="I53">
        <f t="shared" si="257"/>
        <v>13042688</v>
      </c>
      <c r="N53">
        <f t="shared" si="260"/>
        <v>13042688</v>
      </c>
      <c r="O53">
        <f t="shared" si="261"/>
        <v>2608538</v>
      </c>
      <c r="P53">
        <f t="shared" si="262"/>
        <v>10434150</v>
      </c>
    </row>
    <row r="54" spans="1:16" x14ac:dyDescent="0.3">
      <c r="A54">
        <v>2049</v>
      </c>
      <c r="B54" s="38">
        <f>+ROUND(Malacca!C51,0)</f>
        <v>136900</v>
      </c>
      <c r="C54" s="34">
        <f>+ROUND(NSR!C40,0)</f>
        <v>8319</v>
      </c>
      <c r="D54" s="34">
        <f t="shared" si="253"/>
        <v>128581</v>
      </c>
      <c r="E54">
        <f t="shared" si="254"/>
        <v>64291</v>
      </c>
      <c r="F54">
        <f t="shared" si="251"/>
        <v>259</v>
      </c>
      <c r="G54">
        <f t="shared" si="255"/>
        <v>16651369</v>
      </c>
      <c r="H54">
        <f t="shared" si="256"/>
        <v>3330274</v>
      </c>
      <c r="I54">
        <f t="shared" si="257"/>
        <v>13321095</v>
      </c>
      <c r="N54">
        <f t="shared" si="260"/>
        <v>13321095</v>
      </c>
      <c r="O54">
        <f t="shared" si="261"/>
        <v>2664219</v>
      </c>
      <c r="P54">
        <f t="shared" si="262"/>
        <v>10656876</v>
      </c>
    </row>
    <row r="55" spans="1:16" x14ac:dyDescent="0.3">
      <c r="A55">
        <v>2050</v>
      </c>
      <c r="B55" s="38">
        <f>+ROUND(Malacca!C52,0)</f>
        <v>138534</v>
      </c>
      <c r="C55" s="34">
        <f>+ROUND(NSR!C41,0)</f>
        <v>8678</v>
      </c>
      <c r="D55" s="34">
        <f t="shared" si="253"/>
        <v>129856</v>
      </c>
      <c r="E55">
        <f t="shared" si="254"/>
        <v>64928</v>
      </c>
      <c r="F55">
        <f t="shared" si="251"/>
        <v>262</v>
      </c>
      <c r="G55">
        <f t="shared" si="255"/>
        <v>17011136</v>
      </c>
      <c r="H55">
        <f t="shared" si="256"/>
        <v>3402227</v>
      </c>
      <c r="I55">
        <f t="shared" si="257"/>
        <v>13608909</v>
      </c>
      <c r="N55">
        <f t="shared" si="260"/>
        <v>13608909</v>
      </c>
      <c r="O55">
        <f t="shared" si="261"/>
        <v>2721782</v>
      </c>
      <c r="P55">
        <f t="shared" si="262"/>
        <v>10887127</v>
      </c>
    </row>
    <row r="56" spans="1:16" x14ac:dyDescent="0.3">
      <c r="A56">
        <v>2051</v>
      </c>
      <c r="B56" s="38">
        <f>+ROUND(Malacca!C53,0)</f>
        <v>140167</v>
      </c>
      <c r="C56" s="34">
        <f>+ROUND(NSR!C42,0)</f>
        <v>8972</v>
      </c>
      <c r="D56" s="34">
        <f t="shared" si="253"/>
        <v>131195</v>
      </c>
      <c r="E56">
        <f t="shared" si="254"/>
        <v>65598</v>
      </c>
      <c r="F56">
        <f t="shared" si="251"/>
        <v>265</v>
      </c>
      <c r="G56">
        <f t="shared" si="255"/>
        <v>17383470</v>
      </c>
      <c r="H56">
        <f t="shared" si="256"/>
        <v>3476694</v>
      </c>
      <c r="I56">
        <f t="shared" si="257"/>
        <v>13906776</v>
      </c>
      <c r="N56">
        <f t="shared" si="260"/>
        <v>13906776</v>
      </c>
      <c r="O56">
        <f t="shared" si="261"/>
        <v>2781355</v>
      </c>
      <c r="P56">
        <f t="shared" si="262"/>
        <v>11125421</v>
      </c>
    </row>
    <row r="57" spans="1:16" x14ac:dyDescent="0.3">
      <c r="A57">
        <v>2052</v>
      </c>
      <c r="B57" s="38">
        <f>+ROUND(Malacca!C54,0)</f>
        <v>141801</v>
      </c>
      <c r="C57" s="34">
        <f>+ROUND(NSR!C43,0)</f>
        <v>9368</v>
      </c>
      <c r="D57" s="34">
        <f t="shared" si="253"/>
        <v>132433</v>
      </c>
      <c r="E57">
        <f t="shared" si="254"/>
        <v>66217</v>
      </c>
      <c r="F57">
        <f t="shared" si="251"/>
        <v>268</v>
      </c>
      <c r="G57">
        <f t="shared" si="255"/>
        <v>17746156</v>
      </c>
      <c r="H57">
        <f t="shared" si="256"/>
        <v>3549231</v>
      </c>
      <c r="I57">
        <f t="shared" si="257"/>
        <v>14196925</v>
      </c>
      <c r="N57">
        <f t="shared" si="260"/>
        <v>14196925</v>
      </c>
      <c r="O57">
        <f t="shared" si="261"/>
        <v>2839385</v>
      </c>
      <c r="P57">
        <f t="shared" si="262"/>
        <v>11357540</v>
      </c>
    </row>
    <row r="58" spans="1:16" x14ac:dyDescent="0.3">
      <c r="A58">
        <v>2053</v>
      </c>
      <c r="B58" s="38">
        <f>+ROUND(Malacca!C55,0)</f>
        <v>143434</v>
      </c>
      <c r="C58" s="34">
        <f>+ROUND(NSR!C44,0)</f>
        <v>9790</v>
      </c>
      <c r="D58" s="34">
        <f t="shared" si="253"/>
        <v>133644</v>
      </c>
      <c r="E58">
        <f t="shared" si="254"/>
        <v>66822</v>
      </c>
      <c r="F58">
        <f t="shared" si="251"/>
        <v>271</v>
      </c>
      <c r="G58">
        <f t="shared" si="255"/>
        <v>18108762</v>
      </c>
      <c r="H58">
        <f t="shared" si="256"/>
        <v>3621752</v>
      </c>
      <c r="I58">
        <f t="shared" si="257"/>
        <v>14487010</v>
      </c>
      <c r="N58">
        <f t="shared" si="260"/>
        <v>14487010</v>
      </c>
      <c r="O58">
        <f t="shared" si="261"/>
        <v>2897402</v>
      </c>
      <c r="P58">
        <f t="shared" si="262"/>
        <v>11589608</v>
      </c>
    </row>
    <row r="59" spans="1:16" x14ac:dyDescent="0.3">
      <c r="A59">
        <v>2054</v>
      </c>
      <c r="B59" s="38">
        <f>+ROUND(Malacca!C56,0)</f>
        <v>145068</v>
      </c>
      <c r="C59" s="34">
        <f>+ROUND(NSR!C45,0)</f>
        <v>10149</v>
      </c>
      <c r="D59" s="34">
        <f t="shared" si="253"/>
        <v>134919</v>
      </c>
      <c r="E59">
        <f t="shared" si="254"/>
        <v>67460</v>
      </c>
      <c r="F59">
        <f t="shared" si="251"/>
        <v>274</v>
      </c>
      <c r="G59">
        <f t="shared" si="255"/>
        <v>18484040</v>
      </c>
      <c r="H59">
        <f t="shared" si="256"/>
        <v>3696808</v>
      </c>
      <c r="I59">
        <f t="shared" si="257"/>
        <v>14787232</v>
      </c>
      <c r="N59">
        <f t="shared" si="260"/>
        <v>14787232</v>
      </c>
      <c r="O59">
        <f t="shared" si="261"/>
        <v>2957446</v>
      </c>
      <c r="P59">
        <f t="shared" si="262"/>
        <v>11829786</v>
      </c>
    </row>
    <row r="60" spans="1:16" x14ac:dyDescent="0.3">
      <c r="A60">
        <v>2055</v>
      </c>
      <c r="B60" s="38">
        <f>+ROUND(Malacca!C57,0)</f>
        <v>146701</v>
      </c>
      <c r="C60" s="34">
        <f>+ROUND(NSR!C46,0)</f>
        <v>10443</v>
      </c>
      <c r="D60" s="34">
        <f t="shared" si="253"/>
        <v>136258</v>
      </c>
      <c r="E60">
        <f t="shared" si="254"/>
        <v>68129</v>
      </c>
      <c r="F60">
        <f t="shared" si="251"/>
        <v>277</v>
      </c>
      <c r="G60">
        <f t="shared" si="255"/>
        <v>18871733</v>
      </c>
      <c r="H60">
        <f t="shared" si="256"/>
        <v>3774347</v>
      </c>
      <c r="I60">
        <f t="shared" si="257"/>
        <v>15097386</v>
      </c>
      <c r="N60">
        <f t="shared" si="260"/>
        <v>15097386</v>
      </c>
      <c r="O60">
        <f t="shared" si="261"/>
        <v>3019477</v>
      </c>
      <c r="P60">
        <f t="shared" si="262"/>
        <v>12077909</v>
      </c>
    </row>
    <row r="61" spans="1:16" x14ac:dyDescent="0.3">
      <c r="A61">
        <v>2056</v>
      </c>
      <c r="B61" s="38">
        <f>+ROUND(Malacca!C58,0)</f>
        <v>148335</v>
      </c>
      <c r="C61" s="34">
        <f>+ROUND(NSR!C47,0)</f>
        <v>10839</v>
      </c>
      <c r="D61" s="34">
        <f t="shared" si="253"/>
        <v>137496</v>
      </c>
      <c r="E61">
        <f t="shared" si="254"/>
        <v>68748</v>
      </c>
      <c r="F61">
        <f t="shared" si="251"/>
        <v>280</v>
      </c>
      <c r="G61">
        <f t="shared" si="255"/>
        <v>19249440</v>
      </c>
      <c r="H61">
        <f t="shared" si="256"/>
        <v>3849888</v>
      </c>
      <c r="I61">
        <f t="shared" si="257"/>
        <v>15399552</v>
      </c>
      <c r="N61">
        <f t="shared" si="260"/>
        <v>15399552</v>
      </c>
      <c r="O61">
        <f t="shared" si="261"/>
        <v>3079910</v>
      </c>
      <c r="P61">
        <f t="shared" si="262"/>
        <v>12319642</v>
      </c>
    </row>
    <row r="62" spans="1:16" x14ac:dyDescent="0.3">
      <c r="A62">
        <v>2057</v>
      </c>
      <c r="B62" s="38">
        <f>+ROUND(Malacca!C59,0)</f>
        <v>149968</v>
      </c>
      <c r="C62" s="34">
        <f>+ROUND(NSR!C48,0)</f>
        <v>11261</v>
      </c>
      <c r="D62" s="34">
        <f t="shared" si="253"/>
        <v>138707</v>
      </c>
      <c r="E62">
        <f t="shared" si="254"/>
        <v>69354</v>
      </c>
      <c r="F62">
        <f t="shared" si="251"/>
        <v>283</v>
      </c>
      <c r="G62">
        <f t="shared" si="255"/>
        <v>19627182</v>
      </c>
      <c r="H62">
        <f t="shared" si="256"/>
        <v>3925436</v>
      </c>
      <c r="I62">
        <f t="shared" si="257"/>
        <v>15701746</v>
      </c>
      <c r="N62">
        <f t="shared" si="260"/>
        <v>15701746</v>
      </c>
      <c r="O62">
        <f t="shared" si="261"/>
        <v>3140349</v>
      </c>
      <c r="P62">
        <f t="shared" si="262"/>
        <v>12561397</v>
      </c>
    </row>
    <row r="63" spans="1:16" x14ac:dyDescent="0.3">
      <c r="A63">
        <v>2058</v>
      </c>
      <c r="B63" s="38">
        <f>+ROUND(Malacca!C60,0)</f>
        <v>151602</v>
      </c>
      <c r="C63" s="34">
        <f>+ROUND(NSR!C49,0)</f>
        <v>11619</v>
      </c>
      <c r="D63" s="34">
        <f t="shared" si="253"/>
        <v>139983</v>
      </c>
      <c r="E63">
        <f t="shared" si="254"/>
        <v>69992</v>
      </c>
      <c r="F63">
        <f t="shared" si="251"/>
        <v>286</v>
      </c>
      <c r="G63">
        <f t="shared" si="255"/>
        <v>20017712</v>
      </c>
      <c r="H63">
        <f t="shared" si="256"/>
        <v>4003542</v>
      </c>
      <c r="I63">
        <f t="shared" si="257"/>
        <v>16014170</v>
      </c>
      <c r="N63">
        <f t="shared" si="260"/>
        <v>16014170</v>
      </c>
      <c r="O63">
        <f t="shared" si="261"/>
        <v>3202834</v>
      </c>
      <c r="P63">
        <f t="shared" si="262"/>
        <v>12811336</v>
      </c>
    </row>
    <row r="64" spans="1:16" x14ac:dyDescent="0.3">
      <c r="A64">
        <v>2059</v>
      </c>
      <c r="B64" s="38">
        <f>+ROUND(Malacca!C61,0)</f>
        <v>153236</v>
      </c>
      <c r="C64" s="34">
        <f>+ROUND(NSR!C50,0)</f>
        <v>11913</v>
      </c>
      <c r="D64" s="34">
        <f t="shared" si="253"/>
        <v>141323</v>
      </c>
      <c r="E64">
        <f t="shared" si="254"/>
        <v>70662</v>
      </c>
      <c r="F64">
        <f t="shared" si="251"/>
        <v>289</v>
      </c>
      <c r="G64">
        <f t="shared" si="255"/>
        <v>20421318</v>
      </c>
      <c r="H64">
        <f t="shared" si="256"/>
        <v>4084264</v>
      </c>
      <c r="I64">
        <f t="shared" si="257"/>
        <v>16337054</v>
      </c>
      <c r="N64">
        <f t="shared" si="260"/>
        <v>16337054</v>
      </c>
      <c r="O64">
        <f t="shared" si="261"/>
        <v>3267411</v>
      </c>
      <c r="P64">
        <f t="shared" si="262"/>
        <v>13069643</v>
      </c>
    </row>
    <row r="65" spans="1:16" x14ac:dyDescent="0.3">
      <c r="A65">
        <v>2060</v>
      </c>
      <c r="B65" s="38">
        <f>+ROUND(Malacca!C62,0)</f>
        <v>154869</v>
      </c>
      <c r="C65" s="34">
        <f>+ROUND(NSR!C51,0)</f>
        <v>12310</v>
      </c>
      <c r="D65" s="34">
        <f t="shared" si="253"/>
        <v>142559</v>
      </c>
      <c r="E65">
        <f t="shared" si="254"/>
        <v>71280</v>
      </c>
      <c r="F65">
        <f t="shared" si="251"/>
        <v>292</v>
      </c>
      <c r="G65">
        <f t="shared" si="255"/>
        <v>20813760</v>
      </c>
      <c r="H65">
        <f t="shared" si="256"/>
        <v>4162752</v>
      </c>
      <c r="I65">
        <f t="shared" si="257"/>
        <v>16651008</v>
      </c>
      <c r="N65">
        <f>+IF(I65-M65&gt;0,I65-M65,0)</f>
        <v>16651008</v>
      </c>
      <c r="O65">
        <f t="shared" si="261"/>
        <v>3330202</v>
      </c>
      <c r="P65">
        <f t="shared" si="262"/>
        <v>13320806</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12E0E-4550-43BB-A4C0-6B22E45988EF}">
  <dimension ref="A1:P41"/>
  <sheetViews>
    <sheetView zoomScale="55" zoomScaleNormal="55" workbookViewId="0">
      <pane xSplit="2" ySplit="1" topLeftCell="C2" activePane="bottomRight" state="frozen"/>
      <selection pane="topRight" activeCell="B1" sqref="B1"/>
      <selection pane="bottomLeft" activeCell="A2" sqref="A2"/>
      <selection pane="bottomRight" sqref="A1:P41"/>
    </sheetView>
  </sheetViews>
  <sheetFormatPr defaultRowHeight="15" x14ac:dyDescent="0.25"/>
  <cols>
    <col min="1" max="1" width="10.6640625" style="55" customWidth="1"/>
    <col min="2" max="2" width="15.21875" style="57" customWidth="1"/>
    <col min="3" max="3" width="18.5546875" style="58" customWidth="1"/>
    <col min="4" max="5" width="17.5546875" style="58" customWidth="1"/>
    <col min="6" max="6" width="14.109375" style="56" customWidth="1"/>
    <col min="7" max="7" width="18.6640625" style="56" customWidth="1"/>
    <col min="8" max="8" width="17.44140625" style="56" customWidth="1"/>
    <col min="9" max="9" width="18.6640625" style="56" customWidth="1"/>
    <col min="10" max="10" width="17.44140625" style="56" customWidth="1"/>
    <col min="11" max="11" width="18.5546875" style="56" customWidth="1"/>
    <col min="12" max="12" width="18.5546875" style="55" customWidth="1"/>
    <col min="13" max="14" width="18.6640625" style="56" customWidth="1"/>
    <col min="15" max="15" width="17.44140625" style="56" customWidth="1"/>
    <col min="16" max="16" width="19.6640625" style="56" customWidth="1"/>
    <col min="17" max="18" width="15.44140625" style="55" customWidth="1"/>
    <col min="19" max="58" width="15.44140625" style="55" bestFit="1" customWidth="1"/>
    <col min="59" max="78" width="10.44140625" style="55" bestFit="1" customWidth="1"/>
    <col min="79" max="82" width="15.44140625" style="55" bestFit="1" customWidth="1"/>
    <col min="83" max="16384" width="8.88671875" style="55"/>
  </cols>
  <sheetData>
    <row r="1" spans="1:16" s="59" customFormat="1" ht="126" customHeight="1" x14ac:dyDescent="0.3">
      <c r="A1" s="78" t="str">
        <f>"Internal Rate Of Return: "&amp;TEXT(IRR(P2:P41), "0.0%")</f>
        <v>Internal Rate Of Return: 0.0%</v>
      </c>
      <c r="B1" s="79" t="s">
        <v>97</v>
      </c>
      <c r="C1" s="80" t="s">
        <v>35</v>
      </c>
      <c r="D1" s="80" t="s">
        <v>96</v>
      </c>
      <c r="E1" s="79" t="s">
        <v>95</v>
      </c>
      <c r="F1" s="81" t="s">
        <v>94</v>
      </c>
      <c r="G1" s="81" t="s">
        <v>93</v>
      </c>
      <c r="H1" s="81" t="s">
        <v>98</v>
      </c>
      <c r="I1" s="81" t="s">
        <v>19</v>
      </c>
      <c r="J1" s="81" t="s">
        <v>22</v>
      </c>
      <c r="K1" s="81" t="s">
        <v>99</v>
      </c>
      <c r="L1" s="80" t="s">
        <v>100</v>
      </c>
      <c r="M1" s="81" t="s">
        <v>101</v>
      </c>
      <c r="N1" s="81" t="s">
        <v>92</v>
      </c>
      <c r="O1" s="81" t="s">
        <v>102</v>
      </c>
      <c r="P1" s="82" t="s">
        <v>24</v>
      </c>
    </row>
    <row r="2" spans="1:16" x14ac:dyDescent="0.25">
      <c r="A2" s="60" t="s">
        <v>52</v>
      </c>
      <c r="B2" s="61"/>
      <c r="C2" s="62"/>
      <c r="D2" s="62"/>
      <c r="E2" s="62"/>
      <c r="F2" s="63">
        <v>200</v>
      </c>
      <c r="G2" s="63"/>
      <c r="H2" s="63"/>
      <c r="I2" s="63"/>
      <c r="J2" s="63"/>
      <c r="K2" s="63">
        <v>2800000</v>
      </c>
      <c r="L2" s="64">
        <v>2.5770000000000001E-2</v>
      </c>
      <c r="M2" s="63">
        <f>+K2*(1+L2)</f>
        <v>2872156</v>
      </c>
      <c r="N2" s="63"/>
      <c r="O2" s="63"/>
      <c r="P2" s="65">
        <f>-M2</f>
        <v>-2872156</v>
      </c>
    </row>
    <row r="3" spans="1:16" x14ac:dyDescent="0.25">
      <c r="A3" s="60" t="s">
        <v>53</v>
      </c>
      <c r="B3" s="66"/>
      <c r="C3" s="67"/>
      <c r="D3" s="67"/>
      <c r="E3" s="67"/>
      <c r="F3" s="68">
        <f>+ROUND(F2*1.01,0)</f>
        <v>202</v>
      </c>
      <c r="G3" s="68"/>
      <c r="H3" s="68"/>
      <c r="I3" s="68"/>
      <c r="J3" s="68"/>
      <c r="K3" s="68">
        <v>2800000</v>
      </c>
      <c r="L3" s="69">
        <v>2.5770000000000001E-2</v>
      </c>
      <c r="M3" s="68">
        <f>+ROUND((M2+K3)*(1+L3),0)</f>
        <v>5818327</v>
      </c>
      <c r="N3" s="68"/>
      <c r="O3" s="68"/>
      <c r="P3" s="70">
        <f t="shared" ref="P3:P13" si="0">-M3</f>
        <v>-5818327</v>
      </c>
    </row>
    <row r="4" spans="1:16" x14ac:dyDescent="0.25">
      <c r="A4" s="60" t="s">
        <v>54</v>
      </c>
      <c r="B4" s="66"/>
      <c r="C4" s="67"/>
      <c r="D4" s="67"/>
      <c r="E4" s="67"/>
      <c r="F4" s="68">
        <f t="shared" ref="F4:F41" si="1">+ROUND(F3*1.01,0)</f>
        <v>204</v>
      </c>
      <c r="G4" s="68"/>
      <c r="H4" s="68"/>
      <c r="I4" s="68"/>
      <c r="J4" s="68"/>
      <c r="K4" s="68">
        <v>2800000</v>
      </c>
      <c r="L4" s="69">
        <v>2.5770000000000001E-2</v>
      </c>
      <c r="M4" s="68">
        <f t="shared" ref="M4:M11" si="2">+ROUND((M3+K4)*(1+L4),0)</f>
        <v>8840421</v>
      </c>
      <c r="N4" s="68"/>
      <c r="O4" s="68"/>
      <c r="P4" s="70">
        <f t="shared" si="0"/>
        <v>-8840421</v>
      </c>
    </row>
    <row r="5" spans="1:16" x14ac:dyDescent="0.25">
      <c r="A5" s="60" t="s">
        <v>55</v>
      </c>
      <c r="B5" s="66"/>
      <c r="C5" s="67"/>
      <c r="D5" s="67"/>
      <c r="E5" s="67"/>
      <c r="F5" s="68">
        <f t="shared" si="1"/>
        <v>206</v>
      </c>
      <c r="G5" s="68"/>
      <c r="H5" s="68"/>
      <c r="I5" s="68"/>
      <c r="J5" s="68"/>
      <c r="K5" s="68">
        <v>2800000</v>
      </c>
      <c r="L5" s="69">
        <v>2.5770000000000001E-2</v>
      </c>
      <c r="M5" s="68">
        <f t="shared" si="2"/>
        <v>11940395</v>
      </c>
      <c r="N5" s="68"/>
      <c r="O5" s="68"/>
      <c r="P5" s="70">
        <f t="shared" si="0"/>
        <v>-11940395</v>
      </c>
    </row>
    <row r="6" spans="1:16" x14ac:dyDescent="0.25">
      <c r="A6" s="60" t="s">
        <v>56</v>
      </c>
      <c r="B6" s="66"/>
      <c r="C6" s="67"/>
      <c r="D6" s="67"/>
      <c r="E6" s="67"/>
      <c r="F6" s="68">
        <f t="shared" si="1"/>
        <v>208</v>
      </c>
      <c r="G6" s="68"/>
      <c r="H6" s="68"/>
      <c r="I6" s="68"/>
      <c r="J6" s="68"/>
      <c r="K6" s="68">
        <v>2800000</v>
      </c>
      <c r="L6" s="69">
        <v>2.5770000000000001E-2</v>
      </c>
      <c r="M6" s="68">
        <f t="shared" si="2"/>
        <v>15120255</v>
      </c>
      <c r="N6" s="68"/>
      <c r="O6" s="68"/>
      <c r="P6" s="70">
        <f t="shared" si="0"/>
        <v>-15120255</v>
      </c>
    </row>
    <row r="7" spans="1:16" x14ac:dyDescent="0.25">
      <c r="A7" s="60" t="s">
        <v>57</v>
      </c>
      <c r="B7" s="66"/>
      <c r="C7" s="67"/>
      <c r="D7" s="67"/>
      <c r="E7" s="67"/>
      <c r="F7" s="68">
        <f t="shared" si="1"/>
        <v>210</v>
      </c>
      <c r="G7" s="68"/>
      <c r="H7" s="68"/>
      <c r="I7" s="68"/>
      <c r="J7" s="68"/>
      <c r="K7" s="68">
        <v>2800000</v>
      </c>
      <c r="L7" s="69">
        <v>2.5770000000000001E-2</v>
      </c>
      <c r="M7" s="68">
        <f t="shared" si="2"/>
        <v>18382060</v>
      </c>
      <c r="N7" s="68"/>
      <c r="O7" s="68"/>
      <c r="P7" s="70">
        <f t="shared" si="0"/>
        <v>-18382060</v>
      </c>
    </row>
    <row r="8" spans="1:16" x14ac:dyDescent="0.25">
      <c r="A8" s="60" t="s">
        <v>58</v>
      </c>
      <c r="B8" s="66"/>
      <c r="C8" s="67"/>
      <c r="D8" s="67"/>
      <c r="E8" s="67"/>
      <c r="F8" s="68">
        <f t="shared" si="1"/>
        <v>212</v>
      </c>
      <c r="G8" s="68"/>
      <c r="H8" s="68"/>
      <c r="I8" s="68"/>
      <c r="J8" s="68"/>
      <c r="K8" s="68">
        <v>2800000</v>
      </c>
      <c r="L8" s="69">
        <v>2.5770000000000001E-2</v>
      </c>
      <c r="M8" s="68">
        <f t="shared" si="2"/>
        <v>21727922</v>
      </c>
      <c r="N8" s="68"/>
      <c r="O8" s="68"/>
      <c r="P8" s="70">
        <f t="shared" si="0"/>
        <v>-21727922</v>
      </c>
    </row>
    <row r="9" spans="1:16" x14ac:dyDescent="0.25">
      <c r="A9" s="60" t="s">
        <v>59</v>
      </c>
      <c r="B9" s="66"/>
      <c r="C9" s="67"/>
      <c r="D9" s="67"/>
      <c r="E9" s="67"/>
      <c r="F9" s="68">
        <f t="shared" si="1"/>
        <v>214</v>
      </c>
      <c r="G9" s="68"/>
      <c r="H9" s="68"/>
      <c r="I9" s="68"/>
      <c r="J9" s="68"/>
      <c r="K9" s="68">
        <v>2800000</v>
      </c>
      <c r="L9" s="69">
        <v>2.5770000000000001E-2</v>
      </c>
      <c r="M9" s="68">
        <f t="shared" si="2"/>
        <v>25160007</v>
      </c>
      <c r="N9" s="68"/>
      <c r="O9" s="68"/>
      <c r="P9" s="70">
        <f t="shared" si="0"/>
        <v>-25160007</v>
      </c>
    </row>
    <row r="10" spans="1:16" x14ac:dyDescent="0.25">
      <c r="A10" s="60" t="s">
        <v>60</v>
      </c>
      <c r="B10" s="66"/>
      <c r="C10" s="67"/>
      <c r="D10" s="67"/>
      <c r="E10" s="67"/>
      <c r="F10" s="68">
        <f t="shared" si="1"/>
        <v>216</v>
      </c>
      <c r="G10" s="68"/>
      <c r="H10" s="68"/>
      <c r="I10" s="68"/>
      <c r="J10" s="68"/>
      <c r="K10" s="68">
        <v>2800000</v>
      </c>
      <c r="L10" s="69">
        <v>2.5770000000000001E-2</v>
      </c>
      <c r="M10" s="68">
        <f t="shared" si="2"/>
        <v>28680536</v>
      </c>
      <c r="N10" s="68"/>
      <c r="O10" s="68"/>
      <c r="P10" s="70">
        <f t="shared" si="0"/>
        <v>-28680536</v>
      </c>
    </row>
    <row r="11" spans="1:16" x14ac:dyDescent="0.25">
      <c r="A11" s="60" t="s">
        <v>61</v>
      </c>
      <c r="B11" s="66"/>
      <c r="C11" s="67"/>
      <c r="D11" s="67"/>
      <c r="E11" s="67"/>
      <c r="F11" s="68">
        <f t="shared" si="1"/>
        <v>218</v>
      </c>
      <c r="G11" s="68"/>
      <c r="H11" s="68"/>
      <c r="I11" s="68"/>
      <c r="J11" s="68"/>
      <c r="K11" s="68">
        <v>2800000</v>
      </c>
      <c r="L11" s="69">
        <v>2.5770000000000001E-2</v>
      </c>
      <c r="M11" s="68">
        <f t="shared" si="2"/>
        <v>32291789</v>
      </c>
      <c r="N11" s="68"/>
      <c r="O11" s="68"/>
      <c r="P11" s="70">
        <f t="shared" si="0"/>
        <v>-32291789</v>
      </c>
    </row>
    <row r="12" spans="1:16" x14ac:dyDescent="0.25">
      <c r="A12" s="60" t="s">
        <v>62</v>
      </c>
      <c r="B12" s="66">
        <f>+ROUND(Malacca!C33,0)</f>
        <v>107497</v>
      </c>
      <c r="C12" s="71">
        <f>+ROUND(NSR!C22,0)</f>
        <v>1619</v>
      </c>
      <c r="D12" s="71">
        <f>+B12-C12</f>
        <v>105878</v>
      </c>
      <c r="E12" s="71">
        <f>+ROUND(D12*0.5,0)</f>
        <v>52939</v>
      </c>
      <c r="F12" s="68">
        <f t="shared" si="1"/>
        <v>220</v>
      </c>
      <c r="G12" s="68">
        <f>+E12*F12</f>
        <v>11646580</v>
      </c>
      <c r="H12" s="68">
        <f>+ROUND(G12*0.2,0)</f>
        <v>2329316</v>
      </c>
      <c r="I12" s="68">
        <f>+G12-H12</f>
        <v>9317264</v>
      </c>
      <c r="J12" s="68">
        <f>+I12</f>
        <v>9317264</v>
      </c>
      <c r="K12" s="68"/>
      <c r="L12" s="72"/>
      <c r="M12" s="68">
        <f>IF(+ROUND((M11-J12)*(1+$L$11),0)&gt;=0,+ROUND((M11-J12)*(1+$L$11),0),0)</f>
        <v>23566579</v>
      </c>
      <c r="N12" s="68">
        <f>+IF(I12-M12&gt;0,I12-M12,0)</f>
        <v>0</v>
      </c>
      <c r="O12" s="68">
        <f>+ROUND(N12*0.2,0)</f>
        <v>0</v>
      </c>
      <c r="P12" s="70">
        <f t="shared" si="0"/>
        <v>-23566579</v>
      </c>
    </row>
    <row r="13" spans="1:16" x14ac:dyDescent="0.25">
      <c r="A13" s="60" t="s">
        <v>63</v>
      </c>
      <c r="B13" s="66">
        <f>+ROUND(Malacca!C34,0)</f>
        <v>109131</v>
      </c>
      <c r="C13" s="71">
        <f>+ROUND(NSR!C23,0)</f>
        <v>2015</v>
      </c>
      <c r="D13" s="71">
        <f t="shared" ref="D13:D41" si="3">+B13-C13</f>
        <v>107116</v>
      </c>
      <c r="E13" s="71">
        <f t="shared" ref="E13:E41" si="4">+ROUND(D13*0.5,0)</f>
        <v>53558</v>
      </c>
      <c r="F13" s="68">
        <f t="shared" si="1"/>
        <v>222</v>
      </c>
      <c r="G13" s="68">
        <f t="shared" ref="G13:G41" si="5">+E13*F13</f>
        <v>11889876</v>
      </c>
      <c r="H13" s="68">
        <f t="shared" ref="H13:H41" si="6">+ROUND(G13*0.2,0)</f>
        <v>2377975</v>
      </c>
      <c r="I13" s="68">
        <f t="shared" ref="I13:I41" si="7">+G13-H13</f>
        <v>9511901</v>
      </c>
      <c r="J13" s="68">
        <f t="shared" ref="J13:J15" si="8">+I13</f>
        <v>9511901</v>
      </c>
      <c r="K13" s="68"/>
      <c r="L13" s="72"/>
      <c r="M13" s="68">
        <f t="shared" ref="M13:M15" si="9">IF(+ROUND((M12-J13)*(1+$L$11),0)&gt;=0,+ROUND((M12-J13)*(1+$L$11),0),0)</f>
        <v>14416867</v>
      </c>
      <c r="N13" s="68">
        <f t="shared" ref="N13:N40" si="10">+IF(I13-M13&gt;0,I13-M13,0)</f>
        <v>0</v>
      </c>
      <c r="O13" s="68">
        <f t="shared" ref="O13:O41" si="11">+ROUND(N13*0.2,0)</f>
        <v>0</v>
      </c>
      <c r="P13" s="70">
        <f t="shared" si="0"/>
        <v>-14416867</v>
      </c>
    </row>
    <row r="14" spans="1:16" x14ac:dyDescent="0.25">
      <c r="A14" s="60" t="s">
        <v>64</v>
      </c>
      <c r="B14" s="66">
        <f>+ROUND(Malacca!C35,0)</f>
        <v>110764</v>
      </c>
      <c r="C14" s="71">
        <f>+ROUND(NSR!C24,0)</f>
        <v>2437</v>
      </c>
      <c r="D14" s="71">
        <f t="shared" si="3"/>
        <v>108327</v>
      </c>
      <c r="E14" s="71">
        <f t="shared" si="4"/>
        <v>54164</v>
      </c>
      <c r="F14" s="68">
        <f t="shared" si="1"/>
        <v>224</v>
      </c>
      <c r="G14" s="68">
        <f t="shared" si="5"/>
        <v>12132736</v>
      </c>
      <c r="H14" s="68">
        <f t="shared" si="6"/>
        <v>2426547</v>
      </c>
      <c r="I14" s="68">
        <f t="shared" si="7"/>
        <v>9706189</v>
      </c>
      <c r="J14" s="68">
        <f t="shared" si="8"/>
        <v>9706189</v>
      </c>
      <c r="K14" s="68"/>
      <c r="L14" s="72"/>
      <c r="M14" s="68">
        <f t="shared" si="9"/>
        <v>4832072</v>
      </c>
      <c r="N14" s="68">
        <f>+IF(I14-M14&gt;0,I14-M14,0)</f>
        <v>4874117</v>
      </c>
      <c r="O14" s="68">
        <f t="shared" si="11"/>
        <v>974823</v>
      </c>
      <c r="P14" s="70">
        <f>+N14-O14</f>
        <v>3899294</v>
      </c>
    </row>
    <row r="15" spans="1:16" x14ac:dyDescent="0.25">
      <c r="A15" s="60" t="s">
        <v>65</v>
      </c>
      <c r="B15" s="66">
        <f>+ROUND(Malacca!C36,0)</f>
        <v>112398</v>
      </c>
      <c r="C15" s="71">
        <f>+ROUND(NSR!C25,0)</f>
        <v>2795</v>
      </c>
      <c r="D15" s="71">
        <f t="shared" si="3"/>
        <v>109603</v>
      </c>
      <c r="E15" s="71">
        <f t="shared" si="4"/>
        <v>54802</v>
      </c>
      <c r="F15" s="68">
        <f t="shared" si="1"/>
        <v>226</v>
      </c>
      <c r="G15" s="68">
        <f t="shared" si="5"/>
        <v>12385252</v>
      </c>
      <c r="H15" s="68">
        <f t="shared" si="6"/>
        <v>2477050</v>
      </c>
      <c r="I15" s="68">
        <f t="shared" si="7"/>
        <v>9908202</v>
      </c>
      <c r="J15" s="68">
        <f t="shared" si="8"/>
        <v>9908202</v>
      </c>
      <c r="K15" s="68"/>
      <c r="L15" s="72"/>
      <c r="M15" s="68">
        <f t="shared" si="9"/>
        <v>0</v>
      </c>
      <c r="N15" s="68">
        <f>+IF(I15-M15&gt;0,I15-M15,0)</f>
        <v>9908202</v>
      </c>
      <c r="O15" s="68">
        <f t="shared" si="11"/>
        <v>1981640</v>
      </c>
      <c r="P15" s="70">
        <f t="shared" ref="P15:P41" si="12">+N15-O15</f>
        <v>7926562</v>
      </c>
    </row>
    <row r="16" spans="1:16" x14ac:dyDescent="0.25">
      <c r="A16" s="60" t="s">
        <v>66</v>
      </c>
      <c r="B16" s="66">
        <f>+ROUND(Malacca!C37,0)</f>
        <v>114031</v>
      </c>
      <c r="C16" s="71">
        <f>+ROUND(NSR!C26,0)</f>
        <v>3090</v>
      </c>
      <c r="D16" s="71">
        <f t="shared" si="3"/>
        <v>110941</v>
      </c>
      <c r="E16" s="71">
        <f t="shared" si="4"/>
        <v>55471</v>
      </c>
      <c r="F16" s="68">
        <f t="shared" si="1"/>
        <v>228</v>
      </c>
      <c r="G16" s="68">
        <f t="shared" si="5"/>
        <v>12647388</v>
      </c>
      <c r="H16" s="68">
        <f t="shared" si="6"/>
        <v>2529478</v>
      </c>
      <c r="I16" s="68">
        <f t="shared" si="7"/>
        <v>10117910</v>
      </c>
      <c r="J16" s="68"/>
      <c r="K16" s="68"/>
      <c r="L16" s="72"/>
      <c r="M16" s="68"/>
      <c r="N16" s="68">
        <f t="shared" si="10"/>
        <v>10117910</v>
      </c>
      <c r="O16" s="68">
        <f t="shared" si="11"/>
        <v>2023582</v>
      </c>
      <c r="P16" s="70">
        <f t="shared" si="12"/>
        <v>8094328</v>
      </c>
    </row>
    <row r="17" spans="1:16" x14ac:dyDescent="0.25">
      <c r="A17" s="60" t="s">
        <v>67</v>
      </c>
      <c r="B17" s="66">
        <f>+ROUND(Malacca!C38,0)</f>
        <v>115665</v>
      </c>
      <c r="C17" s="71">
        <f>+ROUND(NSR!C27,0)</f>
        <v>3486</v>
      </c>
      <c r="D17" s="71">
        <f t="shared" si="3"/>
        <v>112179</v>
      </c>
      <c r="E17" s="71">
        <f t="shared" si="4"/>
        <v>56090</v>
      </c>
      <c r="F17" s="68">
        <f t="shared" si="1"/>
        <v>230</v>
      </c>
      <c r="G17" s="68">
        <f t="shared" si="5"/>
        <v>12900700</v>
      </c>
      <c r="H17" s="68">
        <f t="shared" si="6"/>
        <v>2580140</v>
      </c>
      <c r="I17" s="68">
        <f t="shared" si="7"/>
        <v>10320560</v>
      </c>
      <c r="J17" s="68"/>
      <c r="K17" s="68"/>
      <c r="L17" s="72"/>
      <c r="M17" s="68"/>
      <c r="N17" s="68">
        <f t="shared" si="10"/>
        <v>10320560</v>
      </c>
      <c r="O17" s="68">
        <f t="shared" si="11"/>
        <v>2064112</v>
      </c>
      <c r="P17" s="70">
        <f t="shared" si="12"/>
        <v>8256448</v>
      </c>
    </row>
    <row r="18" spans="1:16" x14ac:dyDescent="0.25">
      <c r="A18" s="60" t="s">
        <v>68</v>
      </c>
      <c r="B18" s="66">
        <f>+ROUND(Malacca!C39,0)</f>
        <v>117298</v>
      </c>
      <c r="C18" s="71">
        <f>+ROUND(NSR!C28,0)</f>
        <v>3907</v>
      </c>
      <c r="D18" s="71">
        <f t="shared" si="3"/>
        <v>113391</v>
      </c>
      <c r="E18" s="71">
        <f t="shared" si="4"/>
        <v>56696</v>
      </c>
      <c r="F18" s="68">
        <f t="shared" si="1"/>
        <v>232</v>
      </c>
      <c r="G18" s="68">
        <f t="shared" si="5"/>
        <v>13153472</v>
      </c>
      <c r="H18" s="68">
        <f t="shared" si="6"/>
        <v>2630694</v>
      </c>
      <c r="I18" s="68">
        <f t="shared" si="7"/>
        <v>10522778</v>
      </c>
      <c r="J18" s="68"/>
      <c r="K18" s="68"/>
      <c r="L18" s="72"/>
      <c r="M18" s="68"/>
      <c r="N18" s="68">
        <f t="shared" si="10"/>
        <v>10522778</v>
      </c>
      <c r="O18" s="68">
        <f t="shared" si="11"/>
        <v>2104556</v>
      </c>
      <c r="P18" s="70">
        <f t="shared" si="12"/>
        <v>8418222</v>
      </c>
    </row>
    <row r="19" spans="1:16" x14ac:dyDescent="0.25">
      <c r="A19" s="60" t="s">
        <v>69</v>
      </c>
      <c r="B19" s="66">
        <f>+ROUND(Malacca!C40,0)</f>
        <v>118932</v>
      </c>
      <c r="C19" s="71">
        <f>+ROUND(NSR!C29,0)</f>
        <v>4266</v>
      </c>
      <c r="D19" s="71">
        <f t="shared" si="3"/>
        <v>114666</v>
      </c>
      <c r="E19" s="71">
        <f t="shared" si="4"/>
        <v>57333</v>
      </c>
      <c r="F19" s="68">
        <f t="shared" si="1"/>
        <v>234</v>
      </c>
      <c r="G19" s="68">
        <f t="shared" si="5"/>
        <v>13415922</v>
      </c>
      <c r="H19" s="68">
        <f t="shared" si="6"/>
        <v>2683184</v>
      </c>
      <c r="I19" s="68">
        <f t="shared" si="7"/>
        <v>10732738</v>
      </c>
      <c r="J19" s="68"/>
      <c r="K19" s="68"/>
      <c r="L19" s="72"/>
      <c r="M19" s="68"/>
      <c r="N19" s="68">
        <f t="shared" si="10"/>
        <v>10732738</v>
      </c>
      <c r="O19" s="68">
        <f t="shared" si="11"/>
        <v>2146548</v>
      </c>
      <c r="P19" s="70">
        <f t="shared" si="12"/>
        <v>8586190</v>
      </c>
    </row>
    <row r="20" spans="1:16" x14ac:dyDescent="0.25">
      <c r="A20" s="60" t="s">
        <v>70</v>
      </c>
      <c r="B20" s="66">
        <f>+ROUND(Malacca!C41,0)</f>
        <v>120565</v>
      </c>
      <c r="C20" s="71">
        <f>+ROUND(NSR!C30,0)</f>
        <v>4560</v>
      </c>
      <c r="D20" s="71">
        <f t="shared" si="3"/>
        <v>116005</v>
      </c>
      <c r="E20" s="71">
        <f t="shared" si="4"/>
        <v>58003</v>
      </c>
      <c r="F20" s="68">
        <f t="shared" si="1"/>
        <v>236</v>
      </c>
      <c r="G20" s="68">
        <f t="shared" si="5"/>
        <v>13688708</v>
      </c>
      <c r="H20" s="68">
        <f t="shared" si="6"/>
        <v>2737742</v>
      </c>
      <c r="I20" s="68">
        <f t="shared" si="7"/>
        <v>10950966</v>
      </c>
      <c r="J20" s="68"/>
      <c r="K20" s="68"/>
      <c r="L20" s="72"/>
      <c r="M20" s="68"/>
      <c r="N20" s="68">
        <f t="shared" si="10"/>
        <v>10950966</v>
      </c>
      <c r="O20" s="68">
        <f t="shared" si="11"/>
        <v>2190193</v>
      </c>
      <c r="P20" s="70">
        <f t="shared" si="12"/>
        <v>8760773</v>
      </c>
    </row>
    <row r="21" spans="1:16" x14ac:dyDescent="0.25">
      <c r="A21" s="60" t="s">
        <v>71</v>
      </c>
      <c r="B21" s="66">
        <f>+ROUND(Malacca!C42,0)</f>
        <v>122199</v>
      </c>
      <c r="C21" s="71">
        <f>+ROUND(B21*0.2,0)</f>
        <v>24440</v>
      </c>
      <c r="D21" s="71">
        <f t="shared" si="3"/>
        <v>97759</v>
      </c>
      <c r="E21" s="71">
        <f t="shared" si="4"/>
        <v>48880</v>
      </c>
      <c r="F21" s="68">
        <f t="shared" si="1"/>
        <v>238</v>
      </c>
      <c r="G21" s="68">
        <f t="shared" si="5"/>
        <v>11633440</v>
      </c>
      <c r="H21" s="68">
        <f t="shared" si="6"/>
        <v>2326688</v>
      </c>
      <c r="I21" s="68">
        <f t="shared" si="7"/>
        <v>9306752</v>
      </c>
      <c r="J21" s="68"/>
      <c r="K21" s="68"/>
      <c r="L21" s="72"/>
      <c r="M21" s="68"/>
      <c r="N21" s="68">
        <f t="shared" si="10"/>
        <v>9306752</v>
      </c>
      <c r="O21" s="68">
        <f t="shared" si="11"/>
        <v>1861350</v>
      </c>
      <c r="P21" s="70">
        <f t="shared" si="12"/>
        <v>7445402</v>
      </c>
    </row>
    <row r="22" spans="1:16" x14ac:dyDescent="0.25">
      <c r="A22" s="60" t="s">
        <v>72</v>
      </c>
      <c r="B22" s="66">
        <f>+ROUND(Malacca!C43,0)</f>
        <v>123832</v>
      </c>
      <c r="C22" s="71">
        <f t="shared" ref="C22:C30" si="13">+ROUND(B22*0.2,0)</f>
        <v>24766</v>
      </c>
      <c r="D22" s="71">
        <f t="shared" si="3"/>
        <v>99066</v>
      </c>
      <c r="E22" s="71">
        <f t="shared" si="4"/>
        <v>49533</v>
      </c>
      <c r="F22" s="68">
        <f t="shared" si="1"/>
        <v>240</v>
      </c>
      <c r="G22" s="68">
        <f t="shared" si="5"/>
        <v>11887920</v>
      </c>
      <c r="H22" s="68">
        <f t="shared" si="6"/>
        <v>2377584</v>
      </c>
      <c r="I22" s="68">
        <f t="shared" si="7"/>
        <v>9510336</v>
      </c>
      <c r="J22" s="68"/>
      <c r="K22" s="68"/>
      <c r="L22" s="72"/>
      <c r="M22" s="68"/>
      <c r="N22" s="68">
        <f t="shared" si="10"/>
        <v>9510336</v>
      </c>
      <c r="O22" s="68">
        <f t="shared" si="11"/>
        <v>1902067</v>
      </c>
      <c r="P22" s="70">
        <f t="shared" si="12"/>
        <v>7608269</v>
      </c>
    </row>
    <row r="23" spans="1:16" x14ac:dyDescent="0.25">
      <c r="A23" s="60" t="s">
        <v>73</v>
      </c>
      <c r="B23" s="66">
        <f>+ROUND(Malacca!C44,0)</f>
        <v>125466</v>
      </c>
      <c r="C23" s="71">
        <f t="shared" si="13"/>
        <v>25093</v>
      </c>
      <c r="D23" s="71">
        <f t="shared" si="3"/>
        <v>100373</v>
      </c>
      <c r="E23" s="71">
        <f t="shared" si="4"/>
        <v>50187</v>
      </c>
      <c r="F23" s="68">
        <f t="shared" si="1"/>
        <v>242</v>
      </c>
      <c r="G23" s="68">
        <f t="shared" si="5"/>
        <v>12145254</v>
      </c>
      <c r="H23" s="68">
        <f t="shared" si="6"/>
        <v>2429051</v>
      </c>
      <c r="I23" s="68">
        <f t="shared" si="7"/>
        <v>9716203</v>
      </c>
      <c r="J23" s="68"/>
      <c r="K23" s="68"/>
      <c r="L23" s="72"/>
      <c r="M23" s="68"/>
      <c r="N23" s="68">
        <f t="shared" si="10"/>
        <v>9716203</v>
      </c>
      <c r="O23" s="68">
        <f t="shared" si="11"/>
        <v>1943241</v>
      </c>
      <c r="P23" s="70">
        <f t="shared" si="12"/>
        <v>7772962</v>
      </c>
    </row>
    <row r="24" spans="1:16" x14ac:dyDescent="0.25">
      <c r="A24" s="60" t="s">
        <v>74</v>
      </c>
      <c r="B24" s="66">
        <f>+ROUND(Malacca!C45,0)</f>
        <v>127099</v>
      </c>
      <c r="C24" s="71">
        <f t="shared" si="13"/>
        <v>25420</v>
      </c>
      <c r="D24" s="71">
        <f t="shared" si="3"/>
        <v>101679</v>
      </c>
      <c r="E24" s="71">
        <f t="shared" si="4"/>
        <v>50840</v>
      </c>
      <c r="F24" s="68">
        <f t="shared" si="1"/>
        <v>244</v>
      </c>
      <c r="G24" s="68">
        <f t="shared" si="5"/>
        <v>12404960</v>
      </c>
      <c r="H24" s="68">
        <f t="shared" si="6"/>
        <v>2480992</v>
      </c>
      <c r="I24" s="68">
        <f t="shared" si="7"/>
        <v>9923968</v>
      </c>
      <c r="J24" s="68"/>
      <c r="K24" s="68"/>
      <c r="L24" s="72"/>
      <c r="M24" s="68"/>
      <c r="N24" s="68">
        <f t="shared" si="10"/>
        <v>9923968</v>
      </c>
      <c r="O24" s="68">
        <f t="shared" si="11"/>
        <v>1984794</v>
      </c>
      <c r="P24" s="70">
        <f t="shared" si="12"/>
        <v>7939174</v>
      </c>
    </row>
    <row r="25" spans="1:16" x14ac:dyDescent="0.25">
      <c r="A25" s="60" t="s">
        <v>75</v>
      </c>
      <c r="B25" s="66">
        <f>+ROUND(Malacca!C46,0)</f>
        <v>128733</v>
      </c>
      <c r="C25" s="71">
        <f t="shared" si="13"/>
        <v>25747</v>
      </c>
      <c r="D25" s="71">
        <f t="shared" si="3"/>
        <v>102986</v>
      </c>
      <c r="E25" s="71">
        <f t="shared" si="4"/>
        <v>51493</v>
      </c>
      <c r="F25" s="68">
        <f t="shared" si="1"/>
        <v>246</v>
      </c>
      <c r="G25" s="68">
        <f t="shared" si="5"/>
        <v>12667278</v>
      </c>
      <c r="H25" s="68">
        <f t="shared" si="6"/>
        <v>2533456</v>
      </c>
      <c r="I25" s="68">
        <f t="shared" si="7"/>
        <v>10133822</v>
      </c>
      <c r="J25" s="68"/>
      <c r="K25" s="68"/>
      <c r="L25" s="72"/>
      <c r="M25" s="68"/>
      <c r="N25" s="68">
        <f t="shared" si="10"/>
        <v>10133822</v>
      </c>
      <c r="O25" s="68">
        <f t="shared" si="11"/>
        <v>2026764</v>
      </c>
      <c r="P25" s="70">
        <f t="shared" si="12"/>
        <v>8107058</v>
      </c>
    </row>
    <row r="26" spans="1:16" x14ac:dyDescent="0.25">
      <c r="A26" s="60" t="s">
        <v>76</v>
      </c>
      <c r="B26" s="66">
        <f>+ROUND(Malacca!C47,0)</f>
        <v>130366</v>
      </c>
      <c r="C26" s="71">
        <f t="shared" si="13"/>
        <v>26073</v>
      </c>
      <c r="D26" s="71">
        <f t="shared" si="3"/>
        <v>104293</v>
      </c>
      <c r="E26" s="71">
        <f t="shared" si="4"/>
        <v>52147</v>
      </c>
      <c r="F26" s="68">
        <f t="shared" si="1"/>
        <v>248</v>
      </c>
      <c r="G26" s="68">
        <f t="shared" si="5"/>
        <v>12932456</v>
      </c>
      <c r="H26" s="68">
        <f t="shared" si="6"/>
        <v>2586491</v>
      </c>
      <c r="I26" s="68">
        <f t="shared" si="7"/>
        <v>10345965</v>
      </c>
      <c r="J26" s="68"/>
      <c r="K26" s="68"/>
      <c r="L26" s="72"/>
      <c r="M26" s="68"/>
      <c r="N26" s="68">
        <f t="shared" si="10"/>
        <v>10345965</v>
      </c>
      <c r="O26" s="68">
        <f t="shared" si="11"/>
        <v>2069193</v>
      </c>
      <c r="P26" s="70">
        <f t="shared" si="12"/>
        <v>8276772</v>
      </c>
    </row>
    <row r="27" spans="1:16" x14ac:dyDescent="0.25">
      <c r="A27" s="60" t="s">
        <v>77</v>
      </c>
      <c r="B27" s="66">
        <f>+ROUND(Malacca!C48,0)</f>
        <v>132000</v>
      </c>
      <c r="C27" s="71">
        <f t="shared" si="13"/>
        <v>26400</v>
      </c>
      <c r="D27" s="71">
        <f t="shared" si="3"/>
        <v>105600</v>
      </c>
      <c r="E27" s="71">
        <f t="shared" si="4"/>
        <v>52800</v>
      </c>
      <c r="F27" s="68">
        <f t="shared" si="1"/>
        <v>250</v>
      </c>
      <c r="G27" s="68">
        <f t="shared" si="5"/>
        <v>13200000</v>
      </c>
      <c r="H27" s="68">
        <f t="shared" si="6"/>
        <v>2640000</v>
      </c>
      <c r="I27" s="68">
        <f t="shared" si="7"/>
        <v>10560000</v>
      </c>
      <c r="J27" s="68"/>
      <c r="K27" s="68"/>
      <c r="L27" s="72"/>
      <c r="M27" s="68"/>
      <c r="N27" s="68">
        <f t="shared" si="10"/>
        <v>10560000</v>
      </c>
      <c r="O27" s="68">
        <f t="shared" si="11"/>
        <v>2112000</v>
      </c>
      <c r="P27" s="70">
        <f t="shared" si="12"/>
        <v>8448000</v>
      </c>
    </row>
    <row r="28" spans="1:16" x14ac:dyDescent="0.25">
      <c r="A28" s="60" t="s">
        <v>78</v>
      </c>
      <c r="B28" s="66">
        <f>+ROUND(Malacca!C49,0)</f>
        <v>133633</v>
      </c>
      <c r="C28" s="71">
        <f t="shared" si="13"/>
        <v>26727</v>
      </c>
      <c r="D28" s="71">
        <f t="shared" si="3"/>
        <v>106906</v>
      </c>
      <c r="E28" s="71">
        <f t="shared" si="4"/>
        <v>53453</v>
      </c>
      <c r="F28" s="68">
        <f t="shared" si="1"/>
        <v>253</v>
      </c>
      <c r="G28" s="68">
        <f t="shared" si="5"/>
        <v>13523609</v>
      </c>
      <c r="H28" s="68">
        <f t="shared" si="6"/>
        <v>2704722</v>
      </c>
      <c r="I28" s="68">
        <f t="shared" si="7"/>
        <v>10818887</v>
      </c>
      <c r="J28" s="68"/>
      <c r="K28" s="68"/>
      <c r="L28" s="72"/>
      <c r="M28" s="68"/>
      <c r="N28" s="68">
        <f t="shared" si="10"/>
        <v>10818887</v>
      </c>
      <c r="O28" s="68">
        <f t="shared" si="11"/>
        <v>2163777</v>
      </c>
      <c r="P28" s="70">
        <f t="shared" si="12"/>
        <v>8655110</v>
      </c>
    </row>
    <row r="29" spans="1:16" x14ac:dyDescent="0.25">
      <c r="A29" s="60" t="s">
        <v>79</v>
      </c>
      <c r="B29" s="66">
        <f>+ROUND(Malacca!C50,0)</f>
        <v>135267</v>
      </c>
      <c r="C29" s="71">
        <f t="shared" si="13"/>
        <v>27053</v>
      </c>
      <c r="D29" s="71">
        <f t="shared" si="3"/>
        <v>108214</v>
      </c>
      <c r="E29" s="71">
        <f t="shared" si="4"/>
        <v>54107</v>
      </c>
      <c r="F29" s="68">
        <f t="shared" si="1"/>
        <v>256</v>
      </c>
      <c r="G29" s="68">
        <f t="shared" si="5"/>
        <v>13851392</v>
      </c>
      <c r="H29" s="68">
        <f t="shared" si="6"/>
        <v>2770278</v>
      </c>
      <c r="I29" s="68">
        <f t="shared" si="7"/>
        <v>11081114</v>
      </c>
      <c r="J29" s="68"/>
      <c r="K29" s="68"/>
      <c r="L29" s="72"/>
      <c r="M29" s="68"/>
      <c r="N29" s="68">
        <f t="shared" si="10"/>
        <v>11081114</v>
      </c>
      <c r="O29" s="68">
        <f t="shared" si="11"/>
        <v>2216223</v>
      </c>
      <c r="P29" s="70">
        <f t="shared" si="12"/>
        <v>8864891</v>
      </c>
    </row>
    <row r="30" spans="1:16" x14ac:dyDescent="0.25">
      <c r="A30" s="60" t="s">
        <v>80</v>
      </c>
      <c r="B30" s="66">
        <f>+ROUND(Malacca!C51,0)</f>
        <v>136900</v>
      </c>
      <c r="C30" s="71">
        <f t="shared" si="13"/>
        <v>27380</v>
      </c>
      <c r="D30" s="71">
        <f t="shared" si="3"/>
        <v>109520</v>
      </c>
      <c r="E30" s="71">
        <f t="shared" si="4"/>
        <v>54760</v>
      </c>
      <c r="F30" s="68">
        <f t="shared" si="1"/>
        <v>259</v>
      </c>
      <c r="G30" s="68">
        <f t="shared" si="5"/>
        <v>14182840</v>
      </c>
      <c r="H30" s="68">
        <f t="shared" si="6"/>
        <v>2836568</v>
      </c>
      <c r="I30" s="68">
        <f t="shared" si="7"/>
        <v>11346272</v>
      </c>
      <c r="J30" s="68"/>
      <c r="K30" s="68"/>
      <c r="L30" s="72"/>
      <c r="M30" s="68"/>
      <c r="N30" s="68">
        <f t="shared" si="10"/>
        <v>11346272</v>
      </c>
      <c r="O30" s="68">
        <f t="shared" si="11"/>
        <v>2269254</v>
      </c>
      <c r="P30" s="70">
        <f t="shared" si="12"/>
        <v>9077018</v>
      </c>
    </row>
    <row r="31" spans="1:16" x14ac:dyDescent="0.25">
      <c r="A31" s="60" t="s">
        <v>81</v>
      </c>
      <c r="B31" s="66">
        <f>+ROUND(Malacca!C52,0)</f>
        <v>138534</v>
      </c>
      <c r="C31" s="71">
        <f>+ROUND(B31*0.5,0)</f>
        <v>69267</v>
      </c>
      <c r="D31" s="71">
        <f t="shared" si="3"/>
        <v>69267</v>
      </c>
      <c r="E31" s="71">
        <f t="shared" si="4"/>
        <v>34634</v>
      </c>
      <c r="F31" s="68">
        <f t="shared" si="1"/>
        <v>262</v>
      </c>
      <c r="G31" s="68">
        <f t="shared" si="5"/>
        <v>9074108</v>
      </c>
      <c r="H31" s="68">
        <f t="shared" si="6"/>
        <v>1814822</v>
      </c>
      <c r="I31" s="68">
        <f t="shared" si="7"/>
        <v>7259286</v>
      </c>
      <c r="J31" s="68"/>
      <c r="K31" s="68"/>
      <c r="L31" s="72"/>
      <c r="M31" s="68"/>
      <c r="N31" s="68">
        <f t="shared" si="10"/>
        <v>7259286</v>
      </c>
      <c r="O31" s="68">
        <f t="shared" si="11"/>
        <v>1451857</v>
      </c>
      <c r="P31" s="70">
        <f t="shared" si="12"/>
        <v>5807429</v>
      </c>
    </row>
    <row r="32" spans="1:16" x14ac:dyDescent="0.25">
      <c r="A32" s="60" t="s">
        <v>82</v>
      </c>
      <c r="B32" s="66">
        <f>+ROUND(Malacca!C53,0)</f>
        <v>140167</v>
      </c>
      <c r="C32" s="71">
        <f t="shared" ref="C32:C41" si="14">+ROUND(B32*0.5,0)</f>
        <v>70084</v>
      </c>
      <c r="D32" s="71">
        <f t="shared" si="3"/>
        <v>70083</v>
      </c>
      <c r="E32" s="71">
        <f t="shared" si="4"/>
        <v>35042</v>
      </c>
      <c r="F32" s="68">
        <f t="shared" si="1"/>
        <v>265</v>
      </c>
      <c r="G32" s="68">
        <f t="shared" si="5"/>
        <v>9286130</v>
      </c>
      <c r="H32" s="68">
        <f t="shared" si="6"/>
        <v>1857226</v>
      </c>
      <c r="I32" s="68">
        <f t="shared" si="7"/>
        <v>7428904</v>
      </c>
      <c r="J32" s="68"/>
      <c r="K32" s="68"/>
      <c r="L32" s="72"/>
      <c r="M32" s="68"/>
      <c r="N32" s="68">
        <f t="shared" si="10"/>
        <v>7428904</v>
      </c>
      <c r="O32" s="68">
        <f t="shared" si="11"/>
        <v>1485781</v>
      </c>
      <c r="P32" s="70">
        <f t="shared" si="12"/>
        <v>5943123</v>
      </c>
    </row>
    <row r="33" spans="1:16" x14ac:dyDescent="0.25">
      <c r="A33" s="60" t="s">
        <v>83</v>
      </c>
      <c r="B33" s="66">
        <f>+ROUND(Malacca!C54,0)</f>
        <v>141801</v>
      </c>
      <c r="C33" s="71">
        <f t="shared" si="14"/>
        <v>70901</v>
      </c>
      <c r="D33" s="71">
        <f t="shared" si="3"/>
        <v>70900</v>
      </c>
      <c r="E33" s="71">
        <f t="shared" si="4"/>
        <v>35450</v>
      </c>
      <c r="F33" s="68">
        <f t="shared" si="1"/>
        <v>268</v>
      </c>
      <c r="G33" s="68">
        <f t="shared" si="5"/>
        <v>9500600</v>
      </c>
      <c r="H33" s="68">
        <f t="shared" si="6"/>
        <v>1900120</v>
      </c>
      <c r="I33" s="68">
        <f t="shared" si="7"/>
        <v>7600480</v>
      </c>
      <c r="J33" s="68"/>
      <c r="K33" s="68"/>
      <c r="L33" s="72"/>
      <c r="M33" s="68"/>
      <c r="N33" s="68">
        <f t="shared" si="10"/>
        <v>7600480</v>
      </c>
      <c r="O33" s="68">
        <f t="shared" si="11"/>
        <v>1520096</v>
      </c>
      <c r="P33" s="70">
        <f t="shared" si="12"/>
        <v>6080384</v>
      </c>
    </row>
    <row r="34" spans="1:16" x14ac:dyDescent="0.25">
      <c r="A34" s="60" t="s">
        <v>84</v>
      </c>
      <c r="B34" s="66">
        <f>+ROUND(Malacca!C55,0)</f>
        <v>143434</v>
      </c>
      <c r="C34" s="71">
        <f t="shared" si="14"/>
        <v>71717</v>
      </c>
      <c r="D34" s="71">
        <f t="shared" si="3"/>
        <v>71717</v>
      </c>
      <c r="E34" s="71">
        <f t="shared" si="4"/>
        <v>35859</v>
      </c>
      <c r="F34" s="68">
        <f t="shared" si="1"/>
        <v>271</v>
      </c>
      <c r="G34" s="68">
        <f t="shared" si="5"/>
        <v>9717789</v>
      </c>
      <c r="H34" s="68">
        <f t="shared" si="6"/>
        <v>1943558</v>
      </c>
      <c r="I34" s="68">
        <f t="shared" si="7"/>
        <v>7774231</v>
      </c>
      <c r="J34" s="68"/>
      <c r="K34" s="68"/>
      <c r="L34" s="72"/>
      <c r="M34" s="68"/>
      <c r="N34" s="68">
        <f t="shared" si="10"/>
        <v>7774231</v>
      </c>
      <c r="O34" s="68">
        <f t="shared" si="11"/>
        <v>1554846</v>
      </c>
      <c r="P34" s="70">
        <f t="shared" si="12"/>
        <v>6219385</v>
      </c>
    </row>
    <row r="35" spans="1:16" x14ac:dyDescent="0.25">
      <c r="A35" s="60" t="s">
        <v>85</v>
      </c>
      <c r="B35" s="66">
        <f>+ROUND(Malacca!C56,0)</f>
        <v>145068</v>
      </c>
      <c r="C35" s="71">
        <f t="shared" si="14"/>
        <v>72534</v>
      </c>
      <c r="D35" s="71">
        <f t="shared" si="3"/>
        <v>72534</v>
      </c>
      <c r="E35" s="71">
        <f t="shared" si="4"/>
        <v>36267</v>
      </c>
      <c r="F35" s="68">
        <f t="shared" si="1"/>
        <v>274</v>
      </c>
      <c r="G35" s="68">
        <f t="shared" si="5"/>
        <v>9937158</v>
      </c>
      <c r="H35" s="68">
        <f t="shared" si="6"/>
        <v>1987432</v>
      </c>
      <c r="I35" s="68">
        <f t="shared" si="7"/>
        <v>7949726</v>
      </c>
      <c r="J35" s="68"/>
      <c r="K35" s="68"/>
      <c r="L35" s="72"/>
      <c r="M35" s="68"/>
      <c r="N35" s="68">
        <f t="shared" si="10"/>
        <v>7949726</v>
      </c>
      <c r="O35" s="68">
        <f t="shared" si="11"/>
        <v>1589945</v>
      </c>
      <c r="P35" s="70">
        <f t="shared" si="12"/>
        <v>6359781</v>
      </c>
    </row>
    <row r="36" spans="1:16" x14ac:dyDescent="0.25">
      <c r="A36" s="60" t="s">
        <v>86</v>
      </c>
      <c r="B36" s="66">
        <f>+ROUND(Malacca!C57,0)</f>
        <v>146701</v>
      </c>
      <c r="C36" s="71">
        <f t="shared" si="14"/>
        <v>73351</v>
      </c>
      <c r="D36" s="71">
        <f t="shared" si="3"/>
        <v>73350</v>
      </c>
      <c r="E36" s="71">
        <f t="shared" si="4"/>
        <v>36675</v>
      </c>
      <c r="F36" s="68">
        <f t="shared" si="1"/>
        <v>277</v>
      </c>
      <c r="G36" s="68">
        <f t="shared" si="5"/>
        <v>10158975</v>
      </c>
      <c r="H36" s="68">
        <f t="shared" si="6"/>
        <v>2031795</v>
      </c>
      <c r="I36" s="68">
        <f t="shared" si="7"/>
        <v>8127180</v>
      </c>
      <c r="J36" s="68"/>
      <c r="K36" s="68"/>
      <c r="L36" s="72"/>
      <c r="M36" s="68"/>
      <c r="N36" s="68">
        <f t="shared" si="10"/>
        <v>8127180</v>
      </c>
      <c r="O36" s="68">
        <f t="shared" si="11"/>
        <v>1625436</v>
      </c>
      <c r="P36" s="70">
        <f t="shared" si="12"/>
        <v>6501744</v>
      </c>
    </row>
    <row r="37" spans="1:16" x14ac:dyDescent="0.25">
      <c r="A37" s="60" t="s">
        <v>87</v>
      </c>
      <c r="B37" s="66">
        <f>+ROUND(Malacca!C58,0)</f>
        <v>148335</v>
      </c>
      <c r="C37" s="71">
        <f t="shared" si="14"/>
        <v>74168</v>
      </c>
      <c r="D37" s="71">
        <f t="shared" si="3"/>
        <v>74167</v>
      </c>
      <c r="E37" s="71">
        <f t="shared" si="4"/>
        <v>37084</v>
      </c>
      <c r="F37" s="68">
        <f t="shared" si="1"/>
        <v>280</v>
      </c>
      <c r="G37" s="68">
        <f t="shared" si="5"/>
        <v>10383520</v>
      </c>
      <c r="H37" s="68">
        <f t="shared" si="6"/>
        <v>2076704</v>
      </c>
      <c r="I37" s="68">
        <f t="shared" si="7"/>
        <v>8306816</v>
      </c>
      <c r="J37" s="68"/>
      <c r="K37" s="68"/>
      <c r="L37" s="72"/>
      <c r="M37" s="68"/>
      <c r="N37" s="68">
        <f t="shared" si="10"/>
        <v>8306816</v>
      </c>
      <c r="O37" s="68">
        <f t="shared" si="11"/>
        <v>1661363</v>
      </c>
      <c r="P37" s="70">
        <f t="shared" si="12"/>
        <v>6645453</v>
      </c>
    </row>
    <row r="38" spans="1:16" x14ac:dyDescent="0.25">
      <c r="A38" s="60" t="s">
        <v>88</v>
      </c>
      <c r="B38" s="66">
        <f>+ROUND(Malacca!C59,0)</f>
        <v>149968</v>
      </c>
      <c r="C38" s="71">
        <f t="shared" si="14"/>
        <v>74984</v>
      </c>
      <c r="D38" s="71">
        <f t="shared" si="3"/>
        <v>74984</v>
      </c>
      <c r="E38" s="71">
        <f t="shared" si="4"/>
        <v>37492</v>
      </c>
      <c r="F38" s="68">
        <f t="shared" si="1"/>
        <v>283</v>
      </c>
      <c r="G38" s="68">
        <f t="shared" si="5"/>
        <v>10610236</v>
      </c>
      <c r="H38" s="68">
        <f t="shared" si="6"/>
        <v>2122047</v>
      </c>
      <c r="I38" s="68">
        <f t="shared" si="7"/>
        <v>8488189</v>
      </c>
      <c r="J38" s="68"/>
      <c r="K38" s="68"/>
      <c r="L38" s="72"/>
      <c r="M38" s="68"/>
      <c r="N38" s="68">
        <f t="shared" si="10"/>
        <v>8488189</v>
      </c>
      <c r="O38" s="68">
        <f t="shared" si="11"/>
        <v>1697638</v>
      </c>
      <c r="P38" s="70">
        <f t="shared" si="12"/>
        <v>6790551</v>
      </c>
    </row>
    <row r="39" spans="1:16" x14ac:dyDescent="0.25">
      <c r="A39" s="83" t="s">
        <v>89</v>
      </c>
      <c r="B39" s="66">
        <f>+ROUND(Malacca!C60,0)</f>
        <v>151602</v>
      </c>
      <c r="C39" s="71">
        <f t="shared" si="14"/>
        <v>75801</v>
      </c>
      <c r="D39" s="71">
        <f t="shared" si="3"/>
        <v>75801</v>
      </c>
      <c r="E39" s="71">
        <f t="shared" si="4"/>
        <v>37901</v>
      </c>
      <c r="F39" s="68">
        <f t="shared" si="1"/>
        <v>286</v>
      </c>
      <c r="G39" s="68">
        <f t="shared" si="5"/>
        <v>10839686</v>
      </c>
      <c r="H39" s="68">
        <f t="shared" si="6"/>
        <v>2167937</v>
      </c>
      <c r="I39" s="68">
        <f t="shared" si="7"/>
        <v>8671749</v>
      </c>
      <c r="J39" s="68"/>
      <c r="K39" s="68"/>
      <c r="L39" s="72"/>
      <c r="M39" s="68"/>
      <c r="N39" s="68">
        <f t="shared" si="10"/>
        <v>8671749</v>
      </c>
      <c r="O39" s="68">
        <f t="shared" si="11"/>
        <v>1734350</v>
      </c>
      <c r="P39" s="70">
        <f t="shared" si="12"/>
        <v>6937399</v>
      </c>
    </row>
    <row r="40" spans="1:16" x14ac:dyDescent="0.25">
      <c r="A40" s="60" t="s">
        <v>90</v>
      </c>
      <c r="B40" s="66">
        <f>+ROUND(Malacca!C61,0)</f>
        <v>153236</v>
      </c>
      <c r="C40" s="71">
        <f t="shared" si="14"/>
        <v>76618</v>
      </c>
      <c r="D40" s="71">
        <f t="shared" si="3"/>
        <v>76618</v>
      </c>
      <c r="E40" s="71">
        <f t="shared" si="4"/>
        <v>38309</v>
      </c>
      <c r="F40" s="68">
        <f t="shared" si="1"/>
        <v>289</v>
      </c>
      <c r="G40" s="68">
        <f t="shared" si="5"/>
        <v>11071301</v>
      </c>
      <c r="H40" s="68">
        <f t="shared" si="6"/>
        <v>2214260</v>
      </c>
      <c r="I40" s="68">
        <f t="shared" si="7"/>
        <v>8857041</v>
      </c>
      <c r="J40" s="68"/>
      <c r="K40" s="68"/>
      <c r="L40" s="72"/>
      <c r="M40" s="68"/>
      <c r="N40" s="68">
        <f t="shared" si="10"/>
        <v>8857041</v>
      </c>
      <c r="O40" s="68">
        <f t="shared" si="11"/>
        <v>1771408</v>
      </c>
      <c r="P40" s="70">
        <f t="shared" si="12"/>
        <v>7085633</v>
      </c>
    </row>
    <row r="41" spans="1:16" x14ac:dyDescent="0.25">
      <c r="A41" s="84" t="s">
        <v>91</v>
      </c>
      <c r="B41" s="73">
        <f>+ROUND(Malacca!C62,0)</f>
        <v>154869</v>
      </c>
      <c r="C41" s="74">
        <f t="shared" si="14"/>
        <v>77435</v>
      </c>
      <c r="D41" s="74">
        <f t="shared" si="3"/>
        <v>77434</v>
      </c>
      <c r="E41" s="74">
        <f t="shared" si="4"/>
        <v>38717</v>
      </c>
      <c r="F41" s="75">
        <f t="shared" si="1"/>
        <v>292</v>
      </c>
      <c r="G41" s="75">
        <f t="shared" si="5"/>
        <v>11305364</v>
      </c>
      <c r="H41" s="75">
        <f t="shared" si="6"/>
        <v>2261073</v>
      </c>
      <c r="I41" s="75">
        <f t="shared" si="7"/>
        <v>9044291</v>
      </c>
      <c r="J41" s="75"/>
      <c r="K41" s="75"/>
      <c r="L41" s="76"/>
      <c r="M41" s="75"/>
      <c r="N41" s="75">
        <f>+IF(I41-M41&gt;0,I41-M41,0)</f>
        <v>9044291</v>
      </c>
      <c r="O41" s="75">
        <f t="shared" si="11"/>
        <v>1808858</v>
      </c>
      <c r="P41" s="77">
        <f t="shared" si="12"/>
        <v>7235433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89DFE-A89B-4569-B1CA-17BCC66D27FA}">
  <dimension ref="A1:H63"/>
  <sheetViews>
    <sheetView topLeftCell="A25" zoomScale="70" zoomScaleNormal="70" workbookViewId="0">
      <selection activeCell="Z35" sqref="Z35"/>
    </sheetView>
  </sheetViews>
  <sheetFormatPr defaultRowHeight="14.4" x14ac:dyDescent="0.3"/>
  <cols>
    <col min="1" max="1" width="10" customWidth="1"/>
    <col min="3" max="3" width="11.44140625" customWidth="1"/>
    <col min="4" max="4" width="21.44140625" customWidth="1"/>
    <col min="5" max="5" width="24.109375" customWidth="1"/>
    <col min="7" max="7" width="9.44140625" customWidth="1"/>
    <col min="8" max="8" width="7.6640625" customWidth="1"/>
  </cols>
  <sheetData>
    <row r="1" spans="1:8" x14ac:dyDescent="0.3">
      <c r="A1" t="s">
        <v>37</v>
      </c>
      <c r="B1" t="s">
        <v>38</v>
      </c>
      <c r="C1" t="s">
        <v>39</v>
      </c>
      <c r="D1" t="s">
        <v>40</v>
      </c>
      <c r="E1" t="s">
        <v>41</v>
      </c>
      <c r="G1" t="s">
        <v>42</v>
      </c>
      <c r="H1" t="s">
        <v>43</v>
      </c>
    </row>
    <row r="2" spans="1:8" x14ac:dyDescent="0.3">
      <c r="A2">
        <v>2000</v>
      </c>
      <c r="B2">
        <v>55957</v>
      </c>
      <c r="G2" t="s">
        <v>44</v>
      </c>
      <c r="H2" s="47">
        <f>_xlfn.FORECAST.ETS.STAT($B$2:$B$19,$A$2:$A$19,1,1,1)</f>
        <v>0.1</v>
      </c>
    </row>
    <row r="3" spans="1:8" x14ac:dyDescent="0.3">
      <c r="A3">
        <v>2001</v>
      </c>
      <c r="B3">
        <v>59314</v>
      </c>
      <c r="G3" t="s">
        <v>45</v>
      </c>
      <c r="H3" s="47">
        <f>_xlfn.FORECAST.ETS.STAT($B$2:$B$19,$A$2:$A$19,2,1,1)</f>
        <v>1E-3</v>
      </c>
    </row>
    <row r="4" spans="1:8" x14ac:dyDescent="0.3">
      <c r="A4">
        <v>2002</v>
      </c>
      <c r="B4">
        <v>60034</v>
      </c>
      <c r="G4" t="s">
        <v>46</v>
      </c>
      <c r="H4" s="47">
        <f>_xlfn.FORECAST.ETS.STAT($B$2:$B$19,$A$2:$A$19,3,1,1)</f>
        <v>2.2204460492503131E-16</v>
      </c>
    </row>
    <row r="5" spans="1:8" x14ac:dyDescent="0.3">
      <c r="A5">
        <v>2003</v>
      </c>
      <c r="B5">
        <v>62334</v>
      </c>
      <c r="G5" t="s">
        <v>47</v>
      </c>
      <c r="H5" s="47">
        <f>_xlfn.FORECAST.ETS.STAT($B$2:$B$19,$A$2:$A$19,4,1,1)</f>
        <v>0.21951895285521125</v>
      </c>
    </row>
    <row r="6" spans="1:8" x14ac:dyDescent="0.3">
      <c r="A6">
        <v>2004</v>
      </c>
      <c r="B6">
        <v>63636</v>
      </c>
      <c r="G6" t="s">
        <v>48</v>
      </c>
      <c r="H6" s="47">
        <f>_xlfn.FORECAST.ETS.STAT($B$2:$B$19,$A$2:$A$19,5,1,1)</f>
        <v>8.5473025993894215E-3</v>
      </c>
    </row>
    <row r="7" spans="1:8" x14ac:dyDescent="0.3">
      <c r="A7">
        <v>2005</v>
      </c>
      <c r="B7">
        <v>62621</v>
      </c>
      <c r="G7" t="s">
        <v>49</v>
      </c>
      <c r="H7" s="47">
        <f>_xlfn.FORECAST.ETS.STAT($B$2:$B$19,$A$2:$A$19,6,1,1)</f>
        <v>664.04483238701403</v>
      </c>
    </row>
    <row r="8" spans="1:8" x14ac:dyDescent="0.3">
      <c r="A8">
        <v>2006</v>
      </c>
      <c r="B8">
        <v>65649</v>
      </c>
      <c r="G8" t="s">
        <v>50</v>
      </c>
      <c r="H8" s="47">
        <f>_xlfn.FORECAST.ETS.STAT($B$2:$B$19,$A$2:$A$19,7,1,1)</f>
        <v>829.65005951168268</v>
      </c>
    </row>
    <row r="9" spans="1:8" x14ac:dyDescent="0.3">
      <c r="A9">
        <v>2007</v>
      </c>
      <c r="B9">
        <v>70718</v>
      </c>
    </row>
    <row r="10" spans="1:8" x14ac:dyDescent="0.3">
      <c r="A10">
        <v>2008</v>
      </c>
      <c r="B10">
        <v>76381</v>
      </c>
    </row>
    <row r="11" spans="1:8" x14ac:dyDescent="0.3">
      <c r="A11">
        <v>2009</v>
      </c>
      <c r="B11">
        <v>71359</v>
      </c>
    </row>
    <row r="12" spans="1:8" x14ac:dyDescent="0.3">
      <c r="A12">
        <v>2010</v>
      </c>
      <c r="B12">
        <v>74133</v>
      </c>
    </row>
    <row r="13" spans="1:8" x14ac:dyDescent="0.3">
      <c r="A13">
        <v>2011</v>
      </c>
      <c r="B13">
        <v>73538</v>
      </c>
    </row>
    <row r="14" spans="1:8" x14ac:dyDescent="0.3">
      <c r="A14">
        <v>2012</v>
      </c>
      <c r="B14">
        <v>75477</v>
      </c>
    </row>
    <row r="15" spans="1:8" x14ac:dyDescent="0.3">
      <c r="A15">
        <v>2013</v>
      </c>
      <c r="B15">
        <v>77973</v>
      </c>
    </row>
    <row r="16" spans="1:8" x14ac:dyDescent="0.3">
      <c r="A16">
        <v>2014</v>
      </c>
      <c r="B16">
        <v>79344</v>
      </c>
    </row>
    <row r="17" spans="1:5" x14ac:dyDescent="0.3">
      <c r="A17">
        <v>2015</v>
      </c>
      <c r="B17">
        <v>80960</v>
      </c>
    </row>
    <row r="18" spans="1:5" x14ac:dyDescent="0.3">
      <c r="A18">
        <v>2016</v>
      </c>
      <c r="B18">
        <v>83740</v>
      </c>
    </row>
    <row r="19" spans="1:5" x14ac:dyDescent="0.3">
      <c r="A19">
        <v>2017</v>
      </c>
      <c r="B19">
        <v>84456</v>
      </c>
      <c r="C19">
        <v>84456</v>
      </c>
      <c r="D19" s="48">
        <v>84456</v>
      </c>
      <c r="E19" s="48">
        <v>84456</v>
      </c>
    </row>
    <row r="20" spans="1:5" x14ac:dyDescent="0.3">
      <c r="A20">
        <v>2018</v>
      </c>
      <c r="C20">
        <f t="shared" ref="C20:C63" si="0">_xlfn.FORECAST.ETS(A20,$B$2:$B$19,$A$2:$A$19,1,1)</f>
        <v>86261.542856961169</v>
      </c>
      <c r="D20" s="48">
        <f t="shared" ref="D20:D63" si="1">C20-_xlfn.FORECAST.ETS.CONFINT(A20,$B$2:$B$19,$A$2:$A$19,0.95,1,1)</f>
        <v>82337.304800714512</v>
      </c>
      <c r="E20" s="48">
        <f t="shared" ref="E20:E63" si="2">C20+_xlfn.FORECAST.ETS.CONFINT(A20,$B$2:$B$19,$A$2:$A$19,0.95,1,1)</f>
        <v>90185.780913207826</v>
      </c>
    </row>
    <row r="21" spans="1:5" x14ac:dyDescent="0.3">
      <c r="A21">
        <v>2019</v>
      </c>
      <c r="C21">
        <f t="shared" si="0"/>
        <v>87895.054410765006</v>
      </c>
      <c r="D21" s="48">
        <f t="shared" si="1"/>
        <v>83950.851564330223</v>
      </c>
      <c r="E21" s="48">
        <f t="shared" si="2"/>
        <v>91839.257257199788</v>
      </c>
    </row>
    <row r="22" spans="1:5" x14ac:dyDescent="0.3">
      <c r="A22">
        <v>2020</v>
      </c>
      <c r="C22">
        <f t="shared" si="0"/>
        <v>89528.565964568857</v>
      </c>
      <c r="D22" s="48">
        <f t="shared" si="1"/>
        <v>85564.104589633891</v>
      </c>
      <c r="E22" s="48">
        <f t="shared" si="2"/>
        <v>93493.027339503824</v>
      </c>
    </row>
    <row r="23" spans="1:5" x14ac:dyDescent="0.3">
      <c r="A23">
        <v>2021</v>
      </c>
      <c r="C23">
        <f t="shared" si="0"/>
        <v>91162.077518372695</v>
      </c>
      <c r="D23" s="48">
        <f t="shared" si="1"/>
        <v>87177.064492049642</v>
      </c>
      <c r="E23" s="48">
        <f t="shared" si="2"/>
        <v>95147.090544695748</v>
      </c>
    </row>
    <row r="24" spans="1:5" x14ac:dyDescent="0.3">
      <c r="A24">
        <v>2022</v>
      </c>
      <c r="C24">
        <f t="shared" si="0"/>
        <v>92795.589072176532</v>
      </c>
      <c r="D24" s="48">
        <f t="shared" si="1"/>
        <v>88789.731938808924</v>
      </c>
      <c r="E24" s="48">
        <f t="shared" si="2"/>
        <v>96801.44620554414</v>
      </c>
    </row>
    <row r="25" spans="1:5" x14ac:dyDescent="0.3">
      <c r="A25">
        <v>2023</v>
      </c>
      <c r="C25">
        <f t="shared" si="0"/>
        <v>94429.100625980369</v>
      </c>
      <c r="D25" s="48">
        <f t="shared" si="1"/>
        <v>90402.107647143275</v>
      </c>
      <c r="E25" s="48">
        <f t="shared" si="2"/>
        <v>98456.093604817463</v>
      </c>
    </row>
    <row r="26" spans="1:5" x14ac:dyDescent="0.3">
      <c r="A26">
        <v>2024</v>
      </c>
      <c r="C26">
        <f t="shared" si="0"/>
        <v>96062.612179784221</v>
      </c>
      <c r="D26" s="48">
        <f t="shared" si="1"/>
        <v>92014.192382479814</v>
      </c>
      <c r="E26" s="48">
        <f t="shared" si="2"/>
        <v>100111.03197708863</v>
      </c>
    </row>
    <row r="27" spans="1:5" x14ac:dyDescent="0.3">
      <c r="A27">
        <v>2025</v>
      </c>
      <c r="C27">
        <f t="shared" si="0"/>
        <v>97696.123733588058</v>
      </c>
      <c r="D27" s="48">
        <f t="shared" si="1"/>
        <v>93625.986956641864</v>
      </c>
      <c r="E27" s="48">
        <f t="shared" si="2"/>
        <v>101766.26051053425</v>
      </c>
    </row>
    <row r="28" spans="1:5" x14ac:dyDescent="0.3">
      <c r="A28">
        <v>2026</v>
      </c>
      <c r="C28">
        <f t="shared" si="0"/>
        <v>99329.635287391895</v>
      </c>
      <c r="D28" s="48">
        <f t="shared" si="1"/>
        <v>95237.492226058035</v>
      </c>
      <c r="E28" s="48">
        <f t="shared" si="2"/>
        <v>103421.77834872575</v>
      </c>
    </row>
    <row r="29" spans="1:5" x14ac:dyDescent="0.3">
      <c r="A29">
        <v>2027</v>
      </c>
      <c r="C29">
        <f t="shared" si="0"/>
        <v>100963.14684119573</v>
      </c>
      <c r="D29" s="48">
        <f t="shared" si="1"/>
        <v>96848.709089981887</v>
      </c>
      <c r="E29" s="48">
        <f t="shared" si="2"/>
        <v>105077.58459240958</v>
      </c>
    </row>
    <row r="30" spans="1:5" x14ac:dyDescent="0.3">
      <c r="A30">
        <v>2028</v>
      </c>
      <c r="C30">
        <f t="shared" si="0"/>
        <v>102596.65839499957</v>
      </c>
      <c r="D30" s="48">
        <f t="shared" si="1"/>
        <v>98459.638488725119</v>
      </c>
      <c r="E30" s="48">
        <f t="shared" si="2"/>
        <v>106733.67830127402</v>
      </c>
    </row>
    <row r="31" spans="1:5" x14ac:dyDescent="0.3">
      <c r="A31">
        <v>2029</v>
      </c>
      <c r="C31">
        <f t="shared" si="0"/>
        <v>104230.16994880342</v>
      </c>
      <c r="D31" s="48">
        <f t="shared" si="1"/>
        <v>100070.28140190657</v>
      </c>
      <c r="E31" s="48">
        <f t="shared" si="2"/>
        <v>108390.05849570027</v>
      </c>
    </row>
    <row r="32" spans="1:5" x14ac:dyDescent="0.3">
      <c r="A32">
        <v>2030</v>
      </c>
      <c r="C32">
        <f t="shared" si="0"/>
        <v>105863.68150260726</v>
      </c>
      <c r="D32" s="48">
        <f t="shared" si="1"/>
        <v>101680.6388467191</v>
      </c>
      <c r="E32" s="48">
        <f t="shared" si="2"/>
        <v>110046.72415849542</v>
      </c>
    </row>
    <row r="33" spans="1:5" x14ac:dyDescent="0.3">
      <c r="A33">
        <v>2031</v>
      </c>
      <c r="C33">
        <f t="shared" si="0"/>
        <v>107497.1930564111</v>
      </c>
      <c r="D33" s="48">
        <f t="shared" si="1"/>
        <v>103290.71187621681</v>
      </c>
      <c r="E33" s="48">
        <f t="shared" si="2"/>
        <v>111703.67423660538</v>
      </c>
    </row>
    <row r="34" spans="1:5" x14ac:dyDescent="0.3">
      <c r="A34">
        <v>2032</v>
      </c>
      <c r="C34">
        <f t="shared" si="0"/>
        <v>109130.70461021495</v>
      </c>
      <c r="D34" s="48">
        <f t="shared" si="1"/>
        <v>104900.50157762435</v>
      </c>
      <c r="E34" s="48">
        <f t="shared" si="2"/>
        <v>113360.90764280554</v>
      </c>
    </row>
    <row r="35" spans="1:5" x14ac:dyDescent="0.3">
      <c r="A35">
        <v>2033</v>
      </c>
      <c r="C35">
        <f t="shared" si="0"/>
        <v>110764.21616401878</v>
      </c>
      <c r="D35" s="48">
        <f t="shared" si="1"/>
        <v>106510.00907067009</v>
      </c>
      <c r="E35" s="48">
        <f t="shared" si="2"/>
        <v>115018.42325736748</v>
      </c>
    </row>
    <row r="36" spans="1:5" x14ac:dyDescent="0.3">
      <c r="A36">
        <v>2034</v>
      </c>
      <c r="C36">
        <f t="shared" si="0"/>
        <v>112397.72771782262</v>
      </c>
      <c r="D36" s="48">
        <f t="shared" si="1"/>
        <v>108119.23550594512</v>
      </c>
      <c r="E36" s="48">
        <f t="shared" si="2"/>
        <v>116676.21992970012</v>
      </c>
    </row>
    <row r="37" spans="1:5" x14ac:dyDescent="0.3">
      <c r="A37">
        <v>2035</v>
      </c>
      <c r="C37">
        <f t="shared" si="0"/>
        <v>114031.23927162646</v>
      </c>
      <c r="D37" s="48">
        <f t="shared" si="1"/>
        <v>109728.18206328939</v>
      </c>
      <c r="E37" s="48">
        <f t="shared" si="2"/>
        <v>118334.29647996352</v>
      </c>
    </row>
    <row r="38" spans="1:5" x14ac:dyDescent="0.3">
      <c r="A38">
        <v>2036</v>
      </c>
      <c r="C38">
        <f t="shared" si="0"/>
        <v>115664.7508254303</v>
      </c>
      <c r="D38" s="48">
        <f t="shared" si="1"/>
        <v>111336.84995020655</v>
      </c>
      <c r="E38" s="48">
        <f t="shared" si="2"/>
        <v>119992.65170065404</v>
      </c>
    </row>
    <row r="39" spans="1:5" x14ac:dyDescent="0.3">
      <c r="A39">
        <v>2037</v>
      </c>
      <c r="C39">
        <f t="shared" si="0"/>
        <v>117298.26237923415</v>
      </c>
      <c r="D39" s="48">
        <f t="shared" si="1"/>
        <v>112945.24040030874</v>
      </c>
      <c r="E39" s="48">
        <f t="shared" si="2"/>
        <v>121651.28435815955</v>
      </c>
    </row>
    <row r="40" spans="1:5" x14ac:dyDescent="0.3">
      <c r="A40">
        <v>2038</v>
      </c>
      <c r="C40">
        <f t="shared" si="0"/>
        <v>118931.77393303798</v>
      </c>
      <c r="D40" s="48">
        <f t="shared" si="1"/>
        <v>114553.35467179246</v>
      </c>
      <c r="E40" s="48">
        <f t="shared" si="2"/>
        <v>123310.19319428351</v>
      </c>
    </row>
    <row r="41" spans="1:5" x14ac:dyDescent="0.3">
      <c r="A41">
        <v>2039</v>
      </c>
      <c r="C41">
        <f t="shared" si="0"/>
        <v>120565.28548684182</v>
      </c>
      <c r="D41" s="48">
        <f t="shared" si="1"/>
        <v>116161.19404594672</v>
      </c>
      <c r="E41" s="48">
        <f t="shared" si="2"/>
        <v>124969.37692773693</v>
      </c>
    </row>
    <row r="42" spans="1:5" x14ac:dyDescent="0.3">
      <c r="A42">
        <v>2040</v>
      </c>
      <c r="C42">
        <f t="shared" si="0"/>
        <v>122198.79704064567</v>
      </c>
      <c r="D42" s="48">
        <f t="shared" si="1"/>
        <v>117768.75982569413</v>
      </c>
      <c r="E42" s="48">
        <f t="shared" si="2"/>
        <v>126628.83425559722</v>
      </c>
    </row>
    <row r="43" spans="1:5" x14ac:dyDescent="0.3">
      <c r="A43">
        <v>2041</v>
      </c>
      <c r="C43">
        <f t="shared" si="0"/>
        <v>123832.30859444951</v>
      </c>
      <c r="D43" s="48">
        <f t="shared" si="1"/>
        <v>119376.05333416598</v>
      </c>
      <c r="E43" s="48">
        <f t="shared" si="2"/>
        <v>128288.56385473305</v>
      </c>
    </row>
    <row r="44" spans="1:5" x14ac:dyDescent="0.3">
      <c r="A44">
        <v>2042</v>
      </c>
      <c r="C44">
        <f t="shared" si="0"/>
        <v>125465.82014825335</v>
      </c>
      <c r="D44" s="48">
        <f t="shared" si="1"/>
        <v>120983.07591331186</v>
      </c>
      <c r="E44" s="48">
        <f t="shared" si="2"/>
        <v>129948.56438319484</v>
      </c>
    </row>
    <row r="45" spans="1:5" x14ac:dyDescent="0.3">
      <c r="A45">
        <v>2043</v>
      </c>
      <c r="C45">
        <f t="shared" si="0"/>
        <v>127099.33170205718</v>
      </c>
      <c r="D45" s="48">
        <f t="shared" si="1"/>
        <v>122589.82892254436</v>
      </c>
      <c r="E45" s="48">
        <f t="shared" si="2"/>
        <v>131608.83448157</v>
      </c>
    </row>
    <row r="46" spans="1:5" x14ac:dyDescent="0.3">
      <c r="A46">
        <v>2044</v>
      </c>
      <c r="C46">
        <f t="shared" si="0"/>
        <v>128732.84325586102</v>
      </c>
      <c r="D46" s="48">
        <f t="shared" si="1"/>
        <v>124196.31373741948</v>
      </c>
      <c r="E46" s="48">
        <f t="shared" si="2"/>
        <v>133269.37277430255</v>
      </c>
    </row>
    <row r="47" spans="1:5" x14ac:dyDescent="0.3">
      <c r="A47">
        <v>2045</v>
      </c>
      <c r="C47">
        <f t="shared" si="0"/>
        <v>130366.35480966486</v>
      </c>
      <c r="D47" s="48">
        <f t="shared" si="1"/>
        <v>125802.53174835294</v>
      </c>
      <c r="E47" s="48">
        <f t="shared" si="2"/>
        <v>134930.17787097677</v>
      </c>
    </row>
    <row r="48" spans="1:5" x14ac:dyDescent="0.3">
      <c r="A48">
        <v>2046</v>
      </c>
      <c r="C48">
        <f t="shared" si="0"/>
        <v>131999.8663634687</v>
      </c>
      <c r="D48" s="48">
        <f t="shared" si="1"/>
        <v>127408.4843593728</v>
      </c>
      <c r="E48" s="48">
        <f t="shared" si="2"/>
        <v>136591.24836756461</v>
      </c>
    </row>
    <row r="49" spans="1:5" x14ac:dyDescent="0.3">
      <c r="A49">
        <v>2047</v>
      </c>
      <c r="C49">
        <f t="shared" si="0"/>
        <v>133633.37791727256</v>
      </c>
      <c r="D49" s="48">
        <f t="shared" si="1"/>
        <v>129014.1729869085</v>
      </c>
      <c r="E49" s="48">
        <f t="shared" si="2"/>
        <v>138252.58284763663</v>
      </c>
    </row>
    <row r="50" spans="1:5" x14ac:dyDescent="0.3">
      <c r="A50">
        <v>2048</v>
      </c>
      <c r="C50">
        <f t="shared" si="0"/>
        <v>135266.8894710764</v>
      </c>
      <c r="D50" s="48">
        <f t="shared" si="1"/>
        <v>130619.59905861635</v>
      </c>
      <c r="E50" s="48">
        <f t="shared" si="2"/>
        <v>139914.17988353645</v>
      </c>
    </row>
    <row r="51" spans="1:5" x14ac:dyDescent="0.3">
      <c r="A51">
        <v>2049</v>
      </c>
      <c r="C51">
        <f t="shared" si="0"/>
        <v>136900.40102488024</v>
      </c>
      <c r="D51" s="48">
        <f t="shared" si="1"/>
        <v>132224.76401224179</v>
      </c>
      <c r="E51" s="48">
        <f t="shared" si="2"/>
        <v>141576.03803751868</v>
      </c>
    </row>
    <row r="52" spans="1:5" x14ac:dyDescent="0.3">
      <c r="A52">
        <v>2050</v>
      </c>
      <c r="C52">
        <f t="shared" si="0"/>
        <v>138533.91257868407</v>
      </c>
      <c r="D52" s="48">
        <f t="shared" si="1"/>
        <v>133829.66929451789</v>
      </c>
      <c r="E52" s="48">
        <f t="shared" si="2"/>
        <v>143238.15586285025</v>
      </c>
    </row>
    <row r="53" spans="1:5" x14ac:dyDescent="0.3">
      <c r="A53">
        <v>2051</v>
      </c>
      <c r="C53">
        <f t="shared" si="0"/>
        <v>140167.42413248791</v>
      </c>
      <c r="D53" s="48">
        <f t="shared" si="1"/>
        <v>135434.31636010029</v>
      </c>
      <c r="E53" s="48">
        <f t="shared" si="2"/>
        <v>144900.53190487553</v>
      </c>
    </row>
    <row r="54" spans="1:5" x14ac:dyDescent="0.3">
      <c r="A54">
        <v>2052</v>
      </c>
      <c r="C54">
        <f t="shared" si="0"/>
        <v>141800.93568629175</v>
      </c>
      <c r="D54" s="48">
        <f t="shared" si="1"/>
        <v>137038.70667053832</v>
      </c>
      <c r="E54" s="48">
        <f t="shared" si="2"/>
        <v>146563.16470204518</v>
      </c>
    </row>
    <row r="55" spans="1:5" x14ac:dyDescent="0.3">
      <c r="A55">
        <v>2053</v>
      </c>
      <c r="C55">
        <f t="shared" si="0"/>
        <v>143434.44724009559</v>
      </c>
      <c r="D55" s="48">
        <f t="shared" si="1"/>
        <v>138642.84169328207</v>
      </c>
      <c r="E55" s="48">
        <f t="shared" si="2"/>
        <v>148226.0527869091</v>
      </c>
    </row>
    <row r="56" spans="1:5" x14ac:dyDescent="0.3">
      <c r="A56">
        <v>2054</v>
      </c>
      <c r="C56">
        <f t="shared" si="0"/>
        <v>145067.95879389942</v>
      </c>
      <c r="D56" s="48">
        <f t="shared" si="1"/>
        <v>140246.7229007248</v>
      </c>
      <c r="E56" s="48">
        <f t="shared" si="2"/>
        <v>149889.19468707405</v>
      </c>
    </row>
    <row r="57" spans="1:5" x14ac:dyDescent="0.3">
      <c r="A57">
        <v>2055</v>
      </c>
      <c r="C57">
        <f t="shared" si="0"/>
        <v>146701.47034770326</v>
      </c>
      <c r="D57" s="48">
        <f t="shared" si="1"/>
        <v>141850.35176928068</v>
      </c>
      <c r="E57" s="48">
        <f t="shared" si="2"/>
        <v>151552.58892612584</v>
      </c>
    </row>
    <row r="58" spans="1:5" x14ac:dyDescent="0.3">
      <c r="A58">
        <v>2056</v>
      </c>
      <c r="C58">
        <f t="shared" si="0"/>
        <v>148334.98190150713</v>
      </c>
      <c r="D58" s="48">
        <f t="shared" si="1"/>
        <v>143453.72977849742</v>
      </c>
      <c r="E58" s="48">
        <f t="shared" si="2"/>
        <v>153216.23402451683</v>
      </c>
    </row>
    <row r="59" spans="1:5" x14ac:dyDescent="0.3">
      <c r="A59">
        <v>2057</v>
      </c>
      <c r="C59">
        <f t="shared" si="0"/>
        <v>149968.49345531096</v>
      </c>
      <c r="D59" s="48">
        <f t="shared" si="1"/>
        <v>145056.85841020287</v>
      </c>
      <c r="E59" s="48">
        <f t="shared" si="2"/>
        <v>154880.12850041906</v>
      </c>
    </row>
    <row r="60" spans="1:5" x14ac:dyDescent="0.3">
      <c r="A60">
        <v>2058</v>
      </c>
      <c r="C60">
        <f t="shared" si="0"/>
        <v>151602.0050091148</v>
      </c>
      <c r="D60" s="48">
        <f t="shared" si="1"/>
        <v>146659.73914768576</v>
      </c>
      <c r="E60" s="48">
        <f t="shared" si="2"/>
        <v>156544.27087054384</v>
      </c>
    </row>
    <row r="61" spans="1:5" x14ac:dyDescent="0.3">
      <c r="A61">
        <v>2059</v>
      </c>
      <c r="C61">
        <f t="shared" si="0"/>
        <v>153235.51656291864</v>
      </c>
      <c r="D61" s="48">
        <f t="shared" si="1"/>
        <v>148262.37347490934</v>
      </c>
      <c r="E61" s="48">
        <f t="shared" si="2"/>
        <v>158208.65965092793</v>
      </c>
    </row>
    <row r="62" spans="1:5" x14ac:dyDescent="0.3">
      <c r="A62">
        <v>2060</v>
      </c>
      <c r="C62">
        <f t="shared" si="0"/>
        <v>154869.02811672247</v>
      </c>
      <c r="D62" s="48">
        <f t="shared" si="1"/>
        <v>149864.762875758</v>
      </c>
      <c r="E62" s="48">
        <f t="shared" si="2"/>
        <v>159873.29335768695</v>
      </c>
    </row>
    <row r="63" spans="1:5" x14ac:dyDescent="0.3">
      <c r="A63">
        <v>2061</v>
      </c>
      <c r="C63">
        <f t="shared" si="0"/>
        <v>156502.53967052631</v>
      </c>
      <c r="D63" s="48">
        <f t="shared" si="1"/>
        <v>151466.90883331557</v>
      </c>
      <c r="E63" s="48">
        <f t="shared" si="2"/>
        <v>161538.17050773706</v>
      </c>
    </row>
  </sheetData>
  <pageMargins left="0.7" right="0.7" top="0.75" bottom="0.75" header="0.3" footer="0.3"/>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0F77B-EB5E-48E7-8C50-C3C2037204DD}">
  <dimension ref="A1:G56"/>
  <sheetViews>
    <sheetView workbookViewId="0">
      <selection activeCell="H25" sqref="H25"/>
    </sheetView>
  </sheetViews>
  <sheetFormatPr defaultRowHeight="14.4" x14ac:dyDescent="0.3"/>
  <cols>
    <col min="1" max="1" width="10.6640625" customWidth="1"/>
    <col min="2" max="2" width="9.44140625" customWidth="1"/>
    <col min="3" max="3" width="10.109375" customWidth="1"/>
    <col min="4" max="4" width="24" customWidth="1"/>
    <col min="5" max="5" width="24.109375" customWidth="1"/>
  </cols>
  <sheetData>
    <row r="1" spans="1:5" x14ac:dyDescent="0.3">
      <c r="A1" t="s">
        <v>37</v>
      </c>
      <c r="B1" t="s">
        <v>38</v>
      </c>
      <c r="C1" t="s">
        <v>39</v>
      </c>
      <c r="D1" t="s">
        <v>40</v>
      </c>
      <c r="E1" t="s">
        <v>41</v>
      </c>
    </row>
    <row r="2" spans="1:5" x14ac:dyDescent="0.3">
      <c r="A2">
        <v>2011</v>
      </c>
      <c r="B2" s="34">
        <v>41</v>
      </c>
    </row>
    <row r="3" spans="1:5" x14ac:dyDescent="0.3">
      <c r="A3">
        <v>2012</v>
      </c>
      <c r="B3" s="34">
        <v>46</v>
      </c>
    </row>
    <row r="4" spans="1:5" x14ac:dyDescent="0.3">
      <c r="A4">
        <v>2013</v>
      </c>
      <c r="B4" s="34">
        <v>71</v>
      </c>
    </row>
    <row r="5" spans="1:5" x14ac:dyDescent="0.3">
      <c r="A5">
        <v>2014</v>
      </c>
      <c r="B5" s="34">
        <v>53</v>
      </c>
    </row>
    <row r="6" spans="1:5" x14ac:dyDescent="0.3">
      <c r="A6">
        <v>2015</v>
      </c>
      <c r="B6" s="34">
        <v>18</v>
      </c>
    </row>
    <row r="7" spans="1:5" x14ac:dyDescent="0.3">
      <c r="A7">
        <v>2016</v>
      </c>
      <c r="B7" s="34">
        <v>19</v>
      </c>
    </row>
    <row r="8" spans="1:5" x14ac:dyDescent="0.3">
      <c r="A8">
        <v>2017</v>
      </c>
      <c r="B8" s="34">
        <v>27</v>
      </c>
    </row>
    <row r="9" spans="1:5" x14ac:dyDescent="0.3">
      <c r="A9">
        <v>2018</v>
      </c>
      <c r="B9" s="34">
        <v>27</v>
      </c>
    </row>
    <row r="10" spans="1:5" x14ac:dyDescent="0.3">
      <c r="A10">
        <v>2019</v>
      </c>
      <c r="B10" s="34">
        <v>37</v>
      </c>
    </row>
    <row r="11" spans="1:5" x14ac:dyDescent="0.3">
      <c r="A11">
        <v>2020</v>
      </c>
      <c r="B11" s="34">
        <v>64</v>
      </c>
    </row>
    <row r="12" spans="1:5" x14ac:dyDescent="0.3">
      <c r="A12">
        <v>2021</v>
      </c>
      <c r="B12" s="34">
        <v>78</v>
      </c>
    </row>
    <row r="13" spans="1:5" x14ac:dyDescent="0.3">
      <c r="A13">
        <v>2022</v>
      </c>
      <c r="B13" s="34">
        <v>106</v>
      </c>
    </row>
    <row r="14" spans="1:5" x14ac:dyDescent="0.3">
      <c r="A14">
        <v>2023</v>
      </c>
      <c r="B14" s="34">
        <v>146</v>
      </c>
    </row>
    <row r="15" spans="1:5" x14ac:dyDescent="0.3">
      <c r="A15">
        <v>2024</v>
      </c>
      <c r="B15" s="34">
        <v>199</v>
      </c>
    </row>
    <row r="16" spans="1:5" x14ac:dyDescent="0.3">
      <c r="A16">
        <v>2025</v>
      </c>
      <c r="B16" s="34">
        <v>274</v>
      </c>
    </row>
    <row r="17" spans="1:7" x14ac:dyDescent="0.3">
      <c r="A17">
        <v>2026</v>
      </c>
      <c r="B17" s="34">
        <v>375</v>
      </c>
    </row>
    <row r="18" spans="1:7" x14ac:dyDescent="0.3">
      <c r="A18">
        <v>2027</v>
      </c>
      <c r="B18" s="34">
        <v>514</v>
      </c>
    </row>
    <row r="19" spans="1:7" x14ac:dyDescent="0.3">
      <c r="A19">
        <v>2028</v>
      </c>
      <c r="B19" s="34">
        <v>705</v>
      </c>
      <c r="G19" s="53" t="s">
        <v>51</v>
      </c>
    </row>
    <row r="20" spans="1:7" x14ac:dyDescent="0.3">
      <c r="A20">
        <v>2029</v>
      </c>
      <c r="B20" s="34">
        <v>966</v>
      </c>
    </row>
    <row r="21" spans="1:7" x14ac:dyDescent="0.3">
      <c r="A21">
        <v>2030</v>
      </c>
      <c r="B21" s="34">
        <v>1325</v>
      </c>
      <c r="C21" s="34">
        <v>1325</v>
      </c>
      <c r="D21" s="34">
        <v>1325</v>
      </c>
      <c r="E21" s="34">
        <v>1325</v>
      </c>
    </row>
    <row r="22" spans="1:7" x14ac:dyDescent="0.3">
      <c r="A22">
        <v>2031</v>
      </c>
      <c r="C22" s="34">
        <f t="shared" ref="C22:C56" si="0">_xlfn.FORECAST.ETS(A22,$B$2:$B$21,$A$2:$A$21,4,1)</f>
        <v>1619.0630118661682</v>
      </c>
      <c r="D22" s="34">
        <f t="shared" ref="D22:D56" si="1">C22-_xlfn.FORECAST.ETS.CONFINT(A22,$B$2:$B$21,$A$2:$A$21,0.95,4,1)</f>
        <v>1469.4711650333506</v>
      </c>
      <c r="E22" s="34">
        <f t="shared" ref="E22:E56" si="2">C22+_xlfn.FORECAST.ETS.CONFINT(A22,$B$2:$B$21,$A$2:$A$21,0.95,4,1)</f>
        <v>1768.6548586989857</v>
      </c>
    </row>
    <row r="23" spans="1:7" x14ac:dyDescent="0.3">
      <c r="A23">
        <v>2032</v>
      </c>
      <c r="C23" s="34">
        <f t="shared" si="0"/>
        <v>2015.3110305735227</v>
      </c>
      <c r="D23" s="34">
        <f t="shared" si="1"/>
        <v>1707.413323384661</v>
      </c>
      <c r="E23" s="34">
        <f t="shared" si="2"/>
        <v>2323.2087377623843</v>
      </c>
    </row>
    <row r="24" spans="1:7" x14ac:dyDescent="0.3">
      <c r="A24">
        <v>2033</v>
      </c>
      <c r="C24" s="34">
        <f t="shared" si="0"/>
        <v>2436.7583668713114</v>
      </c>
      <c r="D24" s="34">
        <f t="shared" si="1"/>
        <v>1929.1236638836413</v>
      </c>
      <c r="E24" s="34">
        <f t="shared" si="2"/>
        <v>2944.3930698589816</v>
      </c>
    </row>
    <row r="25" spans="1:7" x14ac:dyDescent="0.3">
      <c r="A25">
        <v>2034</v>
      </c>
      <c r="C25" s="34">
        <f t="shared" si="0"/>
        <v>2795.4506361578665</v>
      </c>
      <c r="D25" s="34">
        <f t="shared" si="1"/>
        <v>2055.7039945361539</v>
      </c>
      <c r="E25" s="34">
        <f t="shared" si="2"/>
        <v>3535.1972777795791</v>
      </c>
    </row>
    <row r="26" spans="1:7" x14ac:dyDescent="0.3">
      <c r="A26">
        <v>2035</v>
      </c>
      <c r="C26" s="34">
        <f t="shared" si="0"/>
        <v>3089.6922710373146</v>
      </c>
      <c r="D26" s="34">
        <f t="shared" si="1"/>
        <v>2079.8859298003608</v>
      </c>
      <c r="E26" s="34">
        <f t="shared" si="2"/>
        <v>4099.4986122742685</v>
      </c>
    </row>
    <row r="27" spans="1:7" x14ac:dyDescent="0.3">
      <c r="A27">
        <v>2036</v>
      </c>
      <c r="C27" s="34">
        <f t="shared" si="0"/>
        <v>3485.9402897446694</v>
      </c>
      <c r="D27" s="34">
        <f t="shared" si="1"/>
        <v>2193.2549671855254</v>
      </c>
      <c r="E27" s="34">
        <f t="shared" si="2"/>
        <v>4778.6256123038129</v>
      </c>
    </row>
    <row r="28" spans="1:7" x14ac:dyDescent="0.3">
      <c r="A28">
        <v>2037</v>
      </c>
      <c r="C28" s="34">
        <f t="shared" si="0"/>
        <v>3907.3876260424581</v>
      </c>
      <c r="D28" s="34">
        <f t="shared" si="1"/>
        <v>2308.1640252806501</v>
      </c>
      <c r="E28" s="34">
        <f t="shared" si="2"/>
        <v>5506.6112268042662</v>
      </c>
    </row>
    <row r="29" spans="1:7" x14ac:dyDescent="0.3">
      <c r="A29">
        <v>2038</v>
      </c>
      <c r="C29" s="34">
        <f t="shared" si="0"/>
        <v>4266.0798953290141</v>
      </c>
      <c r="D29" s="34">
        <f t="shared" si="1"/>
        <v>2338.5626877742743</v>
      </c>
      <c r="E29" s="34">
        <f t="shared" si="2"/>
        <v>6193.5971028837539</v>
      </c>
    </row>
    <row r="30" spans="1:7" x14ac:dyDescent="0.3">
      <c r="A30">
        <v>2039</v>
      </c>
      <c r="C30" s="34">
        <f t="shared" si="0"/>
        <v>4560.3215302084618</v>
      </c>
      <c r="D30" s="34">
        <f t="shared" si="1"/>
        <v>2276.3120332480876</v>
      </c>
      <c r="E30" s="34">
        <f t="shared" si="2"/>
        <v>6844.331027168836</v>
      </c>
    </row>
    <row r="31" spans="1:7" x14ac:dyDescent="0.3">
      <c r="A31">
        <v>2040</v>
      </c>
      <c r="C31" s="34">
        <f t="shared" si="0"/>
        <v>4956.5695489158161</v>
      </c>
      <c r="D31" s="34">
        <f t="shared" si="1"/>
        <v>2305.9712436639315</v>
      </c>
      <c r="E31" s="34">
        <f t="shared" si="2"/>
        <v>7607.1678541677011</v>
      </c>
    </row>
    <row r="32" spans="1:7" x14ac:dyDescent="0.3">
      <c r="A32">
        <v>2041</v>
      </c>
      <c r="C32" s="34">
        <f t="shared" si="0"/>
        <v>5378.0168852136048</v>
      </c>
      <c r="D32" s="34">
        <f t="shared" si="1"/>
        <v>2342.4801575979222</v>
      </c>
      <c r="E32" s="34">
        <f t="shared" si="2"/>
        <v>8413.5536128292879</v>
      </c>
    </row>
    <row r="33" spans="1:5" x14ac:dyDescent="0.3">
      <c r="A33">
        <v>2042</v>
      </c>
      <c r="C33" s="34">
        <f t="shared" si="0"/>
        <v>5736.7091545001604</v>
      </c>
      <c r="D33" s="34">
        <f t="shared" si="1"/>
        <v>2298.7873518263477</v>
      </c>
      <c r="E33" s="34">
        <f t="shared" si="2"/>
        <v>9174.630957173973</v>
      </c>
    </row>
    <row r="34" spans="1:5" x14ac:dyDescent="0.3">
      <c r="A34">
        <v>2043</v>
      </c>
      <c r="C34" s="34">
        <f t="shared" si="0"/>
        <v>6030.9507893796081</v>
      </c>
      <c r="D34" s="34">
        <f t="shared" si="1"/>
        <v>2167.2325749912129</v>
      </c>
      <c r="E34" s="34">
        <f t="shared" si="2"/>
        <v>9894.6690037680037</v>
      </c>
    </row>
    <row r="35" spans="1:5" x14ac:dyDescent="0.3">
      <c r="A35">
        <v>2044</v>
      </c>
      <c r="C35" s="34">
        <f t="shared" si="0"/>
        <v>6427.1988080869623</v>
      </c>
      <c r="D35" s="34">
        <f t="shared" si="1"/>
        <v>2129.0971097351812</v>
      </c>
      <c r="E35" s="34">
        <f t="shared" si="2"/>
        <v>10725.300506438743</v>
      </c>
    </row>
    <row r="36" spans="1:5" x14ac:dyDescent="0.3">
      <c r="A36">
        <v>2045</v>
      </c>
      <c r="C36" s="34">
        <f t="shared" si="0"/>
        <v>6848.6461443847511</v>
      </c>
      <c r="D36" s="34">
        <f t="shared" si="1"/>
        <v>2100.6398887615333</v>
      </c>
      <c r="E36" s="34">
        <f t="shared" si="2"/>
        <v>11596.65240000797</v>
      </c>
    </row>
    <row r="37" spans="1:5" x14ac:dyDescent="0.3">
      <c r="A37">
        <v>2046</v>
      </c>
      <c r="C37" s="34">
        <f t="shared" si="0"/>
        <v>7207.3384136713066</v>
      </c>
      <c r="D37" s="34">
        <f t="shared" si="1"/>
        <v>1994.4557740197151</v>
      </c>
      <c r="E37" s="34">
        <f t="shared" si="2"/>
        <v>12420.221053322897</v>
      </c>
    </row>
    <row r="38" spans="1:5" x14ac:dyDescent="0.3">
      <c r="A38">
        <v>2047</v>
      </c>
      <c r="C38" s="34">
        <f t="shared" si="0"/>
        <v>7501.5800485507543</v>
      </c>
      <c r="D38" s="34">
        <f t="shared" si="1"/>
        <v>1803.375494998284</v>
      </c>
      <c r="E38" s="34">
        <f t="shared" si="2"/>
        <v>13199.784602103224</v>
      </c>
    </row>
    <row r="39" spans="1:5" x14ac:dyDescent="0.3">
      <c r="A39">
        <v>2048</v>
      </c>
      <c r="C39" s="34">
        <f t="shared" si="0"/>
        <v>7897.8280672581086</v>
      </c>
      <c r="D39" s="34">
        <f t="shared" si="1"/>
        <v>1706.7033748278154</v>
      </c>
      <c r="E39" s="34">
        <f t="shared" si="2"/>
        <v>14088.952759688402</v>
      </c>
    </row>
    <row r="40" spans="1:5" x14ac:dyDescent="0.3">
      <c r="A40">
        <v>2049</v>
      </c>
      <c r="C40" s="34">
        <f t="shared" si="0"/>
        <v>8319.2754035558974</v>
      </c>
      <c r="D40" s="34">
        <f t="shared" si="1"/>
        <v>1621.5350551411157</v>
      </c>
      <c r="E40" s="34">
        <f t="shared" si="2"/>
        <v>15017.015751970679</v>
      </c>
    </row>
    <row r="41" spans="1:5" x14ac:dyDescent="0.3">
      <c r="A41">
        <v>2050</v>
      </c>
      <c r="C41" s="34">
        <f t="shared" si="0"/>
        <v>8677.9676728424529</v>
      </c>
      <c r="D41" s="34">
        <f t="shared" si="1"/>
        <v>1460.2942956930046</v>
      </c>
      <c r="E41" s="34">
        <f t="shared" si="2"/>
        <v>15895.6410499919</v>
      </c>
    </row>
    <row r="42" spans="1:5" x14ac:dyDescent="0.3">
      <c r="A42">
        <v>2051</v>
      </c>
      <c r="C42" s="34">
        <f t="shared" si="0"/>
        <v>8972.2093077219033</v>
      </c>
      <c r="D42" s="34">
        <f t="shared" si="1"/>
        <v>1216.2233241513504</v>
      </c>
      <c r="E42" s="34">
        <f t="shared" si="2"/>
        <v>16728.195291292457</v>
      </c>
    </row>
    <row r="43" spans="1:5" x14ac:dyDescent="0.3">
      <c r="A43">
        <v>2052</v>
      </c>
      <c r="C43" s="34">
        <f t="shared" si="0"/>
        <v>9368.4573264292576</v>
      </c>
      <c r="D43" s="34">
        <f t="shared" si="1"/>
        <v>1067.2718247861103</v>
      </c>
      <c r="E43" s="34">
        <f t="shared" si="2"/>
        <v>17669.642828072407</v>
      </c>
    </row>
    <row r="44" spans="1:5" x14ac:dyDescent="0.3">
      <c r="A44">
        <v>2053</v>
      </c>
      <c r="C44" s="34">
        <f t="shared" si="0"/>
        <v>9789.9046627270436</v>
      </c>
      <c r="D44" s="34">
        <f t="shared" si="1"/>
        <v>931.12712561214539</v>
      </c>
      <c r="E44" s="34">
        <f t="shared" si="2"/>
        <v>18648.68219984194</v>
      </c>
    </row>
    <row r="45" spans="1:5" x14ac:dyDescent="0.3">
      <c r="A45">
        <v>2054</v>
      </c>
      <c r="C45" s="34">
        <f t="shared" si="0"/>
        <v>10148.596932013601</v>
      </c>
      <c r="D45" s="34">
        <f t="shared" si="1"/>
        <v>720.11528712813015</v>
      </c>
      <c r="E45" s="34">
        <f t="shared" si="2"/>
        <v>19577.078576899072</v>
      </c>
    </row>
    <row r="46" spans="1:5" x14ac:dyDescent="0.3">
      <c r="A46">
        <v>2055</v>
      </c>
      <c r="C46" s="34">
        <f t="shared" si="0"/>
        <v>10442.83856689305</v>
      </c>
      <c r="D46" s="34">
        <f t="shared" si="1"/>
        <v>427.81795367430641</v>
      </c>
      <c r="E46" s="34">
        <f t="shared" si="2"/>
        <v>20457.859180111795</v>
      </c>
    </row>
    <row r="47" spans="1:5" x14ac:dyDescent="0.3">
      <c r="A47">
        <v>2056</v>
      </c>
      <c r="C47" s="34">
        <f t="shared" si="0"/>
        <v>10839.086585600404</v>
      </c>
      <c r="D47" s="34">
        <f t="shared" si="1"/>
        <v>231.18318063226252</v>
      </c>
      <c r="E47" s="34">
        <f t="shared" si="2"/>
        <v>21446.989990568545</v>
      </c>
    </row>
    <row r="48" spans="1:5" x14ac:dyDescent="0.3">
      <c r="A48">
        <v>2057</v>
      </c>
      <c r="C48" s="34">
        <f t="shared" si="0"/>
        <v>11260.533921898192</v>
      </c>
      <c r="D48" s="34">
        <f t="shared" si="1"/>
        <v>48.345306435510793</v>
      </c>
      <c r="E48" s="34">
        <f t="shared" si="2"/>
        <v>22472.722537360874</v>
      </c>
    </row>
    <row r="49" spans="1:5" x14ac:dyDescent="0.3">
      <c r="A49">
        <v>2058</v>
      </c>
      <c r="C49" s="34">
        <f t="shared" si="0"/>
        <v>11619.226191184747</v>
      </c>
      <c r="D49" s="34">
        <f t="shared" si="1"/>
        <v>-208.43147947520629</v>
      </c>
      <c r="E49" s="34">
        <f t="shared" si="2"/>
        <v>23446.883861844701</v>
      </c>
    </row>
    <row r="50" spans="1:5" x14ac:dyDescent="0.3">
      <c r="A50">
        <v>2059</v>
      </c>
      <c r="C50" s="34">
        <f t="shared" si="0"/>
        <v>11913.467826064196</v>
      </c>
      <c r="D50" s="34">
        <f t="shared" si="1"/>
        <v>-545.28259944139791</v>
      </c>
      <c r="E50" s="34">
        <f t="shared" si="2"/>
        <v>24372.21825156979</v>
      </c>
    </row>
    <row r="51" spans="1:5" x14ac:dyDescent="0.3">
      <c r="A51">
        <v>2060</v>
      </c>
      <c r="C51" s="34">
        <f t="shared" si="0"/>
        <v>12309.71584477155</v>
      </c>
      <c r="D51" s="34">
        <f t="shared" si="1"/>
        <v>-786.03903304677078</v>
      </c>
      <c r="E51" s="34">
        <f t="shared" si="2"/>
        <v>25405.470722589871</v>
      </c>
    </row>
    <row r="52" spans="1:5" x14ac:dyDescent="0.3">
      <c r="A52">
        <v>2061</v>
      </c>
      <c r="C52" s="34">
        <f t="shared" si="0"/>
        <v>12731.163181069338</v>
      </c>
      <c r="D52" s="34">
        <f t="shared" si="1"/>
        <v>-1012.213302822498</v>
      </c>
      <c r="E52" s="34">
        <f t="shared" si="2"/>
        <v>26474.539664961172</v>
      </c>
    </row>
    <row r="53" spans="1:5" x14ac:dyDescent="0.3">
      <c r="A53">
        <v>2062</v>
      </c>
      <c r="C53" s="34">
        <f t="shared" si="0"/>
        <v>13089.855450355893</v>
      </c>
      <c r="D53" s="34">
        <f t="shared" si="1"/>
        <v>-1311.5832844267625</v>
      </c>
      <c r="E53" s="34">
        <f t="shared" si="2"/>
        <v>27491.294185138548</v>
      </c>
    </row>
    <row r="54" spans="1:5" x14ac:dyDescent="0.3">
      <c r="A54">
        <v>2063</v>
      </c>
      <c r="C54" s="34">
        <f t="shared" si="0"/>
        <v>13384.097085235342</v>
      </c>
      <c r="D54" s="34">
        <f t="shared" si="1"/>
        <v>-1690.0450308590498</v>
      </c>
      <c r="E54" s="34">
        <f t="shared" si="2"/>
        <v>28458.239201329736</v>
      </c>
    </row>
    <row r="55" spans="1:5" x14ac:dyDescent="0.3">
      <c r="A55">
        <v>2064</v>
      </c>
      <c r="C55" s="34">
        <f t="shared" si="0"/>
        <v>13780.345103942696</v>
      </c>
      <c r="D55" s="34">
        <f t="shared" si="1"/>
        <v>-1972.0576765331352</v>
      </c>
      <c r="E55" s="34">
        <f t="shared" si="2"/>
        <v>29532.747884418528</v>
      </c>
    </row>
    <row r="56" spans="1:5" x14ac:dyDescent="0.3">
      <c r="A56">
        <v>2065</v>
      </c>
      <c r="C56" s="34">
        <f t="shared" si="0"/>
        <v>14201.792440240484</v>
      </c>
      <c r="D56" s="34">
        <f t="shared" si="1"/>
        <v>-2238.8456086091192</v>
      </c>
      <c r="E56" s="34">
        <f t="shared" si="2"/>
        <v>30642.430489090089</v>
      </c>
    </row>
  </sheetData>
  <pageMargins left="0.7" right="0.7" top="0.75" bottom="0.75"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9"/>
  <sheetViews>
    <sheetView zoomScaleNormal="100" workbookViewId="0">
      <selection activeCell="E36" sqref="E36"/>
    </sheetView>
  </sheetViews>
  <sheetFormatPr defaultRowHeight="14.4" x14ac:dyDescent="0.3"/>
  <cols>
    <col min="1" max="1" width="8.88671875" style="24"/>
    <col min="2" max="2" width="25.6640625" customWidth="1"/>
    <col min="3" max="3" width="25.5546875" customWidth="1"/>
    <col min="4" max="4" width="24.44140625" style="41" customWidth="1"/>
    <col min="5" max="5" width="19.44140625" style="18" customWidth="1"/>
    <col min="6" max="6" width="26.6640625" style="46" customWidth="1"/>
    <col min="7" max="7" width="29.44140625" style="27" customWidth="1"/>
  </cols>
  <sheetData>
    <row r="1" spans="1:7" s="28" customFormat="1" x14ac:dyDescent="0.3">
      <c r="A1" s="29" t="s">
        <v>0</v>
      </c>
      <c r="B1" s="30" t="s">
        <v>11</v>
      </c>
      <c r="C1" s="30" t="s">
        <v>12</v>
      </c>
      <c r="D1" s="29" t="s">
        <v>15</v>
      </c>
      <c r="E1" s="29" t="s">
        <v>10</v>
      </c>
      <c r="F1" s="29" t="s">
        <v>13</v>
      </c>
      <c r="G1" s="29" t="s">
        <v>14</v>
      </c>
    </row>
    <row r="2" spans="1:7" x14ac:dyDescent="0.3">
      <c r="A2" s="24">
        <v>1970</v>
      </c>
      <c r="G2" s="27">
        <v>2605</v>
      </c>
    </row>
    <row r="3" spans="1:7" x14ac:dyDescent="0.3">
      <c r="A3" s="24">
        <v>1975</v>
      </c>
      <c r="G3" s="27">
        <v>3072</v>
      </c>
    </row>
    <row r="4" spans="1:7" x14ac:dyDescent="0.3">
      <c r="A4" s="24">
        <v>1980</v>
      </c>
      <c r="G4" s="27">
        <v>3704</v>
      </c>
    </row>
    <row r="5" spans="1:7" x14ac:dyDescent="0.3">
      <c r="A5" s="24">
        <v>1985</v>
      </c>
      <c r="G5" s="27">
        <v>3330</v>
      </c>
    </row>
    <row r="6" spans="1:7" x14ac:dyDescent="0.3">
      <c r="A6" s="24">
        <v>1990</v>
      </c>
      <c r="G6" s="27">
        <v>4008</v>
      </c>
    </row>
    <row r="7" spans="1:7" x14ac:dyDescent="0.3">
      <c r="A7" s="24">
        <v>1995</v>
      </c>
      <c r="G7" s="27">
        <v>4651</v>
      </c>
    </row>
    <row r="8" spans="1:7" x14ac:dyDescent="0.3">
      <c r="A8" s="24">
        <v>2000</v>
      </c>
      <c r="F8" s="46">
        <v>55957</v>
      </c>
      <c r="G8" s="27">
        <v>5984</v>
      </c>
    </row>
    <row r="9" spans="1:7" x14ac:dyDescent="0.3">
      <c r="A9" s="24">
        <v>2001</v>
      </c>
      <c r="F9" s="46">
        <v>59314</v>
      </c>
    </row>
    <row r="10" spans="1:7" x14ac:dyDescent="0.3">
      <c r="A10" s="24">
        <v>2002</v>
      </c>
      <c r="F10" s="46">
        <v>60034</v>
      </c>
    </row>
    <row r="11" spans="1:7" x14ac:dyDescent="0.3">
      <c r="A11" s="24">
        <v>2003</v>
      </c>
      <c r="F11" s="46">
        <v>62334</v>
      </c>
    </row>
    <row r="12" spans="1:7" x14ac:dyDescent="0.3">
      <c r="A12" s="24">
        <v>2004</v>
      </c>
      <c r="F12" s="46">
        <v>63636</v>
      </c>
    </row>
    <row r="13" spans="1:7" x14ac:dyDescent="0.3">
      <c r="A13" s="24">
        <v>2005</v>
      </c>
      <c r="F13" s="46">
        <v>62621</v>
      </c>
      <c r="G13" s="27">
        <v>7019</v>
      </c>
    </row>
    <row r="14" spans="1:7" x14ac:dyDescent="0.3">
      <c r="A14" s="24">
        <v>2006</v>
      </c>
      <c r="F14" s="46">
        <v>65649</v>
      </c>
      <c r="G14" s="27">
        <v>7702</v>
      </c>
    </row>
    <row r="15" spans="1:7" x14ac:dyDescent="0.3">
      <c r="A15" s="24">
        <v>2007</v>
      </c>
      <c r="F15" s="46">
        <v>70718</v>
      </c>
      <c r="G15" s="27">
        <v>8036</v>
      </c>
    </row>
    <row r="16" spans="1:7" x14ac:dyDescent="0.3">
      <c r="A16" s="24">
        <v>2008</v>
      </c>
      <c r="F16" s="46">
        <v>76381</v>
      </c>
      <c r="G16" s="27">
        <v>8231</v>
      </c>
    </row>
    <row r="17" spans="1:7" x14ac:dyDescent="0.3">
      <c r="A17" s="24">
        <v>2009</v>
      </c>
      <c r="F17" s="46">
        <v>71359</v>
      </c>
      <c r="G17" s="27">
        <v>7857</v>
      </c>
    </row>
    <row r="18" spans="1:7" x14ac:dyDescent="0.3">
      <c r="A18" s="24">
        <v>2010</v>
      </c>
      <c r="F18" s="46">
        <v>74133</v>
      </c>
      <c r="G18" s="27">
        <v>8408</v>
      </c>
    </row>
    <row r="19" spans="1:7" x14ac:dyDescent="0.3">
      <c r="A19" s="24">
        <v>2011</v>
      </c>
      <c r="B19" s="19">
        <f>+NSR_ShippingVolume!B5</f>
        <v>3111000</v>
      </c>
      <c r="C19" s="19">
        <f>+NSR_ShippingVolume!B6</f>
        <v>1454345.1447368423</v>
      </c>
      <c r="D19" s="42">
        <f>+NSR_ShippingVolume!B7</f>
        <v>41</v>
      </c>
      <c r="F19" s="46">
        <v>73538</v>
      </c>
      <c r="G19" s="27">
        <v>8775</v>
      </c>
    </row>
    <row r="20" spans="1:7" x14ac:dyDescent="0.3">
      <c r="A20" s="24">
        <v>2012</v>
      </c>
      <c r="B20" s="19">
        <f>+NSR_ShippingVolume!C5</f>
        <v>3876000</v>
      </c>
      <c r="C20" s="19">
        <f>+NSR_ShippingVolume!C6</f>
        <v>1811971</v>
      </c>
      <c r="D20" s="42">
        <f>+NSR_ShippingVolume!C7</f>
        <v>46</v>
      </c>
      <c r="F20" s="46">
        <v>75477</v>
      </c>
      <c r="G20" s="27">
        <v>9195</v>
      </c>
    </row>
    <row r="21" spans="1:7" x14ac:dyDescent="0.3">
      <c r="A21" s="24">
        <v>2013</v>
      </c>
      <c r="B21" s="19">
        <f>+NSR_ShippingVolume!D5</f>
        <v>3930000</v>
      </c>
      <c r="C21" s="19">
        <f>+NSR_ShippingVolume!D6</f>
        <v>1863627</v>
      </c>
      <c r="D21" s="42">
        <f>+NSR_ShippingVolume!D7</f>
        <v>71</v>
      </c>
      <c r="F21" s="46">
        <v>77973</v>
      </c>
      <c r="G21" s="27">
        <v>9513</v>
      </c>
    </row>
    <row r="22" spans="1:7" x14ac:dyDescent="0.3">
      <c r="A22" s="24">
        <v>2014</v>
      </c>
      <c r="B22" s="19">
        <f>+NSR_ShippingVolume!E5</f>
        <v>3982000</v>
      </c>
      <c r="C22" s="19">
        <f>+NSR_ShippingVolume!E6</f>
        <v>670517</v>
      </c>
      <c r="D22" s="42">
        <f>+NSR_ShippingVolume!E7</f>
        <v>53</v>
      </c>
      <c r="F22" s="46">
        <v>79344</v>
      </c>
      <c r="G22" s="27">
        <v>9842</v>
      </c>
    </row>
    <row r="23" spans="1:7" x14ac:dyDescent="0.3">
      <c r="A23" s="24">
        <v>2015</v>
      </c>
      <c r="B23" s="19">
        <f>+NSR_ShippingVolume!F5</f>
        <v>5392000</v>
      </c>
      <c r="C23" s="19">
        <f>+NSR_ShippingVolume!F6</f>
        <v>39586</v>
      </c>
      <c r="D23" s="42">
        <f>+NSR_ShippingVolume!F7</f>
        <v>18</v>
      </c>
      <c r="F23" s="46">
        <v>80960</v>
      </c>
      <c r="G23" s="27">
        <v>10023</v>
      </c>
    </row>
    <row r="24" spans="1:7" x14ac:dyDescent="0.3">
      <c r="A24" s="24">
        <v>2016</v>
      </c>
      <c r="B24" s="19">
        <f>+NSR_ShippingVolume!G5</f>
        <v>7479000</v>
      </c>
      <c r="C24" s="19">
        <f>+NSR_ShippingVolume!G6</f>
        <v>214513</v>
      </c>
      <c r="D24" s="42">
        <f>+NSR_ShippingVolume!G7</f>
        <v>19</v>
      </c>
      <c r="F24" s="46">
        <v>83740</v>
      </c>
      <c r="G24" s="27">
        <v>10295</v>
      </c>
    </row>
    <row r="25" spans="1:7" x14ac:dyDescent="0.3">
      <c r="A25" s="24">
        <v>2017</v>
      </c>
      <c r="B25" s="20">
        <f>+NSR_ShippingVolume!H5</f>
        <v>10535000</v>
      </c>
      <c r="C25" s="19">
        <f>+NSR_ShippingVolume!H6</f>
        <v>527232</v>
      </c>
      <c r="D25" s="42">
        <f>+NSR_ShippingVolume!H7</f>
        <v>27</v>
      </c>
      <c r="F25" s="46">
        <v>84456</v>
      </c>
      <c r="G25" s="27">
        <v>10716</v>
      </c>
    </row>
    <row r="26" spans="1:7" x14ac:dyDescent="0.3">
      <c r="A26" s="24">
        <v>2018</v>
      </c>
      <c r="B26" s="20">
        <f>+NSR_ShippingVolume!I5</f>
        <v>20180000</v>
      </c>
      <c r="C26" s="20">
        <f>+NSR_ShippingVolume!I6</f>
        <v>571139</v>
      </c>
      <c r="D26" s="43">
        <f>+NSR_ShippingVolume!I7</f>
        <v>27</v>
      </c>
      <c r="G26" s="27">
        <v>11019</v>
      </c>
    </row>
    <row r="27" spans="1:7" x14ac:dyDescent="0.3">
      <c r="A27" s="24">
        <v>2019</v>
      </c>
      <c r="B27" s="20">
        <f>+NSR_ShippingVolume!J5</f>
        <v>31530000</v>
      </c>
      <c r="C27" s="20">
        <f>+NSR_ShippingVolume!J6</f>
        <v>697000</v>
      </c>
      <c r="D27" s="43">
        <f>+NSR_ShippingVolume!J7</f>
        <v>37</v>
      </c>
      <c r="G27" s="27">
        <v>11076</v>
      </c>
    </row>
    <row r="28" spans="1:7" x14ac:dyDescent="0.3">
      <c r="A28" s="24">
        <v>2020</v>
      </c>
      <c r="B28" s="20">
        <f>+NSR_ShippingVolume!K5</f>
        <v>32906000</v>
      </c>
      <c r="C28" s="21">
        <f>+NSR_ShippingVolume!K6</f>
        <v>1281010</v>
      </c>
      <c r="D28" s="44">
        <f>+NSR_ShippingVolume!K7</f>
        <v>64</v>
      </c>
      <c r="E28" s="25">
        <v>0.371</v>
      </c>
      <c r="G28" s="27">
        <f>ROUND(+G27*(1-4.1%),-2)</f>
        <v>10600</v>
      </c>
    </row>
    <row r="29" spans="1:7" x14ac:dyDescent="0.3">
      <c r="A29" s="24">
        <v>2021</v>
      </c>
      <c r="B29" s="22">
        <f>ROUND(+B28*(1+$E$29),-5)</f>
        <v>38300000</v>
      </c>
      <c r="C29" s="22">
        <f>ROUND(+C28*(1+$E$28),-4)</f>
        <v>1760000</v>
      </c>
      <c r="D29" s="45">
        <f>ROUND(C29/(SUM($C$19:$C$28)/SUM($D$19:$D$28)),0)</f>
        <v>78</v>
      </c>
      <c r="E29" s="25">
        <v>0.16400000000000001</v>
      </c>
      <c r="G29" s="27">
        <f>ROUND(+G28*(1+4.8%),-2)</f>
        <v>11100</v>
      </c>
    </row>
    <row r="30" spans="1:7" x14ac:dyDescent="0.3">
      <c r="A30" s="24">
        <v>2022</v>
      </c>
      <c r="B30" s="22">
        <f t="shared" ref="B30:B38" si="0">ROUND(+B29*(1+$E$29),-5)</f>
        <v>44600000</v>
      </c>
      <c r="C30" s="22">
        <f t="shared" ref="C30:C37" si="1">ROUND(+C29*(1+$E$28),-4)</f>
        <v>2410000</v>
      </c>
      <c r="D30" s="45">
        <f>ROUND(C30/(SUM($C$19:$C$28)/SUM($D$19:$D$28)),0)</f>
        <v>106</v>
      </c>
    </row>
    <row r="31" spans="1:7" x14ac:dyDescent="0.3">
      <c r="A31" s="24">
        <v>2023</v>
      </c>
      <c r="B31" s="22">
        <f t="shared" si="0"/>
        <v>51900000</v>
      </c>
      <c r="C31" s="22">
        <f t="shared" si="1"/>
        <v>3300000</v>
      </c>
      <c r="D31" s="45">
        <f t="shared" ref="D31:D38" si="2">ROUND(C31/(SUM($C$19:$C$28)/SUM($D$19:$D$28)),0)</f>
        <v>146</v>
      </c>
    </row>
    <row r="32" spans="1:7" x14ac:dyDescent="0.3">
      <c r="A32" s="24">
        <v>2024</v>
      </c>
      <c r="B32" s="23">
        <f t="shared" si="0"/>
        <v>60400000</v>
      </c>
      <c r="C32" s="22">
        <f t="shared" si="1"/>
        <v>4520000</v>
      </c>
      <c r="D32" s="45">
        <f t="shared" si="2"/>
        <v>199</v>
      </c>
    </row>
    <row r="33" spans="1:6" x14ac:dyDescent="0.3">
      <c r="A33" s="24">
        <v>2025</v>
      </c>
      <c r="B33" s="22">
        <f t="shared" si="0"/>
        <v>70300000</v>
      </c>
      <c r="C33" s="22">
        <f t="shared" si="1"/>
        <v>6200000</v>
      </c>
      <c r="D33" s="45">
        <f>ROUND(C33/(SUM($C$19:$C$28)/SUM($D$19:$D$28)),0)</f>
        <v>274</v>
      </c>
      <c r="E33" s="26"/>
    </row>
    <row r="34" spans="1:6" x14ac:dyDescent="0.3">
      <c r="A34" s="24">
        <v>2026</v>
      </c>
      <c r="B34" s="22">
        <f t="shared" si="0"/>
        <v>81800000</v>
      </c>
      <c r="C34" s="22">
        <f t="shared" si="1"/>
        <v>8500000</v>
      </c>
      <c r="D34" s="45">
        <f t="shared" si="2"/>
        <v>375</v>
      </c>
    </row>
    <row r="35" spans="1:6" x14ac:dyDescent="0.3">
      <c r="A35" s="24">
        <v>2027</v>
      </c>
      <c r="B35" s="22">
        <f t="shared" si="0"/>
        <v>95200000</v>
      </c>
      <c r="C35" s="22">
        <f t="shared" si="1"/>
        <v>11650000</v>
      </c>
      <c r="D35" s="45">
        <f t="shared" si="2"/>
        <v>514</v>
      </c>
    </row>
    <row r="36" spans="1:6" x14ac:dyDescent="0.3">
      <c r="A36" s="24">
        <v>2028</v>
      </c>
      <c r="B36" s="22">
        <f t="shared" si="0"/>
        <v>110800000</v>
      </c>
      <c r="C36" s="22">
        <f t="shared" si="1"/>
        <v>15970000</v>
      </c>
      <c r="D36" s="45">
        <f t="shared" si="2"/>
        <v>705</v>
      </c>
    </row>
    <row r="37" spans="1:6" x14ac:dyDescent="0.3">
      <c r="A37" s="24">
        <v>2029</v>
      </c>
      <c r="B37" s="22">
        <f t="shared" si="0"/>
        <v>129000000</v>
      </c>
      <c r="C37" s="22">
        <f t="shared" si="1"/>
        <v>21890000</v>
      </c>
      <c r="D37" s="45">
        <f t="shared" si="2"/>
        <v>966</v>
      </c>
    </row>
    <row r="38" spans="1:6" x14ac:dyDescent="0.3">
      <c r="A38" s="24">
        <v>2030</v>
      </c>
      <c r="B38" s="23">
        <f t="shared" si="0"/>
        <v>150200000</v>
      </c>
      <c r="C38" s="23">
        <f>ROUND(+C37*(1+$E$28),-4)</f>
        <v>30010000</v>
      </c>
      <c r="D38" s="45">
        <f t="shared" si="2"/>
        <v>1325</v>
      </c>
    </row>
    <row r="39" spans="1:6" x14ac:dyDescent="0.3">
      <c r="A39" s="24">
        <v>2031</v>
      </c>
      <c r="D39" s="41">
        <v>1500</v>
      </c>
      <c r="F39" s="46">
        <v>100000</v>
      </c>
    </row>
    <row r="40" spans="1:6" x14ac:dyDescent="0.3">
      <c r="A40" s="24">
        <v>2032</v>
      </c>
    </row>
    <row r="41" spans="1:6" x14ac:dyDescent="0.3">
      <c r="A41" s="24">
        <v>2033</v>
      </c>
    </row>
    <row r="42" spans="1:6" x14ac:dyDescent="0.3">
      <c r="A42" s="24">
        <v>2034</v>
      </c>
    </row>
    <row r="43" spans="1:6" x14ac:dyDescent="0.3">
      <c r="A43" s="24">
        <v>2035</v>
      </c>
    </row>
    <row r="44" spans="1:6" x14ac:dyDescent="0.3">
      <c r="A44" s="24">
        <v>2036</v>
      </c>
    </row>
    <row r="45" spans="1:6" x14ac:dyDescent="0.3">
      <c r="A45" s="24">
        <v>2037</v>
      </c>
    </row>
    <row r="46" spans="1:6" x14ac:dyDescent="0.3">
      <c r="A46" s="24">
        <v>2038</v>
      </c>
    </row>
    <row r="47" spans="1:6" x14ac:dyDescent="0.3">
      <c r="A47" s="24">
        <v>2039</v>
      </c>
    </row>
    <row r="48" spans="1:6" x14ac:dyDescent="0.3">
      <c r="A48" s="24">
        <v>2040</v>
      </c>
    </row>
    <row r="49" spans="1:1" x14ac:dyDescent="0.3">
      <c r="A49" s="24">
        <v>2041</v>
      </c>
    </row>
    <row r="50" spans="1:1" x14ac:dyDescent="0.3">
      <c r="A50" s="24">
        <v>2042</v>
      </c>
    </row>
    <row r="51" spans="1:1" x14ac:dyDescent="0.3">
      <c r="A51" s="24">
        <v>2043</v>
      </c>
    </row>
    <row r="52" spans="1:1" x14ac:dyDescent="0.3">
      <c r="A52" s="24">
        <v>2044</v>
      </c>
    </row>
    <row r="53" spans="1:1" x14ac:dyDescent="0.3">
      <c r="A53" s="24">
        <v>2045</v>
      </c>
    </row>
    <row r="54" spans="1:1" x14ac:dyDescent="0.3">
      <c r="A54" s="24">
        <v>2046</v>
      </c>
    </row>
    <row r="55" spans="1:1" x14ac:dyDescent="0.3">
      <c r="A55" s="24">
        <v>2047</v>
      </c>
    </row>
    <row r="56" spans="1:1" x14ac:dyDescent="0.3">
      <c r="A56" s="24">
        <v>2048</v>
      </c>
    </row>
    <row r="57" spans="1:1" x14ac:dyDescent="0.3">
      <c r="A57" s="24">
        <v>2049</v>
      </c>
    </row>
    <row r="58" spans="1:1" x14ac:dyDescent="0.3">
      <c r="A58" s="24">
        <v>2050</v>
      </c>
    </row>
    <row r="59" spans="1:1" x14ac:dyDescent="0.3">
      <c r="A59" s="24">
        <v>2051</v>
      </c>
    </row>
    <row r="60" spans="1:1" x14ac:dyDescent="0.3">
      <c r="A60" s="24">
        <v>2052</v>
      </c>
    </row>
    <row r="61" spans="1:1" x14ac:dyDescent="0.3">
      <c r="A61" s="24">
        <v>2053</v>
      </c>
    </row>
    <row r="62" spans="1:1" x14ac:dyDescent="0.3">
      <c r="A62" s="24">
        <v>2054</v>
      </c>
    </row>
    <row r="63" spans="1:1" x14ac:dyDescent="0.3">
      <c r="A63" s="24">
        <v>2055</v>
      </c>
    </row>
    <row r="64" spans="1:1" x14ac:dyDescent="0.3">
      <c r="A64" s="24">
        <v>2056</v>
      </c>
    </row>
    <row r="65" spans="1:1" x14ac:dyDescent="0.3">
      <c r="A65" s="24">
        <v>2057</v>
      </c>
    </row>
    <row r="66" spans="1:1" x14ac:dyDescent="0.3">
      <c r="A66" s="24">
        <v>2058</v>
      </c>
    </row>
    <row r="67" spans="1:1" x14ac:dyDescent="0.3">
      <c r="A67" s="24">
        <v>2059</v>
      </c>
    </row>
    <row r="68" spans="1:1" x14ac:dyDescent="0.3">
      <c r="A68" s="24">
        <v>2060</v>
      </c>
    </row>
    <row r="69" spans="1:1" x14ac:dyDescent="0.3">
      <c r="A69" s="24">
        <v>2061</v>
      </c>
    </row>
    <row r="70" spans="1:1" x14ac:dyDescent="0.3">
      <c r="A70" s="24">
        <v>2062</v>
      </c>
    </row>
    <row r="71" spans="1:1" x14ac:dyDescent="0.3">
      <c r="A71" s="24">
        <v>2063</v>
      </c>
    </row>
    <row r="72" spans="1:1" x14ac:dyDescent="0.3">
      <c r="A72" s="24">
        <v>2064</v>
      </c>
    </row>
    <row r="73" spans="1:1" x14ac:dyDescent="0.3">
      <c r="A73" s="24">
        <v>2065</v>
      </c>
    </row>
    <row r="74" spans="1:1" x14ac:dyDescent="0.3">
      <c r="A74" s="24">
        <v>2066</v>
      </c>
    </row>
    <row r="75" spans="1:1" x14ac:dyDescent="0.3">
      <c r="A75" s="24">
        <v>2067</v>
      </c>
    </row>
    <row r="76" spans="1:1" x14ac:dyDescent="0.3">
      <c r="A76" s="24">
        <v>2068</v>
      </c>
    </row>
    <row r="77" spans="1:1" x14ac:dyDescent="0.3">
      <c r="A77" s="24">
        <v>2069</v>
      </c>
    </row>
    <row r="78" spans="1:1" x14ac:dyDescent="0.3">
      <c r="A78" s="24">
        <v>2070</v>
      </c>
    </row>
    <row r="79" spans="1:1" x14ac:dyDescent="0.3">
      <c r="A79" s="24">
        <v>2071</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92573-43F8-4744-A6C4-37F69B7B7516}">
  <dimension ref="A1:L9"/>
  <sheetViews>
    <sheetView workbookViewId="0">
      <selection activeCell="B18" sqref="B18"/>
    </sheetView>
  </sheetViews>
  <sheetFormatPr defaultRowHeight="14.4" x14ac:dyDescent="0.3"/>
  <cols>
    <col min="1" max="1" width="54.109375" customWidth="1"/>
    <col min="2" max="6" width="12.5546875" customWidth="1"/>
    <col min="7" max="10" width="13.6640625" customWidth="1"/>
    <col min="11" max="11" width="16.109375" customWidth="1"/>
    <col min="12" max="12" width="14.6640625" customWidth="1"/>
  </cols>
  <sheetData>
    <row r="1" spans="1:12" s="14" customFormat="1" x14ac:dyDescent="0.3">
      <c r="B1" s="14">
        <v>2011</v>
      </c>
      <c r="C1" s="14">
        <v>2012</v>
      </c>
      <c r="D1" s="14">
        <v>2013</v>
      </c>
      <c r="E1" s="14">
        <v>2014</v>
      </c>
      <c r="F1" s="14">
        <v>2015</v>
      </c>
      <c r="G1" s="14">
        <v>2016</v>
      </c>
      <c r="H1" s="14">
        <v>2017</v>
      </c>
      <c r="I1" s="14">
        <v>2018</v>
      </c>
      <c r="J1" s="14">
        <v>2019</v>
      </c>
      <c r="K1" s="14">
        <v>2020</v>
      </c>
    </row>
    <row r="2" spans="1:12" s="12" customFormat="1" x14ac:dyDescent="0.3">
      <c r="A2" s="12" t="s">
        <v>33</v>
      </c>
      <c r="G2" s="15">
        <v>297</v>
      </c>
      <c r="H2" s="15">
        <v>283</v>
      </c>
      <c r="I2" s="15">
        <v>227</v>
      </c>
      <c r="J2" s="15">
        <v>277</v>
      </c>
      <c r="K2" s="15">
        <v>340</v>
      </c>
      <c r="L2" s="13" t="s">
        <v>5</v>
      </c>
    </row>
    <row r="3" spans="1:12" s="10" customFormat="1" x14ac:dyDescent="0.3">
      <c r="A3" s="12" t="s">
        <v>34</v>
      </c>
      <c r="G3" s="16">
        <v>1705</v>
      </c>
      <c r="H3" s="16">
        <v>1908</v>
      </c>
      <c r="I3" s="16">
        <v>2022</v>
      </c>
      <c r="J3" s="16">
        <v>2694</v>
      </c>
      <c r="K3" s="16">
        <v>2905</v>
      </c>
      <c r="L3" s="11" t="s">
        <v>5</v>
      </c>
    </row>
    <row r="4" spans="1:12" s="8" customFormat="1" x14ac:dyDescent="0.3">
      <c r="A4" s="8" t="s">
        <v>1</v>
      </c>
      <c r="B4" s="8">
        <f>+($B$5/$C$5)*C4</f>
        <v>1457503.5</v>
      </c>
      <c r="C4" s="8">
        <f>+workingsheet!C58</f>
        <v>1815906</v>
      </c>
      <c r="D4" s="8">
        <v>1397051</v>
      </c>
      <c r="E4" s="8">
        <f>+workingsheet!E58</f>
        <v>670517</v>
      </c>
      <c r="F4" s="8">
        <f>+F6</f>
        <v>39586</v>
      </c>
      <c r="G4" s="8">
        <v>19325000</v>
      </c>
      <c r="H4" s="8">
        <v>27856000</v>
      </c>
      <c r="I4" s="8">
        <v>57373000</v>
      </c>
      <c r="J4" s="8">
        <v>97217000</v>
      </c>
      <c r="K4" s="8">
        <v>101458545</v>
      </c>
      <c r="L4" s="9" t="s">
        <v>5</v>
      </c>
    </row>
    <row r="5" spans="1:12" s="6" customFormat="1" x14ac:dyDescent="0.3">
      <c r="A5" s="6" t="s">
        <v>32</v>
      </c>
      <c r="B5" s="6">
        <v>3111000</v>
      </c>
      <c r="C5" s="6">
        <v>3876000</v>
      </c>
      <c r="D5" s="6">
        <v>3930000</v>
      </c>
      <c r="E5" s="6">
        <v>3982000</v>
      </c>
      <c r="F5" s="6">
        <v>5392000</v>
      </c>
      <c r="G5" s="6">
        <v>7479000</v>
      </c>
      <c r="H5" s="6">
        <v>10535000</v>
      </c>
      <c r="I5" s="6">
        <v>20180000</v>
      </c>
      <c r="J5" s="6">
        <v>31530000</v>
      </c>
      <c r="K5" s="6">
        <f>+ROUND((K4/J4)*J5,-3)</f>
        <v>32906000</v>
      </c>
      <c r="L5" s="7" t="s">
        <v>3</v>
      </c>
    </row>
    <row r="6" spans="1:12" s="3" customFormat="1" x14ac:dyDescent="0.3">
      <c r="A6" s="3" t="s">
        <v>31</v>
      </c>
      <c r="B6" s="3">
        <f>+($B$5/$C$5)*C6</f>
        <v>1454345.1447368423</v>
      </c>
      <c r="C6" s="3">
        <f>1261545+550426</f>
        <v>1811971</v>
      </c>
      <c r="D6" s="3">
        <f>1355897+507730</f>
        <v>1863627</v>
      </c>
      <c r="E6" s="3">
        <f>+E4</f>
        <v>670517</v>
      </c>
      <c r="F6" s="3">
        <v>39586</v>
      </c>
      <c r="G6" s="3">
        <v>214513</v>
      </c>
      <c r="H6" s="3">
        <v>527232</v>
      </c>
      <c r="I6" s="3">
        <v>571139</v>
      </c>
      <c r="J6" s="3">
        <v>697000</v>
      </c>
      <c r="K6" s="3">
        <v>1281010</v>
      </c>
      <c r="L6" s="3" t="s">
        <v>7</v>
      </c>
    </row>
    <row r="7" spans="1:12" s="4" customFormat="1" x14ac:dyDescent="0.3">
      <c r="A7" s="4" t="s">
        <v>30</v>
      </c>
      <c r="B7" s="17">
        <v>41</v>
      </c>
      <c r="C7" s="17">
        <v>46</v>
      </c>
      <c r="D7" s="17">
        <v>71</v>
      </c>
      <c r="E7" s="17">
        <v>53</v>
      </c>
      <c r="F7" s="17">
        <v>18</v>
      </c>
      <c r="G7" s="17">
        <v>19</v>
      </c>
      <c r="H7" s="17">
        <v>27</v>
      </c>
      <c r="I7" s="17">
        <v>27</v>
      </c>
      <c r="J7" s="17">
        <v>37</v>
      </c>
      <c r="K7" s="17">
        <v>64</v>
      </c>
      <c r="L7" s="5" t="s">
        <v>6</v>
      </c>
    </row>
    <row r="9" spans="1:12" x14ac:dyDescent="0.3">
      <c r="K9" s="2"/>
    </row>
  </sheetData>
  <hyperlinks>
    <hyperlink ref="L2" r:id="rId1" xr:uid="{DABA2B2B-9B0D-45C1-A14B-A194E9CA9DB9}"/>
    <hyperlink ref="L7" r:id="rId2" xr:uid="{D6AB376A-6D42-4754-A7D1-B54AF320BFB1}"/>
    <hyperlink ref="L5" r:id="rId3" xr:uid="{F8B9DCAA-9E07-433D-A117-F98875FD4FB2}"/>
    <hyperlink ref="L3" r:id="rId4" xr:uid="{D3B902BF-D9C6-4803-AD70-FCDEEC9E22B9}"/>
    <hyperlink ref="L4" r:id="rId5" xr:uid="{B2F29259-3532-4433-AB59-1D128C9438AB}"/>
  </hyperlinks>
  <pageMargins left="0.7" right="0.7" top="0.75" bottom="0.75" header="0.3" footer="0.3"/>
  <pageSetup paperSize="9" orientation="portrait" r:id="rId6"/>
  <legacyDrawing r:id="rId7"/>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5C45-8CF0-4000-A842-AD971B1C5DFA}">
  <dimension ref="A1:L64"/>
  <sheetViews>
    <sheetView topLeftCell="A34" workbookViewId="0">
      <selection activeCell="G33" sqref="G33"/>
    </sheetView>
  </sheetViews>
  <sheetFormatPr defaultRowHeight="14.4" x14ac:dyDescent="0.3"/>
  <cols>
    <col min="1" max="1" width="21.21875" customWidth="1"/>
    <col min="2" max="2" width="14.5546875" customWidth="1"/>
    <col min="3" max="3" width="12.77734375" customWidth="1"/>
    <col min="4" max="4" width="12.5546875" customWidth="1"/>
    <col min="5" max="5" width="12.77734375" customWidth="1"/>
    <col min="6" max="6" width="12.6640625" customWidth="1"/>
    <col min="7" max="7" width="12.77734375" customWidth="1"/>
    <col min="8" max="8" width="13.6640625" customWidth="1"/>
    <col min="9" max="9" width="13.77734375" customWidth="1"/>
    <col min="10" max="10" width="13.6640625" customWidth="1"/>
    <col min="11" max="11" width="12.5546875" customWidth="1"/>
  </cols>
  <sheetData>
    <row r="1" spans="2:11" x14ac:dyDescent="0.3">
      <c r="B1">
        <v>2011</v>
      </c>
      <c r="C1">
        <v>2012</v>
      </c>
      <c r="D1">
        <v>2013</v>
      </c>
      <c r="E1">
        <v>2014</v>
      </c>
      <c r="F1">
        <v>2015</v>
      </c>
      <c r="G1">
        <v>2016</v>
      </c>
      <c r="H1">
        <v>2017</v>
      </c>
      <c r="I1">
        <v>2018</v>
      </c>
      <c r="J1">
        <v>2019</v>
      </c>
      <c r="K1">
        <v>2020</v>
      </c>
    </row>
    <row r="2" spans="2:11" x14ac:dyDescent="0.3">
      <c r="C2">
        <v>12538</v>
      </c>
      <c r="E2">
        <v>12288</v>
      </c>
      <c r="H2">
        <v>26770</v>
      </c>
      <c r="I2">
        <v>26787</v>
      </c>
    </row>
    <row r="3" spans="2:11" x14ac:dyDescent="0.3">
      <c r="C3">
        <v>12979</v>
      </c>
      <c r="E3">
        <v>3382</v>
      </c>
      <c r="H3">
        <v>22566</v>
      </c>
      <c r="I3">
        <v>26787</v>
      </c>
    </row>
    <row r="4" spans="2:11" x14ac:dyDescent="0.3">
      <c r="C4">
        <v>3733</v>
      </c>
      <c r="E4">
        <v>27829</v>
      </c>
      <c r="H4">
        <v>9611</v>
      </c>
      <c r="I4">
        <v>26770</v>
      </c>
    </row>
    <row r="5" spans="2:11" x14ac:dyDescent="0.3">
      <c r="C5">
        <v>67520</v>
      </c>
      <c r="E5">
        <v>9605</v>
      </c>
      <c r="H5">
        <v>9611</v>
      </c>
      <c r="I5">
        <v>15549</v>
      </c>
    </row>
    <row r="6" spans="2:11" x14ac:dyDescent="0.3">
      <c r="C6">
        <v>60505</v>
      </c>
      <c r="E6">
        <v>6262</v>
      </c>
      <c r="H6">
        <v>9611</v>
      </c>
      <c r="I6">
        <v>27526</v>
      </c>
    </row>
    <row r="7" spans="2:11" x14ac:dyDescent="0.3">
      <c r="C7">
        <v>87216</v>
      </c>
      <c r="E7">
        <v>8378</v>
      </c>
      <c r="H7">
        <v>15549</v>
      </c>
      <c r="I7">
        <v>26787</v>
      </c>
    </row>
    <row r="8" spans="2:11" x14ac:dyDescent="0.3">
      <c r="C8">
        <v>66416</v>
      </c>
      <c r="E8">
        <v>12288</v>
      </c>
      <c r="H8">
        <v>20692</v>
      </c>
      <c r="I8">
        <v>4295</v>
      </c>
    </row>
    <row r="9" spans="2:11" x14ac:dyDescent="0.3">
      <c r="C9">
        <v>21025</v>
      </c>
      <c r="E9">
        <v>4110</v>
      </c>
      <c r="H9">
        <v>26600</v>
      </c>
      <c r="I9">
        <v>4295</v>
      </c>
    </row>
    <row r="10" spans="2:11" x14ac:dyDescent="0.3">
      <c r="C10">
        <v>60310</v>
      </c>
      <c r="E10">
        <v>29902</v>
      </c>
      <c r="H10">
        <v>128806</v>
      </c>
      <c r="I10">
        <v>26770</v>
      </c>
    </row>
    <row r="11" spans="2:11" x14ac:dyDescent="0.3">
      <c r="C11">
        <v>6500</v>
      </c>
      <c r="E11">
        <v>1895</v>
      </c>
      <c r="H11">
        <v>26770</v>
      </c>
      <c r="I11">
        <v>467</v>
      </c>
    </row>
    <row r="12" spans="2:11" x14ac:dyDescent="0.3">
      <c r="C12">
        <v>65937</v>
      </c>
      <c r="E12">
        <v>9605</v>
      </c>
      <c r="H12">
        <v>2731</v>
      </c>
      <c r="I12">
        <v>34882</v>
      </c>
    </row>
    <row r="13" spans="2:11" x14ac:dyDescent="0.3">
      <c r="C13">
        <v>5350</v>
      </c>
      <c r="E13">
        <v>29844</v>
      </c>
      <c r="H13">
        <v>23134</v>
      </c>
      <c r="I13">
        <v>19955</v>
      </c>
    </row>
    <row r="14" spans="2:11" x14ac:dyDescent="0.3">
      <c r="C14">
        <v>8500</v>
      </c>
      <c r="E14">
        <v>26890</v>
      </c>
      <c r="H14">
        <v>1216</v>
      </c>
      <c r="I14">
        <v>38122</v>
      </c>
    </row>
    <row r="15" spans="2:11" x14ac:dyDescent="0.3">
      <c r="C15">
        <v>87216</v>
      </c>
      <c r="E15">
        <v>6540</v>
      </c>
      <c r="H15">
        <v>761</v>
      </c>
      <c r="I15">
        <v>1201</v>
      </c>
    </row>
    <row r="16" spans="2:11" x14ac:dyDescent="0.3">
      <c r="C16">
        <v>66552</v>
      </c>
      <c r="E16">
        <v>4110</v>
      </c>
      <c r="H16">
        <v>394</v>
      </c>
      <c r="I16">
        <v>23134</v>
      </c>
    </row>
    <row r="17" spans="3:9" x14ac:dyDescent="0.3">
      <c r="C17">
        <v>61496</v>
      </c>
      <c r="E17">
        <v>27829</v>
      </c>
      <c r="H17">
        <v>2493</v>
      </c>
      <c r="I17">
        <v>19955</v>
      </c>
    </row>
    <row r="18" spans="3:9" x14ac:dyDescent="0.3">
      <c r="C18">
        <v>44134</v>
      </c>
      <c r="E18">
        <v>29844</v>
      </c>
      <c r="H18">
        <v>4295</v>
      </c>
      <c r="I18">
        <v>15549</v>
      </c>
    </row>
    <row r="19" spans="3:9" x14ac:dyDescent="0.3">
      <c r="C19">
        <v>17350</v>
      </c>
      <c r="E19">
        <v>6540</v>
      </c>
      <c r="H19">
        <v>2731</v>
      </c>
      <c r="I19">
        <v>10508</v>
      </c>
    </row>
    <row r="20" spans="3:9" x14ac:dyDescent="0.3">
      <c r="C20">
        <v>8265</v>
      </c>
      <c r="E20">
        <v>7095</v>
      </c>
      <c r="H20">
        <v>8806</v>
      </c>
      <c r="I20">
        <v>41071</v>
      </c>
    </row>
    <row r="21" spans="3:9" x14ac:dyDescent="0.3">
      <c r="C21">
        <v>60992</v>
      </c>
      <c r="E21">
        <v>9085</v>
      </c>
      <c r="H21">
        <v>8806</v>
      </c>
      <c r="I21">
        <v>2731</v>
      </c>
    </row>
    <row r="22" spans="3:9" x14ac:dyDescent="0.3">
      <c r="C22">
        <v>9375</v>
      </c>
      <c r="E22">
        <v>6540</v>
      </c>
      <c r="H22">
        <v>128806</v>
      </c>
      <c r="I22">
        <v>64909</v>
      </c>
    </row>
    <row r="23" spans="3:9" x14ac:dyDescent="0.3">
      <c r="C23">
        <v>8957</v>
      </c>
      <c r="E23">
        <v>6262</v>
      </c>
      <c r="H23">
        <v>8597</v>
      </c>
      <c r="I23">
        <v>41071</v>
      </c>
    </row>
    <row r="24" spans="3:9" x14ac:dyDescent="0.3">
      <c r="C24">
        <v>4470</v>
      </c>
      <c r="E24">
        <v>7095</v>
      </c>
      <c r="H24">
        <v>4110</v>
      </c>
      <c r="I24">
        <v>26787</v>
      </c>
    </row>
    <row r="25" spans="3:9" x14ac:dyDescent="0.3">
      <c r="C25">
        <v>9602</v>
      </c>
      <c r="E25">
        <v>27829</v>
      </c>
      <c r="H25">
        <v>9627</v>
      </c>
      <c r="I25">
        <v>4110</v>
      </c>
    </row>
    <row r="26" spans="3:9" x14ac:dyDescent="0.3">
      <c r="C26">
        <v>60370</v>
      </c>
      <c r="E26">
        <v>2634</v>
      </c>
      <c r="H26">
        <v>4464</v>
      </c>
      <c r="I26">
        <v>26787</v>
      </c>
    </row>
    <row r="27" spans="3:9" x14ac:dyDescent="0.3">
      <c r="C27">
        <v>87216</v>
      </c>
      <c r="E27">
        <v>5191</v>
      </c>
      <c r="H27">
        <v>15380</v>
      </c>
      <c r="I27">
        <v>467</v>
      </c>
    </row>
    <row r="28" spans="3:9" x14ac:dyDescent="0.3">
      <c r="C28">
        <v>66000</v>
      </c>
      <c r="E28">
        <v>29902</v>
      </c>
      <c r="H28">
        <v>4295</v>
      </c>
      <c r="I28">
        <v>13867</v>
      </c>
    </row>
    <row r="29" spans="3:9" x14ac:dyDescent="0.3">
      <c r="C29">
        <v>66275</v>
      </c>
      <c r="E29">
        <v>29844</v>
      </c>
    </row>
    <row r="30" spans="3:9" x14ac:dyDescent="0.3">
      <c r="C30">
        <v>5518</v>
      </c>
      <c r="E30">
        <v>29844</v>
      </c>
    </row>
    <row r="31" spans="3:9" x14ac:dyDescent="0.3">
      <c r="C31">
        <v>13175</v>
      </c>
      <c r="E31">
        <v>6395</v>
      </c>
    </row>
    <row r="32" spans="3:9" x14ac:dyDescent="0.3">
      <c r="C32">
        <v>2723</v>
      </c>
      <c r="E32">
        <v>41071</v>
      </c>
    </row>
    <row r="33" spans="3:10" x14ac:dyDescent="0.3">
      <c r="C33">
        <v>60841</v>
      </c>
      <c r="E33">
        <v>11290</v>
      </c>
    </row>
    <row r="34" spans="3:10" x14ac:dyDescent="0.3">
      <c r="C34">
        <v>5081</v>
      </c>
      <c r="E34">
        <v>11290</v>
      </c>
    </row>
    <row r="35" spans="3:10" x14ac:dyDescent="0.3">
      <c r="C35">
        <v>61266</v>
      </c>
      <c r="E35">
        <v>11290</v>
      </c>
    </row>
    <row r="36" spans="3:10" x14ac:dyDescent="0.3">
      <c r="C36">
        <v>116325</v>
      </c>
      <c r="E36">
        <v>6395</v>
      </c>
    </row>
    <row r="37" spans="3:10" x14ac:dyDescent="0.3">
      <c r="C37">
        <v>62806</v>
      </c>
      <c r="E37">
        <v>6418</v>
      </c>
    </row>
    <row r="38" spans="3:10" x14ac:dyDescent="0.3">
      <c r="C38">
        <v>2314</v>
      </c>
      <c r="E38">
        <v>12711</v>
      </c>
    </row>
    <row r="39" spans="3:10" x14ac:dyDescent="0.3">
      <c r="C39">
        <v>61138</v>
      </c>
      <c r="E39">
        <v>14937</v>
      </c>
    </row>
    <row r="40" spans="3:10" x14ac:dyDescent="0.3">
      <c r="C40">
        <v>3898</v>
      </c>
      <c r="E40">
        <v>5191</v>
      </c>
    </row>
    <row r="41" spans="3:10" x14ac:dyDescent="0.3">
      <c r="C41">
        <v>25152</v>
      </c>
      <c r="E41">
        <v>6395</v>
      </c>
    </row>
    <row r="42" spans="3:10" x14ac:dyDescent="0.3">
      <c r="C42">
        <v>7915</v>
      </c>
      <c r="E42">
        <v>2990</v>
      </c>
    </row>
    <row r="43" spans="3:10" x14ac:dyDescent="0.3">
      <c r="C43">
        <v>71786</v>
      </c>
      <c r="E43">
        <v>14937</v>
      </c>
    </row>
    <row r="44" spans="3:10" x14ac:dyDescent="0.3">
      <c r="C44">
        <v>87216</v>
      </c>
      <c r="E44">
        <v>5370</v>
      </c>
    </row>
    <row r="45" spans="3:10" x14ac:dyDescent="0.3">
      <c r="C45">
        <v>66342</v>
      </c>
      <c r="E45">
        <v>10298</v>
      </c>
      <c r="J45">
        <v>333000</v>
      </c>
    </row>
    <row r="46" spans="3:10" x14ac:dyDescent="0.3">
      <c r="C46">
        <v>12800</v>
      </c>
      <c r="E46">
        <v>6418</v>
      </c>
      <c r="J46">
        <v>175000</v>
      </c>
    </row>
    <row r="47" spans="3:10" x14ac:dyDescent="0.3">
      <c r="C47">
        <v>12811</v>
      </c>
      <c r="E47">
        <v>10299</v>
      </c>
      <c r="J47">
        <v>169000</v>
      </c>
    </row>
    <row r="48" spans="3:10" x14ac:dyDescent="0.3">
      <c r="E48">
        <v>11290</v>
      </c>
      <c r="J48">
        <v>13000</v>
      </c>
    </row>
    <row r="49" spans="1:12" x14ac:dyDescent="0.3">
      <c r="E49">
        <v>6540</v>
      </c>
      <c r="J49">
        <v>7000</v>
      </c>
    </row>
    <row r="50" spans="1:12" x14ac:dyDescent="0.3">
      <c r="E50">
        <v>11290</v>
      </c>
    </row>
    <row r="51" spans="1:12" x14ac:dyDescent="0.3">
      <c r="E51">
        <v>11290</v>
      </c>
    </row>
    <row r="52" spans="1:12" x14ac:dyDescent="0.3">
      <c r="E52">
        <v>11290</v>
      </c>
    </row>
    <row r="53" spans="1:12" x14ac:dyDescent="0.3">
      <c r="E53">
        <v>11290</v>
      </c>
    </row>
    <row r="54" spans="1:12" x14ac:dyDescent="0.3">
      <c r="E54">
        <v>5370</v>
      </c>
    </row>
    <row r="58" spans="1:12" x14ac:dyDescent="0.3">
      <c r="A58" t="s">
        <v>1</v>
      </c>
      <c r="C58" s="1">
        <f>SUM(C2:C47)</f>
        <v>1815906</v>
      </c>
      <c r="D58" s="1">
        <v>1397051</v>
      </c>
      <c r="E58" s="1">
        <f>SUM(E2:E57)</f>
        <v>670517</v>
      </c>
    </row>
    <row r="59" spans="1:12" s="1" customFormat="1" x14ac:dyDescent="0.3">
      <c r="A59" s="1" t="s">
        <v>4</v>
      </c>
      <c r="C59" s="1">
        <v>1261545</v>
      </c>
      <c r="F59" s="1">
        <v>39586</v>
      </c>
      <c r="G59" s="1">
        <v>214513</v>
      </c>
      <c r="H59" s="1">
        <f>SUM(H2:H57)</f>
        <v>527232</v>
      </c>
      <c r="I59" s="1">
        <f>SUM(I2:I57)</f>
        <v>571139</v>
      </c>
      <c r="J59" s="1">
        <f>SUM(J2:J57)</f>
        <v>697000</v>
      </c>
      <c r="K59" s="1">
        <v>1281010</v>
      </c>
    </row>
    <row r="60" spans="1:12" x14ac:dyDescent="0.3">
      <c r="A60" t="s">
        <v>2</v>
      </c>
      <c r="B60">
        <v>41</v>
      </c>
      <c r="C60">
        <v>46</v>
      </c>
      <c r="D60">
        <v>71</v>
      </c>
      <c r="E60" s="1">
        <v>54</v>
      </c>
      <c r="F60">
        <v>18</v>
      </c>
      <c r="G60">
        <v>19</v>
      </c>
      <c r="H60">
        <v>27</v>
      </c>
      <c r="I60">
        <v>27</v>
      </c>
      <c r="J60">
        <v>37</v>
      </c>
      <c r="K60">
        <v>64</v>
      </c>
    </row>
    <row r="61" spans="1:12" x14ac:dyDescent="0.3">
      <c r="E61" s="1"/>
    </row>
    <row r="62" spans="1:12" x14ac:dyDescent="0.3">
      <c r="A62" s="1" t="s">
        <v>8</v>
      </c>
      <c r="B62">
        <v>3111</v>
      </c>
      <c r="C62">
        <v>3876</v>
      </c>
      <c r="D62">
        <v>3930</v>
      </c>
      <c r="E62">
        <v>3982</v>
      </c>
      <c r="F62">
        <v>5392</v>
      </c>
      <c r="G62">
        <v>7479</v>
      </c>
      <c r="H62">
        <v>10535</v>
      </c>
      <c r="I62">
        <v>20180</v>
      </c>
      <c r="J62">
        <v>31530</v>
      </c>
    </row>
    <row r="63" spans="1:12" x14ac:dyDescent="0.3">
      <c r="B63">
        <v>1000</v>
      </c>
      <c r="C63">
        <v>1000</v>
      </c>
      <c r="D63">
        <v>1000</v>
      </c>
      <c r="E63">
        <v>1000</v>
      </c>
      <c r="F63">
        <v>1000</v>
      </c>
      <c r="G63">
        <v>1000</v>
      </c>
      <c r="H63">
        <v>1000</v>
      </c>
      <c r="I63">
        <v>1000</v>
      </c>
      <c r="J63">
        <v>1000</v>
      </c>
      <c r="K63">
        <v>1000</v>
      </c>
    </row>
    <row r="64" spans="1:12" s="1" customFormat="1" x14ac:dyDescent="0.3">
      <c r="A64" s="1" t="s">
        <v>9</v>
      </c>
      <c r="B64" s="1">
        <f>+B62*B63</f>
        <v>3111000</v>
      </c>
      <c r="C64" s="1">
        <f>+C62*C63</f>
        <v>3876000</v>
      </c>
      <c r="D64" s="1">
        <f t="shared" ref="D64:K64" si="0">+D62*D63</f>
        <v>3930000</v>
      </c>
      <c r="E64" s="1">
        <f t="shared" si="0"/>
        <v>3982000</v>
      </c>
      <c r="F64" s="1">
        <f t="shared" si="0"/>
        <v>5392000</v>
      </c>
      <c r="G64" s="1">
        <f t="shared" si="0"/>
        <v>7479000</v>
      </c>
      <c r="H64" s="1">
        <f t="shared" si="0"/>
        <v>10535000</v>
      </c>
      <c r="I64" s="1">
        <f t="shared" si="0"/>
        <v>20180000</v>
      </c>
      <c r="J64" s="1">
        <f t="shared" si="0"/>
        <v>31530000</v>
      </c>
      <c r="K64" s="1">
        <f t="shared" si="0"/>
        <v>0</v>
      </c>
      <c r="L64" s="1" t="s">
        <v>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Best</vt:lpstr>
      <vt:lpstr>Normal</vt:lpstr>
      <vt:lpstr>FinancialFeasibility</vt:lpstr>
      <vt:lpstr>Worst</vt:lpstr>
      <vt:lpstr>Malacca</vt:lpstr>
      <vt:lpstr>NSR</vt:lpstr>
      <vt:lpstr>Summary</vt:lpstr>
      <vt:lpstr>NSR_ShippingVolume</vt:lpstr>
      <vt:lpstr>workingsheet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Yusuf Zhang</dc:creator>
  <cp:lastModifiedBy>Xuxin Tan</cp:lastModifiedBy>
  <dcterms:created xsi:type="dcterms:W3CDTF">2021-10-22T17:46:10Z</dcterms:created>
  <dcterms:modified xsi:type="dcterms:W3CDTF">2021-10-22T17:46:10Z</dcterms:modified>
</cp:coreProperties>
</file>