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P:\London\General\Xuyi Wu\"/>
    </mc:Choice>
  </mc:AlternateContent>
  <xr:revisionPtr revIDLastSave="0" documentId="13_ncr:1_{FDB5C101-950E-4338-B89B-45C29849D4C9}" xr6:coauthVersionLast="47" xr6:coauthVersionMax="47" xr10:uidLastSave="{00000000-0000-0000-0000-000000000000}"/>
  <bookViews>
    <workbookView xWindow="-7730" yWindow="-21710" windowWidth="38620" windowHeight="21360" activeTab="2" xr2:uid="{8616F520-186C-493D-82F3-B83C4B81CD2B}"/>
  </bookViews>
  <sheets>
    <sheet name="Cover" sheetId="2" r:id="rId1"/>
    <sheet name="output" sheetId="3" r:id="rId2"/>
    <sheet name="financials" sheetId="4" r:id="rId3"/>
    <sheet name="SE warehouse" sheetId="8" r:id="rId4"/>
    <sheet name="Heathrow warehouse" sheetId="10" r:id="rId5"/>
    <sheet name="office" sheetId="12" r:id="rId6"/>
  </sheets>
  <definedNames>
    <definedName name="_xlnm._FilterDatabase" localSheetId="2" hidden="1">financials!$A$23:$O$23</definedName>
    <definedName name="_xlnm._FilterDatabase" localSheetId="1" hidden="1">output!$N$70:$W$70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 i="3" l="1"/>
  <c r="G96" i="3"/>
  <c r="G92" i="3"/>
  <c r="G86" i="3"/>
  <c r="G84" i="3"/>
  <c r="F87" i="3"/>
  <c r="E87" i="3"/>
  <c r="AA35" i="3" l="1"/>
  <c r="AA34" i="3"/>
  <c r="AA33" i="3"/>
  <c r="AA32" i="3"/>
  <c r="AA31" i="3"/>
  <c r="AA30" i="3"/>
  <c r="AA29" i="3"/>
  <c r="AA28" i="3"/>
  <c r="AA27" i="3"/>
  <c r="AA26" i="3"/>
  <c r="H59" i="12"/>
  <c r="G59" i="12"/>
  <c r="F59" i="12"/>
  <c r="D59" i="12"/>
  <c r="G58" i="12"/>
  <c r="F58" i="12"/>
  <c r="D58" i="12"/>
  <c r="F57" i="12"/>
  <c r="D57" i="12"/>
  <c r="D50" i="12"/>
  <c r="D49" i="12"/>
  <c r="D48" i="12"/>
  <c r="F47" i="12"/>
  <c r="E47" i="12"/>
  <c r="E56" i="12" s="1"/>
  <c r="D47" i="12"/>
  <c r="D56" i="12" s="1"/>
  <c r="C42" i="12"/>
  <c r="C41" i="12"/>
  <c r="D40" i="12"/>
  <c r="E40" i="12" s="1"/>
  <c r="C40" i="12"/>
  <c r="E22" i="12"/>
  <c r="D22" i="12"/>
  <c r="D14" i="12"/>
  <c r="E103" i="3"/>
  <c r="F104" i="3"/>
  <c r="E104" i="3"/>
  <c r="F103" i="3"/>
  <c r="F102" i="3"/>
  <c r="E102" i="3"/>
  <c r="F96" i="3"/>
  <c r="F100" i="3"/>
  <c r="E96" i="3"/>
  <c r="F86" i="3"/>
  <c r="E86" i="3"/>
  <c r="E100" i="3"/>
  <c r="G99" i="3"/>
  <c r="G98" i="3"/>
  <c r="G101" i="3" s="1"/>
  <c r="G102" i="3" s="1"/>
  <c r="G93" i="3"/>
  <c r="F92" i="3"/>
  <c r="F98" i="3" s="1"/>
  <c r="E92" i="3"/>
  <c r="E98" i="3" s="1"/>
  <c r="F84" i="3"/>
  <c r="F99" i="3" s="1"/>
  <c r="F83" i="3"/>
  <c r="E83" i="3"/>
  <c r="H51" i="10"/>
  <c r="G51" i="10"/>
  <c r="G50" i="10"/>
  <c r="F49" i="10"/>
  <c r="H60" i="10"/>
  <c r="G60" i="10"/>
  <c r="F60" i="10"/>
  <c r="G59" i="10"/>
  <c r="F59" i="10"/>
  <c r="F58" i="10"/>
  <c r="C42" i="10"/>
  <c r="C41" i="10"/>
  <c r="E84" i="3"/>
  <c r="E99" i="3" s="1"/>
  <c r="H59" i="8"/>
  <c r="G58" i="8"/>
  <c r="G59" i="8"/>
  <c r="F59" i="8"/>
  <c r="F58" i="8"/>
  <c r="F57" i="8"/>
  <c r="H50" i="8"/>
  <c r="G50" i="8"/>
  <c r="G49" i="8"/>
  <c r="F50" i="8"/>
  <c r="F49" i="8"/>
  <c r="F48" i="8"/>
  <c r="E35" i="8"/>
  <c r="D35" i="8"/>
  <c r="E23" i="10"/>
  <c r="D23" i="10"/>
  <c r="D60" i="10"/>
  <c r="D59" i="10"/>
  <c r="D58" i="10"/>
  <c r="D51" i="10"/>
  <c r="D50" i="10"/>
  <c r="D49" i="10"/>
  <c r="F48" i="10"/>
  <c r="E48" i="10"/>
  <c r="E57" i="10" s="1"/>
  <c r="D48" i="10"/>
  <c r="D57" i="10" s="1"/>
  <c r="C43" i="10"/>
  <c r="D41" i="10"/>
  <c r="E41" i="10" s="1"/>
  <c r="E30" i="10"/>
  <c r="E31" i="10" s="1"/>
  <c r="D30" i="10"/>
  <c r="D31" i="10" s="1"/>
  <c r="D14" i="10"/>
  <c r="J59" i="8"/>
  <c r="J58" i="8"/>
  <c r="J57" i="8"/>
  <c r="E59" i="8"/>
  <c r="D59" i="8"/>
  <c r="E58" i="8"/>
  <c r="D58" i="8"/>
  <c r="E57" i="8"/>
  <c r="D57" i="8"/>
  <c r="I56" i="8"/>
  <c r="H56" i="8"/>
  <c r="G56" i="8"/>
  <c r="F56" i="8"/>
  <c r="E56" i="8"/>
  <c r="G103" i="3" l="1"/>
  <c r="E59" i="12"/>
  <c r="E58" i="12"/>
  <c r="E57" i="12"/>
  <c r="E50" i="12"/>
  <c r="E49" i="12"/>
  <c r="E48" i="12"/>
  <c r="D41" i="12"/>
  <c r="D35" i="12"/>
  <c r="D29" i="12"/>
  <c r="H50" i="12"/>
  <c r="G50" i="12"/>
  <c r="G49" i="12"/>
  <c r="F48" i="12"/>
  <c r="F49" i="12" s="1"/>
  <c r="F50" i="12" s="1"/>
  <c r="E35" i="12"/>
  <c r="E29" i="12"/>
  <c r="F56" i="12"/>
  <c r="G47" i="12"/>
  <c r="E101" i="3"/>
  <c r="F101" i="3"/>
  <c r="E93" i="3"/>
  <c r="F93" i="3"/>
  <c r="D36" i="10"/>
  <c r="F50" i="10"/>
  <c r="F51" i="10" s="1"/>
  <c r="E36" i="10"/>
  <c r="E60" i="10"/>
  <c r="E59" i="10"/>
  <c r="E58" i="10"/>
  <c r="E51" i="10"/>
  <c r="E50" i="10"/>
  <c r="E49" i="10"/>
  <c r="D42" i="10"/>
  <c r="D43" i="10"/>
  <c r="D32" i="10"/>
  <c r="I51" i="10"/>
  <c r="H50" i="10"/>
  <c r="G49" i="10"/>
  <c r="E43" i="10"/>
  <c r="E32" i="10"/>
  <c r="F57" i="10"/>
  <c r="G48" i="10"/>
  <c r="G87" i="3" l="1"/>
  <c r="G104" i="3"/>
  <c r="G56" i="12"/>
  <c r="H47" i="12"/>
  <c r="I50" i="12"/>
  <c r="H49" i="12"/>
  <c r="G48" i="12"/>
  <c r="E42" i="12"/>
  <c r="E31" i="12"/>
  <c r="E30" i="12"/>
  <c r="D42" i="12"/>
  <c r="D31" i="12"/>
  <c r="D30" i="12"/>
  <c r="E41" i="12"/>
  <c r="E32" i="12" s="1"/>
  <c r="D32" i="12"/>
  <c r="G57" i="10"/>
  <c r="H48" i="10"/>
  <c r="E42" i="10"/>
  <c r="D33" i="10"/>
  <c r="H56" i="12" l="1"/>
  <c r="I47" i="12"/>
  <c r="I56" i="12" s="1"/>
  <c r="E33" i="10"/>
  <c r="H57" i="10"/>
  <c r="I48" i="10"/>
  <c r="I57" i="10" s="1"/>
  <c r="C42" i="8" l="1"/>
  <c r="D50" i="8"/>
  <c r="D49" i="8"/>
  <c r="D48" i="8"/>
  <c r="F47" i="8"/>
  <c r="G47" i="8" s="1"/>
  <c r="H47" i="8" s="1"/>
  <c r="I47" i="8" s="1"/>
  <c r="E47" i="8"/>
  <c r="D47" i="8" l="1"/>
  <c r="D56" i="8" s="1"/>
  <c r="D40" i="8"/>
  <c r="E40" i="8" s="1"/>
  <c r="E22" i="8"/>
  <c r="E29" i="8" s="1"/>
  <c r="D22" i="8"/>
  <c r="D14" i="8"/>
  <c r="E42" i="8" l="1"/>
  <c r="I50" i="8"/>
  <c r="H49" i="8"/>
  <c r="G48" i="8"/>
  <c r="E50" i="8"/>
  <c r="E49" i="8"/>
  <c r="E48" i="8"/>
  <c r="D41" i="8"/>
  <c r="E41" i="8" s="1"/>
  <c r="D29" i="8"/>
  <c r="D42" i="8" s="1"/>
  <c r="D31" i="8"/>
  <c r="D30" i="8"/>
  <c r="E31" i="8"/>
  <c r="E30" i="8"/>
  <c r="X56" i="3"/>
  <c r="Y56" i="3"/>
  <c r="X57" i="3"/>
  <c r="Y57" i="3"/>
  <c r="X58" i="3"/>
  <c r="Y58" i="3"/>
  <c r="X59" i="3"/>
  <c r="Y59" i="3"/>
  <c r="X60" i="3"/>
  <c r="Y60" i="3"/>
  <c r="X61" i="3"/>
  <c r="Y61" i="3"/>
  <c r="X62" i="3"/>
  <c r="Y62" i="3"/>
  <c r="X63" i="3"/>
  <c r="Y63" i="3"/>
  <c r="X64" i="3"/>
  <c r="Y64" i="3"/>
  <c r="X65" i="3"/>
  <c r="Y65" i="3"/>
  <c r="X55" i="3"/>
  <c r="Y55" i="3" s="1"/>
  <c r="D20" i="4"/>
  <c r="E20" i="4"/>
  <c r="F20" i="4"/>
  <c r="G20" i="4"/>
  <c r="I20" i="4"/>
  <c r="J20" i="4"/>
  <c r="K20" i="4"/>
  <c r="L20" i="4"/>
  <c r="M20" i="4"/>
  <c r="N20" i="4"/>
  <c r="C20" i="4"/>
  <c r="C21" i="4" s="1"/>
  <c r="W36" i="3"/>
  <c r="D19" i="4"/>
  <c r="E19" i="4"/>
  <c r="F19" i="4"/>
  <c r="G19" i="4"/>
  <c r="H19" i="4"/>
  <c r="I19" i="4"/>
  <c r="J19" i="4"/>
  <c r="K19" i="4"/>
  <c r="L19" i="4"/>
  <c r="M19" i="4"/>
  <c r="V25" i="3" s="1"/>
  <c r="N19" i="4"/>
  <c r="V24" i="3" s="1"/>
  <c r="C19" i="4"/>
  <c r="D18" i="4"/>
  <c r="E18" i="4"/>
  <c r="F18" i="4"/>
  <c r="I18" i="4"/>
  <c r="J18" i="4"/>
  <c r="K18" i="4"/>
  <c r="L18" i="4"/>
  <c r="M18" i="4"/>
  <c r="W25" i="3" s="1"/>
  <c r="AA25" i="3" s="1"/>
  <c r="N18" i="4"/>
  <c r="W24" i="3" s="1"/>
  <c r="AA24" i="3" s="1"/>
  <c r="C18" i="4"/>
  <c r="C25" i="3" l="1"/>
  <c r="C31" i="4" s="1"/>
  <c r="M21" i="4"/>
  <c r="L21" i="4"/>
  <c r="K21" i="4"/>
  <c r="J21" i="4"/>
  <c r="I21" i="4"/>
  <c r="F21" i="4"/>
  <c r="E21" i="4"/>
  <c r="D21" i="4"/>
  <c r="J17" i="4"/>
  <c r="W5" i="3" s="1"/>
  <c r="H7" i="4" l="1"/>
  <c r="H20" i="4" s="1"/>
  <c r="H21" i="4" l="1"/>
  <c r="G21" i="4"/>
  <c r="G18" i="4"/>
  <c r="H18" i="4"/>
  <c r="I17" i="4"/>
  <c r="K17" i="4"/>
  <c r="L17" i="4"/>
  <c r="M17" i="4"/>
  <c r="N17" i="4"/>
  <c r="W4" i="3" s="1"/>
  <c r="H17" i="4"/>
  <c r="G17" i="4"/>
  <c r="F17" i="4"/>
  <c r="W6" i="3" s="1"/>
  <c r="E17" i="4"/>
  <c r="D17" i="4"/>
  <c r="C17" i="4"/>
  <c r="C27" i="4" s="1"/>
  <c r="C7" i="2"/>
  <c r="W7" i="3" l="1"/>
  <c r="C26" i="4"/>
  <c r="C30" i="4" l="1"/>
  <c r="C28" i="4"/>
  <c r="W67" i="3" l="1"/>
  <c r="C29" i="4"/>
  <c r="E32" i="8"/>
  <c r="D32" i="8"/>
  <c r="J50" i="8"/>
  <c r="J49" i="8"/>
  <c r="J48" i="8"/>
  <c r="J60" i="10"/>
  <c r="J59" i="10"/>
  <c r="J58" i="10"/>
  <c r="J51" i="10"/>
  <c r="J50" i="10"/>
  <c r="J49" i="10"/>
  <c r="J59" i="12"/>
  <c r="J58" i="12"/>
  <c r="J57" i="12"/>
  <c r="J50" i="12"/>
  <c r="J49" i="12"/>
  <c r="J48"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A6BAAC-D79B-4F86-BCB5-31313D3F4621}"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<sst xmlns="http://schemas.openxmlformats.org/spreadsheetml/2006/main" count="253" uniqueCount="150">
  <si>
    <t>Fund Overview</t>
  </si>
  <si>
    <t>Inception Date</t>
  </si>
  <si>
    <t>Fund Size (AUM)</t>
  </si>
  <si>
    <t>Fund Name</t>
  </si>
  <si>
    <t xml:space="preserve">WXY Capital </t>
  </si>
  <si>
    <t xml:space="preserve">Fund Type </t>
  </si>
  <si>
    <t>Fund Expiry Date</t>
  </si>
  <si>
    <t>Target Return</t>
  </si>
  <si>
    <t>15% IRR</t>
  </si>
  <si>
    <t>Total Equity Committed by Investors (Excl. Amounts Allocated to Equalization Interest)</t>
  </si>
  <si>
    <t xml:space="preserve">Net Current Drawn Down to LP </t>
  </si>
  <si>
    <t>Colliers Property Valuation</t>
  </si>
  <si>
    <t>Gross Asset Value (GAV)</t>
  </si>
  <si>
    <t>LP NAV</t>
  </si>
  <si>
    <t xml:space="preserve">LP NAV per unit </t>
  </si>
  <si>
    <t>Debt</t>
  </si>
  <si>
    <t xml:space="preserve">a) do not exceed 40% loan to cost (LTC) of the Partnership Assets (excluding Aggregate Undrawn Commitments), and </t>
  </si>
  <si>
    <t>b) do not exceed 50% loan to cost for each individual project LLP</t>
  </si>
  <si>
    <t>Q2 25</t>
  </si>
  <si>
    <t>Q4 24</t>
  </si>
  <si>
    <t>Q3 24</t>
  </si>
  <si>
    <t>Q2 24</t>
  </si>
  <si>
    <t>Q4 22</t>
  </si>
  <si>
    <t>Q3 22</t>
  </si>
  <si>
    <t>Q1 23</t>
  </si>
  <si>
    <t>CLOSE END</t>
  </si>
  <si>
    <t>Q1 24</t>
  </si>
  <si>
    <t>Q4 23</t>
  </si>
  <si>
    <t>Q3 23</t>
  </si>
  <si>
    <t>Q2 23</t>
  </si>
  <si>
    <t>Q1 25</t>
  </si>
  <si>
    <t>Return Analysis</t>
  </si>
  <si>
    <t>Absolute return</t>
  </si>
  <si>
    <t>Distribution</t>
  </si>
  <si>
    <t>Since Inception</t>
  </si>
  <si>
    <t>1Y</t>
  </si>
  <si>
    <t xml:space="preserve">2Y </t>
  </si>
  <si>
    <t>First Quarter</t>
  </si>
  <si>
    <t>Absolute Return </t>
  </si>
  <si>
    <t>Capital contribution to LP during the quearter</t>
  </si>
  <si>
    <t>Property type</t>
  </si>
  <si>
    <t>Fund Financials</t>
  </si>
  <si>
    <t>IRR</t>
  </si>
  <si>
    <t>TVPI</t>
  </si>
  <si>
    <t xml:space="preserve">TVPI </t>
  </si>
  <si>
    <t>cash flow</t>
  </si>
  <si>
    <t>TVPI Growth</t>
  </si>
  <si>
    <t>TVPI vs Benchmark</t>
  </si>
  <si>
    <t>source date:</t>
  </si>
  <si>
    <t>Monthly Index Values &amp; Returns | Nareit</t>
  </si>
  <si>
    <t>Date</t>
  </si>
  <si>
    <t>Index</t>
  </si>
  <si>
    <t>change</t>
  </si>
  <si>
    <t>Date: For IRR calc purpose</t>
  </si>
  <si>
    <t>Q3 2022</t>
  </si>
  <si>
    <t>Q4 2022</t>
  </si>
  <si>
    <t>Q1 2023</t>
  </si>
  <si>
    <t>Q2 2023</t>
  </si>
  <si>
    <t>Q3 2023</t>
  </si>
  <si>
    <t>Q4 2023</t>
  </si>
  <si>
    <t>Q1 2024</t>
  </si>
  <si>
    <t>Q2 2024</t>
  </si>
  <si>
    <t>Q3 2024</t>
  </si>
  <si>
    <t>Q4 2024</t>
  </si>
  <si>
    <t>Q1 2025</t>
  </si>
  <si>
    <t>Q2 2025</t>
  </si>
  <si>
    <t xml:space="preserve">All REITs </t>
  </si>
  <si>
    <t xml:space="preserve">Fund's TVPI </t>
  </si>
  <si>
    <t>Comparing Fund's TVPI growth vs All REITs index change</t>
  </si>
  <si>
    <t>For every £1 invested, generated £NAV</t>
  </si>
  <si>
    <t>standard deviation</t>
  </si>
  <si>
    <t>Standard Deviation of Absolute return</t>
  </si>
  <si>
    <t>Sharp Ratio (UK 10-yr gilt: 4.65%)</t>
  </si>
  <si>
    <t>Average absoulte return</t>
  </si>
  <si>
    <t>Beta</t>
  </si>
  <si>
    <t>Risk Analsis</t>
  </si>
  <si>
    <t>Benchmark</t>
  </si>
  <si>
    <t>WXY project</t>
  </si>
  <si>
    <t>Value at Risk (VaR) 95%</t>
  </si>
  <si>
    <t>Fund Overall Analysis</t>
  </si>
  <si>
    <t>The fund just completed its final capital call and acquired all assets in Q2 25, marking the beginning of its operational phase. Current performance metrics—such as the negative average return, elevated volatility, and negative Sharpe ratio—reflect the early-stage nature of the portfolio.
These figures are influenced by acquisition costs, limited income generation, and initial market adjustments. As assets stabilize and begin producing income, we expect returns to improve and volatility to decline.The low beta confirms minimal market correlation, typical for direct real estate investments. The reported Value at Risk (VaR) is proportionate to the fund’s scale and will be actively managed. 
Future reporting periods will provide a clearer view of long-term performance and risk-adjusted returns.</t>
  </si>
  <si>
    <t>Yield on cost</t>
  </si>
  <si>
    <t>market yield</t>
  </si>
  <si>
    <t>Purchase date</t>
  </si>
  <si>
    <t xml:space="preserve">Purchase value </t>
  </si>
  <si>
    <t>Site Area</t>
  </si>
  <si>
    <t xml:space="preserve">Acquisition cost </t>
  </si>
  <si>
    <t>Construction cost</t>
  </si>
  <si>
    <t>Other fees</t>
  </si>
  <si>
    <t xml:space="preserve">Total cost </t>
  </si>
  <si>
    <t>As of Jun 25, Actual + Forecast cost:</t>
  </si>
  <si>
    <t>Rent £psf</t>
  </si>
  <si>
    <t>Forecast</t>
  </si>
  <si>
    <t xml:space="preserve">2.3 acres </t>
  </si>
  <si>
    <t xml:space="preserve">Size usage sqft </t>
  </si>
  <si>
    <t xml:space="preserve">Rent income annually </t>
  </si>
  <si>
    <t>South East warehouse</t>
  </si>
  <si>
    <t>Exit</t>
  </si>
  <si>
    <t>Rent income</t>
  </si>
  <si>
    <t>Exit yield</t>
  </si>
  <si>
    <t>Exit price</t>
  </si>
  <si>
    <t>Underwrite</t>
  </si>
  <si>
    <t>Exit £psf</t>
  </si>
  <si>
    <t>Project profit</t>
  </si>
  <si>
    <t>Construction completed</t>
  </si>
  <si>
    <t>Project IRR</t>
  </si>
  <si>
    <t>4.5%-4.75%</t>
  </si>
  <si>
    <t>Sale date (target)</t>
  </si>
  <si>
    <t xml:space="preserve">What - if </t>
  </si>
  <si>
    <t xml:space="preserve">Fund cannot sell it on target date but have to let it out while waiting for the buyer, under Forecast basis: </t>
  </si>
  <si>
    <t>sell in 2026</t>
  </si>
  <si>
    <t>sell in 2027</t>
  </si>
  <si>
    <t>sell in 2028</t>
  </si>
  <si>
    <t>Cash balance</t>
  </si>
  <si>
    <t>Heathrow  warehouse</t>
  </si>
  <si>
    <t xml:space="preserve">16.6 acres </t>
  </si>
  <si>
    <t>Proposed Scheme Area</t>
  </si>
  <si>
    <t>Rent £psf (Net Lease)</t>
  </si>
  <si>
    <t>Real Estate Model - Cap Rates and NOI</t>
  </si>
  <si>
    <t>Assumptions</t>
  </si>
  <si>
    <t>Property/Name</t>
  </si>
  <si>
    <t>Cap Rate</t>
  </si>
  <si>
    <t>Gross Rents ($/fq ft/month)</t>
  </si>
  <si>
    <t>Months per Year</t>
  </si>
  <si>
    <t>NOI &amp; Valuation</t>
  </si>
  <si>
    <t xml:space="preserve">    $ / SF</t>
  </si>
  <si>
    <t>Cap Rate vs Gross Monthly Rent</t>
  </si>
  <si>
    <t>NOI Calculation</t>
  </si>
  <si>
    <t>Rental Income</t>
  </si>
  <si>
    <t xml:space="preserve">    Property Tax</t>
  </si>
  <si>
    <t>Total Expenses</t>
  </si>
  <si>
    <t>interest</t>
  </si>
  <si>
    <t>The warehose list on market since 2024, there are multiple occupier converstion ongoing, assuming fund struggle to find tenant and need to pay £3 psft to maintain the warehouse and pay bank loan interest. And sell price drop to 80m</t>
  </si>
  <si>
    <t xml:space="preserve"> </t>
  </si>
  <si>
    <t>The warehose list on market since 2024, but still cannot find potentail buyer or tenant at Aug 25, given the current economy enviornmnet, the price likely to drop when sold</t>
  </si>
  <si>
    <t>No Loan taken</t>
  </si>
  <si>
    <t>Loan facility</t>
  </si>
  <si>
    <t>Average Size (sq ft)</t>
  </si>
  <si>
    <t>Exit Price</t>
  </si>
  <si>
    <t xml:space="preserve">    Insurance (Per sqf)</t>
  </si>
  <si>
    <t>Maintaince expenses</t>
  </si>
  <si>
    <t xml:space="preserve">Loan interest </t>
  </si>
  <si>
    <t xml:space="preserve">    $ / SF </t>
  </si>
  <si>
    <t xml:space="preserve">    $ / Sq ft</t>
  </si>
  <si>
    <t xml:space="preserve"> 3  assets</t>
  </si>
  <si>
    <t>Focused on industrial, warehouse, logistics properties and office</t>
  </si>
  <si>
    <t>Office</t>
  </si>
  <si>
    <t>Total NOI</t>
  </si>
  <si>
    <t>Net Paid-in capital</t>
  </si>
  <si>
    <t>The warehose list on market since 2024, there are multiple occupier converstion ongoing, assuming fund struggle to find tenant and need to pay £3 psft to maintain the warehouse and pay bank loan interest. And sell price drop to 120m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</si>
</sst>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Red]\-&quot;£&quot;#,##0"/>
    <numFmt numFmtId="44" formatCode="_-&quot;£&quot;* #,##0.00_-;\-&quot;£&quot;* #,##0.00_-;_-&quot;£&quot;* &quot;-&quot;??_-;_-@_-"/>
    <numFmt numFmtId="43" formatCode="_-* #,##0.00_-;\-* #,##0.00_-;_-* &quot;-&quot;??_-;_-@_-"/>
    <numFmt numFmtId="164" formatCode="0.0%"/>
    <numFmt numFmtId="165" formatCode="_-* #,##0_-;\-* #,##0_-;_-* &quot;-&quot;??_-;_-@_-"/>
    <numFmt numFmtId="166" formatCode="_-[$€-2]* #,##0.00_-;\-[$€-2]* #,##0.00_-;_-[$€-2]* &quot;-&quot;??_-"/>
    <numFmt numFmtId="167" formatCode="dd\ mmm\-yy"/>
    <numFmt numFmtId="168" formatCode="_-[$£-809]* #,##0.00_-;\-[$£-809]* #,##0.00_-;_-[$£-809]* &quot;-&quot;??_-;_-@_-"/>
    <numFmt numFmtId="169" formatCode="&quot;units &quot;0.0000"/>
    <numFmt numFmtId="170" formatCode="0.0000"/>
    <numFmt numFmtId="171" formatCode="[$-F800]dddd\,\ mmmm\ dd\,\ yyyy"/>
    <numFmt numFmtId="172" formatCode="&quot;£&quot;#,##0"/>
    <numFmt numFmtId="173" formatCode="_-[$£-809]* #,##0_-;\-[$£-809]* #,##0_-;_-[$£-809]* &quot;-&quot;??_-;_-@_-"/>
    <numFmt numFmtId="174" formatCode="_(* #,##0_);_(* \(#,##0\);_(* &quot;-&quot;??_);_(@_)"/>
    <numFmt numFmtId="175" formatCode="&quot;$&quot;#,##0_);[Red]\(&quot;$&quot;#,##0\)"/>
    <numFmt numFmtId="176" formatCode="&quot;$&quot;#,##0.00_);\(&quot;$&quot;#,##0.00\)"/>
    <numFmt numFmtId="177" formatCode="&quot;$&quot;#,##0.00_);[Red]\(&quot;$&quot;#,##0.00\)"/>
    <numFmt numFmtId="178" formatCode="&quot;$&quot;#,##0.00;[Red]&quot;$&quot;#,##0.00"/>
  </numFmts>
  <fonts count="49" x14ac:knownFonts="1">
    <font>
      <sz val="11"/>
      <color theme="1"/>
      <name val="Aptos Narrow"/>
      <family val="2"/>
      <scheme val="minor"/>
    </font>
    <font>
      <sz val="11"/>
      <color theme="1"/>
      <name val="Aptos Narrow"/>
      <family val="2"/>
      <scheme val="minor"/>
    </font>
    <font>
      <b/>
      <sz val="11"/>
      <color theme="1"/>
      <name val="Aptos Narrow"/>
      <family val="2"/>
      <scheme val="minor"/>
    </font>
    <font>
      <sz val="11"/>
      <name val="Aptos Narrow"/>
      <family val="2"/>
      <scheme val="minor"/>
    </font>
    <font>
      <sz val="11"/>
      <color theme="0"/>
      <name val="Aptos Narrow"/>
      <family val="2"/>
      <scheme val="minor"/>
    </font>
    <font>
      <sz val="10"/>
      <name val="Arial"/>
      <family val="2"/>
    </font>
    <font>
      <sz val="11"/>
      <name val="ＭＳ 明朝"/>
      <family val="1"/>
      <charset val="128"/>
    </font>
    <font>
      <sz val="11"/>
      <color indexed="17"/>
      <name val="Calibri"/>
      <family val="2"/>
    </font>
    <font>
      <sz val="10"/>
      <name val="Helv"/>
    </font>
    <font>
      <sz val="11"/>
      <color rgb="FF9C6500"/>
      <name val="Aptos Narrow"/>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color theme="4"/>
      <name val="Aptos Narrow"/>
      <family val="2"/>
      <scheme val="minor"/>
    </font>
    <font>
      <b/>
      <sz val="16"/>
      <color theme="0"/>
      <name val="Aptos Narrow"/>
      <family val="2"/>
      <scheme val="minor"/>
    </font>
    <font>
      <u/>
      <sz val="11"/>
      <color theme="10"/>
      <name val="Aptos Narrow"/>
      <family val="2"/>
      <scheme val="minor"/>
    </font>
    <font>
      <sz val="8"/>
      <name val="Arial"/>
      <family val="2"/>
    </font>
    <font>
      <b/>
      <sz val="8"/>
      <name val="Arial"/>
      <family val="2"/>
    </font>
    <font>
      <i/>
      <sz val="11"/>
      <color theme="1"/>
      <name val="Aptos Narrow"/>
      <family val="2"/>
      <scheme val="minor"/>
    </font>
    <font>
      <i/>
      <u/>
      <sz val="11"/>
      <color theme="10"/>
      <name val="Aptos Narrow"/>
      <family val="2"/>
      <scheme val="minor"/>
    </font>
    <font>
      <sz val="8"/>
      <name val="Aptos Narrow"/>
      <family val="2"/>
      <scheme val="minor"/>
    </font>
    <font>
      <sz val="11"/>
      <color theme="4"/>
      <name val="Aptos Narrow"/>
      <family val="2"/>
      <scheme val="minor"/>
    </font>
    <font>
      <sz val="10"/>
      <color theme="4"/>
      <name val="Segoe UI"/>
      <family val="2"/>
    </font>
    <font>
      <sz val="11"/>
      <name val="Arial Narrow"/>
      <family val="2"/>
    </font>
    <font>
      <b/>
      <sz val="14"/>
      <color theme="0"/>
      <name val="Arial Narrow"/>
      <family val="2"/>
    </font>
    <font>
      <sz val="11"/>
      <color theme="1"/>
      <name val="Arial Narrow"/>
      <family val="2"/>
    </font>
    <font>
      <b/>
      <sz val="11"/>
      <color theme="1"/>
      <name val="Arial Narrow"/>
      <family val="2"/>
    </font>
    <font>
      <b/>
      <sz val="12"/>
      <color theme="0"/>
      <name val="Arial Narrow"/>
      <family val="2"/>
    </font>
    <font>
      <b/>
      <u/>
      <sz val="11"/>
      <color theme="1"/>
      <name val="Arial Narrow"/>
      <family val="2"/>
    </font>
    <font>
      <sz val="11"/>
      <color indexed="12"/>
      <name val="Arial Narrow"/>
      <family val="2"/>
    </font>
    <font>
      <sz val="11"/>
      <color rgb="FF0000FF"/>
      <name val="Arial Narrow"/>
      <family val="2"/>
    </font>
    <font>
      <b/>
      <i/>
      <sz val="11"/>
      <color theme="1"/>
      <name val="Arial Narrow"/>
      <family val="2"/>
    </font>
    <font>
      <i/>
      <sz val="11"/>
      <color theme="1"/>
      <name val="Arial Narrow"/>
      <family val="2"/>
    </font>
    <font>
      <u/>
      <sz val="10"/>
      <color theme="10"/>
      <name val="Arial"/>
      <family val="2"/>
    </font>
    <font>
      <b/>
      <sz val="12"/>
      <name val="Arial Narrow"/>
      <family val="2"/>
    </font>
    <font>
      <b/>
      <sz val="14"/>
      <name val="Arial Narrow"/>
      <family val="2"/>
    </font>
  </fonts>
  <fills count="31">
    <fill>
      <patternFill patternType="none"/>
    </fill>
    <fill>
      <patternFill patternType="gray125"/>
    </fill>
    <fill>
      <patternFill patternType="solid">
        <fgColor rgb="FFFFEB9C"/>
      </patternFill>
    </fill>
    <fill>
      <patternFill patternType="solid">
        <fgColor theme="7"/>
      </patternFill>
    </fill>
    <fill>
      <patternFill patternType="solid">
        <fgColor indexed="42"/>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bgColor indexed="64"/>
      </patternFill>
    </fill>
    <fill>
      <patternFill patternType="solid">
        <fgColor theme="2"/>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79998168889431442"/>
        <bgColor indexed="64"/>
      </patternFill>
    </fill>
  </fills>
  <borders count="26">
    <border>
      <left/>
      <right/>
      <top/>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theme="4"/>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top style="thin">
        <color indexed="64"/>
      </top>
      <bottom style="thin">
        <color indexed="64"/>
      </bottom>
      <diagonal/>
    </border>
    <border>
      <left style="dotted">
        <color auto="1"/>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style="dotted">
        <color auto="1"/>
      </left>
      <right/>
      <top/>
      <bottom style="dotted">
        <color auto="1"/>
      </bottom>
      <diagonal/>
    </border>
    <border>
      <left/>
      <right/>
      <top/>
      <bottom style="dotted">
        <color indexed="64"/>
      </bottom>
      <diagonal/>
    </border>
    <border>
      <left/>
      <right style="dotted">
        <color indexed="64"/>
      </right>
      <top/>
      <bottom style="hair">
        <color indexed="64"/>
      </bottom>
      <diagonal/>
    </border>
  </borders>
  <cellStyleXfs count="83">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43" fontId="5" fillId="0" borderId="0" applyFont="0" applyFill="0" applyBorder="0" applyAlignment="0" applyProtection="0"/>
    <xf numFmtId="0" fontId="1" fillId="0" borderId="0"/>
    <xf numFmtId="43" fontId="1"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7" fillId="4" borderId="0" applyNumberFormat="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166" fontId="5" fillId="0" borderId="0" applyFont="0" applyFill="0" applyBorder="0" applyAlignment="0" applyProtection="0"/>
    <xf numFmtId="0" fontId="8" fillId="0" borderId="0"/>
    <xf numFmtId="0" fontId="1" fillId="0" borderId="0"/>
    <xf numFmtId="0" fontId="1" fillId="0" borderId="0"/>
    <xf numFmtId="9" fontId="5" fillId="0" borderId="0" applyFont="0" applyFill="0" applyBorder="0" applyAlignment="0" applyProtection="0"/>
    <xf numFmtId="9" fontId="1" fillId="0" borderId="0" applyFont="0" applyFill="0" applyBorder="0" applyAlignment="0" applyProtection="0"/>
    <xf numFmtId="0" fontId="6" fillId="0" borderId="0"/>
    <xf numFmtId="0" fontId="9" fillId="2" borderId="0" applyNumberFormat="0" applyBorder="0" applyAlignment="0" applyProtection="0"/>
    <xf numFmtId="9" fontId="1" fillId="0" borderId="0" applyFont="0" applyFill="0" applyBorder="0" applyAlignment="0" applyProtection="0"/>
    <xf numFmtId="0" fontId="4" fillId="3" borderId="0" applyNumberFormat="0" applyBorder="0" applyAlignment="0" applyProtection="0"/>
    <xf numFmtId="0" fontId="5" fillId="0" borderId="0">
      <alignment vertical="center"/>
    </xf>
    <xf numFmtId="0" fontId="5" fillId="0" borderId="0"/>
    <xf numFmtId="0" fontId="10" fillId="5"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21" borderId="0" applyNumberFormat="0" applyBorder="0" applyAlignment="0" applyProtection="0"/>
    <xf numFmtId="0" fontId="12" fillId="6" borderId="0" applyNumberFormat="0" applyBorder="0" applyAlignment="0" applyProtection="0"/>
    <xf numFmtId="0" fontId="13" fillId="22" borderId="2" applyNumberFormat="0" applyAlignment="0" applyProtection="0"/>
    <xf numFmtId="0" fontId="14" fillId="23" borderId="3" applyNumberFormat="0" applyAlignment="0" applyProtection="0"/>
    <xf numFmtId="44" fontId="5" fillId="0" borderId="0" applyFont="0" applyFill="0" applyBorder="0" applyAlignment="0" applyProtection="0"/>
    <xf numFmtId="0" fontId="15" fillId="0" borderId="0" applyNumberFormat="0" applyFill="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9" borderId="2" applyNumberFormat="0" applyAlignment="0" applyProtection="0"/>
    <xf numFmtId="0" fontId="20" fillId="0" borderId="7" applyNumberFormat="0" applyFill="0" applyAlignment="0" applyProtection="0"/>
    <xf numFmtId="0" fontId="21" fillId="24" borderId="0" applyNumberFormat="0" applyBorder="0" applyAlignment="0" applyProtection="0"/>
    <xf numFmtId="0" fontId="10" fillId="25" borderId="8" applyNumberFormat="0" applyFont="0" applyAlignment="0" applyProtection="0"/>
    <xf numFmtId="0" fontId="22" fillId="22" borderId="9" applyNumberFormat="0" applyAlignment="0" applyProtection="0"/>
    <xf numFmtId="0" fontId="23" fillId="0" borderId="0" applyNumberFormat="0" applyFill="0" applyBorder="0" applyAlignment="0" applyProtection="0"/>
    <xf numFmtId="0" fontId="24" fillId="0" borderId="10" applyNumberFormat="0" applyFill="0" applyAlignment="0" applyProtection="0"/>
    <xf numFmtId="0" fontId="25" fillId="0" borderId="0" applyNumberFormat="0" applyFill="0" applyBorder="0" applyAlignment="0" applyProtection="0"/>
    <xf numFmtId="0" fontId="5" fillId="0" borderId="0">
      <alignment vertical="center"/>
    </xf>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28" fillId="0" borderId="0" applyNumberFormat="0" applyFill="0" applyBorder="0" applyAlignment="0" applyProtection="0"/>
    <xf numFmtId="0" fontId="5" fillId="0" borderId="0"/>
    <xf numFmtId="0" fontId="5" fillId="0" borderId="0"/>
    <xf numFmtId="43" fontId="1" fillId="0" borderId="0" applyFont="0" applyFill="0" applyBorder="0" applyAlignment="0" applyProtection="0"/>
    <xf numFmtId="0" fontId="1" fillId="0" borderId="0"/>
    <xf numFmtId="0" fontId="46" fillId="0" borderId="0" applyNumberFormat="0" applyFill="0" applyBorder="0" applyAlignment="0" applyProtection="0"/>
  </cellStyleXfs>
  <cellXfs count="108">
    <xf numFmtId="0" fontId="0" fillId="0" borderId="0" xfId="0"/>
    <xf numFmtId="0" fontId="2" fillId="0" borderId="0" xfId="0" applyFont="1"/>
    <xf numFmtId="14" fontId="0" fillId="0" borderId="0" xfId="0" applyNumberFormat="1"/>
    <xf numFmtId="6" fontId="0" fillId="0" borderId="0" xfId="0" applyNumberFormat="1"/>
    <xf numFmtId="10" fontId="0" fillId="0" borderId="0" xfId="0" applyNumberFormat="1"/>
    <xf numFmtId="165" fontId="0" fillId="0" borderId="0" xfId="1" applyNumberFormat="1" applyFont="1"/>
    <xf numFmtId="0" fontId="2" fillId="0" borderId="0" xfId="0" applyFont="1" applyAlignment="1">
      <alignment horizontal="right"/>
    </xf>
    <xf numFmtId="10" fontId="0" fillId="0" borderId="0" xfId="2" applyNumberFormat="1" applyFont="1"/>
    <xf numFmtId="0" fontId="26" fillId="0" borderId="0" xfId="0" applyFont="1"/>
    <xf numFmtId="0" fontId="4" fillId="26" borderId="0" xfId="0" applyFont="1" applyFill="1"/>
    <xf numFmtId="0" fontId="27" fillId="26" borderId="0" xfId="0" applyFont="1" applyFill="1"/>
    <xf numFmtId="14" fontId="0" fillId="0" borderId="0" xfId="0" applyNumberFormat="1" applyAlignment="1">
      <alignment horizontal="right"/>
    </xf>
    <xf numFmtId="0" fontId="0" fillId="0" borderId="0" xfId="0" applyAlignment="1">
      <alignment horizontal="left"/>
    </xf>
    <xf numFmtId="14" fontId="0" fillId="0" borderId="0" xfId="0" applyNumberFormat="1" applyAlignment="1">
      <alignment horizontal="left"/>
    </xf>
    <xf numFmtId="6" fontId="0" fillId="0" borderId="0" xfId="0" applyNumberFormat="1" applyAlignment="1">
      <alignment horizontal="left"/>
    </xf>
    <xf numFmtId="167" fontId="3" fillId="0" borderId="0" xfId="0" applyNumberFormat="1" applyFont="1" applyAlignment="1">
      <alignment horizontal="center"/>
    </xf>
    <xf numFmtId="169" fontId="0" fillId="0" borderId="11" xfId="0" applyNumberFormat="1" applyBorder="1"/>
    <xf numFmtId="168" fontId="0" fillId="0" borderId="0" xfId="0" applyNumberFormat="1"/>
    <xf numFmtId="169" fontId="0" fillId="0" borderId="0" xfId="0" applyNumberFormat="1"/>
    <xf numFmtId="44" fontId="0" fillId="0" borderId="0" xfId="0" applyNumberFormat="1" applyAlignment="1">
      <alignment wrapText="1"/>
    </xf>
    <xf numFmtId="170" fontId="0" fillId="0" borderId="0" xfId="0" applyNumberFormat="1"/>
    <xf numFmtId="171" fontId="0" fillId="0" borderId="0" xfId="0" applyNumberFormat="1"/>
    <xf numFmtId="14" fontId="3" fillId="0" borderId="0" xfId="0" applyNumberFormat="1" applyFont="1" applyAlignment="1">
      <alignment horizontal="center"/>
    </xf>
    <xf numFmtId="2" fontId="0" fillId="0" borderId="0" xfId="0" applyNumberFormat="1"/>
    <xf numFmtId="9" fontId="0" fillId="0" borderId="0" xfId="2" applyFont="1"/>
    <xf numFmtId="172" fontId="0" fillId="0" borderId="0" xfId="0" applyNumberFormat="1"/>
    <xf numFmtId="172" fontId="3" fillId="0" borderId="0" xfId="0" applyNumberFormat="1" applyFont="1" applyAlignment="1">
      <alignment horizontal="center"/>
    </xf>
    <xf numFmtId="14" fontId="3" fillId="0" borderId="0" xfId="0" applyNumberFormat="1" applyFont="1" applyAlignment="1">
      <alignment horizontal="right"/>
    </xf>
    <xf numFmtId="9" fontId="0" fillId="0" borderId="0" xfId="0" applyNumberFormat="1"/>
    <xf numFmtId="4" fontId="29" fillId="0" borderId="0" xfId="0" applyNumberFormat="1" applyFont="1" applyAlignment="1">
      <alignment horizontal="right"/>
    </xf>
    <xf numFmtId="0" fontId="29" fillId="0" borderId="0" xfId="0" applyFont="1" applyAlignment="1">
      <alignment horizontal="left"/>
    </xf>
    <xf numFmtId="4" fontId="29" fillId="0" borderId="0" xfId="0" applyNumberFormat="1" applyFont="1" applyAlignment="1">
      <alignment horizontal="right" vertical="center"/>
    </xf>
    <xf numFmtId="0" fontId="29" fillId="0" borderId="0" xfId="0" applyFont="1" applyAlignment="1">
      <alignment horizontal="right" vertical="center"/>
    </xf>
    <xf numFmtId="9" fontId="29" fillId="0" borderId="0" xfId="2" applyFont="1" applyAlignment="1">
      <alignment horizontal="right"/>
    </xf>
    <xf numFmtId="4" fontId="30" fillId="0" borderId="0" xfId="0" applyNumberFormat="1" applyFont="1" applyAlignment="1">
      <alignment horizontal="right"/>
    </xf>
    <xf numFmtId="2" fontId="29" fillId="0" borderId="0" xfId="0" applyNumberFormat="1" applyFont="1" applyAlignment="1">
      <alignment horizontal="right"/>
    </xf>
    <xf numFmtId="1" fontId="0" fillId="0" borderId="0" xfId="0" applyNumberFormat="1"/>
    <xf numFmtId="0" fontId="31" fillId="0" borderId="0" xfId="0" applyFont="1"/>
    <xf numFmtId="0" fontId="32" fillId="0" borderId="0" xfId="77" applyFont="1"/>
    <xf numFmtId="43" fontId="0" fillId="0" borderId="0" xfId="1" applyFont="1"/>
    <xf numFmtId="173" fontId="0" fillId="0" borderId="0" xfId="1" applyNumberFormat="1" applyFont="1"/>
    <xf numFmtId="173" fontId="0" fillId="0" borderId="0" xfId="0" applyNumberFormat="1"/>
    <xf numFmtId="2" fontId="2" fillId="0" borderId="0" xfId="0" applyNumberFormat="1" applyFont="1"/>
    <xf numFmtId="0" fontId="34" fillId="0" borderId="0" xfId="0" applyFont="1"/>
    <xf numFmtId="0" fontId="0" fillId="26" borderId="0" xfId="0" applyFill="1"/>
    <xf numFmtId="6" fontId="34" fillId="0" borderId="0" xfId="0" applyNumberFormat="1" applyFont="1"/>
    <xf numFmtId="173" fontId="34" fillId="0" borderId="0" xfId="1" applyNumberFormat="1" applyFont="1"/>
    <xf numFmtId="9" fontId="34" fillId="0" borderId="0" xfId="0" applyNumberFormat="1" applyFont="1"/>
    <xf numFmtId="10" fontId="34" fillId="0" borderId="0" xfId="0" applyNumberFormat="1" applyFont="1"/>
    <xf numFmtId="0" fontId="0" fillId="0" borderId="12" xfId="0" applyBorder="1"/>
    <xf numFmtId="0" fontId="2" fillId="0" borderId="13" xfId="0" applyFont="1" applyBorder="1"/>
    <xf numFmtId="0" fontId="2" fillId="0" borderId="14" xfId="0" applyFont="1" applyBorder="1"/>
    <xf numFmtId="14" fontId="0" fillId="0" borderId="15" xfId="0" applyNumberFormat="1" applyBorder="1" applyAlignment="1">
      <alignment horizontal="right"/>
    </xf>
    <xf numFmtId="173" fontId="0" fillId="0" borderId="16" xfId="0" applyNumberFormat="1" applyBorder="1"/>
    <xf numFmtId="173" fontId="0" fillId="0" borderId="18" xfId="0" applyNumberFormat="1" applyBorder="1"/>
    <xf numFmtId="0" fontId="0" fillId="0" borderId="18" xfId="0" applyBorder="1"/>
    <xf numFmtId="14" fontId="34" fillId="0" borderId="17" xfId="0" applyNumberFormat="1" applyFont="1" applyBorder="1" applyAlignment="1">
      <alignment horizontal="right"/>
    </xf>
    <xf numFmtId="0" fontId="2" fillId="27" borderId="0" xfId="0" applyFont="1" applyFill="1"/>
    <xf numFmtId="14" fontId="0" fillId="27" borderId="0" xfId="0" applyNumberFormat="1" applyFill="1" applyAlignment="1">
      <alignment horizontal="right"/>
    </xf>
    <xf numFmtId="0" fontId="0" fillId="27" borderId="0" xfId="0" applyFill="1"/>
    <xf numFmtId="0" fontId="0" fillId="27" borderId="0" xfId="0" applyFill="1" applyAlignment="1">
      <alignment horizontal="right"/>
    </xf>
    <xf numFmtId="173" fontId="0" fillId="27" borderId="0" xfId="1" applyNumberFormat="1" applyFont="1" applyFill="1" applyAlignment="1">
      <alignment horizontal="right"/>
    </xf>
    <xf numFmtId="173" fontId="0" fillId="27" borderId="1" xfId="1" applyNumberFormat="1" applyFont="1" applyFill="1" applyBorder="1" applyAlignment="1">
      <alignment horizontal="right"/>
    </xf>
    <xf numFmtId="165" fontId="0" fillId="27" borderId="0" xfId="1" applyNumberFormat="1" applyFont="1" applyFill="1"/>
    <xf numFmtId="14" fontId="2" fillId="0" borderId="0" xfId="0" applyNumberFormat="1" applyFont="1"/>
    <xf numFmtId="0" fontId="2" fillId="29" borderId="0" xfId="0" applyFont="1" applyFill="1"/>
    <xf numFmtId="0" fontId="2" fillId="30" borderId="0" xfId="0" applyFont="1" applyFill="1"/>
    <xf numFmtId="0" fontId="0" fillId="30" borderId="0" xfId="0" applyFill="1"/>
    <xf numFmtId="165" fontId="0" fillId="0" borderId="0" xfId="0" applyNumberFormat="1"/>
    <xf numFmtId="165" fontId="0" fillId="29" borderId="0" xfId="1" applyNumberFormat="1" applyFont="1" applyFill="1"/>
    <xf numFmtId="0" fontId="0" fillId="29" borderId="0" xfId="0" applyFill="1"/>
    <xf numFmtId="37" fontId="37" fillId="28" borderId="0" xfId="0" applyNumberFormat="1" applyFont="1" applyFill="1" applyAlignment="1">
      <alignment vertical="center"/>
    </xf>
    <xf numFmtId="37" fontId="40" fillId="28" borderId="0" xfId="0" applyNumberFormat="1" applyFont="1" applyFill="1" applyAlignment="1">
      <alignment vertical="center"/>
    </xf>
    <xf numFmtId="37" fontId="48" fillId="28" borderId="0" xfId="0" applyNumberFormat="1" applyFont="1" applyFill="1" applyAlignment="1">
      <alignment vertical="center"/>
    </xf>
    <xf numFmtId="37" fontId="47" fillId="28" borderId="0" xfId="0" applyNumberFormat="1" applyFont="1" applyFill="1" applyAlignment="1">
      <alignment vertical="center"/>
    </xf>
    <xf numFmtId="0" fontId="36" fillId="0" borderId="0" xfId="78" applyFont="1"/>
    <xf numFmtId="174" fontId="36" fillId="0" borderId="0" xfId="12" applyNumberFormat="1" applyFont="1"/>
    <xf numFmtId="0" fontId="38" fillId="0" borderId="0" xfId="0" applyFont="1"/>
    <xf numFmtId="0" fontId="39" fillId="0" borderId="0" xfId="0" applyFont="1"/>
    <xf numFmtId="0" fontId="39" fillId="0" borderId="0" xfId="0" applyFont="1" applyAlignment="1">
      <alignment horizontal="right"/>
    </xf>
    <xf numFmtId="0" fontId="41" fillId="0" borderId="0" xfId="0" applyFont="1"/>
    <xf numFmtId="0" fontId="42" fillId="0" borderId="0" xfId="79" applyFont="1"/>
    <xf numFmtId="174" fontId="42" fillId="0" borderId="0" xfId="80" applyNumberFormat="1" applyFont="1"/>
    <xf numFmtId="176" fontId="42" fillId="0" borderId="0" xfId="80" applyNumberFormat="1" applyFont="1"/>
    <xf numFmtId="175" fontId="38" fillId="0" borderId="0" xfId="0" applyNumberFormat="1" applyFont="1" applyAlignment="1">
      <alignment horizontal="right"/>
    </xf>
    <xf numFmtId="164" fontId="42" fillId="0" borderId="0" xfId="2" applyNumberFormat="1" applyFont="1"/>
    <xf numFmtId="0" fontId="43" fillId="0" borderId="20" xfId="0" applyFont="1" applyBorder="1" applyAlignment="1">
      <alignment horizontal="center"/>
    </xf>
    <xf numFmtId="0" fontId="39" fillId="0" borderId="21" xfId="0" applyFont="1" applyBorder="1"/>
    <xf numFmtId="0" fontId="39" fillId="0" borderId="22" xfId="0" applyFont="1" applyBorder="1"/>
    <xf numFmtId="0" fontId="44" fillId="0" borderId="23" xfId="0" applyFont="1" applyBorder="1"/>
    <xf numFmtId="0" fontId="39" fillId="0" borderId="24" xfId="0" applyFont="1" applyBorder="1"/>
    <xf numFmtId="0" fontId="44" fillId="0" borderId="24" xfId="0" applyFont="1" applyBorder="1"/>
    <xf numFmtId="0" fontId="45" fillId="0" borderId="0" xfId="0" applyFont="1"/>
    <xf numFmtId="177" fontId="45" fillId="0" borderId="0" xfId="0" applyNumberFormat="1" applyFont="1" applyAlignment="1">
      <alignment horizontal="right"/>
    </xf>
    <xf numFmtId="175" fontId="45" fillId="0" borderId="0" xfId="0" applyNumberFormat="1" applyFont="1" applyAlignment="1">
      <alignment horizontal="right"/>
    </xf>
    <xf numFmtId="0" fontId="39" fillId="0" borderId="19" xfId="0" applyFont="1" applyBorder="1"/>
    <xf numFmtId="0" fontId="38" fillId="0" borderId="19" xfId="0" applyFont="1" applyBorder="1"/>
    <xf numFmtId="175" fontId="39" fillId="0" borderId="19" xfId="0" applyNumberFormat="1" applyFont="1" applyBorder="1" applyAlignment="1">
      <alignment horizontal="right"/>
    </xf>
    <xf numFmtId="10" fontId="42" fillId="0" borderId="0" xfId="79" applyNumberFormat="1" applyFont="1" applyAlignment="1">
      <alignment horizontal="right"/>
    </xf>
    <xf numFmtId="178" fontId="45" fillId="0" borderId="0" xfId="0" applyNumberFormat="1" applyFont="1" applyAlignment="1">
      <alignment horizontal="right"/>
    </xf>
    <xf numFmtId="43" fontId="38" fillId="0" borderId="0" xfId="80" applyFont="1"/>
    <xf numFmtId="164" fontId="0" fillId="27" borderId="0" xfId="2" applyNumberFormat="1" applyFont="1" applyFill="1"/>
    <xf numFmtId="168" fontId="42" fillId="0" borderId="0" xfId="80" applyNumberFormat="1" applyFont="1"/>
    <xf numFmtId="168" fontId="39" fillId="0" borderId="22" xfId="0" applyNumberFormat="1" applyFont="1" applyBorder="1" applyAlignment="1">
      <alignment horizontal="right"/>
    </xf>
    <xf numFmtId="168" fontId="44" fillId="0" borderId="24" xfId="0" applyNumberFormat="1" applyFont="1" applyBorder="1" applyAlignment="1">
      <alignment horizontal="right"/>
    </xf>
    <xf numFmtId="4" fontId="30" fillId="0" borderId="0" xfId="0" applyNumberFormat="1" applyFont="1" applyAlignment="1">
      <alignment horizontal="center"/>
    </xf>
    <xf numFmtId="0" fontId="35" fillId="0" borderId="0" xfId="0" applyFont="1" applyAlignment="1">
      <alignment horizontal="left" vertical="top" wrapText="1"/>
    </xf>
    <xf numFmtId="173" fontId="0" fillId="0" borderId="25" xfId="0" applyNumberFormat="1" applyBorder="1"/>
  </cellXfs>
  <cellStyles count="83">
    <cellStyle name="%" xfId="11" xr:uid="{F84E3EB4-DD98-4CCB-8C84-7332AF12C876}"/>
    <cellStyle name="20% - Accent1 2" xfId="27" xr:uid="{E1F4C524-1350-4C87-8CEA-80051A47E00D}"/>
    <cellStyle name="20% - Accent2 2" xfId="28" xr:uid="{DBA0B53B-076D-4E8C-B262-6167EFBFC12E}"/>
    <cellStyle name="20% - Accent3 2" xfId="29" xr:uid="{DC18CCDC-D506-4BBF-999A-E3EA7134836A}"/>
    <cellStyle name="20% - Accent4 2" xfId="30" xr:uid="{049D7841-9200-4DFD-A536-99288A6F4258}"/>
    <cellStyle name="20% - Accent5 2" xfId="31" xr:uid="{21CB26B2-0DEB-4906-968F-3C9725FEA506}"/>
    <cellStyle name="20% - Accent6 2" xfId="32" xr:uid="{913B51DA-F423-4CA6-BF3B-A55066B7CF08}"/>
    <cellStyle name="40% - Accent1 2" xfId="33" xr:uid="{C9E409A0-DBC6-489A-9197-0128436D16FC}"/>
    <cellStyle name="40% - Accent2 2" xfId="34" xr:uid="{DBE3743D-2AD0-4C88-A86F-D9635E5A8945}"/>
    <cellStyle name="40% - Accent3 2" xfId="35" xr:uid="{8AD707D8-0830-4CFA-AC39-EDB39211632D}"/>
    <cellStyle name="40% - Accent4 2" xfId="36" xr:uid="{A44CC3BE-97E4-4334-A47F-7FA9EA22E52A}"/>
    <cellStyle name="40% - Accent5 2" xfId="37" xr:uid="{1119116D-F40B-467F-A5CF-445DDA729404}"/>
    <cellStyle name="40% - Accent6 2" xfId="38" xr:uid="{00081ABB-C273-48F5-B83F-16B12224E499}"/>
    <cellStyle name="60% - Accent1 2" xfId="39" xr:uid="{920CAED0-E5F1-4A2B-8DFC-BC6BEDFFB994}"/>
    <cellStyle name="60% - Accent2 2" xfId="40" xr:uid="{D212CC7E-80BE-4193-BF03-8ED78CB7E516}"/>
    <cellStyle name="60% - Accent3 2" xfId="41" xr:uid="{4DE9BD93-9429-45AB-95A2-5A301D88DBE3}"/>
    <cellStyle name="60% - Accent4 2" xfId="42" xr:uid="{77F78A62-B208-4399-986F-D1D342BC9019}"/>
    <cellStyle name="60% - Accent5 2" xfId="43" xr:uid="{C91BABA9-79FC-4926-9EC0-6BF591A994BC}"/>
    <cellStyle name="60% - Accent6 2" xfId="44" xr:uid="{4C7BBD36-E6A2-489F-ADE8-DDCC8D9156E0}"/>
    <cellStyle name="A3 297 x 420 mm" xfId="78" xr:uid="{962E6346-2A45-422B-B042-ACAF3E4429AA}"/>
    <cellStyle name="A3 297 x 420 mm 2" xfId="79" xr:uid="{19340991-661F-4BEF-82D8-CC721B4FAC96}"/>
    <cellStyle name="Accent1 2" xfId="45" xr:uid="{0EC2B793-B754-478E-8B20-61FC1508F73E}"/>
    <cellStyle name="Accent2 2" xfId="46" xr:uid="{E09FFB01-0018-446D-950C-76712EA5E367}"/>
    <cellStyle name="Accent3 2" xfId="47" xr:uid="{5F0A84BD-2D0C-4BC7-AFEF-114AC375BCC0}"/>
    <cellStyle name="Accent4 2" xfId="24" xr:uid="{D76BF3B7-2DB8-4762-9CDF-0EC0463925FB}"/>
    <cellStyle name="Accent4 3" xfId="48" xr:uid="{AB6CA334-EF85-4592-8B69-EA484115030F}"/>
    <cellStyle name="Accent5 2" xfId="49" xr:uid="{204E4E1D-D545-442F-A559-8D2CDAD751A8}"/>
    <cellStyle name="Accent6 2" xfId="50" xr:uid="{38798456-22DC-4429-8A52-7BF5ECAA67C3}"/>
    <cellStyle name="Bad 2" xfId="51" xr:uid="{F0427855-4958-41DD-BF9D-900CBCF694AA}"/>
    <cellStyle name="Calculation 2" xfId="52" xr:uid="{90109543-72F8-4550-970A-CC61A6E0BCAF}"/>
    <cellStyle name="Check Cell 2" xfId="53" xr:uid="{FC0927E8-11A3-429A-99D5-BA2D1FF3C44A}"/>
    <cellStyle name="Comma" xfId="1" builtinId="3"/>
    <cellStyle name="Comma 2" xfId="12" xr:uid="{A264BA66-9FEA-440B-B458-67DF716C2FDC}"/>
    <cellStyle name="Comma 2 2" xfId="69" xr:uid="{A0504745-FC03-4266-B5FC-B8F82FF3E9A6}"/>
    <cellStyle name="Comma 3" xfId="13" xr:uid="{FE27E7BB-651B-481F-980C-827E7B4540DF}"/>
    <cellStyle name="Comma 3 2" xfId="80" xr:uid="{5678961B-5631-42B9-8663-99608311FEE7}"/>
    <cellStyle name="Comma 4" xfId="14" xr:uid="{6B8B5BCD-E6EB-4803-A5E7-8FE6F29DB9B6}"/>
    <cellStyle name="Comma 5" xfId="72" xr:uid="{0D2B6730-A3F1-4770-858B-7665FB4F1D39}"/>
    <cellStyle name="Comma 6" xfId="6" xr:uid="{325F50BD-61D6-43E0-B808-E62E4D2B1620}"/>
    <cellStyle name="Comma 7" xfId="4" xr:uid="{707B287B-244B-44D3-86DD-92F14681DD8E}"/>
    <cellStyle name="Currency 2" xfId="54" xr:uid="{5D89119B-C533-404F-AC67-9ACE9E141C37}"/>
    <cellStyle name="Euro" xfId="15" xr:uid="{E953AF89-1ACF-4BAB-A71E-1074FE2FB68B}"/>
    <cellStyle name="Explanatory Text 2" xfId="55" xr:uid="{6D9B9D7F-2190-4572-A750-85DD283971BB}"/>
    <cellStyle name="Good 2" xfId="10" xr:uid="{AFBD677E-D145-45B3-9F0A-C644456D949A}"/>
    <cellStyle name="Heading 1 2" xfId="56" xr:uid="{783AEE48-D62B-425D-8AFB-C0EA917D6F1D}"/>
    <cellStyle name="Heading 2 2" xfId="57" xr:uid="{B61F5728-4591-416B-BF0A-0838191DC77B}"/>
    <cellStyle name="Heading 3 2" xfId="58" xr:uid="{2CAEE054-7256-4C8B-AE39-33DDBB80C1DC}"/>
    <cellStyle name="Heading 4 2" xfId="59" xr:uid="{B3DFC760-DAC3-4CB8-9367-0943F9B1F27C}"/>
    <cellStyle name="Hyperlink" xfId="77" builtinId="8"/>
    <cellStyle name="Hyperlink 2 2" xfId="82" xr:uid="{A685D436-E434-4585-8840-D646B722AFC5}"/>
    <cellStyle name="Input 2" xfId="60" xr:uid="{CB375D4F-8DF5-4720-9D8A-2852C4E6DE60}"/>
    <cellStyle name="Linked Cell 2" xfId="61" xr:uid="{4A6DB24F-26CF-4D75-AD12-9AFC0BF95DEC}"/>
    <cellStyle name="Neutral 2" xfId="62" xr:uid="{24A75432-4391-4FB6-90ED-077D1CA05181}"/>
    <cellStyle name="Neutral 3" xfId="22" xr:uid="{5BE7D576-50EA-498C-AADD-9830E68BE9A1}"/>
    <cellStyle name="Normal" xfId="0" builtinId="0"/>
    <cellStyle name="Normal - Style1" xfId="16" xr:uid="{44FD6620-BFFF-40CA-A4DD-44B53F0947BE}"/>
    <cellStyle name="Normal 10" xfId="3" xr:uid="{764BA330-0491-47A1-9CC7-E22AD2CC8325}"/>
    <cellStyle name="Normal 11" xfId="73" xr:uid="{0D9796EC-BF24-464C-A7A9-7DDDA7EA067F}"/>
    <cellStyle name="Normal 12" xfId="76" xr:uid="{69EFA6C0-F32A-4216-BCA0-A6EC1A4D166C}"/>
    <cellStyle name="Normal 13" xfId="74" xr:uid="{CABAE7B8-FF90-4A31-9A98-AB92500AE8FC}"/>
    <cellStyle name="Normal 14" xfId="75" xr:uid="{9CFEE447-4C6F-4EB4-A241-B4AFE8F9D9CE}"/>
    <cellStyle name="Normal 2" xfId="7" xr:uid="{CB955687-2362-4912-821E-2D20D26AF505}"/>
    <cellStyle name="Normal 2 2" xfId="68" xr:uid="{1C129AC8-CCC4-40FC-AB31-368DA3E99636}"/>
    <cellStyle name="Normal 2 2 2" xfId="81" xr:uid="{3850CC5E-5A7A-4450-8E12-04AE154896A9}"/>
    <cellStyle name="Normal 3" xfId="8" xr:uid="{8296E0E8-065B-4888-A29C-F0368F723D16}"/>
    <cellStyle name="Normal 3 2" xfId="71" xr:uid="{A0723F20-EE14-4CCC-AC61-8787889682D4}"/>
    <cellStyle name="Normal 4" xfId="17" xr:uid="{12D682BE-E1AE-4AD3-B4C6-DBF92872CD44}"/>
    <cellStyle name="Normal 5" xfId="18" xr:uid="{5B5C1FE6-5C40-4235-A75F-F94174350D0C}"/>
    <cellStyle name="Normal 6" xfId="25" xr:uid="{4F4DBAA8-5C85-4155-9EE5-3E9975693F9B}"/>
    <cellStyle name="Normal 7" xfId="26" xr:uid="{200E2946-AEAD-4D24-8270-34BA8853A58B}"/>
    <cellStyle name="Normal 8" xfId="70" xr:uid="{6A319DBC-7F09-4479-9670-EAA1090A6901}"/>
    <cellStyle name="Normal 9" xfId="5" xr:uid="{C4736EB2-E9B9-4586-9CE0-3D23B03C4C07}"/>
    <cellStyle name="Note 2" xfId="63" xr:uid="{0C132144-6D6E-4C0F-8F17-06D032E59F06}"/>
    <cellStyle name="Output 2" xfId="64" xr:uid="{17675FE5-D522-45CC-A242-673DC9F04B3A}"/>
    <cellStyle name="Percent" xfId="2" builtinId="5"/>
    <cellStyle name="Percent 2" xfId="9" xr:uid="{D2ABA320-C2BB-438E-935F-8FAD765907C8}"/>
    <cellStyle name="Percent 3" xfId="19" xr:uid="{305C5A91-6347-444E-8053-6918CAD487D8}"/>
    <cellStyle name="Percent 4" xfId="20" xr:uid="{0B253839-2E66-4ED9-B1DA-12933CF231F4}"/>
    <cellStyle name="Percent 5" xfId="23" xr:uid="{06F0472B-58B2-4EE6-BA09-237D4906A6B3}"/>
    <cellStyle name="Style 1" xfId="21" xr:uid="{4AE52C84-9A68-4333-8065-C515B57F1FDC}"/>
    <cellStyle name="Title 2" xfId="65" xr:uid="{553A9F96-4393-46E7-A324-57F56A5CA387}"/>
    <cellStyle name="Total 2" xfId="66" xr:uid="{AB8C5862-B5B3-4AD2-89A3-86DFABAAD7EF}"/>
    <cellStyle name="Warning Text 2" xfId="67" xr:uid="{DD3396D1-9324-42C7-B9B0-34A9E5DF0F43}"/>
  </cellStyles>
  <dxfs count="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006100"/>
      </font>
      <fill>
        <patternFill>
          <bgColor rgb="FFC6EF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Absolute Return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output!$V$4:$V$7</c:f>
              <c:strCache>
                <c:ptCount val="4"/>
                <c:pt idx="0">
                  <c:v>First Quarter</c:v>
                </c:pt>
                <c:pt idx="1">
                  <c:v>1Y</c:v>
                </c:pt>
                <c:pt idx="2">
                  <c:v>2Y </c:v>
                </c:pt>
                <c:pt idx="3">
                  <c:v>Since Inception</c:v>
                </c:pt>
              </c:strCache>
            </c:strRef>
          </c:cat>
          <c:val>
            <c:numRef>
              <c:f>output!$W$4:$W$7</c:f>
              <c:numCache>
                <c:formatCode>0.00%</c:formatCode>
                <c:ptCount val="4"/>
                <c:pt idx="0">
                  <c:v>-2.1866988163086364E-2</c:v>
                </c:pt>
                <c:pt idx="1">
                  <c:v>-0.10256955594789967</c:v>
                </c:pt>
                <c:pt idx="2">
                  <c:v>-2.2319473525682931E-2</c:v>
                </c:pt>
                <c:pt idx="3">
                  <c:v>1.4779937151090687E-2</c:v>
                </c:pt>
              </c:numCache>
            </c:numRef>
          </c:val>
          <c:smooth val="0"/>
          <c:extLst>
            <c:ext xmlns:c16="http://schemas.microsoft.com/office/drawing/2014/chart" uri="{C3380CC4-5D6E-409C-BE32-E72D297353CC}">
              <c16:uniqueId val="{00000000-E556-4536-8C66-BD83D6DAD558}"/>
            </c:ext>
          </c:extLst>
        </c:ser>
        <c:dLbls>
          <c:showLegendKey val="0"/>
          <c:showVal val="0"/>
          <c:showCatName val="0"/>
          <c:showSerName val="0"/>
          <c:showPercent val="0"/>
          <c:showBubbleSize val="0"/>
        </c:dLbls>
        <c:smooth val="0"/>
        <c:axId val="1989671792"/>
        <c:axId val="1989657392"/>
      </c:lineChart>
      <c:catAx>
        <c:axId val="198967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657392"/>
        <c:crosses val="autoZero"/>
        <c:auto val="1"/>
        <c:lblAlgn val="ctr"/>
        <c:lblOffset val="100"/>
        <c:noMultiLvlLbl val="0"/>
      </c:catAx>
      <c:valAx>
        <c:axId val="1989657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671792"/>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Funds</a:t>
            </a:r>
            <a:r>
              <a:rPr lang="en-GB" baseline="0"/>
              <a:t> vs Benchmark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output!$Y$53</c:f>
              <c:strCache>
                <c:ptCount val="1"/>
                <c:pt idx="0">
                  <c:v>All REITs </c:v>
                </c:pt>
              </c:strCache>
            </c:strRef>
          </c:tx>
          <c:spPr>
            <a:ln w="28575" cap="rnd">
              <a:solidFill>
                <a:schemeClr val="accent1"/>
              </a:solidFill>
              <a:round/>
            </a:ln>
            <a:effectLst/>
          </c:spPr>
          <c:marker>
            <c:symbol val="none"/>
          </c:marker>
          <c:cat>
            <c:strRef>
              <c:f>output!$V$55:$V$65</c:f>
              <c:strCache>
                <c:ptCount val="11"/>
                <c:pt idx="0">
                  <c:v>Q4 2022</c:v>
                </c:pt>
                <c:pt idx="1">
                  <c:v>Q1 2023</c:v>
                </c:pt>
                <c:pt idx="2">
                  <c:v>Q2 2023</c:v>
                </c:pt>
                <c:pt idx="3">
                  <c:v>Q3 2023</c:v>
                </c:pt>
                <c:pt idx="4">
                  <c:v>Q4 2023</c:v>
                </c:pt>
                <c:pt idx="5">
                  <c:v>Q1 2024</c:v>
                </c:pt>
                <c:pt idx="6">
                  <c:v>Q2 2024</c:v>
                </c:pt>
                <c:pt idx="7">
                  <c:v>Q3 2024</c:v>
                </c:pt>
                <c:pt idx="8">
                  <c:v>Q4 2024</c:v>
                </c:pt>
                <c:pt idx="9">
                  <c:v>Q1 2025</c:v>
                </c:pt>
                <c:pt idx="10">
                  <c:v>Q2 2025</c:v>
                </c:pt>
              </c:strCache>
            </c:strRef>
          </c:cat>
          <c:val>
            <c:numRef>
              <c:f>output!$Y$55:$Y$65</c:f>
              <c:numCache>
                <c:formatCode>0%</c:formatCode>
                <c:ptCount val="11"/>
                <c:pt idx="0">
                  <c:v>4.5105705970697491E-2</c:v>
                </c:pt>
                <c:pt idx="1">
                  <c:v>1.4945293635113717E-2</c:v>
                </c:pt>
                <c:pt idx="2">
                  <c:v>1.6035004671782156E-2</c:v>
                </c:pt>
                <c:pt idx="3">
                  <c:v>-8.0410235013810907E-2</c:v>
                </c:pt>
                <c:pt idx="4">
                  <c:v>0.17560836836600227</c:v>
                </c:pt>
                <c:pt idx="5">
                  <c:v>-1.2772593224540519E-2</c:v>
                </c:pt>
                <c:pt idx="6">
                  <c:v>-9.3827049555577097E-3</c:v>
                </c:pt>
                <c:pt idx="7">
                  <c:v>0.16248508989300339</c:v>
                </c:pt>
                <c:pt idx="8">
                  <c:v>-8.2280880569845505E-2</c:v>
                </c:pt>
                <c:pt idx="9">
                  <c:v>2.8660679856508827E-2</c:v>
                </c:pt>
                <c:pt idx="10">
                  <c:v>-1.1205630558250745E-2</c:v>
                </c:pt>
              </c:numCache>
            </c:numRef>
          </c:val>
          <c:smooth val="0"/>
          <c:extLst>
            <c:ext xmlns:c16="http://schemas.microsoft.com/office/drawing/2014/chart" uri="{C3380CC4-5D6E-409C-BE32-E72D297353CC}">
              <c16:uniqueId val="{00000000-8FF9-4936-B5BA-9579D6AC792B}"/>
            </c:ext>
          </c:extLst>
        </c:ser>
        <c:ser>
          <c:idx val="1"/>
          <c:order val="1"/>
          <c:tx>
            <c:strRef>
              <c:f>output!$Z$53</c:f>
              <c:strCache>
                <c:ptCount val="1"/>
                <c:pt idx="0">
                  <c:v>Fund's TVPI </c:v>
                </c:pt>
              </c:strCache>
            </c:strRef>
          </c:tx>
          <c:spPr>
            <a:ln w="28575" cap="rnd">
              <a:solidFill>
                <a:schemeClr val="accent2"/>
              </a:solidFill>
              <a:round/>
            </a:ln>
            <a:effectLst/>
          </c:spPr>
          <c:marker>
            <c:symbol val="none"/>
          </c:marker>
          <c:cat>
            <c:strRef>
              <c:f>output!$V$55:$V$65</c:f>
              <c:strCache>
                <c:ptCount val="11"/>
                <c:pt idx="0">
                  <c:v>Q4 2022</c:v>
                </c:pt>
                <c:pt idx="1">
                  <c:v>Q1 2023</c:v>
                </c:pt>
                <c:pt idx="2">
                  <c:v>Q2 2023</c:v>
                </c:pt>
                <c:pt idx="3">
                  <c:v>Q3 2023</c:v>
                </c:pt>
                <c:pt idx="4">
                  <c:v>Q4 2023</c:v>
                </c:pt>
                <c:pt idx="5">
                  <c:v>Q1 2024</c:v>
                </c:pt>
                <c:pt idx="6">
                  <c:v>Q2 2024</c:v>
                </c:pt>
                <c:pt idx="7">
                  <c:v>Q3 2024</c:v>
                </c:pt>
                <c:pt idx="8">
                  <c:v>Q4 2024</c:v>
                </c:pt>
                <c:pt idx="9">
                  <c:v>Q1 2025</c:v>
                </c:pt>
                <c:pt idx="10">
                  <c:v>Q2 2025</c:v>
                </c:pt>
              </c:strCache>
            </c:strRef>
          </c:cat>
          <c:val>
            <c:numRef>
              <c:f>output!$Z$55:$Z$65</c:f>
              <c:numCache>
                <c:formatCode>0%</c:formatCode>
                <c:ptCount val="11"/>
                <c:pt idx="0">
                  <c:v>0.31330132921701603</c:v>
                </c:pt>
                <c:pt idx="1">
                  <c:v>-2.1194965479561595E-2</c:v>
                </c:pt>
                <c:pt idx="2">
                  <c:v>-0.18014075499271387</c:v>
                </c:pt>
                <c:pt idx="3">
                  <c:v>3.4182635986769863E-2</c:v>
                </c:pt>
                <c:pt idx="4">
                  <c:v>5.022902833736448E-3</c:v>
                </c:pt>
                <c:pt idx="5">
                  <c:v>-7.8446455142548426E-3</c:v>
                </c:pt>
                <c:pt idx="6">
                  <c:v>-3.178033773002515E-2</c:v>
                </c:pt>
                <c:pt idx="7">
                  <c:v>-4.9232569420576362E-2</c:v>
                </c:pt>
                <c:pt idx="8">
                  <c:v>-9.1264798562722856E-3</c:v>
                </c:pt>
                <c:pt idx="9">
                  <c:v>-1.6718456030109661E-2</c:v>
                </c:pt>
                <c:pt idx="10">
                  <c:v>-1.115326842114148E-2</c:v>
                </c:pt>
              </c:numCache>
            </c:numRef>
          </c:val>
          <c:smooth val="0"/>
          <c:extLst>
            <c:ext xmlns:c16="http://schemas.microsoft.com/office/drawing/2014/chart" uri="{C3380CC4-5D6E-409C-BE32-E72D297353CC}">
              <c16:uniqueId val="{00000001-8FF9-4936-B5BA-9579D6AC792B}"/>
            </c:ext>
          </c:extLst>
        </c:ser>
        <c:dLbls>
          <c:showLegendKey val="0"/>
          <c:showVal val="0"/>
          <c:showCatName val="0"/>
          <c:showSerName val="0"/>
          <c:showPercent val="0"/>
          <c:showBubbleSize val="0"/>
        </c:dLbls>
        <c:smooth val="0"/>
        <c:axId val="168481408"/>
        <c:axId val="168467968"/>
      </c:lineChart>
      <c:catAx>
        <c:axId val="16848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67968"/>
        <c:crosses val="autoZero"/>
        <c:auto val="1"/>
        <c:lblAlgn val="ctr"/>
        <c:lblOffset val="100"/>
        <c:noMultiLvlLbl val="0"/>
      </c:catAx>
      <c:valAx>
        <c:axId val="168467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Net Paid in capital vs TVPI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output!$AA$23</c:f>
              <c:strCache>
                <c:ptCount val="1"/>
                <c:pt idx="0">
                  <c:v>Net Paid-in capital</c:v>
                </c:pt>
              </c:strCache>
            </c:strRef>
          </c:tx>
          <c:spPr>
            <a:solidFill>
              <a:schemeClr val="accent2"/>
            </a:solidFill>
            <a:ln>
              <a:noFill/>
            </a:ln>
            <a:effectLst/>
          </c:spPr>
          <c:invertIfNegative val="0"/>
          <c:cat>
            <c:strRef>
              <c:f>output!$Y$24:$Y$35</c:f>
              <c:strCache>
                <c:ptCount val="12"/>
                <c:pt idx="0">
                  <c:v>Q3 22</c:v>
                </c:pt>
                <c:pt idx="1">
                  <c:v>Q4 22</c:v>
                </c:pt>
                <c:pt idx="2">
                  <c:v>Q1 23</c:v>
                </c:pt>
                <c:pt idx="3">
                  <c:v>Q2 23</c:v>
                </c:pt>
                <c:pt idx="4">
                  <c:v>Q3 23</c:v>
                </c:pt>
                <c:pt idx="5">
                  <c:v>Q4 23</c:v>
                </c:pt>
                <c:pt idx="6">
                  <c:v>Q1 24</c:v>
                </c:pt>
                <c:pt idx="7">
                  <c:v>Q2 24</c:v>
                </c:pt>
                <c:pt idx="8">
                  <c:v>Q3 24</c:v>
                </c:pt>
                <c:pt idx="9">
                  <c:v>Q4 24</c:v>
                </c:pt>
                <c:pt idx="10">
                  <c:v>Q1 25</c:v>
                </c:pt>
                <c:pt idx="11">
                  <c:v>Q2 25</c:v>
                </c:pt>
              </c:strCache>
            </c:strRef>
          </c:cat>
          <c:val>
            <c:numRef>
              <c:f>output!$AA$24:$AA$35</c:f>
              <c:numCache>
                <c:formatCode>"£"#,##0</c:formatCode>
                <c:ptCount val="12"/>
                <c:pt idx="0">
                  <c:v>11405000</c:v>
                </c:pt>
                <c:pt idx="1">
                  <c:v>0</c:v>
                </c:pt>
                <c:pt idx="2">
                  <c:v>2079569</c:v>
                </c:pt>
                <c:pt idx="3">
                  <c:v>46553431</c:v>
                </c:pt>
                <c:pt idx="4">
                  <c:v>0</c:v>
                </c:pt>
                <c:pt idx="5">
                  <c:v>14952888</c:v>
                </c:pt>
                <c:pt idx="6">
                  <c:v>7001144</c:v>
                </c:pt>
                <c:pt idx="7">
                  <c:v>43008653</c:v>
                </c:pt>
                <c:pt idx="8">
                  <c:v>37000000</c:v>
                </c:pt>
                <c:pt idx="9">
                  <c:v>5000000</c:v>
                </c:pt>
                <c:pt idx="10">
                  <c:v>0</c:v>
                </c:pt>
                <c:pt idx="11">
                  <c:v>10000000</c:v>
                </c:pt>
              </c:numCache>
            </c:numRef>
          </c:val>
          <c:extLst>
            <c:ext xmlns:c16="http://schemas.microsoft.com/office/drawing/2014/chart" uri="{C3380CC4-5D6E-409C-BE32-E72D297353CC}">
              <c16:uniqueId val="{00000001-1805-4ABE-9C4B-0EBE0E727A6E}"/>
            </c:ext>
          </c:extLst>
        </c:ser>
        <c:dLbls>
          <c:showLegendKey val="0"/>
          <c:showVal val="0"/>
          <c:showCatName val="0"/>
          <c:showSerName val="0"/>
          <c:showPercent val="0"/>
          <c:showBubbleSize val="0"/>
        </c:dLbls>
        <c:gapWidth val="219"/>
        <c:axId val="571722144"/>
        <c:axId val="1677375664"/>
      </c:barChart>
      <c:lineChart>
        <c:grouping val="standard"/>
        <c:varyColors val="0"/>
        <c:ser>
          <c:idx val="0"/>
          <c:order val="0"/>
          <c:tx>
            <c:strRef>
              <c:f>output!$Z$23</c:f>
              <c:strCache>
                <c:ptCount val="1"/>
                <c:pt idx="0">
                  <c:v>TVPI</c:v>
                </c:pt>
              </c:strCache>
            </c:strRef>
          </c:tx>
          <c:spPr>
            <a:ln w="28575" cap="rnd">
              <a:solidFill>
                <a:schemeClr val="accent1"/>
              </a:solidFill>
              <a:round/>
            </a:ln>
            <a:effectLst/>
          </c:spPr>
          <c:marker>
            <c:symbol val="none"/>
          </c:marker>
          <c:cat>
            <c:strRef>
              <c:f>output!$Y$24:$Y$35</c:f>
              <c:strCache>
                <c:ptCount val="12"/>
                <c:pt idx="0">
                  <c:v>Q3 22</c:v>
                </c:pt>
                <c:pt idx="1">
                  <c:v>Q4 22</c:v>
                </c:pt>
                <c:pt idx="2">
                  <c:v>Q1 23</c:v>
                </c:pt>
                <c:pt idx="3">
                  <c:v>Q2 23</c:v>
                </c:pt>
                <c:pt idx="4">
                  <c:v>Q3 23</c:v>
                </c:pt>
                <c:pt idx="5">
                  <c:v>Q4 23</c:v>
                </c:pt>
                <c:pt idx="6">
                  <c:v>Q1 24</c:v>
                </c:pt>
                <c:pt idx="7">
                  <c:v>Q2 24</c:v>
                </c:pt>
                <c:pt idx="8">
                  <c:v>Q3 24</c:v>
                </c:pt>
                <c:pt idx="9">
                  <c:v>Q4 24</c:v>
                </c:pt>
                <c:pt idx="10">
                  <c:v>Q1 25</c:v>
                </c:pt>
                <c:pt idx="11">
                  <c:v>Q2 25</c:v>
                </c:pt>
              </c:strCache>
            </c:strRef>
          </c:cat>
          <c:val>
            <c:numRef>
              <c:f>output!$Z$24:$Z$35</c:f>
              <c:numCache>
                <c:formatCode>_(* #,##0.00_);_(* \(#,##0.00\);_(* "-"??_);_(@_)</c:formatCode>
                <c:ptCount val="12"/>
                <c:pt idx="0">
                  <c:v>1.0223558431199664</c:v>
                </c:pt>
                <c:pt idx="1">
                  <c:v>1.342661287702235</c:v>
                </c:pt>
                <c:pt idx="2">
                  <c:v>1.3142036280586424</c:v>
                </c:pt>
                <c:pt idx="3">
                  <c:v>1.0774619942859949</c:v>
                </c:pt>
                <c:pt idx="4">
                  <c:v>1.1142924854262521</c:v>
                </c:pt>
                <c:pt idx="5">
                  <c:v>1.1198894683089109</c:v>
                </c:pt>
                <c:pt idx="6">
                  <c:v>1.1111043324148802</c:v>
                </c:pt>
                <c:pt idx="7">
                  <c:v>1.0757930614774411</c:v>
                </c:pt>
                <c:pt idx="8">
                  <c:v>1.0228290048960786</c:v>
                </c:pt>
                <c:pt idx="9">
                  <c:v>1.0134941765864836</c:v>
                </c:pt>
                <c:pt idx="10">
                  <c:v>0.99655011875845023</c:v>
                </c:pt>
                <c:pt idx="11">
                  <c:v>0.98543532778881682</c:v>
                </c:pt>
              </c:numCache>
            </c:numRef>
          </c:val>
          <c:smooth val="0"/>
          <c:extLst>
            <c:ext xmlns:c16="http://schemas.microsoft.com/office/drawing/2014/chart" uri="{C3380CC4-5D6E-409C-BE32-E72D297353CC}">
              <c16:uniqueId val="{00000000-1805-4ABE-9C4B-0EBE0E727A6E}"/>
            </c:ext>
          </c:extLst>
        </c:ser>
        <c:dLbls>
          <c:showLegendKey val="0"/>
          <c:showVal val="0"/>
          <c:showCatName val="0"/>
          <c:showSerName val="0"/>
          <c:showPercent val="0"/>
          <c:showBubbleSize val="0"/>
        </c:dLbls>
        <c:marker val="1"/>
        <c:smooth val="0"/>
        <c:axId val="2110384768"/>
        <c:axId val="2114734720"/>
      </c:lineChart>
      <c:catAx>
        <c:axId val="5717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375664"/>
        <c:crosses val="autoZero"/>
        <c:auto val="1"/>
        <c:lblAlgn val="ctr"/>
        <c:lblOffset val="100"/>
        <c:noMultiLvlLbl val="0"/>
      </c:catAx>
      <c:valAx>
        <c:axId val="1677375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22144"/>
        <c:crosses val="autoZero"/>
        <c:crossBetween val="between"/>
      </c:valAx>
      <c:valAx>
        <c:axId val="2114734720"/>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84768"/>
        <c:crosses val="max"/>
        <c:crossBetween val="between"/>
      </c:valAx>
      <c:catAx>
        <c:axId val="2110384768"/>
        <c:scaling>
          <c:orientation val="minMax"/>
        </c:scaling>
        <c:delete val="1"/>
        <c:axPos val="b"/>
        <c:numFmt formatCode="General" sourceLinked="1"/>
        <c:majorTickMark val="out"/>
        <c:minorTickMark val="none"/>
        <c:tickLblPos val="nextTo"/>
        <c:crossAx val="2114734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Cap rate vs Gross Monthly Rent</a:t>
            </a:r>
          </a:p>
        </c:rich>
      </c:tx>
      <c:layout>
        <c:manualLayout>
          <c:xMode val="edge"/>
          <c:yMode val="edge"/>
          <c:x val="0.25167495222396613"/>
          <c:y val="3.1910784768397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output!$B$86</c:f>
              <c:strCache>
                <c:ptCount val="1"/>
                <c:pt idx="0">
                  <c:v>Gross Rents ($/fq ft/month)</c:v>
                </c:pt>
              </c:strCache>
            </c:strRef>
          </c:tx>
          <c:spPr>
            <a:solidFill>
              <a:schemeClr val="accent1"/>
            </a:solidFill>
            <a:ln>
              <a:noFill/>
            </a:ln>
            <a:effectLst/>
          </c:spPr>
          <c:invertIfNegative val="0"/>
          <c:val>
            <c:numRef>
              <c:f>output!$E$86:$G$86</c:f>
              <c:numCache>
                <c:formatCode>_-[$£-809]* #,##0.00_-;\-[$£-809]* #,##0.00_-;_-[$£-809]* "-"??_-;_-@_-</c:formatCode>
                <c:ptCount val="3"/>
                <c:pt idx="0">
                  <c:v>1.6666666666666667</c:v>
                </c:pt>
                <c:pt idx="1">
                  <c:v>2.3000000000000003</c:v>
                </c:pt>
                <c:pt idx="2">
                  <c:v>2.6666666666666665</c:v>
                </c:pt>
              </c:numCache>
            </c:numRef>
          </c:val>
          <c:extLst>
            <c:ext xmlns:c16="http://schemas.microsoft.com/office/drawing/2014/chart" uri="{C3380CC4-5D6E-409C-BE32-E72D297353CC}">
              <c16:uniqueId val="{00000000-67BA-41AC-8C4D-189EDC6F685B}"/>
            </c:ext>
          </c:extLst>
        </c:ser>
        <c:dLbls>
          <c:showLegendKey val="0"/>
          <c:showVal val="0"/>
          <c:showCatName val="0"/>
          <c:showSerName val="0"/>
          <c:showPercent val="0"/>
          <c:showBubbleSize val="0"/>
        </c:dLbls>
        <c:gapWidth val="219"/>
        <c:overlap val="-27"/>
        <c:axId val="897879775"/>
        <c:axId val="897862015"/>
      </c:barChart>
      <c:lineChart>
        <c:grouping val="standard"/>
        <c:varyColors val="0"/>
        <c:ser>
          <c:idx val="1"/>
          <c:order val="1"/>
          <c:tx>
            <c:strRef>
              <c:f>output!$B$87</c:f>
              <c:strCache>
                <c:ptCount val="1"/>
                <c:pt idx="0">
                  <c:v>Cap Rate</c:v>
                </c:pt>
              </c:strCache>
            </c:strRef>
          </c:tx>
          <c:spPr>
            <a:ln w="28575" cap="rnd">
              <a:solidFill>
                <a:schemeClr val="accent2"/>
              </a:solidFill>
              <a:round/>
            </a:ln>
            <a:effectLst/>
          </c:spPr>
          <c:marker>
            <c:symbol val="none"/>
          </c:marker>
          <c:val>
            <c:numRef>
              <c:f>output!$E$87:$G$87</c:f>
              <c:numCache>
                <c:formatCode>0.0%</c:formatCode>
                <c:ptCount val="3"/>
                <c:pt idx="0">
                  <c:v>2.9375000000000002E-2</c:v>
                </c:pt>
                <c:pt idx="1">
                  <c:v>1.97293057221875E-2</c:v>
                </c:pt>
                <c:pt idx="2">
                  <c:v>2.8654017857142857E-2</c:v>
                </c:pt>
              </c:numCache>
            </c:numRef>
          </c:val>
          <c:smooth val="0"/>
          <c:extLst>
            <c:ext xmlns:c16="http://schemas.microsoft.com/office/drawing/2014/chart" uri="{C3380CC4-5D6E-409C-BE32-E72D297353CC}">
              <c16:uniqueId val="{00000001-67BA-41AC-8C4D-189EDC6F685B}"/>
            </c:ext>
          </c:extLst>
        </c:ser>
        <c:dLbls>
          <c:showLegendKey val="0"/>
          <c:showVal val="0"/>
          <c:showCatName val="0"/>
          <c:showSerName val="0"/>
          <c:showPercent val="0"/>
          <c:showBubbleSize val="0"/>
        </c:dLbls>
        <c:marker val="1"/>
        <c:smooth val="0"/>
        <c:axId val="897884095"/>
        <c:axId val="897872575"/>
      </c:lineChart>
      <c:catAx>
        <c:axId val="897879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62015"/>
        <c:crosses val="autoZero"/>
        <c:auto val="1"/>
        <c:lblAlgn val="ctr"/>
        <c:lblOffset val="100"/>
        <c:noMultiLvlLbl val="0"/>
      </c:catAx>
      <c:valAx>
        <c:axId val="897862015"/>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79775"/>
        <c:crosses val="autoZero"/>
        <c:crossBetween val="between"/>
      </c:valAx>
      <c:valAx>
        <c:axId val="897872575"/>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884095"/>
        <c:crosses val="max"/>
        <c:crossBetween val="between"/>
      </c:valAx>
      <c:catAx>
        <c:axId val="897884095"/>
        <c:scaling>
          <c:orientation val="minMax"/>
        </c:scaling>
        <c:delete val="1"/>
        <c:axPos val="b"/>
        <c:majorTickMark val="out"/>
        <c:minorTickMark val="none"/>
        <c:tickLblPos val="nextTo"/>
        <c:crossAx val="89787257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579120</xdr:colOff>
      <xdr:row>4</xdr:row>
      <xdr:rowOff>68580</xdr:rowOff>
    </xdr:from>
    <xdr:to>
      <xdr:col>9</xdr:col>
      <xdr:colOff>121920</xdr:colOff>
      <xdr:row>18</xdr:row>
      <xdr:rowOff>144780</xdr:rowOff>
    </xdr:to>
    <xdr:graphicFrame macro="">
      <xdr:nvGraphicFramePr>
        <xdr:cNvPr id="3" name="Chart 2">
          <a:extLst>
            <a:ext uri="{FF2B5EF4-FFF2-40B4-BE49-F238E27FC236}">
              <a16:creationId xmlns:a16="http://schemas.microsoft.com/office/drawing/2014/main" id="{C588CBA7-40FC-3F72-B183-0F508F81B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56</xdr:row>
      <xdr:rowOff>61912</xdr:rowOff>
    </xdr:from>
    <xdr:to>
      <xdr:col>9</xdr:col>
      <xdr:colOff>200025</xdr:colOff>
      <xdr:row>70</xdr:row>
      <xdr:rowOff>138112</xdr:rowOff>
    </xdr:to>
    <xdr:graphicFrame macro="">
      <xdr:nvGraphicFramePr>
        <xdr:cNvPr id="4" name="Chart 3">
          <a:extLst>
            <a:ext uri="{FF2B5EF4-FFF2-40B4-BE49-F238E27FC236}">
              <a16:creationId xmlns:a16="http://schemas.microsoft.com/office/drawing/2014/main" id="{A098D721-A379-7C57-151F-6839357EA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593675</xdr:colOff>
      <xdr:row>34</xdr:row>
      <xdr:rowOff>67115</xdr:rowOff>
    </xdr:from>
    <xdr:to>
      <xdr:col>9</xdr:col>
      <xdr:colOff>112345</xdr:colOff>
      <xdr:row>50</xdr:row>
      <xdr:rowOff>156307</xdr:rowOff>
    </xdr:to>
    <xdr:graphicFrame macro="">
      <xdr:nvGraphicFramePr>
        <xdr:cNvPr id="2" name="Chart 1">
          <a:extLst>
            <a:ext uri="{FF2B5EF4-FFF2-40B4-BE49-F238E27FC236}">
              <a16:creationId xmlns:a16="http://schemas.microsoft.com/office/drawing/2014/main" id="{BF59F0B8-0491-E494-CC75-74552B913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191866</xdr:colOff>
      <xdr:row>84</xdr:row>
      <xdr:rowOff>9573</xdr:rowOff>
    </xdr:from>
    <xdr:to>
      <xdr:col>17</xdr:col>
      <xdr:colOff>185516</xdr:colOff>
      <xdr:row>98</xdr:row>
      <xdr:rowOff>152888</xdr:rowOff>
    </xdr:to>
    <xdr:graphicFrame macro="">
      <xdr:nvGraphicFramePr>
        <xdr:cNvPr id="8" name="Chart 7">
          <a:extLst>
            <a:ext uri="{FF2B5EF4-FFF2-40B4-BE49-F238E27FC236}">
              <a16:creationId xmlns:a16="http://schemas.microsoft.com/office/drawing/2014/main" id="{394D75E1-C6B4-B851-A682-06C69C073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hyperlink" Target="https://www.reit.com/data-research/reit-indexes/monthly-index-values-returns" TargetMode="Externa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0B0F-8547-4756-95C3-833D9581A0E6}">
  <dimension ref="A1:S9"/>
  <sheetViews>
    <sheetView showGridLines="0" workbookViewId="0">
      <selection activeCell="C34" sqref="C34"/>
    </sheetView>
  </sheetViews>
  <sheetFormatPr defaultRowHeight="14.4" x14ac:dyDescent="0.3"/>
  <cols>
    <col min="2" max="2" width="57.44140625" customWidth="1"/>
    <col min="3" max="3" width="19.5546875" customWidth="1"/>
  </cols>
  <sheetData>
    <row r="1" spans="1:19" ht="21" x14ac:dyDescent="0.4">
      <c r="A1" s="10" t="s">
        <v>0</v>
      </c>
      <c r="B1" s="9"/>
      <c r="C1" s="9"/>
      <c r="D1" s="9"/>
      <c r="E1" s="9"/>
      <c r="F1" s="9"/>
      <c r="G1" s="9"/>
      <c r="H1" s="9"/>
      <c r="I1" s="9"/>
      <c r="J1" s="9"/>
      <c r="K1" s="9"/>
      <c r="L1" s="9"/>
      <c r="M1" s="9"/>
      <c r="N1" s="9"/>
      <c r="O1" s="9"/>
      <c r="P1" s="9"/>
      <c r="Q1" s="9"/>
      <c r="R1" s="9"/>
      <c r="S1" s="9"/>
    </row>
    <row r="2" spans="1:19" x14ac:dyDescent="0.3">
      <c r="B2" s="1"/>
    </row>
    <row r="3" spans="1:19" x14ac:dyDescent="0.3">
      <c r="B3" s="1" t="s">
        <v>3</v>
      </c>
      <c r="C3" s="12" t="s">
        <v>4</v>
      </c>
    </row>
    <row r="4" spans="1:19" x14ac:dyDescent="0.3">
      <c r="B4" s="1" t="s">
        <v>5</v>
      </c>
      <c r="C4" s="12" t="s">
        <v>25</v>
      </c>
    </row>
    <row r="5" spans="1:19" x14ac:dyDescent="0.3">
      <c r="B5" s="1" t="s">
        <v>1</v>
      </c>
      <c r="C5" s="13">
        <v>44727</v>
      </c>
    </row>
    <row r="6" spans="1:19" x14ac:dyDescent="0.3">
      <c r="B6" s="1" t="s">
        <v>6</v>
      </c>
      <c r="C6" s="13">
        <v>46553</v>
      </c>
    </row>
    <row r="7" spans="1:19" x14ac:dyDescent="0.3">
      <c r="B7" s="1" t="s">
        <v>2</v>
      </c>
      <c r="C7" s="14">
        <f>financials!C9</f>
        <v>245333290</v>
      </c>
      <c r="D7" t="s">
        <v>144</v>
      </c>
    </row>
    <row r="8" spans="1:19" x14ac:dyDescent="0.3">
      <c r="B8" s="1" t="s">
        <v>7</v>
      </c>
      <c r="C8" s="12" t="s">
        <v>8</v>
      </c>
    </row>
    <row r="9" spans="1:19" x14ac:dyDescent="0.3">
      <c r="B9" s="1" t="s">
        <v>40</v>
      </c>
      <c r="C9" s="12" t="s">
        <v>145</v>
      </c>
    </row>
  </sheetData>
  <pageMargins left="0.7" right="0.7" top="0.75" bottom="0.75" header="0.3" footer="0.3"/>
  <customProperties>
    <customPr name="QAA_DRILLPATH_NODE_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2E0DE-BF6D-44DD-B0EC-DF389E1263FA}">
  <dimension ref="A1:AN105"/>
  <sheetViews>
    <sheetView showGridLines="0" zoomScale="130" zoomScaleNormal="130" workbookViewId="0">
      <selection activeCell="H104" sqref="H104"/>
    </sheetView>
  </sheetViews>
  <sheetFormatPr defaultRowHeight="14.4" x14ac:dyDescent="0.3"/>
  <cols>
    <col min="5" max="6" width="13.77734375" bestFit="1" customWidth="1"/>
    <col min="7" max="7" width="14.6640625" bestFit="1" customWidth="1"/>
    <col min="8" max="8" width="12.77734375" bestFit="1" customWidth="1"/>
    <col min="9" max="9" width="13.77734375" bestFit="1" customWidth="1"/>
    <col min="14" max="14" width="11.33203125" customWidth="1"/>
    <col min="15" max="15" width="15" customWidth="1"/>
    <col min="16" max="16" width="13.44140625" customWidth="1"/>
    <col min="17" max="17" width="9.109375" customWidth="1"/>
    <col min="18" max="19" width="11.33203125" customWidth="1"/>
    <col min="20" max="20" width="12.33203125" customWidth="1"/>
    <col min="22" max="22" width="16.109375" bestFit="1" customWidth="1"/>
    <col min="23" max="23" width="12.109375" bestFit="1" customWidth="1"/>
    <col min="24" max="24" width="6.5546875" bestFit="1" customWidth="1"/>
    <col min="27" max="27" width="11.5546875" bestFit="1" customWidth="1"/>
  </cols>
  <sheetData>
    <row r="1" spans="1:23" ht="21" x14ac:dyDescent="0.4">
      <c r="A1" s="10" t="s">
        <v>79</v>
      </c>
      <c r="B1" s="9"/>
      <c r="C1" s="9"/>
      <c r="D1" s="9"/>
      <c r="E1" s="9"/>
      <c r="F1" s="9"/>
      <c r="G1" s="9"/>
      <c r="H1" s="9"/>
      <c r="I1" s="9"/>
      <c r="J1" s="9"/>
      <c r="K1" s="9"/>
      <c r="L1" s="9"/>
      <c r="M1" s="9"/>
      <c r="N1" s="9"/>
      <c r="O1" s="9"/>
      <c r="P1" s="9"/>
      <c r="Q1" s="9"/>
      <c r="R1" s="9"/>
      <c r="S1" s="9"/>
    </row>
    <row r="3" spans="1:23" x14ac:dyDescent="0.3">
      <c r="C3" s="8" t="s">
        <v>38</v>
      </c>
    </row>
    <row r="4" spans="1:23" x14ac:dyDescent="0.3">
      <c r="E4" s="3"/>
      <c r="V4" t="s">
        <v>37</v>
      </c>
      <c r="W4" s="4">
        <f>financials!N17</f>
        <v>-2.1866988163086364E-2</v>
      </c>
    </row>
    <row r="5" spans="1:23" x14ac:dyDescent="0.3">
      <c r="V5" t="s">
        <v>35</v>
      </c>
      <c r="W5" s="4">
        <f>financials!J17</f>
        <v>-0.10256955594789967</v>
      </c>
    </row>
    <row r="6" spans="1:23" x14ac:dyDescent="0.3">
      <c r="V6" t="s">
        <v>36</v>
      </c>
      <c r="W6" s="4">
        <f>financials!F17</f>
        <v>-2.2319473525682931E-2</v>
      </c>
    </row>
    <row r="7" spans="1:23" x14ac:dyDescent="0.3">
      <c r="V7" t="s">
        <v>34</v>
      </c>
      <c r="W7" s="4">
        <f>financials!C17</f>
        <v>1.4779937151090687E-2</v>
      </c>
    </row>
    <row r="9" spans="1:23" x14ac:dyDescent="0.3">
      <c r="V9" t="s">
        <v>70</v>
      </c>
    </row>
    <row r="23" spans="3:27" x14ac:dyDescent="0.3">
      <c r="W23" s="1" t="s">
        <v>45</v>
      </c>
      <c r="Z23" s="1" t="s">
        <v>43</v>
      </c>
      <c r="AA23" s="1" t="s">
        <v>148</v>
      </c>
    </row>
    <row r="24" spans="3:27" x14ac:dyDescent="0.3">
      <c r="C24" s="1" t="s">
        <v>42</v>
      </c>
      <c r="V24" s="11">
        <f>financials!N19</f>
        <v>44819</v>
      </c>
      <c r="W24" s="25">
        <f>financials!N18</f>
        <v>-11405000</v>
      </c>
      <c r="Y24" t="s">
        <v>23</v>
      </c>
      <c r="Z24" s="39">
        <v>1.0223558431199664</v>
      </c>
      <c r="AA24" s="25">
        <f>-W24</f>
        <v>11405000</v>
      </c>
    </row>
    <row r="25" spans="3:27" x14ac:dyDescent="0.3">
      <c r="C25" s="7">
        <f>XIRR(W24:W36,V24:V36)</f>
        <v>1.0815069079399109E-2</v>
      </c>
      <c r="V25" s="11">
        <f>financials!M19</f>
        <v>44910</v>
      </c>
      <c r="W25" s="25">
        <f>financials!M18</f>
        <v>0</v>
      </c>
      <c r="Y25" t="s">
        <v>22</v>
      </c>
      <c r="Z25" s="39">
        <v>1.342661287702235</v>
      </c>
      <c r="AA25" s="25">
        <f t="shared" ref="AA25:AA35" si="0">-W25</f>
        <v>0</v>
      </c>
    </row>
    <row r="26" spans="3:27" x14ac:dyDescent="0.3">
      <c r="C26" s="43"/>
      <c r="V26" s="11">
        <v>45000</v>
      </c>
      <c r="W26" s="25">
        <v>-2079569</v>
      </c>
      <c r="Y26" t="s">
        <v>24</v>
      </c>
      <c r="Z26" s="39">
        <v>1.3142036280586424</v>
      </c>
      <c r="AA26" s="25">
        <f t="shared" si="0"/>
        <v>2079569</v>
      </c>
    </row>
    <row r="27" spans="3:27" x14ac:dyDescent="0.3">
      <c r="V27" s="11">
        <v>45092</v>
      </c>
      <c r="W27" s="25">
        <v>-46553431</v>
      </c>
      <c r="Y27" t="s">
        <v>29</v>
      </c>
      <c r="Z27" s="39">
        <v>1.0774619942859949</v>
      </c>
      <c r="AA27" s="25">
        <f t="shared" si="0"/>
        <v>46553431</v>
      </c>
    </row>
    <row r="28" spans="3:27" x14ac:dyDescent="0.3">
      <c r="C28" s="24"/>
      <c r="V28" s="11">
        <v>45184</v>
      </c>
      <c r="W28" s="25">
        <v>0</v>
      </c>
      <c r="Y28" t="s">
        <v>28</v>
      </c>
      <c r="Z28" s="39">
        <v>1.1142924854262521</v>
      </c>
      <c r="AA28" s="25">
        <f t="shared" si="0"/>
        <v>0</v>
      </c>
    </row>
    <row r="29" spans="3:27" x14ac:dyDescent="0.3">
      <c r="V29" s="11">
        <v>45275</v>
      </c>
      <c r="W29" s="25">
        <v>-14952888</v>
      </c>
      <c r="Y29" t="s">
        <v>27</v>
      </c>
      <c r="Z29" s="39">
        <v>1.1198894683089109</v>
      </c>
      <c r="AA29" s="25">
        <f t="shared" si="0"/>
        <v>14952888</v>
      </c>
    </row>
    <row r="30" spans="3:27" x14ac:dyDescent="0.3">
      <c r="V30" s="11">
        <v>45366</v>
      </c>
      <c r="W30" s="25">
        <v>-7001144</v>
      </c>
      <c r="Y30" t="s">
        <v>26</v>
      </c>
      <c r="Z30" s="39">
        <v>1.1111043324148802</v>
      </c>
      <c r="AA30" s="25">
        <f t="shared" si="0"/>
        <v>7001144</v>
      </c>
    </row>
    <row r="31" spans="3:27" x14ac:dyDescent="0.3">
      <c r="V31" s="11">
        <v>45458</v>
      </c>
      <c r="W31" s="25">
        <v>-43008653</v>
      </c>
      <c r="Y31" t="s">
        <v>21</v>
      </c>
      <c r="Z31" s="39">
        <v>1.0757930614774411</v>
      </c>
      <c r="AA31" s="25">
        <f t="shared" si="0"/>
        <v>43008653</v>
      </c>
    </row>
    <row r="32" spans="3:27" x14ac:dyDescent="0.3">
      <c r="C32" s="1" t="s">
        <v>43</v>
      </c>
      <c r="V32" s="27">
        <v>45550</v>
      </c>
      <c r="W32" s="26">
        <v>-37000000</v>
      </c>
      <c r="Y32" t="s">
        <v>20</v>
      </c>
      <c r="Z32" s="39">
        <v>1.0228290048960786</v>
      </c>
      <c r="AA32" s="25">
        <f t="shared" si="0"/>
        <v>37000000</v>
      </c>
    </row>
    <row r="33" spans="3:27" x14ac:dyDescent="0.3">
      <c r="C33" s="37" t="s">
        <v>69</v>
      </c>
      <c r="V33" s="11">
        <v>45641</v>
      </c>
      <c r="W33" s="25">
        <v>-5000000</v>
      </c>
      <c r="Y33" t="s">
        <v>19</v>
      </c>
      <c r="Z33" s="39">
        <v>1.0134941765864836</v>
      </c>
      <c r="AA33" s="25">
        <f t="shared" si="0"/>
        <v>5000000</v>
      </c>
    </row>
    <row r="34" spans="3:27" x14ac:dyDescent="0.3">
      <c r="V34" s="11">
        <v>45731</v>
      </c>
      <c r="W34" s="25">
        <v>0</v>
      </c>
      <c r="Y34" t="s">
        <v>30</v>
      </c>
      <c r="Z34" s="39">
        <v>0.99655011875845023</v>
      </c>
      <c r="AA34" s="25">
        <f t="shared" si="0"/>
        <v>0</v>
      </c>
    </row>
    <row r="35" spans="3:27" x14ac:dyDescent="0.3">
      <c r="V35" s="11">
        <v>45823</v>
      </c>
      <c r="W35" s="25">
        <v>-10000000</v>
      </c>
      <c r="Y35" t="s">
        <v>18</v>
      </c>
      <c r="Z35" s="39">
        <v>0.98543532778881682</v>
      </c>
      <c r="AA35" s="25">
        <f t="shared" si="0"/>
        <v>10000000</v>
      </c>
    </row>
    <row r="36" spans="3:27" x14ac:dyDescent="0.3">
      <c r="V36" s="11">
        <v>45838</v>
      </c>
      <c r="W36" s="25">
        <f>financials!C10</f>
        <v>179616744</v>
      </c>
    </row>
    <row r="38" spans="3:27" x14ac:dyDescent="0.3">
      <c r="W38" s="25"/>
      <c r="Y38" s="6"/>
      <c r="Z38" s="24"/>
    </row>
    <row r="39" spans="3:27" x14ac:dyDescent="0.3">
      <c r="U39" s="6"/>
      <c r="V39" s="6"/>
      <c r="W39" s="6"/>
      <c r="X39" s="6"/>
      <c r="Y39" s="6"/>
      <c r="Z39" s="6"/>
      <c r="AA39" s="6"/>
    </row>
    <row r="40" spans="3:27" x14ac:dyDescent="0.3">
      <c r="U40" s="24"/>
      <c r="V40" s="24"/>
      <c r="W40" s="24"/>
      <c r="X40" s="24"/>
      <c r="Y40" s="24"/>
      <c r="Z40" s="24"/>
      <c r="AA40" s="24"/>
    </row>
    <row r="43" spans="3:27" x14ac:dyDescent="0.3">
      <c r="V43" s="6"/>
      <c r="W43" s="24"/>
    </row>
    <row r="44" spans="3:27" x14ac:dyDescent="0.3">
      <c r="V44" s="6"/>
      <c r="W44" s="24"/>
    </row>
    <row r="45" spans="3:27" x14ac:dyDescent="0.3">
      <c r="V45" s="6"/>
      <c r="W45" s="24"/>
    </row>
    <row r="46" spans="3:27" x14ac:dyDescent="0.3">
      <c r="V46" s="6"/>
      <c r="W46" s="24"/>
    </row>
    <row r="47" spans="3:27" x14ac:dyDescent="0.3">
      <c r="V47" s="6"/>
      <c r="W47" s="24"/>
    </row>
    <row r="48" spans="3:27" x14ac:dyDescent="0.3">
      <c r="V48" s="6"/>
      <c r="W48" s="24"/>
    </row>
    <row r="49" spans="3:27" x14ac:dyDescent="0.3">
      <c r="V49" s="6"/>
    </row>
    <row r="51" spans="3:27" x14ac:dyDescent="0.3">
      <c r="U51" s="29"/>
      <c r="V51" s="30"/>
      <c r="X51" s="29"/>
      <c r="Y51" s="29"/>
      <c r="Z51" s="29"/>
      <c r="AA51" s="29"/>
    </row>
    <row r="52" spans="3:27" x14ac:dyDescent="0.3">
      <c r="U52" s="29"/>
      <c r="V52" s="30"/>
      <c r="W52" s="105" t="s">
        <v>76</v>
      </c>
      <c r="X52" s="105"/>
      <c r="Y52" s="105"/>
      <c r="Z52" s="34" t="s">
        <v>77</v>
      </c>
      <c r="AA52" s="29"/>
    </row>
    <row r="53" spans="3:27" x14ac:dyDescent="0.3">
      <c r="C53" s="1" t="s">
        <v>47</v>
      </c>
      <c r="U53" s="29"/>
      <c r="V53" s="32" t="s">
        <v>50</v>
      </c>
      <c r="W53" s="31" t="s">
        <v>51</v>
      </c>
      <c r="X53" s="31" t="s">
        <v>52</v>
      </c>
      <c r="Y53" s="31" t="s">
        <v>66</v>
      </c>
      <c r="Z53" s="29" t="s">
        <v>67</v>
      </c>
      <c r="AA53" s="29"/>
    </row>
    <row r="54" spans="3:27" x14ac:dyDescent="0.3">
      <c r="C54" t="s">
        <v>68</v>
      </c>
      <c r="V54" s="29" t="s">
        <v>54</v>
      </c>
      <c r="W54" s="29">
        <v>8281.746000000001</v>
      </c>
      <c r="Y54" s="29"/>
      <c r="AA54" s="35"/>
    </row>
    <row r="55" spans="3:27" x14ac:dyDescent="0.3">
      <c r="C55" s="37" t="s">
        <v>48</v>
      </c>
      <c r="D55" s="37"/>
      <c r="E55" s="38" t="s">
        <v>49</v>
      </c>
      <c r="F55" s="37"/>
      <c r="G55" s="37"/>
      <c r="H55" s="37"/>
      <c r="U55" s="29"/>
      <c r="V55" s="29" t="s">
        <v>55</v>
      </c>
      <c r="W55" s="29">
        <v>8655.3000000000011</v>
      </c>
      <c r="X55" s="29">
        <f>W55-W54</f>
        <v>373.55400000000009</v>
      </c>
      <c r="Y55" s="33">
        <f>X55/W54</f>
        <v>4.5105705970697491E-2</v>
      </c>
      <c r="Z55" s="33">
        <v>0.31330132921701603</v>
      </c>
      <c r="AA55" s="35"/>
    </row>
    <row r="56" spans="3:27" x14ac:dyDescent="0.3">
      <c r="U56" s="29"/>
      <c r="V56" s="29" t="s">
        <v>56</v>
      </c>
      <c r="W56" s="29">
        <v>8784.6560000000009</v>
      </c>
      <c r="X56" s="29">
        <f t="shared" ref="X56:X65" si="1">W56-W55</f>
        <v>129.35599999999977</v>
      </c>
      <c r="Y56" s="33">
        <f t="shared" ref="Y56:Y65" si="2">X56/W55</f>
        <v>1.4945293635113717E-2</v>
      </c>
      <c r="Z56" s="33">
        <v>-2.1194965479561595E-2</v>
      </c>
      <c r="AA56" s="35"/>
    </row>
    <row r="57" spans="3:27" x14ac:dyDescent="0.3">
      <c r="U57" s="29"/>
      <c r="V57" s="29" t="s">
        <v>57</v>
      </c>
      <c r="W57" s="29">
        <v>8925.518</v>
      </c>
      <c r="X57" s="29">
        <f t="shared" si="1"/>
        <v>140.86199999999917</v>
      </c>
      <c r="Y57" s="33">
        <f t="shared" si="2"/>
        <v>1.6035004671782156E-2</v>
      </c>
      <c r="Z57" s="33">
        <v>-0.18014075499271387</v>
      </c>
      <c r="AA57" s="35"/>
    </row>
    <row r="58" spans="3:27" x14ac:dyDescent="0.3">
      <c r="U58" s="29"/>
      <c r="V58" s="29" t="s">
        <v>58</v>
      </c>
      <c r="W58" s="29">
        <v>8207.8150000000005</v>
      </c>
      <c r="X58" s="29">
        <f t="shared" si="1"/>
        <v>-717.70299999999952</v>
      </c>
      <c r="Y58" s="33">
        <f t="shared" si="2"/>
        <v>-8.0410235013810907E-2</v>
      </c>
      <c r="Z58" s="33">
        <v>3.4182635986769863E-2</v>
      </c>
      <c r="AA58" s="35"/>
    </row>
    <row r="59" spans="3:27" x14ac:dyDescent="0.3">
      <c r="U59" s="29"/>
      <c r="V59" s="29" t="s">
        <v>59</v>
      </c>
      <c r="W59" s="29">
        <v>9649.1759999999995</v>
      </c>
      <c r="X59" s="29">
        <f t="shared" si="1"/>
        <v>1441.360999999999</v>
      </c>
      <c r="Y59" s="33">
        <f t="shared" si="2"/>
        <v>0.17560836836600227</v>
      </c>
      <c r="Z59" s="33">
        <v>5.022902833736448E-3</v>
      </c>
      <c r="AA59" s="35"/>
    </row>
    <row r="60" spans="3:27" x14ac:dyDescent="0.3">
      <c r="U60" s="29"/>
      <c r="V60" s="29" t="s">
        <v>60</v>
      </c>
      <c r="W60" s="29">
        <v>9525.9310000000005</v>
      </c>
      <c r="X60" s="29">
        <f t="shared" si="1"/>
        <v>-123.24499999999898</v>
      </c>
      <c r="Y60" s="33">
        <f t="shared" si="2"/>
        <v>-1.2772593224540519E-2</v>
      </c>
      <c r="Z60" s="33">
        <v>-7.8446455142548426E-3</v>
      </c>
      <c r="AA60" s="35"/>
    </row>
    <row r="61" spans="3:27" x14ac:dyDescent="0.3">
      <c r="U61" s="29"/>
      <c r="V61" s="29" t="s">
        <v>61</v>
      </c>
      <c r="W61" s="29">
        <v>9436.5519999999997</v>
      </c>
      <c r="X61" s="29">
        <f t="shared" si="1"/>
        <v>-89.379000000000815</v>
      </c>
      <c r="Y61" s="33">
        <f t="shared" si="2"/>
        <v>-9.3827049555577097E-3</v>
      </c>
      <c r="Z61" s="33">
        <v>-3.178033773002515E-2</v>
      </c>
      <c r="AA61" s="35"/>
    </row>
    <row r="62" spans="3:27" x14ac:dyDescent="0.3">
      <c r="U62" s="29"/>
      <c r="V62" s="29" t="s">
        <v>62</v>
      </c>
      <c r="W62" s="29">
        <v>10969.851000000001</v>
      </c>
      <c r="X62" s="29">
        <f t="shared" si="1"/>
        <v>1533.2990000000009</v>
      </c>
      <c r="Y62" s="33">
        <f t="shared" si="2"/>
        <v>0.16248508989300339</v>
      </c>
      <c r="Z62" s="33">
        <v>-4.9232569420576362E-2</v>
      </c>
      <c r="AA62" s="35"/>
    </row>
    <row r="63" spans="3:27" x14ac:dyDescent="0.3">
      <c r="U63" s="29"/>
      <c r="V63" s="29" t="s">
        <v>63</v>
      </c>
      <c r="W63" s="29">
        <v>10067.242</v>
      </c>
      <c r="X63" s="29">
        <f t="shared" si="1"/>
        <v>-902.60900000000038</v>
      </c>
      <c r="Y63" s="33">
        <f t="shared" si="2"/>
        <v>-8.2280880569845505E-2</v>
      </c>
      <c r="Z63" s="33">
        <v>-9.1264798562722856E-3</v>
      </c>
      <c r="AA63" s="35"/>
    </row>
    <row r="64" spans="3:27" x14ac:dyDescent="0.3">
      <c r="U64" s="29"/>
      <c r="V64" s="29" t="s">
        <v>64</v>
      </c>
      <c r="W64" s="29">
        <v>10355.776</v>
      </c>
      <c r="X64" s="29">
        <f t="shared" si="1"/>
        <v>288.53399999999965</v>
      </c>
      <c r="Y64" s="33">
        <f t="shared" si="2"/>
        <v>2.8660679856508827E-2</v>
      </c>
      <c r="Z64" s="33">
        <v>-1.6718456030109661E-2</v>
      </c>
      <c r="AA64" s="35"/>
    </row>
    <row r="65" spans="1:40" x14ac:dyDescent="0.3">
      <c r="U65" s="29"/>
      <c r="V65" s="29" t="s">
        <v>65</v>
      </c>
      <c r="W65" s="29">
        <v>10239.733</v>
      </c>
      <c r="X65" s="29">
        <f t="shared" si="1"/>
        <v>-116.04299999999967</v>
      </c>
      <c r="Y65" s="33">
        <f t="shared" si="2"/>
        <v>-1.1205630558250745E-2</v>
      </c>
      <c r="Z65" s="33">
        <v>-1.115326842114148E-2</v>
      </c>
      <c r="AA65" s="35"/>
    </row>
    <row r="66" spans="1:40" x14ac:dyDescent="0.3">
      <c r="Z66" s="33"/>
    </row>
    <row r="67" spans="1:40" x14ac:dyDescent="0.3">
      <c r="V67" s="29" t="s">
        <v>74</v>
      </c>
      <c r="W67" s="24">
        <f>_xlfn.COVARIANCE.P(Z55:Z65,Y55:Y65)/_xlfn.VAR.P(Y55:Y65)</f>
        <v>1.8752561851764452E-2</v>
      </c>
    </row>
    <row r="69" spans="1:40" x14ac:dyDescent="0.3">
      <c r="N69" s="23"/>
      <c r="V69" s="24"/>
    </row>
    <row r="70" spans="1:40" x14ac:dyDescent="0.3">
      <c r="N70" s="23"/>
      <c r="V70" s="24"/>
    </row>
    <row r="71" spans="1:40" x14ac:dyDescent="0.3">
      <c r="N71" s="36"/>
      <c r="V71" s="6"/>
      <c r="W71" s="24"/>
    </row>
    <row r="72" spans="1:40" x14ac:dyDescent="0.3">
      <c r="N72" s="36"/>
      <c r="V72" s="6"/>
      <c r="W72" s="24"/>
    </row>
    <row r="73" spans="1:40" x14ac:dyDescent="0.3">
      <c r="N73" s="36"/>
      <c r="V73" s="6"/>
      <c r="W73" s="24"/>
    </row>
    <row r="74" spans="1:40" x14ac:dyDescent="0.3">
      <c r="N74" s="36"/>
      <c r="V74" s="6"/>
      <c r="W74" s="24"/>
    </row>
    <row r="75" spans="1:40" x14ac:dyDescent="0.3">
      <c r="N75" s="36"/>
      <c r="V75" s="6"/>
      <c r="W75" s="24"/>
    </row>
    <row r="76" spans="1:40" x14ac:dyDescent="0.3">
      <c r="N76" s="36"/>
      <c r="O76" s="6"/>
      <c r="P76" s="24"/>
    </row>
    <row r="77" spans="1:40" x14ac:dyDescent="0.3">
      <c r="N77" s="36"/>
      <c r="O77" s="6"/>
      <c r="P77" s="24"/>
    </row>
    <row r="78" spans="1:40" x14ac:dyDescent="0.3">
      <c r="N78" s="36"/>
      <c r="O78" s="6"/>
      <c r="P78" s="24"/>
    </row>
    <row r="79" spans="1:40" x14ac:dyDescent="0.3">
      <c r="N79" s="36"/>
      <c r="O79" s="6"/>
      <c r="P79" s="24"/>
    </row>
    <row r="80" spans="1:40" ht="21" x14ac:dyDescent="0.4">
      <c r="A80" s="10" t="s">
        <v>118</v>
      </c>
      <c r="B80" s="10"/>
      <c r="C80" s="10"/>
      <c r="D80" s="10"/>
      <c r="E80" s="10"/>
      <c r="F80" s="10"/>
      <c r="G80" s="10"/>
      <c r="H80" s="10"/>
      <c r="I80" s="10"/>
      <c r="J80" s="10"/>
      <c r="K80" s="10"/>
      <c r="L80" s="10"/>
      <c r="M80" s="10"/>
      <c r="N80" s="10"/>
      <c r="O80" s="10"/>
      <c r="P80" s="10"/>
      <c r="Q80" s="10"/>
      <c r="R80" s="10"/>
      <c r="S80" s="75"/>
      <c r="T80" s="75"/>
      <c r="U80" s="75"/>
      <c r="V80" s="75"/>
      <c r="W80" s="75"/>
      <c r="X80" s="75"/>
      <c r="Y80" s="75"/>
      <c r="Z80" s="75"/>
      <c r="AA80" s="75"/>
      <c r="AB80" s="76"/>
      <c r="AC80" s="76"/>
      <c r="AD80" s="76"/>
      <c r="AE80" s="76"/>
      <c r="AF80" s="76"/>
      <c r="AG80" s="76"/>
      <c r="AH80" s="76"/>
      <c r="AI80" s="76"/>
      <c r="AJ80" s="76"/>
      <c r="AK80" s="76"/>
      <c r="AL80" s="76"/>
      <c r="AM80" s="76"/>
      <c r="AN80" s="76"/>
    </row>
    <row r="81" spans="1:18" x14ac:dyDescent="0.3">
      <c r="B81" s="78"/>
    </row>
    <row r="82" spans="1:18" ht="18" x14ac:dyDescent="0.3">
      <c r="B82" s="74" t="s">
        <v>119</v>
      </c>
      <c r="C82" s="73"/>
      <c r="D82" s="74"/>
      <c r="E82" s="73"/>
      <c r="F82" s="74"/>
      <c r="G82" s="73"/>
      <c r="H82" s="85"/>
      <c r="I82" s="85"/>
      <c r="K82" s="74" t="s">
        <v>126</v>
      </c>
      <c r="L82" s="73"/>
      <c r="M82" s="74"/>
      <c r="N82" s="73"/>
      <c r="O82" s="74"/>
      <c r="P82" s="73"/>
      <c r="Q82" s="74"/>
      <c r="R82" s="73"/>
    </row>
    <row r="83" spans="1:18" x14ac:dyDescent="0.3">
      <c r="B83" s="78" t="s">
        <v>120</v>
      </c>
      <c r="C83" s="78"/>
      <c r="D83" s="78"/>
      <c r="E83" s="79" t="str">
        <f>LEFT('SE warehouse'!A1,10)</f>
        <v>South East</v>
      </c>
      <c r="F83" s="79" t="str">
        <f>LEFT('Heathrow warehouse'!A1,10)</f>
        <v xml:space="preserve">Heathrow  </v>
      </c>
      <c r="G83" s="79" t="s">
        <v>146</v>
      </c>
      <c r="H83" s="85"/>
      <c r="I83" s="85"/>
    </row>
    <row r="84" spans="1:18" x14ac:dyDescent="0.3">
      <c r="A84" s="80"/>
      <c r="B84" s="77" t="s">
        <v>137</v>
      </c>
      <c r="C84" s="81"/>
      <c r="E84" s="82">
        <f>'SE warehouse'!D18</f>
        <v>55300</v>
      </c>
      <c r="F84" s="82">
        <f>'Heathrow warehouse'!E21</f>
        <v>154380</v>
      </c>
      <c r="G84" s="82">
        <f>office!E20</f>
        <v>210000</v>
      </c>
      <c r="H84" s="85"/>
      <c r="I84" s="85"/>
    </row>
    <row r="85" spans="1:18" x14ac:dyDescent="0.3">
      <c r="B85" s="77"/>
      <c r="E85" s="82"/>
      <c r="F85" s="82"/>
      <c r="G85" s="82"/>
      <c r="H85" s="85"/>
      <c r="I85" s="85"/>
    </row>
    <row r="86" spans="1:18" x14ac:dyDescent="0.3">
      <c r="B86" s="77" t="s">
        <v>122</v>
      </c>
      <c r="E86" s="102">
        <f>'SE warehouse'!E21/12</f>
        <v>1.6666666666666667</v>
      </c>
      <c r="F86" s="102">
        <f>'Heathrow warehouse'!E22/12</f>
        <v>2.3000000000000003</v>
      </c>
      <c r="G86" s="102">
        <f>office!E21/12</f>
        <v>2.6666666666666665</v>
      </c>
      <c r="H86" s="85"/>
      <c r="I86" s="85"/>
    </row>
    <row r="87" spans="1:18" x14ac:dyDescent="0.3">
      <c r="B87" s="77" t="s">
        <v>121</v>
      </c>
      <c r="E87" s="85">
        <f>E103/E92</f>
        <v>2.9375000000000002E-2</v>
      </c>
      <c r="F87" s="85">
        <f>F103/F92</f>
        <v>1.97293057221875E-2</v>
      </c>
      <c r="G87" s="85">
        <f>G103/G92</f>
        <v>2.8654017857142857E-2</v>
      </c>
      <c r="H87" s="85"/>
      <c r="I87" s="85"/>
      <c r="J87" s="85"/>
    </row>
    <row r="88" spans="1:18" x14ac:dyDescent="0.3">
      <c r="B88" s="77" t="s">
        <v>123</v>
      </c>
      <c r="D88" s="86">
        <v>12</v>
      </c>
      <c r="H88" s="85"/>
      <c r="I88" s="85"/>
    </row>
    <row r="89" spans="1:18" x14ac:dyDescent="0.3">
      <c r="H89" s="85"/>
      <c r="I89" s="85"/>
      <c r="K89" s="94"/>
    </row>
    <row r="90" spans="1:18" ht="18" x14ac:dyDescent="0.3">
      <c r="B90" s="74" t="s">
        <v>124</v>
      </c>
      <c r="C90" s="74"/>
      <c r="D90" s="72"/>
      <c r="E90" s="71"/>
      <c r="F90" s="72"/>
      <c r="G90" s="71"/>
      <c r="H90" s="85"/>
      <c r="I90" s="85"/>
    </row>
    <row r="91" spans="1:18" x14ac:dyDescent="0.3">
      <c r="H91" s="85"/>
      <c r="I91" s="85"/>
    </row>
    <row r="92" spans="1:18" x14ac:dyDescent="0.3">
      <c r="B92" s="87" t="s">
        <v>138</v>
      </c>
      <c r="C92" s="88"/>
      <c r="D92" s="88"/>
      <c r="E92" s="103">
        <f>'SE warehouse'!E29</f>
        <v>26023529.411764704</v>
      </c>
      <c r="F92" s="103">
        <f>'Heathrow warehouse'!E30</f>
        <v>89702905.263157889</v>
      </c>
      <c r="G92" s="103">
        <f>office!E29</f>
        <v>141473684.21052632</v>
      </c>
      <c r="H92" s="85"/>
      <c r="I92" s="85"/>
    </row>
    <row r="93" spans="1:18" x14ac:dyDescent="0.3">
      <c r="B93" s="89" t="s">
        <v>125</v>
      </c>
      <c r="C93" s="90"/>
      <c r="D93" s="91"/>
      <c r="E93" s="104">
        <f>E92/E84</f>
        <v>470.58823529411762</v>
      </c>
      <c r="F93" s="104">
        <f t="shared" ref="F93:G93" si="3">F92/F84</f>
        <v>581.05263157894728</v>
      </c>
      <c r="G93" s="104">
        <f t="shared" si="3"/>
        <v>673.68421052631584</v>
      </c>
      <c r="H93" s="85"/>
      <c r="I93" s="85"/>
    </row>
    <row r="94" spans="1:18" x14ac:dyDescent="0.3">
      <c r="H94" s="85"/>
      <c r="I94" s="85"/>
    </row>
    <row r="95" spans="1:18" x14ac:dyDescent="0.3">
      <c r="B95" s="78" t="s">
        <v>127</v>
      </c>
      <c r="H95" s="85"/>
      <c r="I95" s="85"/>
    </row>
    <row r="96" spans="1:18" x14ac:dyDescent="0.3">
      <c r="B96" s="78" t="s">
        <v>128</v>
      </c>
      <c r="E96" s="84">
        <f>E86*E84*$D$88</f>
        <v>1106000</v>
      </c>
      <c r="F96" s="84">
        <f>F86*F84*$D$88</f>
        <v>4260888.0000000009</v>
      </c>
      <c r="G96" s="84">
        <f>G86*G84*$D$88</f>
        <v>6720000</v>
      </c>
      <c r="H96" s="85"/>
      <c r="I96" s="85"/>
    </row>
    <row r="97" spans="2:9" x14ac:dyDescent="0.3">
      <c r="B97" s="78" t="s">
        <v>140</v>
      </c>
      <c r="C97" s="92"/>
      <c r="E97" s="94"/>
      <c r="F97" s="94"/>
      <c r="G97" s="94"/>
      <c r="H97" s="85"/>
      <c r="I97" s="85"/>
    </row>
    <row r="98" spans="2:9" x14ac:dyDescent="0.3">
      <c r="B98" s="77" t="s">
        <v>129</v>
      </c>
      <c r="C98" s="92"/>
      <c r="D98" s="98">
        <v>1.0999999999999999E-2</v>
      </c>
      <c r="E98" s="84">
        <f>$D$98*E92</f>
        <v>286258.82352941175</v>
      </c>
      <c r="F98" s="84">
        <f t="shared" ref="F98:G98" si="4">$D$98*F92</f>
        <v>986731.95789473667</v>
      </c>
      <c r="G98" s="84">
        <f t="shared" si="4"/>
        <v>1556210.5263157894</v>
      </c>
      <c r="H98" s="85"/>
      <c r="I98" s="85"/>
    </row>
    <row r="99" spans="2:9" x14ac:dyDescent="0.3">
      <c r="B99" s="77" t="s">
        <v>139</v>
      </c>
      <c r="C99" s="92"/>
      <c r="D99" s="83">
        <v>1</v>
      </c>
      <c r="E99" s="84">
        <f>$D$99*E84</f>
        <v>55300</v>
      </c>
      <c r="F99" s="84">
        <f t="shared" ref="F99:G99" si="5">$D$99*F84</f>
        <v>154380</v>
      </c>
      <c r="G99" s="84">
        <f t="shared" si="5"/>
        <v>210000</v>
      </c>
      <c r="H99" s="85"/>
      <c r="I99" s="85"/>
    </row>
    <row r="100" spans="2:9" x14ac:dyDescent="0.3">
      <c r="B100" s="77" t="s">
        <v>141</v>
      </c>
      <c r="C100" s="92"/>
      <c r="D100" s="83"/>
      <c r="E100" s="84">
        <f>'SE warehouse'!D17</f>
        <v>0</v>
      </c>
      <c r="F100" s="84">
        <f>'Heathrow warehouse'!D17*'Heathrow warehouse'!D18</f>
        <v>1350000</v>
      </c>
      <c r="G100" s="84">
        <f>office!D16*office!D17</f>
        <v>900000</v>
      </c>
      <c r="H100" s="85"/>
      <c r="I100" s="85"/>
    </row>
    <row r="101" spans="2:9" x14ac:dyDescent="0.3">
      <c r="B101" s="95" t="s">
        <v>130</v>
      </c>
      <c r="C101" s="96"/>
      <c r="D101" s="96"/>
      <c r="E101" s="97">
        <f>SUM(E98:E100)</f>
        <v>341558.82352941175</v>
      </c>
      <c r="F101" s="97">
        <f t="shared" ref="F101:G101" si="6">SUM(F98:F100)</f>
        <v>2491111.9578947369</v>
      </c>
      <c r="G101" s="97">
        <f t="shared" si="6"/>
        <v>2666210.5263157897</v>
      </c>
      <c r="H101" s="85"/>
      <c r="I101" s="85"/>
    </row>
    <row r="102" spans="2:9" x14ac:dyDescent="0.3">
      <c r="B102" s="92" t="s">
        <v>142</v>
      </c>
      <c r="E102" s="93">
        <f>E101/E84</f>
        <v>6.1764705882352935</v>
      </c>
      <c r="F102" s="93">
        <f t="shared" ref="F102:G102" si="7">F101/F84</f>
        <v>16.136234990897375</v>
      </c>
      <c r="G102" s="93">
        <f t="shared" si="7"/>
        <v>12.69624060150376</v>
      </c>
      <c r="H102" s="85"/>
      <c r="I102" s="85"/>
    </row>
    <row r="103" spans="2:9" x14ac:dyDescent="0.3">
      <c r="B103" s="95" t="s">
        <v>147</v>
      </c>
      <c r="C103" s="96"/>
      <c r="D103" s="96"/>
      <c r="E103" s="97">
        <f>E96-E101</f>
        <v>764441.17647058819</v>
      </c>
      <c r="F103" s="97">
        <f t="shared" ref="F103:G103" si="8">F96-F101</f>
        <v>1769776.042105264</v>
      </c>
      <c r="G103" s="97">
        <f t="shared" si="8"/>
        <v>4053789.4736842103</v>
      </c>
      <c r="H103" s="85"/>
      <c r="I103" s="85"/>
    </row>
    <row r="104" spans="2:9" x14ac:dyDescent="0.3">
      <c r="B104" s="92" t="s">
        <v>143</v>
      </c>
      <c r="E104" s="99">
        <f>E103/E84</f>
        <v>13.823529411764705</v>
      </c>
      <c r="F104" s="99">
        <f t="shared" ref="F104:G104" si="9">F103/F84</f>
        <v>11.46376500910263</v>
      </c>
      <c r="G104" s="99">
        <f t="shared" si="9"/>
        <v>19.30375939849624</v>
      </c>
      <c r="H104" s="85"/>
      <c r="I104" s="85"/>
    </row>
    <row r="105" spans="2:9" x14ac:dyDescent="0.3">
      <c r="E105" s="100"/>
      <c r="F105" s="100"/>
      <c r="G105" s="100"/>
      <c r="H105" s="100"/>
      <c r="I105" s="100"/>
    </row>
  </sheetData>
  <mergeCells count="1">
    <mergeCell ref="W52:Y52"/>
  </mergeCells>
  <phoneticPr fontId="33" type="noConversion"/>
  <conditionalFormatting sqref="V28:W29">
    <cfRule type="expression" dxfId="13" priority="1">
      <formula>SEARCH("Tota*",$D29)</formula>
    </cfRule>
  </conditionalFormatting>
  <hyperlinks>
    <hyperlink ref="E55" r:id="rId1" display="https://www.reit.com/data-research/reit-indexes/monthly-index-values-returns" xr:uid="{7FF5E3C3-63BE-436B-BD85-71F1F2FA724B}"/>
  </hyperlinks>
  <pageMargins left="0.7" right="0.7" top="0.75" bottom="0.75" header="0.3" footer="0.3"/>
  <customProperties>
    <customPr name="QAA_DRILLPATH_NODE_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0C4EC-39C7-4C5A-8A1A-B67B9B2C7F48}">
  <dimension ref="A1:N59"/>
  <sheetViews>
    <sheetView showGridLines="0" tabSelected="1" workbookViewId="0">
      <selection activeCell="G10" sqref="A10:XFD10"/>
    </sheetView>
  </sheetViews>
  <sheetFormatPr defaultRowHeight="14.4" x14ac:dyDescent="0.3"/>
  <cols>
    <col min="1" max="1" width="2.6640625" customWidth="1"/>
    <col min="2" max="2" width="56" customWidth="1"/>
    <col min="3" max="4" width="21.5546875" customWidth="1"/>
    <col min="5" max="5" width="15.6640625" customWidth="1"/>
    <col min="6" max="6" width="13.33203125" customWidth="1"/>
    <col min="7" max="11" width="14.44140625" customWidth="1"/>
    <col min="12" max="12" width="13.6640625" customWidth="1"/>
    <col min="13" max="13" width="14.33203125" customWidth="1"/>
    <col min="14" max="14" width="13.88671875" customWidth="1"/>
  </cols>
  <sheetData>
    <row r="1" spans="2:14" ht="21" x14ac:dyDescent="0.4">
      <c r="B1" s="10" t="s">
        <v>41</v>
      </c>
      <c r="C1" s="10"/>
      <c r="D1" s="10"/>
      <c r="E1" s="10"/>
      <c r="F1" s="10"/>
      <c r="G1" s="10"/>
      <c r="H1" s="10"/>
      <c r="I1" s="10"/>
      <c r="J1" s="10"/>
      <c r="K1" s="10"/>
      <c r="L1" s="10"/>
      <c r="M1" s="10"/>
      <c r="N1" s="10"/>
    </row>
    <row r="3" spans="2:14" x14ac:dyDescent="0.3">
      <c r="B3" s="1"/>
    </row>
    <row r="4" spans="2:14" x14ac:dyDescent="0.3">
      <c r="C4" s="6" t="s">
        <v>18</v>
      </c>
      <c r="D4" s="6" t="s">
        <v>30</v>
      </c>
      <c r="E4" s="6" t="s">
        <v>19</v>
      </c>
      <c r="F4" s="6" t="s">
        <v>20</v>
      </c>
      <c r="G4" s="6" t="s">
        <v>21</v>
      </c>
      <c r="H4" s="6" t="s">
        <v>26</v>
      </c>
      <c r="I4" s="6" t="s">
        <v>27</v>
      </c>
      <c r="J4" s="6" t="s">
        <v>28</v>
      </c>
      <c r="K4" s="6" t="s">
        <v>29</v>
      </c>
      <c r="L4" s="6" t="s">
        <v>24</v>
      </c>
      <c r="M4" s="6" t="s">
        <v>22</v>
      </c>
      <c r="N4" s="6" t="s">
        <v>23</v>
      </c>
    </row>
    <row r="5" spans="2:14" x14ac:dyDescent="0.3">
      <c r="B5" t="s">
        <v>9</v>
      </c>
      <c r="C5" s="41">
        <v>249138526</v>
      </c>
      <c r="D5" s="41">
        <v>248511109</v>
      </c>
      <c r="E5" s="41">
        <v>226020408</v>
      </c>
      <c r="F5" s="41">
        <v>226020408</v>
      </c>
      <c r="G5" s="40">
        <v>226020408</v>
      </c>
      <c r="H5" s="40">
        <v>226020408</v>
      </c>
      <c r="I5" s="41">
        <v>182142856</v>
      </c>
      <c r="J5" s="41">
        <v>182142856</v>
      </c>
      <c r="K5" s="41">
        <v>182142856</v>
      </c>
      <c r="L5" s="41">
        <v>182142856</v>
      </c>
      <c r="M5" s="41">
        <v>182142856</v>
      </c>
      <c r="N5" s="41">
        <v>182142856</v>
      </c>
    </row>
    <row r="6" spans="2:14" x14ac:dyDescent="0.3">
      <c r="C6" s="41"/>
      <c r="D6" s="41"/>
      <c r="E6" s="41"/>
      <c r="F6" s="41"/>
      <c r="G6" s="40"/>
      <c r="H6" s="40"/>
      <c r="I6" s="40"/>
      <c r="J6" s="40"/>
      <c r="K6" s="40"/>
      <c r="L6" s="41"/>
      <c r="M6" s="41"/>
      <c r="N6" s="41"/>
    </row>
    <row r="7" spans="2:14" x14ac:dyDescent="0.3">
      <c r="B7" t="s">
        <v>10</v>
      </c>
      <c r="C7" s="41">
        <v>177000685</v>
      </c>
      <c r="D7" s="41">
        <v>167000685</v>
      </c>
      <c r="E7" s="41">
        <v>167000685</v>
      </c>
      <c r="F7" s="41">
        <v>162000685</v>
      </c>
      <c r="G7" s="40">
        <v>125000685</v>
      </c>
      <c r="H7" s="40">
        <f>82002032-10000</f>
        <v>81992032</v>
      </c>
      <c r="I7" s="40">
        <v>74990888</v>
      </c>
      <c r="J7" s="40">
        <v>60038000</v>
      </c>
      <c r="K7" s="40">
        <v>60038000</v>
      </c>
      <c r="L7" s="41">
        <v>13484569</v>
      </c>
      <c r="M7" s="41">
        <v>11405000</v>
      </c>
      <c r="N7" s="41">
        <v>11405000</v>
      </c>
    </row>
    <row r="8" spans="2:14" x14ac:dyDescent="0.3">
      <c r="B8" t="s">
        <v>11</v>
      </c>
      <c r="C8" s="41">
        <v>186000000</v>
      </c>
      <c r="D8" s="41">
        <v>163050000</v>
      </c>
      <c r="E8" s="41">
        <v>149925000</v>
      </c>
      <c r="F8" s="41">
        <v>140375000</v>
      </c>
      <c r="G8" s="40">
        <v>97325000</v>
      </c>
      <c r="H8" s="41">
        <v>6100000</v>
      </c>
      <c r="I8" s="41">
        <v>6100000</v>
      </c>
      <c r="J8" s="41">
        <v>6100000</v>
      </c>
      <c r="K8" s="41">
        <v>6100000</v>
      </c>
      <c r="L8" s="41">
        <v>6100000</v>
      </c>
      <c r="M8" s="41">
        <v>6100000</v>
      </c>
      <c r="N8" s="41">
        <v>8500000</v>
      </c>
    </row>
    <row r="9" spans="2:14" x14ac:dyDescent="0.3">
      <c r="B9" t="s">
        <v>12</v>
      </c>
      <c r="C9" s="41">
        <v>245333290</v>
      </c>
      <c r="D9" s="41">
        <v>215301310</v>
      </c>
      <c r="E9" s="41">
        <v>205220617</v>
      </c>
      <c r="F9" s="41">
        <v>169274535</v>
      </c>
      <c r="G9" s="40">
        <v>124415259</v>
      </c>
      <c r="H9" s="40"/>
      <c r="I9" s="40"/>
      <c r="J9" s="40"/>
      <c r="K9" s="40"/>
      <c r="L9" s="41">
        <v>11426301</v>
      </c>
      <c r="M9" s="41">
        <v>9763018</v>
      </c>
      <c r="N9" s="41">
        <v>11796912</v>
      </c>
    </row>
    <row r="10" spans="2:14" x14ac:dyDescent="0.3">
      <c r="B10" t="s">
        <v>13</v>
      </c>
      <c r="C10" s="41">
        <v>179616744</v>
      </c>
      <c r="D10" s="41">
        <v>167578812</v>
      </c>
      <c r="E10" s="41">
        <v>164777153</v>
      </c>
      <c r="F10" s="41">
        <v>158384915</v>
      </c>
      <c r="G10" s="40">
        <v>116193987</v>
      </c>
      <c r="H10" s="40">
        <v>73793279</v>
      </c>
      <c r="I10" s="40">
        <v>66962758.488335453</v>
      </c>
      <c r="J10" s="40">
        <v>53879929</v>
      </c>
      <c r="K10" s="40">
        <v>55721687</v>
      </c>
      <c r="L10" s="41">
        <v>10260639</v>
      </c>
      <c r="M10" s="41">
        <v>8494324</v>
      </c>
      <c r="N10" s="41">
        <v>11155607</v>
      </c>
    </row>
    <row r="11" spans="2:14" x14ac:dyDescent="0.3">
      <c r="B11" t="s">
        <v>14</v>
      </c>
      <c r="C11" s="41">
        <v>10147.799999999999</v>
      </c>
      <c r="D11" s="41">
        <v>10034.620000000001</v>
      </c>
      <c r="E11" s="41">
        <v>9867</v>
      </c>
      <c r="F11" s="41">
        <v>9777</v>
      </c>
      <c r="G11" s="40">
        <v>9295.4699999999993</v>
      </c>
      <c r="H11" s="40">
        <v>8998.9599999999991</v>
      </c>
      <c r="I11" s="40">
        <v>8988.0444842470806</v>
      </c>
      <c r="J11" s="40">
        <v>8974.17</v>
      </c>
      <c r="K11" s="40">
        <v>9280.93</v>
      </c>
      <c r="L11" s="41">
        <v>7609.17</v>
      </c>
      <c r="M11" s="41">
        <v>7447.89</v>
      </c>
      <c r="N11" s="41">
        <v>9781.33</v>
      </c>
    </row>
    <row r="12" spans="2:14" x14ac:dyDescent="0.3">
      <c r="B12" t="s">
        <v>33</v>
      </c>
      <c r="C12" s="3">
        <v>0</v>
      </c>
      <c r="D12" s="3">
        <v>0</v>
      </c>
      <c r="E12" s="3">
        <v>0</v>
      </c>
      <c r="F12" s="3">
        <v>0</v>
      </c>
      <c r="G12" s="3">
        <v>0</v>
      </c>
      <c r="H12" s="3">
        <v>0</v>
      </c>
      <c r="I12" s="3">
        <v>0</v>
      </c>
      <c r="J12" s="3">
        <v>0</v>
      </c>
      <c r="K12" s="3">
        <v>0</v>
      </c>
      <c r="L12" s="3">
        <v>0</v>
      </c>
      <c r="M12" s="3">
        <v>0</v>
      </c>
      <c r="N12" s="3">
        <v>0</v>
      </c>
    </row>
    <row r="16" spans="2:14" x14ac:dyDescent="0.3">
      <c r="B16" s="1" t="s">
        <v>31</v>
      </c>
    </row>
    <row r="17" spans="2:14" x14ac:dyDescent="0.3">
      <c r="B17" t="s">
        <v>32</v>
      </c>
      <c r="C17" s="7">
        <f>(C10+C12-C7)/C7</f>
        <v>1.4779937151090687E-2</v>
      </c>
      <c r="D17" s="7">
        <f>(D10+D12-D7)/D7</f>
        <v>3.4618241236555407E-3</v>
      </c>
      <c r="E17" s="7">
        <f>(E10+E12-E7)/E7</f>
        <v>-1.331450826084935E-2</v>
      </c>
      <c r="F17" s="7">
        <f>(F10+F12-F7)/F7</f>
        <v>-2.2319473525682931E-2</v>
      </c>
      <c r="G17" s="7">
        <f>(G10+G12-G7)/G7</f>
        <v>-7.0453197916475419E-2</v>
      </c>
      <c r="H17" s="7">
        <f>(H10+H12-H7)/H7</f>
        <v>-9.9994509222554692E-2</v>
      </c>
      <c r="I17" s="7">
        <f>(I10+I12-I7)/I7</f>
        <v>-0.10705473325858665</v>
      </c>
      <c r="J17" s="7">
        <f>(J10+J12-J7)/J7</f>
        <v>-0.10256955594789967</v>
      </c>
      <c r="K17" s="7">
        <f>(K10+K12-K7)/K7</f>
        <v>-7.1893017755421562E-2</v>
      </c>
      <c r="L17" s="7">
        <f>(L10+L12-L7)/L7</f>
        <v>-0.23908291025096909</v>
      </c>
      <c r="M17" s="7">
        <f>(M10+M12-M7)/M7</f>
        <v>-0.25521052170100833</v>
      </c>
      <c r="N17" s="7">
        <f>(N10+N12-N7)/N7</f>
        <v>-2.1866988163086364E-2</v>
      </c>
    </row>
    <row r="18" spans="2:14" x14ac:dyDescent="0.3">
      <c r="B18" t="s">
        <v>39</v>
      </c>
      <c r="C18" s="3">
        <f>D7-C7</f>
        <v>-10000000</v>
      </c>
      <c r="D18" s="3">
        <f>E7-D7</f>
        <v>0</v>
      </c>
      <c r="E18" s="3">
        <f>F7-E7</f>
        <v>-5000000</v>
      </c>
      <c r="F18" s="3">
        <f>G7-F7</f>
        <v>-37000000</v>
      </c>
      <c r="G18" s="3">
        <f>H7-G7</f>
        <v>-43008653</v>
      </c>
      <c r="H18" s="3">
        <f>I7-H7</f>
        <v>-7001144</v>
      </c>
      <c r="I18" s="3">
        <f>J7-I7</f>
        <v>-14952888</v>
      </c>
      <c r="J18" s="3">
        <f>K7-J7</f>
        <v>0</v>
      </c>
      <c r="K18" s="3">
        <f>L7-K7</f>
        <v>-46553431</v>
      </c>
      <c r="L18" s="3">
        <f>M7-L7</f>
        <v>-2079569</v>
      </c>
      <c r="M18" s="3">
        <f>N7-M7</f>
        <v>0</v>
      </c>
      <c r="N18" s="3">
        <f>O7-N7</f>
        <v>-11405000</v>
      </c>
    </row>
    <row r="19" spans="2:14" x14ac:dyDescent="0.3">
      <c r="B19" t="s">
        <v>53</v>
      </c>
      <c r="C19" s="2">
        <f>DATE("20"&amp;RIGHT(C4,2),MATCH(LEFT(C4,2),{"Q1","Q2","Q3","Q4"},0)*3,15)</f>
        <v>45823</v>
      </c>
      <c r="D19" s="2">
        <f>DATE("20"&amp;RIGHT(D4,2),MATCH(LEFT(D4,2),{"Q1","Q2","Q3","Q4"},0)*3,15)</f>
        <v>45731</v>
      </c>
      <c r="E19" s="2">
        <f>DATE("20"&amp;RIGHT(E4,2),MATCH(LEFT(E4,2),{"Q1","Q2","Q3","Q4"},0)*3,15)</f>
        <v>45641</v>
      </c>
      <c r="F19" s="2">
        <f>DATE("20"&amp;RIGHT(F4,2),MATCH(LEFT(F4,2),{"Q1","Q2","Q3","Q4"},0)*3,15)</f>
        <v>45550</v>
      </c>
      <c r="G19" s="2">
        <f>DATE("20"&amp;RIGHT(G4,2),MATCH(LEFT(G4,2),{"Q1","Q2","Q3","Q4"},0)*3,15)</f>
        <v>45458</v>
      </c>
      <c r="H19" s="2">
        <f>DATE("20"&amp;RIGHT(H4,2),MATCH(LEFT(H4,2),{"Q1","Q2","Q3","Q4"},0)*3,15)</f>
        <v>45366</v>
      </c>
      <c r="I19" s="2">
        <f>DATE("20"&amp;RIGHT(I4,2),MATCH(LEFT(I4,2),{"Q1","Q2","Q3","Q4"},0)*3,15)</f>
        <v>45275</v>
      </c>
      <c r="J19" s="2">
        <f>DATE("20"&amp;RIGHT(J4,2),MATCH(LEFT(J4,2),{"Q1","Q2","Q3","Q4"},0)*3,15)</f>
        <v>45184</v>
      </c>
      <c r="K19" s="2">
        <f>DATE("20"&amp;RIGHT(K4,2),MATCH(LEFT(K4,2),{"Q1","Q2","Q3","Q4"},0)*3,15)</f>
        <v>45092</v>
      </c>
      <c r="L19" s="2">
        <f>DATE("20"&amp;RIGHT(L4,2),MATCH(LEFT(L4,2),{"Q1","Q2","Q3","Q4"},0)*3,15)</f>
        <v>45000</v>
      </c>
      <c r="M19" s="2">
        <f>DATE("20"&amp;RIGHT(M4,2),MATCH(LEFT(M4,2),{"Q1","Q2","Q3","Q4"},0)*3,15)</f>
        <v>44910</v>
      </c>
      <c r="N19" s="2">
        <f>DATE("20"&amp;RIGHT(N4,2),MATCH(LEFT(N4,2),{"Q1","Q2","Q3","Q4"},0)*3,15)</f>
        <v>44819</v>
      </c>
    </row>
    <row r="20" spans="2:14" x14ac:dyDescent="0.3">
      <c r="B20" s="3" t="s">
        <v>44</v>
      </c>
      <c r="C20" s="24">
        <f>C7/C10</f>
        <v>0.98543532778881682</v>
      </c>
      <c r="D20" s="24">
        <f>D7/D10</f>
        <v>0.99655011875845023</v>
      </c>
      <c r="E20" s="24">
        <f>E7/E10</f>
        <v>1.0134941765864836</v>
      </c>
      <c r="F20" s="24">
        <f>F7/F10</f>
        <v>1.0228290048960786</v>
      </c>
      <c r="G20" s="24">
        <f>G7/G10</f>
        <v>1.0757930614774411</v>
      </c>
      <c r="H20" s="24">
        <f>H7/H10</f>
        <v>1.1111043324148802</v>
      </c>
      <c r="I20" s="24">
        <f>I7/I10</f>
        <v>1.1198894683089109</v>
      </c>
      <c r="J20" s="24">
        <f>J7/J10</f>
        <v>1.1142924854262521</v>
      </c>
      <c r="K20" s="24">
        <f>K7/K10</f>
        <v>1.0774619942859949</v>
      </c>
      <c r="L20" s="24">
        <f>L7/L10</f>
        <v>1.3142036280586424</v>
      </c>
      <c r="M20" s="24">
        <f>M7/M10</f>
        <v>1.342661287702235</v>
      </c>
      <c r="N20" s="24">
        <f>N7/N10</f>
        <v>1.0223558431199664</v>
      </c>
    </row>
    <row r="21" spans="2:14" x14ac:dyDescent="0.3">
      <c r="B21" s="3" t="s">
        <v>46</v>
      </c>
      <c r="C21" s="28">
        <f>(C20-D20)/D20</f>
        <v>-1.115326842114148E-2</v>
      </c>
      <c r="D21" s="28">
        <f t="shared" ref="D21:M21" si="0">(D20-E20)/E20</f>
        <v>-1.6718456030109661E-2</v>
      </c>
      <c r="E21" s="28">
        <f t="shared" si="0"/>
        <v>-9.1264798562722856E-3</v>
      </c>
      <c r="F21" s="28">
        <f t="shared" si="0"/>
        <v>-4.9232569420576362E-2</v>
      </c>
      <c r="G21" s="28">
        <f t="shared" si="0"/>
        <v>-3.178033773002515E-2</v>
      </c>
      <c r="H21" s="28">
        <f t="shared" si="0"/>
        <v>-7.8446455142548426E-3</v>
      </c>
      <c r="I21" s="28">
        <f t="shared" si="0"/>
        <v>5.022902833736448E-3</v>
      </c>
      <c r="J21" s="28">
        <f t="shared" si="0"/>
        <v>3.4182635986769863E-2</v>
      </c>
      <c r="K21" s="28">
        <f t="shared" si="0"/>
        <v>-0.18014075499271387</v>
      </c>
      <c r="L21" s="28">
        <f t="shared" si="0"/>
        <v>-2.1194965479561595E-2</v>
      </c>
      <c r="M21" s="28">
        <f t="shared" si="0"/>
        <v>0.31330132921701603</v>
      </c>
      <c r="N21" s="28"/>
    </row>
    <row r="22" spans="2:14" x14ac:dyDescent="0.3">
      <c r="C22" s="21"/>
      <c r="F22" s="15"/>
      <c r="G22" s="17"/>
    </row>
    <row r="23" spans="2:14" x14ac:dyDescent="0.3">
      <c r="B23" s="3"/>
      <c r="C23" s="21"/>
      <c r="F23" s="15"/>
      <c r="G23" s="17"/>
    </row>
    <row r="24" spans="2:14" x14ac:dyDescent="0.3">
      <c r="B24" s="23"/>
      <c r="C24" s="2"/>
      <c r="F24" s="15"/>
      <c r="G24" s="18"/>
    </row>
    <row r="25" spans="2:14" x14ac:dyDescent="0.3">
      <c r="B25" s="42" t="s">
        <v>75</v>
      </c>
      <c r="C25" s="2"/>
      <c r="F25" s="15"/>
      <c r="G25" s="19"/>
    </row>
    <row r="26" spans="2:14" ht="17.25" customHeight="1" x14ac:dyDescent="0.3">
      <c r="B26" t="s">
        <v>71</v>
      </c>
      <c r="C26" s="7">
        <f>_xlfn.STDEV.P(C17:N17)</f>
        <v>8.4089427946356474E-2</v>
      </c>
      <c r="D26" s="106" t="s">
        <v>80</v>
      </c>
      <c r="E26" s="106"/>
      <c r="F26" s="106"/>
      <c r="G26" s="106"/>
      <c r="H26" s="106"/>
      <c r="I26" s="106"/>
      <c r="J26" s="106"/>
      <c r="K26" s="106"/>
      <c r="L26" s="106"/>
      <c r="M26" s="106"/>
      <c r="N26" s="106"/>
    </row>
    <row r="27" spans="2:14" x14ac:dyDescent="0.3">
      <c r="B27" t="s">
        <v>73</v>
      </c>
      <c r="C27" s="4">
        <f>AVERAGE(C17:N17)</f>
        <v>-8.2126471227315659E-2</v>
      </c>
      <c r="D27" s="106"/>
      <c r="E27" s="106"/>
      <c r="F27" s="106"/>
      <c r="G27" s="106"/>
      <c r="H27" s="106"/>
      <c r="I27" s="106"/>
      <c r="J27" s="106"/>
      <c r="K27" s="106"/>
      <c r="L27" s="106"/>
      <c r="M27" s="106"/>
      <c r="N27" s="106"/>
    </row>
    <row r="28" spans="2:14" x14ac:dyDescent="0.3">
      <c r="B28" s="23" t="s">
        <v>72</v>
      </c>
      <c r="C28" s="39">
        <f>(C27-4.65%)/C26</f>
        <v>-1.5296390327375147</v>
      </c>
      <c r="D28" s="106"/>
      <c r="E28" s="106"/>
      <c r="F28" s="106"/>
      <c r="G28" s="106"/>
      <c r="H28" s="106"/>
      <c r="I28" s="106"/>
      <c r="J28" s="106"/>
      <c r="K28" s="106"/>
      <c r="L28" s="106"/>
      <c r="M28" s="106"/>
      <c r="N28" s="106"/>
    </row>
    <row r="29" spans="2:14" x14ac:dyDescent="0.3">
      <c r="B29" s="23" t="s">
        <v>74</v>
      </c>
      <c r="C29" s="39">
        <f>output!W67</f>
        <v>1.8752561851764452E-2</v>
      </c>
      <c r="D29" s="106"/>
      <c r="E29" s="106"/>
      <c r="F29" s="106"/>
      <c r="G29" s="106"/>
      <c r="H29" s="106"/>
      <c r="I29" s="106"/>
      <c r="J29" s="106"/>
      <c r="K29" s="106"/>
      <c r="L29" s="106"/>
      <c r="M29" s="106"/>
      <c r="N29" s="106"/>
    </row>
    <row r="30" spans="2:14" x14ac:dyDescent="0.3">
      <c r="B30" t="s">
        <v>78</v>
      </c>
      <c r="C30" s="5">
        <f>1.65*C26*C10</f>
        <v>24921384.266702808</v>
      </c>
      <c r="D30" s="106"/>
      <c r="E30" s="106"/>
      <c r="F30" s="106"/>
      <c r="G30" s="106"/>
      <c r="H30" s="106"/>
      <c r="I30" s="106"/>
      <c r="J30" s="106"/>
      <c r="K30" s="106"/>
      <c r="L30" s="106"/>
      <c r="M30" s="106"/>
      <c r="N30" s="106"/>
    </row>
    <row r="31" spans="2:14" x14ac:dyDescent="0.3">
      <c r="B31" s="23" t="s">
        <v>42</v>
      </c>
      <c r="C31" s="4">
        <f>output!C25</f>
        <v>1.0815069079399109E-2</v>
      </c>
      <c r="D31" s="106"/>
      <c r="E31" s="106"/>
      <c r="F31" s="106"/>
      <c r="G31" s="106"/>
      <c r="H31" s="106"/>
      <c r="I31" s="106"/>
      <c r="J31" s="106"/>
      <c r="K31" s="106"/>
      <c r="L31" s="106"/>
      <c r="M31" s="106"/>
      <c r="N31" s="106"/>
    </row>
    <row r="32" spans="2:14" x14ac:dyDescent="0.3">
      <c r="B32" s="23"/>
      <c r="C32" s="22"/>
      <c r="F32" s="15"/>
      <c r="G32" s="20"/>
    </row>
    <row r="33" spans="2:7" x14ac:dyDescent="0.3">
      <c r="B33" s="23"/>
      <c r="C33" s="2"/>
      <c r="F33" s="15"/>
      <c r="G33" s="19"/>
    </row>
    <row r="34" spans="2:7" x14ac:dyDescent="0.3">
      <c r="B34" s="23"/>
      <c r="C34" s="2"/>
      <c r="F34" s="15"/>
      <c r="G34" s="18"/>
    </row>
    <row r="35" spans="2:7" x14ac:dyDescent="0.3">
      <c r="B35" s="23"/>
      <c r="C35" s="2"/>
      <c r="F35" s="15"/>
      <c r="G35" s="17"/>
    </row>
    <row r="36" spans="2:7" x14ac:dyDescent="0.3">
      <c r="B36" s="23"/>
      <c r="C36" s="2"/>
      <c r="F36" s="15"/>
      <c r="G36" s="18"/>
    </row>
    <row r="37" spans="2:7" x14ac:dyDescent="0.3">
      <c r="F37" s="15"/>
      <c r="G37" s="19"/>
    </row>
    <row r="38" spans="2:7" x14ac:dyDescent="0.3">
      <c r="B38" s="3"/>
      <c r="F38" s="15"/>
      <c r="G38" s="18"/>
    </row>
    <row r="39" spans="2:7" x14ac:dyDescent="0.3">
      <c r="B39" s="3"/>
      <c r="F39" s="15"/>
      <c r="G39" s="19"/>
    </row>
    <row r="40" spans="2:7" x14ac:dyDescent="0.3">
      <c r="B40" s="3"/>
      <c r="F40" s="15"/>
      <c r="G40" s="18"/>
    </row>
    <row r="41" spans="2:7" x14ac:dyDescent="0.3">
      <c r="B41" s="3"/>
      <c r="F41" s="15"/>
      <c r="G41" s="19"/>
    </row>
    <row r="42" spans="2:7" x14ac:dyDescent="0.3">
      <c r="F42" s="15"/>
      <c r="G42" s="18"/>
    </row>
    <row r="43" spans="2:7" x14ac:dyDescent="0.3">
      <c r="B43" s="3"/>
      <c r="F43" s="15"/>
      <c r="G43" s="19"/>
    </row>
    <row r="44" spans="2:7" x14ac:dyDescent="0.3">
      <c r="F44" s="15"/>
      <c r="G44" s="18"/>
    </row>
    <row r="45" spans="2:7" x14ac:dyDescent="0.3">
      <c r="B45" s="4"/>
      <c r="F45" s="15"/>
      <c r="G45" s="19"/>
    </row>
    <row r="46" spans="2:7" x14ac:dyDescent="0.3">
      <c r="F46" s="15"/>
      <c r="G46" s="18"/>
    </row>
    <row r="47" spans="2:7" x14ac:dyDescent="0.3">
      <c r="F47" s="15"/>
      <c r="G47" s="19"/>
    </row>
    <row r="48" spans="2:7" x14ac:dyDescent="0.3">
      <c r="F48" s="15"/>
      <c r="G48" s="16"/>
    </row>
    <row r="57" spans="1:1" x14ac:dyDescent="0.3">
      <c r="A57" s="1" t="s">
        <v>15</v>
      </c>
    </row>
    <row r="58" spans="1:1" x14ac:dyDescent="0.3">
      <c r="A58" t="s">
        <v>16</v>
      </c>
    </row>
    <row r="59" spans="1:1" x14ac:dyDescent="0.3">
      <c r="A59" t="s">
        <v>17</v>
      </c>
    </row>
  </sheetData>
  <mergeCells count="1">
    <mergeCell ref="D26:N31"/>
  </mergeCells>
  <conditionalFormatting sqref="C17:N17">
    <cfRule type="cellIs" dxfId="12" priority="1" operator="greaterThan">
      <formula>0.15</formula>
    </cfRule>
  </conditionalFormatting>
  <conditionalFormatting sqref="F22:G23 C28:C29">
    <cfRule type="expression" dxfId="11" priority="16">
      <formula>SEARCH("Tota*",$C22)</formula>
    </cfRule>
  </conditionalFormatting>
  <conditionalFormatting sqref="F24:G24">
    <cfRule type="expression" dxfId="10" priority="18">
      <formula>SEARCH("Tota*",#REF!)</formula>
    </cfRule>
  </conditionalFormatting>
  <conditionalFormatting sqref="F25:G25 F32:G37">
    <cfRule type="expression" dxfId="9" priority="20">
      <formula>SEARCH("Tota*",$C24)</formula>
    </cfRule>
  </conditionalFormatting>
  <conditionalFormatting sqref="F38:G48">
    <cfRule type="expression" dxfId="8" priority="5">
      <formula>SEARCH("Tota*",$C38)</formula>
    </cfRule>
  </conditionalFormatting>
  <pageMargins left="0.7" right="0.7" top="0.75" bottom="0.75" header="0.3" footer="0.3"/>
  <customProperties>
    <customPr name="QAA_DRILLPATH_NODE_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5827C-B495-40F5-90C3-EDD14E2607B3}">
  <dimension ref="A1:P60"/>
  <sheetViews>
    <sheetView showGridLines="0" workbookViewId="0">
      <selection activeCell="G19" sqref="G19"/>
    </sheetView>
  </sheetViews>
  <sheetFormatPr defaultRowHeight="14.4" x14ac:dyDescent="0.3"/>
  <cols>
    <col min="1" max="1" width="4.88671875" customWidth="1"/>
    <col min="2" max="2" width="3.6640625" customWidth="1"/>
    <col min="3" max="3" width="32.5546875" customWidth="1"/>
    <col min="4" max="4" width="16.5546875" bestFit="1" customWidth="1"/>
    <col min="5" max="5" width="15.5546875" bestFit="1" customWidth="1"/>
    <col min="6" max="6" width="14.6640625" customWidth="1"/>
    <col min="7" max="7" width="13.44140625" customWidth="1"/>
    <col min="8" max="8" width="12.5546875" customWidth="1"/>
    <col min="9" max="9" width="12.88671875" customWidth="1"/>
    <col min="10" max="10" width="12.88671875" bestFit="1" customWidth="1"/>
  </cols>
  <sheetData>
    <row r="1" spans="1:16" ht="21" x14ac:dyDescent="0.4">
      <c r="A1" s="10" t="s">
        <v>96</v>
      </c>
      <c r="B1" s="44"/>
      <c r="C1" s="44"/>
      <c r="D1" s="44"/>
      <c r="E1" s="44"/>
      <c r="F1" s="44"/>
      <c r="G1" s="44"/>
      <c r="H1" s="44"/>
      <c r="I1" s="44"/>
      <c r="J1" s="44"/>
      <c r="K1" s="44"/>
      <c r="L1" s="44"/>
      <c r="M1" s="44"/>
      <c r="N1" s="44"/>
      <c r="O1" s="44"/>
      <c r="P1" s="44"/>
    </row>
    <row r="4" spans="1:16" x14ac:dyDescent="0.3">
      <c r="C4" s="57" t="s">
        <v>83</v>
      </c>
      <c r="D4" s="58">
        <v>44790</v>
      </c>
      <c r="E4" s="59"/>
      <c r="F4" s="59"/>
    </row>
    <row r="5" spans="1:16" x14ac:dyDescent="0.3">
      <c r="C5" s="57" t="s">
        <v>104</v>
      </c>
      <c r="D5" s="58">
        <v>45666</v>
      </c>
      <c r="E5" s="59"/>
      <c r="F5" s="59"/>
    </row>
    <row r="6" spans="1:16" x14ac:dyDescent="0.3">
      <c r="C6" s="57" t="s">
        <v>107</v>
      </c>
      <c r="D6" s="58">
        <v>46022</v>
      </c>
      <c r="E6" s="59"/>
      <c r="F6" s="59"/>
    </row>
    <row r="7" spans="1:16" x14ac:dyDescent="0.3">
      <c r="C7" s="57" t="s">
        <v>85</v>
      </c>
      <c r="D7" s="60" t="s">
        <v>93</v>
      </c>
      <c r="E7" s="59"/>
      <c r="F7" s="59"/>
    </row>
    <row r="8" spans="1:16" x14ac:dyDescent="0.3">
      <c r="C8" s="57"/>
      <c r="D8" s="60"/>
      <c r="E8" s="59"/>
      <c r="F8" s="59"/>
    </row>
    <row r="9" spans="1:16" x14ac:dyDescent="0.3">
      <c r="C9" s="57" t="s">
        <v>84</v>
      </c>
      <c r="D9" s="61">
        <v>8500000</v>
      </c>
      <c r="E9" s="59"/>
      <c r="F9" s="59"/>
    </row>
    <row r="10" spans="1:16" x14ac:dyDescent="0.3">
      <c r="C10" s="57" t="s">
        <v>90</v>
      </c>
      <c r="D10" s="60"/>
      <c r="E10" s="59"/>
      <c r="F10" s="59"/>
    </row>
    <row r="11" spans="1:16" x14ac:dyDescent="0.3">
      <c r="C11" s="57" t="s">
        <v>86</v>
      </c>
      <c r="D11" s="61">
        <v>9100000</v>
      </c>
      <c r="E11" s="59"/>
      <c r="F11" s="59"/>
    </row>
    <row r="12" spans="1:16" x14ac:dyDescent="0.3">
      <c r="C12" s="57" t="s">
        <v>87</v>
      </c>
      <c r="D12" s="61">
        <v>7000000</v>
      </c>
      <c r="E12" s="59"/>
      <c r="F12" s="59"/>
    </row>
    <row r="13" spans="1:16" x14ac:dyDescent="0.3">
      <c r="C13" s="57" t="s">
        <v>88</v>
      </c>
      <c r="D13" s="62">
        <v>1400000</v>
      </c>
      <c r="E13" s="59"/>
      <c r="F13" s="59"/>
    </row>
    <row r="14" spans="1:16" x14ac:dyDescent="0.3">
      <c r="C14" s="57" t="s">
        <v>89</v>
      </c>
      <c r="D14" s="61">
        <f>SUM(D11:D13)</f>
        <v>17500000</v>
      </c>
      <c r="E14" s="59"/>
      <c r="F14" s="59"/>
    </row>
    <row r="15" spans="1:16" x14ac:dyDescent="0.3">
      <c r="C15" s="59"/>
      <c r="D15" s="59"/>
      <c r="E15" s="59"/>
      <c r="F15" s="59"/>
    </row>
    <row r="16" spans="1:16" x14ac:dyDescent="0.3">
      <c r="C16" s="57" t="s">
        <v>113</v>
      </c>
      <c r="D16" s="63">
        <v>129340.84</v>
      </c>
      <c r="E16" s="59"/>
      <c r="F16" s="59"/>
    </row>
    <row r="17" spans="3:6" x14ac:dyDescent="0.3">
      <c r="C17" s="57" t="s">
        <v>135</v>
      </c>
      <c r="D17" s="63">
        <v>0</v>
      </c>
      <c r="E17" s="59"/>
      <c r="F17" s="59"/>
    </row>
    <row r="18" spans="3:6" x14ac:dyDescent="0.3">
      <c r="C18" s="57" t="s">
        <v>94</v>
      </c>
      <c r="D18" s="63">
        <v>55300</v>
      </c>
      <c r="E18" s="59"/>
      <c r="F18" s="59"/>
    </row>
    <row r="19" spans="3:6" x14ac:dyDescent="0.3">
      <c r="C19" s="1"/>
      <c r="D19" s="5"/>
    </row>
    <row r="20" spans="3:6" x14ac:dyDescent="0.3">
      <c r="C20" s="65" t="s">
        <v>98</v>
      </c>
      <c r="D20" s="1" t="s">
        <v>101</v>
      </c>
      <c r="E20" s="1" t="s">
        <v>92</v>
      </c>
      <c r="F20" s="1"/>
    </row>
    <row r="21" spans="3:6" x14ac:dyDescent="0.3">
      <c r="C21" s="1" t="s">
        <v>117</v>
      </c>
      <c r="D21" s="45">
        <v>19</v>
      </c>
      <c r="E21" s="45">
        <v>20</v>
      </c>
      <c r="F21" s="45"/>
    </row>
    <row r="22" spans="3:6" x14ac:dyDescent="0.3">
      <c r="C22" s="1" t="s">
        <v>95</v>
      </c>
      <c r="D22" s="40">
        <f>D21*$D$18</f>
        <v>1050700</v>
      </c>
      <c r="E22" s="40">
        <f>E21*$D$18</f>
        <v>1106000</v>
      </c>
      <c r="F22" s="40"/>
    </row>
    <row r="23" spans="3:6" x14ac:dyDescent="0.3">
      <c r="C23" s="1"/>
      <c r="D23" s="46"/>
      <c r="E23" s="40"/>
    </row>
    <row r="24" spans="3:6" x14ac:dyDescent="0.3">
      <c r="C24" s="1"/>
      <c r="D24" s="40"/>
      <c r="E24" s="40"/>
      <c r="F24" s="40"/>
    </row>
    <row r="25" spans="3:6" x14ac:dyDescent="0.3">
      <c r="C25" s="1"/>
      <c r="D25" s="40"/>
      <c r="E25" s="40"/>
    </row>
    <row r="27" spans="3:6" x14ac:dyDescent="0.3">
      <c r="C27" s="1" t="s">
        <v>97</v>
      </c>
    </row>
    <row r="28" spans="3:6" x14ac:dyDescent="0.3">
      <c r="C28" s="1" t="s">
        <v>99</v>
      </c>
      <c r="D28" s="47">
        <v>0.05</v>
      </c>
      <c r="E28" s="48">
        <v>4.2500000000000003E-2</v>
      </c>
      <c r="F28" s="48"/>
    </row>
    <row r="29" spans="3:6" x14ac:dyDescent="0.3">
      <c r="C29" s="1" t="s">
        <v>100</v>
      </c>
      <c r="D29" s="41">
        <f>D22/D28</f>
        <v>21014000</v>
      </c>
      <c r="E29" s="41">
        <f>E22/E28</f>
        <v>26023529.411764704</v>
      </c>
      <c r="F29" s="41"/>
    </row>
    <row r="30" spans="3:6" x14ac:dyDescent="0.3">
      <c r="C30" s="1" t="s">
        <v>102</v>
      </c>
      <c r="D30" s="41">
        <f>D29/$D$18</f>
        <v>380</v>
      </c>
      <c r="E30" s="41">
        <f>E29/$D$18</f>
        <v>470.58823529411762</v>
      </c>
      <c r="F30" s="41"/>
    </row>
    <row r="31" spans="3:6" x14ac:dyDescent="0.3">
      <c r="C31" s="1" t="s">
        <v>103</v>
      </c>
      <c r="D31" s="41">
        <f>D29-$D$14</f>
        <v>3514000</v>
      </c>
      <c r="E31" s="41">
        <f>E29-$D$14</f>
        <v>8523529.4117647037</v>
      </c>
      <c r="F31" s="41"/>
    </row>
    <row r="32" spans="3:6" x14ac:dyDescent="0.3">
      <c r="C32" s="1" t="s">
        <v>105</v>
      </c>
      <c r="D32" s="24">
        <f>XIRR(D40:D42,$C$40:$C$42)</f>
        <v>8.6697092652320867E-2</v>
      </c>
      <c r="E32" s="24">
        <f>XIRR(E40:E42,$C$40:$C$42)</f>
        <v>0.19132413268089296</v>
      </c>
      <c r="F32" s="24"/>
    </row>
    <row r="34" spans="3:10" x14ac:dyDescent="0.3">
      <c r="C34" s="1" t="s">
        <v>82</v>
      </c>
      <c r="D34" t="s">
        <v>106</v>
      </c>
    </row>
    <row r="35" spans="3:10" x14ac:dyDescent="0.3">
      <c r="C35" s="1" t="s">
        <v>81</v>
      </c>
      <c r="D35" s="24">
        <f>D22/D14</f>
        <v>6.0040000000000003E-2</v>
      </c>
      <c r="E35" s="24">
        <f>E22/D14</f>
        <v>6.3200000000000006E-2</v>
      </c>
      <c r="F35" s="24"/>
    </row>
    <row r="38" spans="3:10" x14ac:dyDescent="0.3">
      <c r="F38" s="55"/>
    </row>
    <row r="39" spans="3:10" x14ac:dyDescent="0.3">
      <c r="C39" s="49"/>
      <c r="D39" s="50" t="s">
        <v>101</v>
      </c>
      <c r="E39" s="50" t="s">
        <v>92</v>
      </c>
      <c r="F39" s="51"/>
    </row>
    <row r="40" spans="3:10" x14ac:dyDescent="0.3">
      <c r="C40" s="52">
        <v>44790</v>
      </c>
      <c r="D40" s="41">
        <f>-D9</f>
        <v>-8500000</v>
      </c>
      <c r="E40" s="41">
        <f>D40</f>
        <v>-8500000</v>
      </c>
      <c r="F40" s="53"/>
    </row>
    <row r="41" spans="3:10" x14ac:dyDescent="0.3">
      <c r="C41" s="52">
        <v>45666</v>
      </c>
      <c r="D41" s="41">
        <f>-(D14-D9)</f>
        <v>-9000000</v>
      </c>
      <c r="E41" s="41">
        <f>D41</f>
        <v>-9000000</v>
      </c>
      <c r="F41" s="53"/>
    </row>
    <row r="42" spans="3:10" x14ac:dyDescent="0.3">
      <c r="C42" s="56">
        <f>D6</f>
        <v>46022</v>
      </c>
      <c r="D42" s="54">
        <f>D$29</f>
        <v>21014000</v>
      </c>
      <c r="E42" s="54">
        <f>E$29</f>
        <v>26023529.411764704</v>
      </c>
      <c r="F42" s="54"/>
    </row>
    <row r="44" spans="3:10" x14ac:dyDescent="0.3">
      <c r="C44" s="66" t="s">
        <v>108</v>
      </c>
      <c r="D44" s="67"/>
      <c r="E44" s="67"/>
      <c r="F44" s="67"/>
      <c r="G44" s="67"/>
      <c r="H44" s="67"/>
      <c r="I44" s="67"/>
      <c r="J44" s="67"/>
    </row>
    <row r="45" spans="3:10" x14ac:dyDescent="0.3">
      <c r="C45" s="67" t="s">
        <v>109</v>
      </c>
      <c r="D45" s="67"/>
      <c r="E45" s="67"/>
      <c r="F45" s="67"/>
      <c r="G45" s="67"/>
      <c r="H45" s="67"/>
      <c r="I45" s="67"/>
      <c r="J45" s="67"/>
    </row>
    <row r="47" spans="3:10" x14ac:dyDescent="0.3">
      <c r="D47" s="64">
        <f>D4</f>
        <v>44790</v>
      </c>
      <c r="E47" s="64">
        <f>D5</f>
        <v>45666</v>
      </c>
      <c r="F47" s="64">
        <f>D6</f>
        <v>46022</v>
      </c>
      <c r="G47" s="64">
        <f>F47+365</f>
        <v>46387</v>
      </c>
      <c r="H47" s="64">
        <f>G47+365</f>
        <v>46752</v>
      </c>
      <c r="I47" s="64">
        <f>H47+365</f>
        <v>47117</v>
      </c>
      <c r="J47" s="6" t="s">
        <v>42</v>
      </c>
    </row>
    <row r="48" spans="3:10" x14ac:dyDescent="0.3">
      <c r="C48" s="1" t="s">
        <v>110</v>
      </c>
      <c r="D48" s="41">
        <f>-$D$9</f>
        <v>-8500000</v>
      </c>
      <c r="E48" s="41">
        <f>-($D$14-$D$9)</f>
        <v>-9000000</v>
      </c>
      <c r="F48" s="41">
        <f>$E$22</f>
        <v>1106000</v>
      </c>
      <c r="G48" s="41">
        <f>$E$29</f>
        <v>26023529.411764704</v>
      </c>
      <c r="J48" s="24">
        <f>XIRR(D48:G48,D47:G47)</f>
        <v>0.14703057408332823</v>
      </c>
    </row>
    <row r="49" spans="3:10" x14ac:dyDescent="0.3">
      <c r="C49" s="1" t="s">
        <v>111</v>
      </c>
      <c r="D49" s="41">
        <f t="shared" ref="D49:D50" si="0">-$D$9</f>
        <v>-8500000</v>
      </c>
      <c r="E49" s="41">
        <f t="shared" ref="E49:E50" si="1">-($D$14-$D$9)</f>
        <v>-9000000</v>
      </c>
      <c r="F49" s="41">
        <f>F48</f>
        <v>1106000</v>
      </c>
      <c r="G49" s="41">
        <f>$E$22</f>
        <v>1106000</v>
      </c>
      <c r="H49" s="41">
        <f>$E$29</f>
        <v>26023529.411764704</v>
      </c>
      <c r="J49" s="24">
        <f>XIRR(D49:H49,D47:H47)</f>
        <v>0.12387921214103698</v>
      </c>
    </row>
    <row r="50" spans="3:10" x14ac:dyDescent="0.3">
      <c r="C50" s="1" t="s">
        <v>112</v>
      </c>
      <c r="D50" s="41">
        <f t="shared" si="0"/>
        <v>-8500000</v>
      </c>
      <c r="E50" s="41">
        <f t="shared" si="1"/>
        <v>-9000000</v>
      </c>
      <c r="F50" s="41">
        <f>F49</f>
        <v>1106000</v>
      </c>
      <c r="G50" s="41">
        <f>$E$22</f>
        <v>1106000</v>
      </c>
      <c r="H50" s="41">
        <f>$E$22</f>
        <v>1106000</v>
      </c>
      <c r="I50" s="41">
        <f>$E$29</f>
        <v>26023529.411764704</v>
      </c>
      <c r="J50" s="24">
        <f>XIRR(D50:I50,D47:I47)</f>
        <v>0.10974517464637756</v>
      </c>
    </row>
    <row r="53" spans="3:10" x14ac:dyDescent="0.3">
      <c r="C53" s="66" t="s">
        <v>108</v>
      </c>
      <c r="D53" s="67"/>
      <c r="E53" s="67"/>
      <c r="F53" s="67"/>
      <c r="G53" s="67"/>
      <c r="H53" s="67"/>
      <c r="I53" s="67"/>
      <c r="J53" s="67"/>
    </row>
    <row r="54" spans="3:10" x14ac:dyDescent="0.3">
      <c r="C54" s="67" t="s">
        <v>134</v>
      </c>
      <c r="D54" s="67"/>
      <c r="E54" s="67"/>
      <c r="F54" s="67"/>
      <c r="G54" s="67"/>
      <c r="H54" s="67"/>
      <c r="I54" s="67"/>
      <c r="J54" s="67"/>
    </row>
    <row r="56" spans="3:10" x14ac:dyDescent="0.3">
      <c r="D56" s="64">
        <f>D47</f>
        <v>44790</v>
      </c>
      <c r="E56" s="64">
        <f t="shared" ref="E56:I56" si="2">E47</f>
        <v>45666</v>
      </c>
      <c r="F56" s="64">
        <f t="shared" si="2"/>
        <v>46022</v>
      </c>
      <c r="G56" s="64">
        <f t="shared" si="2"/>
        <v>46387</v>
      </c>
      <c r="H56" s="64">
        <f t="shared" si="2"/>
        <v>46752</v>
      </c>
      <c r="I56" s="64">
        <f t="shared" si="2"/>
        <v>47117</v>
      </c>
      <c r="J56" s="6" t="s">
        <v>42</v>
      </c>
    </row>
    <row r="57" spans="3:10" x14ac:dyDescent="0.3">
      <c r="C57" s="1" t="s">
        <v>110</v>
      </c>
      <c r="D57" s="41">
        <f>-$D$9</f>
        <v>-8500000</v>
      </c>
      <c r="E57" s="41">
        <f>-($D$14-$D$9)</f>
        <v>-9000000</v>
      </c>
      <c r="F57" s="68">
        <f>-3*$D$18</f>
        <v>-165900</v>
      </c>
      <c r="G57" s="41">
        <v>25000000</v>
      </c>
      <c r="J57" s="24">
        <f>XIRR(D57:G57,D56:G56)</f>
        <v>0.1145981848239899</v>
      </c>
    </row>
    <row r="58" spans="3:10" x14ac:dyDescent="0.3">
      <c r="C58" s="1" t="s">
        <v>111</v>
      </c>
      <c r="D58" s="41">
        <f t="shared" ref="D58:D59" si="3">-$D$9</f>
        <v>-8500000</v>
      </c>
      <c r="E58" s="41">
        <f t="shared" ref="E58:E59" si="4">-($D$14-$D$9)</f>
        <v>-9000000</v>
      </c>
      <c r="F58" s="68">
        <f t="shared" ref="F58:F59" si="5">-3*$D$18</f>
        <v>-165900</v>
      </c>
      <c r="G58" s="68">
        <f>-3*$D$18</f>
        <v>-165900</v>
      </c>
      <c r="H58" s="41">
        <v>25000000</v>
      </c>
      <c r="J58" s="24">
        <f>XIRR(D58:H58,D56:H56)</f>
        <v>8.4729495644569414E-2</v>
      </c>
    </row>
    <row r="59" spans="3:10" x14ac:dyDescent="0.3">
      <c r="C59" s="1" t="s">
        <v>112</v>
      </c>
      <c r="D59" s="41">
        <f t="shared" si="3"/>
        <v>-8500000</v>
      </c>
      <c r="E59" s="41">
        <f t="shared" si="4"/>
        <v>-9000000</v>
      </c>
      <c r="F59" s="68">
        <f t="shared" si="5"/>
        <v>-165900</v>
      </c>
      <c r="G59" s="68">
        <f>-3*$D$18</f>
        <v>-165900</v>
      </c>
      <c r="H59" s="68">
        <f>-3*$D$18</f>
        <v>-165900</v>
      </c>
      <c r="I59" s="41">
        <v>25000000</v>
      </c>
      <c r="J59" s="24">
        <f>XIRR(D59:I59,D56:I56)</f>
        <v>6.6452041268348694E-2</v>
      </c>
    </row>
    <row r="60" spans="3:10" x14ac:dyDescent="0.3">
      <c r="D60" s="41"/>
      <c r="E60" s="41"/>
      <c r="F60" s="68"/>
      <c r="G60" s="68"/>
      <c r="H60" s="68"/>
      <c r="I60" s="68"/>
    </row>
  </sheetData>
  <phoneticPr fontId="33" type="noConversion"/>
  <conditionalFormatting sqref="D32:F32">
    <cfRule type="cellIs" dxfId="7" priority="2" operator="greaterThan">
      <formula>0.15</formula>
    </cfRule>
  </conditionalFormatting>
  <conditionalFormatting sqref="D35:F35">
    <cfRule type="cellIs" dxfId="6" priority="1" operator="greaterThan">
      <formula>0.045</formula>
    </cfRule>
  </conditionalFormatting>
  <pageMargins left="0.7" right="0.7" top="0.75" bottom="0.75" header="0.3" footer="0.3"/>
  <customProperties>
    <customPr name="QAA_DRILLPATH_NODE_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D703-867F-4B32-8E4A-452845CC5B70}">
  <dimension ref="A1:P61"/>
  <sheetViews>
    <sheetView showGridLines="0" topLeftCell="A12" workbookViewId="0">
      <selection activeCell="F30" sqref="F30"/>
    </sheetView>
  </sheetViews>
  <sheetFormatPr defaultRowHeight="14.4" x14ac:dyDescent="0.3"/>
  <cols>
    <col min="1" max="1" width="4.88671875" customWidth="1"/>
    <col min="2" max="2" width="3.6640625" customWidth="1"/>
    <col min="3" max="3" width="32.5546875" customWidth="1"/>
    <col min="4" max="4" width="16.5546875" bestFit="1" customWidth="1"/>
    <col min="5" max="5" width="15.5546875" bestFit="1" customWidth="1"/>
    <col min="6" max="6" width="14.6640625" customWidth="1"/>
    <col min="7" max="7" width="13.44140625" customWidth="1"/>
    <col min="8" max="8" width="12.5546875" customWidth="1"/>
    <col min="9" max="9" width="12.88671875" customWidth="1"/>
    <col min="10" max="10" width="12.88671875" bestFit="1" customWidth="1"/>
  </cols>
  <sheetData>
    <row r="1" spans="1:16" ht="21" x14ac:dyDescent="0.4">
      <c r="A1" s="10" t="s">
        <v>114</v>
      </c>
      <c r="B1" s="44"/>
      <c r="C1" s="44"/>
      <c r="D1" s="44"/>
      <c r="E1" s="44"/>
      <c r="F1" s="44"/>
      <c r="G1" s="44"/>
      <c r="H1" s="44"/>
      <c r="I1" s="44"/>
      <c r="J1" s="44"/>
      <c r="K1" s="44"/>
      <c r="L1" s="44"/>
      <c r="M1" s="44"/>
      <c r="N1" s="44"/>
      <c r="O1" s="44"/>
      <c r="P1" s="44"/>
    </row>
    <row r="4" spans="1:16" x14ac:dyDescent="0.3">
      <c r="C4" s="57" t="s">
        <v>83</v>
      </c>
      <c r="D4" s="58">
        <v>45085</v>
      </c>
      <c r="E4" s="59"/>
      <c r="F4" s="59"/>
    </row>
    <row r="5" spans="1:16" x14ac:dyDescent="0.3">
      <c r="C5" s="57" t="s">
        <v>104</v>
      </c>
      <c r="D5" s="58">
        <v>46062</v>
      </c>
      <c r="E5" s="59"/>
      <c r="F5" s="59"/>
    </row>
    <row r="6" spans="1:16" x14ac:dyDescent="0.3">
      <c r="C6" s="57" t="s">
        <v>107</v>
      </c>
      <c r="D6" s="58">
        <v>46203</v>
      </c>
      <c r="E6" s="59"/>
      <c r="F6" s="59"/>
    </row>
    <row r="7" spans="1:16" x14ac:dyDescent="0.3">
      <c r="C7" s="57" t="s">
        <v>85</v>
      </c>
      <c r="D7" s="60" t="s">
        <v>115</v>
      </c>
      <c r="E7" s="59"/>
      <c r="F7" s="59"/>
    </row>
    <row r="8" spans="1:16" x14ac:dyDescent="0.3">
      <c r="C8" s="57"/>
      <c r="D8" s="60"/>
      <c r="E8" s="59"/>
      <c r="F8" s="59"/>
    </row>
    <row r="9" spans="1:16" x14ac:dyDescent="0.3">
      <c r="C9" s="57" t="s">
        <v>84</v>
      </c>
      <c r="D9" s="61">
        <v>39800000</v>
      </c>
      <c r="E9" s="59"/>
      <c r="F9" s="59"/>
    </row>
    <row r="10" spans="1:16" x14ac:dyDescent="0.3">
      <c r="C10" s="57" t="s">
        <v>90</v>
      </c>
      <c r="D10" s="60"/>
      <c r="E10" s="59"/>
      <c r="F10" s="59"/>
    </row>
    <row r="11" spans="1:16" x14ac:dyDescent="0.3">
      <c r="C11" s="57" t="s">
        <v>86</v>
      </c>
      <c r="D11" s="61">
        <v>30000000</v>
      </c>
      <c r="E11" s="59"/>
      <c r="F11" s="59"/>
    </row>
    <row r="12" spans="1:16" x14ac:dyDescent="0.3">
      <c r="C12" s="57" t="s">
        <v>87</v>
      </c>
      <c r="D12" s="61">
        <v>23000000</v>
      </c>
      <c r="E12" s="59"/>
      <c r="F12" s="59"/>
    </row>
    <row r="13" spans="1:16" x14ac:dyDescent="0.3">
      <c r="C13" s="57" t="s">
        <v>88</v>
      </c>
      <c r="D13" s="62">
        <v>4000000</v>
      </c>
      <c r="E13" s="59"/>
      <c r="F13" s="59"/>
    </row>
    <row r="14" spans="1:16" x14ac:dyDescent="0.3">
      <c r="C14" s="57" t="s">
        <v>89</v>
      </c>
      <c r="D14" s="61">
        <f>SUM(D11:D13)</f>
        <v>57000000</v>
      </c>
      <c r="E14" s="59"/>
      <c r="F14" s="59"/>
    </row>
    <row r="15" spans="1:16" x14ac:dyDescent="0.3">
      <c r="C15" s="59"/>
      <c r="D15" s="59"/>
      <c r="E15" s="59"/>
      <c r="F15" s="59"/>
    </row>
    <row r="16" spans="1:16" x14ac:dyDescent="0.3">
      <c r="C16" s="57" t="s">
        <v>113</v>
      </c>
      <c r="D16" s="63">
        <v>129340.84</v>
      </c>
      <c r="E16" s="59"/>
      <c r="F16" s="59"/>
    </row>
    <row r="17" spans="3:6" x14ac:dyDescent="0.3">
      <c r="C17" s="57" t="s">
        <v>136</v>
      </c>
      <c r="D17" s="63">
        <v>30000000</v>
      </c>
      <c r="E17" s="59"/>
      <c r="F17" s="59"/>
    </row>
    <row r="18" spans="3:6" x14ac:dyDescent="0.3">
      <c r="C18" s="57" t="s">
        <v>131</v>
      </c>
      <c r="D18" s="101">
        <v>4.4999999999999998E-2</v>
      </c>
      <c r="E18" s="59"/>
      <c r="F18" s="59"/>
    </row>
    <row r="19" spans="3:6" x14ac:dyDescent="0.3">
      <c r="D19" s="69"/>
      <c r="E19" s="70"/>
      <c r="F19" s="70"/>
    </row>
    <row r="20" spans="3:6" x14ac:dyDescent="0.3">
      <c r="C20" s="65" t="s">
        <v>98</v>
      </c>
      <c r="D20" s="1" t="s">
        <v>101</v>
      </c>
      <c r="E20" s="1" t="s">
        <v>92</v>
      </c>
    </row>
    <row r="21" spans="3:6" x14ac:dyDescent="0.3">
      <c r="C21" s="65" t="s">
        <v>116</v>
      </c>
      <c r="D21">
        <v>150365</v>
      </c>
      <c r="E21">
        <v>154380</v>
      </c>
      <c r="F21" s="1"/>
    </row>
    <row r="22" spans="3:6" x14ac:dyDescent="0.3">
      <c r="C22" s="1" t="s">
        <v>91</v>
      </c>
      <c r="D22" s="45">
        <v>27</v>
      </c>
      <c r="E22" s="45">
        <v>27.6</v>
      </c>
      <c r="F22" s="45"/>
    </row>
    <row r="23" spans="3:6" x14ac:dyDescent="0.3">
      <c r="C23" s="1" t="s">
        <v>95</v>
      </c>
      <c r="D23" s="40">
        <f>D22*D21</f>
        <v>4059855</v>
      </c>
      <c r="E23" s="40">
        <f>E22*E21</f>
        <v>4260888</v>
      </c>
      <c r="F23" s="40"/>
    </row>
    <row r="24" spans="3:6" x14ac:dyDescent="0.3">
      <c r="C24" s="1"/>
      <c r="D24" s="46"/>
      <c r="E24" s="40"/>
    </row>
    <row r="25" spans="3:6" x14ac:dyDescent="0.3">
      <c r="C25" s="1"/>
      <c r="D25" s="40"/>
      <c r="E25" s="40"/>
      <c r="F25" s="40"/>
    </row>
    <row r="26" spans="3:6" x14ac:dyDescent="0.3">
      <c r="C26" s="1"/>
      <c r="D26" s="40"/>
      <c r="E26" s="40"/>
    </row>
    <row r="28" spans="3:6" x14ac:dyDescent="0.3">
      <c r="C28" s="1" t="s">
        <v>97</v>
      </c>
    </row>
    <row r="29" spans="3:6" x14ac:dyDescent="0.3">
      <c r="C29" s="1" t="s">
        <v>99</v>
      </c>
      <c r="D29" s="48">
        <v>4.7500000000000001E-2</v>
      </c>
      <c r="E29" s="48">
        <v>4.7500000000000001E-2</v>
      </c>
      <c r="F29" s="48"/>
    </row>
    <row r="30" spans="3:6" x14ac:dyDescent="0.3">
      <c r="C30" s="1" t="s">
        <v>100</v>
      </c>
      <c r="D30" s="41">
        <f>D23/D29</f>
        <v>85470631.578947365</v>
      </c>
      <c r="E30" s="41">
        <f>E23/E29</f>
        <v>89702905.263157889</v>
      </c>
      <c r="F30" s="41"/>
    </row>
    <row r="31" spans="3:6" x14ac:dyDescent="0.3">
      <c r="C31" s="1" t="s">
        <v>102</v>
      </c>
      <c r="D31" s="41">
        <f>D30/D21</f>
        <v>568.42105263157896</v>
      </c>
      <c r="E31" s="41">
        <f>E30/E21</f>
        <v>581.05263157894728</v>
      </c>
      <c r="F31" s="41"/>
    </row>
    <row r="32" spans="3:6" x14ac:dyDescent="0.3">
      <c r="C32" s="1" t="s">
        <v>103</v>
      </c>
      <c r="D32" s="41">
        <f>D30-$D$14</f>
        <v>28470631.578947365</v>
      </c>
      <c r="E32" s="41">
        <f>E30-$D$14</f>
        <v>32702905.263157889</v>
      </c>
      <c r="F32" s="41"/>
    </row>
    <row r="33" spans="3:10" x14ac:dyDescent="0.3">
      <c r="C33" s="1" t="s">
        <v>105</v>
      </c>
      <c r="D33" s="24">
        <f>XIRR(D41:D43,$C$41:$C$43)</f>
        <v>0.18592298626899717</v>
      </c>
      <c r="E33" s="24">
        <f>XIRR(E41:E43,$C$41:$C$43)</f>
        <v>0.20907943844795229</v>
      </c>
      <c r="F33" s="24"/>
    </row>
    <row r="35" spans="3:10" x14ac:dyDescent="0.3">
      <c r="C35" s="1" t="s">
        <v>82</v>
      </c>
      <c r="D35" t="s">
        <v>106</v>
      </c>
    </row>
    <row r="36" spans="3:10" x14ac:dyDescent="0.3">
      <c r="C36" s="1" t="s">
        <v>81</v>
      </c>
      <c r="D36" s="24">
        <f>D23/$D$14</f>
        <v>7.1225526315789475E-2</v>
      </c>
      <c r="E36" s="24">
        <f>E23/$D$14</f>
        <v>7.4752421052631579E-2</v>
      </c>
      <c r="F36" s="24"/>
    </row>
    <row r="38" spans="3:10" x14ac:dyDescent="0.3">
      <c r="D38" t="s">
        <v>133</v>
      </c>
    </row>
    <row r="39" spans="3:10" x14ac:dyDescent="0.3">
      <c r="F39" s="55"/>
    </row>
    <row r="40" spans="3:10" x14ac:dyDescent="0.3">
      <c r="C40" s="49"/>
      <c r="D40" s="50" t="s">
        <v>101</v>
      </c>
      <c r="E40" s="50" t="s">
        <v>92</v>
      </c>
      <c r="F40" s="51"/>
    </row>
    <row r="41" spans="3:10" x14ac:dyDescent="0.3">
      <c r="C41" s="52">
        <f>D4</f>
        <v>45085</v>
      </c>
      <c r="D41" s="41">
        <f>-D9</f>
        <v>-39800000</v>
      </c>
      <c r="E41" s="41">
        <f>D41</f>
        <v>-39800000</v>
      </c>
      <c r="F41" s="53"/>
    </row>
    <row r="42" spans="3:10" x14ac:dyDescent="0.3">
      <c r="C42" s="52">
        <f>D5</f>
        <v>46062</v>
      </c>
      <c r="D42" s="41">
        <f>-(D14-D9)</f>
        <v>-17200000</v>
      </c>
      <c r="E42" s="41">
        <f>D42</f>
        <v>-17200000</v>
      </c>
      <c r="F42" s="53"/>
    </row>
    <row r="43" spans="3:10" x14ac:dyDescent="0.3">
      <c r="C43" s="56">
        <f>D6</f>
        <v>46203</v>
      </c>
      <c r="D43" s="54">
        <f>D$30</f>
        <v>85470631.578947365</v>
      </c>
      <c r="E43" s="54">
        <f>E$30</f>
        <v>89702905.263157889</v>
      </c>
      <c r="F43" s="54"/>
    </row>
    <row r="45" spans="3:10" x14ac:dyDescent="0.3">
      <c r="C45" s="66" t="s">
        <v>108</v>
      </c>
      <c r="D45" s="67"/>
      <c r="E45" s="67"/>
      <c r="F45" s="67"/>
      <c r="G45" s="67"/>
      <c r="H45" s="67"/>
      <c r="I45" s="67"/>
      <c r="J45" s="67"/>
    </row>
    <row r="46" spans="3:10" x14ac:dyDescent="0.3">
      <c r="C46" s="67" t="s">
        <v>109</v>
      </c>
      <c r="D46" s="67"/>
      <c r="E46" s="67"/>
      <c r="F46" s="67"/>
      <c r="G46" s="67"/>
      <c r="H46" s="67"/>
      <c r="I46" s="67"/>
      <c r="J46" s="67"/>
    </row>
    <row r="48" spans="3:10" x14ac:dyDescent="0.3">
      <c r="D48" s="64">
        <f>D4</f>
        <v>45085</v>
      </c>
      <c r="E48" s="64">
        <f>D5</f>
        <v>46062</v>
      </c>
      <c r="F48" s="64">
        <f>D6</f>
        <v>46203</v>
      </c>
      <c r="G48" s="64">
        <f>F48+365</f>
        <v>46568</v>
      </c>
      <c r="H48" s="64">
        <f>G48+365</f>
        <v>46933</v>
      </c>
      <c r="I48" s="64">
        <f>H48+365</f>
        <v>47298</v>
      </c>
      <c r="J48" s="6" t="s">
        <v>42</v>
      </c>
    </row>
    <row r="49" spans="3:10" x14ac:dyDescent="0.3">
      <c r="C49" s="1" t="s">
        <v>110</v>
      </c>
      <c r="D49" s="41">
        <f>-$D$9</f>
        <v>-39800000</v>
      </c>
      <c r="E49" s="41">
        <f>-($D$14-$D$9)</f>
        <v>-17200000</v>
      </c>
      <c r="F49" s="41">
        <f>$E$23-$D$17*$D$18</f>
        <v>2910888</v>
      </c>
      <c r="G49" s="41">
        <f>$E$30</f>
        <v>89702905.263157889</v>
      </c>
      <c r="J49" s="24">
        <f>XIRR(D49:G49,D48:G48)</f>
        <v>0.15713769793510438</v>
      </c>
    </row>
    <row r="50" spans="3:10" x14ac:dyDescent="0.3">
      <c r="C50" s="1" t="s">
        <v>111</v>
      </c>
      <c r="D50" s="41">
        <f t="shared" ref="D50:D51" si="0">-$D$9</f>
        <v>-39800000</v>
      </c>
      <c r="E50" s="41">
        <f t="shared" ref="E50:E51" si="1">-($D$14-$D$9)</f>
        <v>-17200000</v>
      </c>
      <c r="F50" s="41">
        <f>F49</f>
        <v>2910888</v>
      </c>
      <c r="G50" s="41">
        <f t="shared" ref="G50:G51" si="2">$E$23-$D$17*$D$18</f>
        <v>2910888</v>
      </c>
      <c r="H50" s="41">
        <f>$E$30</f>
        <v>89702905.263157889</v>
      </c>
      <c r="J50" s="24">
        <f>XIRR(D50:H50,D48:H48)</f>
        <v>0.1294290363788605</v>
      </c>
    </row>
    <row r="51" spans="3:10" x14ac:dyDescent="0.3">
      <c r="C51" s="1" t="s">
        <v>112</v>
      </c>
      <c r="D51" s="41">
        <f t="shared" si="0"/>
        <v>-39800000</v>
      </c>
      <c r="E51" s="41">
        <f t="shared" si="1"/>
        <v>-17200000</v>
      </c>
      <c r="F51" s="41">
        <f>F50</f>
        <v>2910888</v>
      </c>
      <c r="G51" s="41">
        <f t="shared" si="2"/>
        <v>2910888</v>
      </c>
      <c r="H51" s="41">
        <f>$E$23-$D$17*$D$18</f>
        <v>2910888</v>
      </c>
      <c r="I51" s="41">
        <f>$E$30</f>
        <v>89702905.263157889</v>
      </c>
      <c r="J51" s="24">
        <f>XIRR(D51:I51,D48:I48)</f>
        <v>0.11230996251106262</v>
      </c>
    </row>
    <row r="54" spans="3:10" x14ac:dyDescent="0.3">
      <c r="C54" s="66" t="s">
        <v>108</v>
      </c>
      <c r="D54" s="67"/>
      <c r="E54" s="67"/>
      <c r="F54" s="67"/>
      <c r="G54" s="67"/>
      <c r="H54" s="67"/>
      <c r="I54" s="67"/>
      <c r="J54" s="67"/>
    </row>
    <row r="55" spans="3:10" x14ac:dyDescent="0.3">
      <c r="C55" s="67" t="s">
        <v>132</v>
      </c>
      <c r="D55" s="67"/>
      <c r="E55" s="67"/>
      <c r="F55" s="67"/>
      <c r="G55" s="67"/>
      <c r="H55" s="67"/>
      <c r="I55" s="67"/>
      <c r="J55" s="67"/>
    </row>
    <row r="57" spans="3:10" x14ac:dyDescent="0.3">
      <c r="D57" s="64">
        <f>D48</f>
        <v>45085</v>
      </c>
      <c r="E57" s="64">
        <f t="shared" ref="E57:I57" si="3">E48</f>
        <v>46062</v>
      </c>
      <c r="F57" s="64">
        <f t="shared" si="3"/>
        <v>46203</v>
      </c>
      <c r="G57" s="64">
        <f t="shared" si="3"/>
        <v>46568</v>
      </c>
      <c r="H57" s="64">
        <f t="shared" si="3"/>
        <v>46933</v>
      </c>
      <c r="I57" s="64">
        <f t="shared" si="3"/>
        <v>47298</v>
      </c>
      <c r="J57" s="6" t="s">
        <v>42</v>
      </c>
    </row>
    <row r="58" spans="3:10" x14ac:dyDescent="0.3">
      <c r="C58" s="1" t="s">
        <v>110</v>
      </c>
      <c r="D58" s="41">
        <f>-$D$9</f>
        <v>-39800000</v>
      </c>
      <c r="E58" s="41">
        <f>-($D$14-$D$9)</f>
        <v>-17200000</v>
      </c>
      <c r="F58" s="68">
        <f>-3*$E$21-$D$18*$D$17</f>
        <v>-1813140</v>
      </c>
      <c r="G58" s="41">
        <v>80000000</v>
      </c>
      <c r="J58" s="24">
        <f>XIRR(D58:G58,D57:G57)</f>
        <v>9.89857017993927E-2</v>
      </c>
    </row>
    <row r="59" spans="3:10" x14ac:dyDescent="0.3">
      <c r="C59" s="1" t="s">
        <v>111</v>
      </c>
      <c r="D59" s="41">
        <f t="shared" ref="D59:D60" si="4">-$D$9</f>
        <v>-39800000</v>
      </c>
      <c r="E59" s="41">
        <f t="shared" ref="E59:E60" si="5">-($D$14-$D$9)</f>
        <v>-17200000</v>
      </c>
      <c r="F59" s="68">
        <f t="shared" ref="F59:G60" si="6">-3*$E$21-$D$18*$D$17</f>
        <v>-1813140</v>
      </c>
      <c r="G59" s="68">
        <f t="shared" si="6"/>
        <v>-1813140</v>
      </c>
      <c r="H59" s="41">
        <v>80000000</v>
      </c>
      <c r="J59" s="24">
        <f>XIRR(D59:H59,D57:H57)</f>
        <v>6.9081798195838928E-2</v>
      </c>
    </row>
    <row r="60" spans="3:10" x14ac:dyDescent="0.3">
      <c r="C60" s="1" t="s">
        <v>112</v>
      </c>
      <c r="D60" s="41">
        <f t="shared" si="4"/>
        <v>-39800000</v>
      </c>
      <c r="E60" s="41">
        <f t="shared" si="5"/>
        <v>-17200000</v>
      </c>
      <c r="F60" s="68">
        <f t="shared" si="6"/>
        <v>-1813140</v>
      </c>
      <c r="G60" s="68">
        <f t="shared" si="6"/>
        <v>-1813140</v>
      </c>
      <c r="H60" s="68">
        <f>-3*$E$21-$D$18*$D$17</f>
        <v>-1813140</v>
      </c>
      <c r="I60" s="41">
        <v>80000000</v>
      </c>
      <c r="J60" s="24">
        <f>XIRR(D60:I60,D57:I57)</f>
        <v>5.0538924336433408E-2</v>
      </c>
    </row>
    <row r="61" spans="3:10" x14ac:dyDescent="0.3">
      <c r="D61" s="41"/>
      <c r="E61" s="41"/>
      <c r="F61" s="68"/>
      <c r="G61" s="68"/>
      <c r="H61" s="68"/>
      <c r="I61" s="68"/>
    </row>
  </sheetData>
  <conditionalFormatting sqref="D33:F33">
    <cfRule type="cellIs" dxfId="5" priority="3" operator="greaterThan">
      <formula>0.15</formula>
    </cfRule>
  </conditionalFormatting>
  <conditionalFormatting sqref="D36:F36">
    <cfRule type="cellIs" dxfId="4" priority="2" operator="greaterThan">
      <formula>0.045</formula>
    </cfRule>
  </conditionalFormatting>
  <conditionalFormatting sqref="J49:J56 J58:J61">
    <cfRule type="cellIs" dxfId="3" priority="1" operator="greaterThan">
      <formula>0.15</formula>
    </cfRule>
  </conditionalFormatting>
  <pageMargins left="0.7" right="0.7" top="0.75" bottom="0.75" header="0.3" footer="0.3"/>
  <customProperties>
    <customPr name="QAA_DRILLPATH_NODE_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B01D7-1BAC-4626-910F-BC3747B5033D}">
  <dimension ref="A1:P60"/>
  <sheetViews>
    <sheetView showGridLines="0" topLeftCell="A6" zoomScale="140" zoomScaleNormal="140" workbookViewId="0">
      <selection activeCell="E29" sqref="E29"/>
    </sheetView>
  </sheetViews>
  <sheetFormatPr defaultRowHeight="14.4" x14ac:dyDescent="0.3"/>
  <cols>
    <col min="1" max="1" width="4.88671875" customWidth="1"/>
    <col min="2" max="2" width="3.6640625" customWidth="1"/>
    <col min="3" max="3" width="32.5546875" customWidth="1"/>
    <col min="4" max="4" width="16.5546875" bestFit="1" customWidth="1"/>
    <col min="5" max="5" width="15.5546875" bestFit="1" customWidth="1"/>
    <col min="6" max="6" width="14.6640625" customWidth="1"/>
    <col min="7" max="8" width="13.44140625" customWidth="1"/>
    <col min="9" max="9" width="15.5546875" customWidth="1"/>
    <col min="10" max="10" width="12.88671875" bestFit="1" customWidth="1"/>
  </cols>
  <sheetData>
    <row r="1" spans="1:16" ht="21" x14ac:dyDescent="0.4">
      <c r="A1" s="10" t="s">
        <v>146</v>
      </c>
      <c r="B1" s="44"/>
      <c r="C1" s="44"/>
      <c r="D1" s="44"/>
      <c r="E1" s="44"/>
      <c r="F1" s="44"/>
      <c r="G1" s="44"/>
      <c r="H1" s="44"/>
      <c r="I1" s="44"/>
      <c r="J1" s="44"/>
      <c r="K1" s="44"/>
      <c r="L1" s="44"/>
      <c r="M1" s="44"/>
      <c r="N1" s="44"/>
      <c r="O1" s="44"/>
      <c r="P1" s="44"/>
    </row>
    <row r="4" spans="1:16" x14ac:dyDescent="0.3">
      <c r="C4" s="57" t="s">
        <v>83</v>
      </c>
      <c r="D4" s="58">
        <v>45024</v>
      </c>
      <c r="E4" s="59"/>
      <c r="F4" s="59"/>
    </row>
    <row r="5" spans="1:16" x14ac:dyDescent="0.3">
      <c r="C5" s="57" t="s">
        <v>104</v>
      </c>
      <c r="D5" s="58">
        <v>45574</v>
      </c>
      <c r="E5" s="59"/>
      <c r="F5" s="59"/>
    </row>
    <row r="6" spans="1:16" x14ac:dyDescent="0.3">
      <c r="C6" s="57" t="s">
        <v>107</v>
      </c>
      <c r="D6" s="58">
        <v>46111</v>
      </c>
      <c r="E6" s="59"/>
      <c r="F6" s="59"/>
    </row>
    <row r="7" spans="1:16" x14ac:dyDescent="0.3">
      <c r="C7" s="57" t="s">
        <v>85</v>
      </c>
      <c r="D7" s="60" t="s">
        <v>115</v>
      </c>
      <c r="E7" s="59"/>
      <c r="F7" s="59"/>
    </row>
    <row r="8" spans="1:16" x14ac:dyDescent="0.3">
      <c r="C8" s="57"/>
      <c r="D8" s="60"/>
      <c r="E8" s="59"/>
      <c r="F8" s="59"/>
    </row>
    <row r="9" spans="1:16" x14ac:dyDescent="0.3">
      <c r="C9" s="57" t="s">
        <v>84</v>
      </c>
      <c r="D9" s="61">
        <v>150000000</v>
      </c>
      <c r="E9" s="59"/>
      <c r="F9" s="59"/>
    </row>
    <row r="10" spans="1:16" x14ac:dyDescent="0.3">
      <c r="C10" s="57" t="s">
        <v>90</v>
      </c>
      <c r="D10" s="60"/>
      <c r="E10" s="59"/>
      <c r="F10" s="59"/>
    </row>
    <row r="11" spans="1:16" x14ac:dyDescent="0.3">
      <c r="C11" s="57" t="s">
        <v>86</v>
      </c>
      <c r="D11" s="61">
        <v>60000000</v>
      </c>
      <c r="E11" s="59"/>
      <c r="F11" s="59"/>
    </row>
    <row r="12" spans="1:16" x14ac:dyDescent="0.3">
      <c r="C12" s="57" t="s">
        <v>87</v>
      </c>
      <c r="D12" s="61">
        <v>50000000</v>
      </c>
      <c r="E12" s="59"/>
      <c r="F12" s="59"/>
    </row>
    <row r="13" spans="1:16" x14ac:dyDescent="0.3">
      <c r="C13" s="57" t="s">
        <v>88</v>
      </c>
      <c r="D13" s="62">
        <v>8000000</v>
      </c>
      <c r="E13" s="59"/>
      <c r="F13" s="59"/>
    </row>
    <row r="14" spans="1:16" x14ac:dyDescent="0.3">
      <c r="C14" s="57" t="s">
        <v>89</v>
      </c>
      <c r="D14" s="61">
        <f>SUM(D11:D13)</f>
        <v>118000000</v>
      </c>
      <c r="E14" s="59"/>
      <c r="F14" s="59"/>
    </row>
    <row r="15" spans="1:16" x14ac:dyDescent="0.3">
      <c r="C15" s="59"/>
      <c r="D15" s="59"/>
      <c r="E15" s="59"/>
      <c r="F15" s="59"/>
    </row>
    <row r="16" spans="1:16" x14ac:dyDescent="0.3">
      <c r="C16" s="57" t="s">
        <v>136</v>
      </c>
      <c r="D16" s="63">
        <v>20000000</v>
      </c>
      <c r="E16" s="59"/>
      <c r="F16" s="59"/>
    </row>
    <row r="17" spans="3:6" x14ac:dyDescent="0.3">
      <c r="C17" s="57" t="s">
        <v>131</v>
      </c>
      <c r="D17" s="101">
        <v>4.4999999999999998E-2</v>
      </c>
      <c r="E17" s="59"/>
      <c r="F17" s="59"/>
    </row>
    <row r="18" spans="3:6" x14ac:dyDescent="0.3">
      <c r="D18" s="69"/>
      <c r="E18" s="70"/>
      <c r="F18" s="70"/>
    </row>
    <row r="19" spans="3:6" x14ac:dyDescent="0.3">
      <c r="C19" s="65" t="s">
        <v>98</v>
      </c>
      <c r="D19" s="1" t="s">
        <v>101</v>
      </c>
      <c r="E19" s="1" t="s">
        <v>92</v>
      </c>
    </row>
    <row r="20" spans="3:6" x14ac:dyDescent="0.3">
      <c r="C20" s="65" t="s">
        <v>116</v>
      </c>
      <c r="D20" s="5">
        <v>200000</v>
      </c>
      <c r="E20" s="5">
        <v>210000</v>
      </c>
      <c r="F20" s="1"/>
    </row>
    <row r="21" spans="3:6" x14ac:dyDescent="0.3">
      <c r="C21" s="1" t="s">
        <v>91</v>
      </c>
      <c r="D21" s="45">
        <v>30</v>
      </c>
      <c r="E21" s="45">
        <v>32</v>
      </c>
      <c r="F21" s="45"/>
    </row>
    <row r="22" spans="3:6" x14ac:dyDescent="0.3">
      <c r="C22" s="1" t="s">
        <v>95</v>
      </c>
      <c r="D22" s="40">
        <f>D21*D20</f>
        <v>6000000</v>
      </c>
      <c r="E22" s="40">
        <f>E21*E20</f>
        <v>6720000</v>
      </c>
      <c r="F22" s="40"/>
    </row>
    <row r="23" spans="3:6" x14ac:dyDescent="0.3">
      <c r="C23" s="1"/>
      <c r="D23" s="46"/>
      <c r="E23" s="40"/>
    </row>
    <row r="24" spans="3:6" x14ac:dyDescent="0.3">
      <c r="C24" s="1"/>
      <c r="D24" s="40"/>
      <c r="E24" s="40"/>
      <c r="F24" s="40"/>
    </row>
    <row r="25" spans="3:6" x14ac:dyDescent="0.3">
      <c r="C25" s="1"/>
      <c r="D25" s="40"/>
      <c r="E25" s="40"/>
    </row>
    <row r="27" spans="3:6" x14ac:dyDescent="0.3">
      <c r="C27" s="1" t="s">
        <v>97</v>
      </c>
    </row>
    <row r="28" spans="3:6" x14ac:dyDescent="0.3">
      <c r="C28" s="1" t="s">
        <v>99</v>
      </c>
      <c r="D28" s="48">
        <v>4.7500000000000001E-2</v>
      </c>
      <c r="E28" s="48">
        <v>4.7500000000000001E-2</v>
      </c>
      <c r="F28" s="48"/>
    </row>
    <row r="29" spans="3:6" x14ac:dyDescent="0.3">
      <c r="C29" s="1" t="s">
        <v>100</v>
      </c>
      <c r="D29" s="41">
        <f>D22/D28</f>
        <v>126315789.47368421</v>
      </c>
      <c r="E29" s="41">
        <f>E22/E28</f>
        <v>141473684.21052632</v>
      </c>
      <c r="F29" s="41"/>
    </row>
    <row r="30" spans="3:6" x14ac:dyDescent="0.3">
      <c r="C30" s="1" t="s">
        <v>102</v>
      </c>
      <c r="D30" s="41">
        <f>D29/D20</f>
        <v>631.57894736842104</v>
      </c>
      <c r="E30" s="41">
        <f>E29/E20</f>
        <v>673.68421052631584</v>
      </c>
      <c r="F30" s="41"/>
    </row>
    <row r="31" spans="3:6" x14ac:dyDescent="0.3">
      <c r="C31" s="1" t="s">
        <v>103</v>
      </c>
      <c r="D31" s="41">
        <f>D29-$D$14</f>
        <v>8315789.4736842066</v>
      </c>
      <c r="E31" s="41">
        <f>E29-$D$14</f>
        <v>23473684.210526317</v>
      </c>
      <c r="F31" s="41"/>
    </row>
    <row r="32" spans="3:6" x14ac:dyDescent="0.3">
      <c r="C32" s="1" t="s">
        <v>105</v>
      </c>
      <c r="D32" s="24">
        <f>XIRR(D40:D42,$C$40:$C$42)</f>
        <v>2.0358762145042425E-2</v>
      </c>
      <c r="E32" s="24">
        <f>XIRR(E40:E42,$C$40:$C$42)</f>
        <v>5.53715854883194E-2</v>
      </c>
      <c r="F32" s="24"/>
    </row>
    <row r="34" spans="3:10" x14ac:dyDescent="0.3">
      <c r="C34" s="1" t="s">
        <v>82</v>
      </c>
      <c r="D34" t="s">
        <v>106</v>
      </c>
    </row>
    <row r="35" spans="3:10" x14ac:dyDescent="0.3">
      <c r="C35" s="1" t="s">
        <v>81</v>
      </c>
      <c r="D35" s="24">
        <f>D22/$D$14</f>
        <v>5.0847457627118647E-2</v>
      </c>
      <c r="E35" s="24">
        <f>E22/$D$14</f>
        <v>5.6949152542372879E-2</v>
      </c>
      <c r="F35" s="24"/>
    </row>
    <row r="37" spans="3:10" x14ac:dyDescent="0.3">
      <c r="D37" t="s">
        <v>133</v>
      </c>
    </row>
    <row r="38" spans="3:10" x14ac:dyDescent="0.3">
      <c r="F38" s="55"/>
    </row>
    <row r="39" spans="3:10" x14ac:dyDescent="0.3">
      <c r="C39" s="49"/>
      <c r="D39" s="50" t="s">
        <v>101</v>
      </c>
      <c r="E39" s="50" t="s">
        <v>92</v>
      </c>
      <c r="F39" s="51"/>
    </row>
    <row r="40" spans="3:10" x14ac:dyDescent="0.3">
      <c r="C40" s="52">
        <f>D4</f>
        <v>45024</v>
      </c>
      <c r="D40" s="41">
        <f>-D9</f>
        <v>-150000000</v>
      </c>
      <c r="E40" s="41">
        <f>D40</f>
        <v>-150000000</v>
      </c>
      <c r="F40" s="53"/>
    </row>
    <row r="41" spans="3:10" x14ac:dyDescent="0.3">
      <c r="C41" s="52">
        <f>D5</f>
        <v>45574</v>
      </c>
      <c r="D41" s="41">
        <f>-(D14-D9)</f>
        <v>32000000</v>
      </c>
      <c r="E41" s="41">
        <f>D41</f>
        <v>32000000</v>
      </c>
      <c r="F41" s="53"/>
    </row>
    <row r="42" spans="3:10" x14ac:dyDescent="0.3">
      <c r="C42" s="56">
        <f>D6</f>
        <v>46111</v>
      </c>
      <c r="D42" s="54">
        <f>D$29</f>
        <v>126315789.47368421</v>
      </c>
      <c r="E42" s="54">
        <f>E$29</f>
        <v>141473684.21052632</v>
      </c>
      <c r="F42" s="107"/>
    </row>
    <row r="44" spans="3:10" x14ac:dyDescent="0.3">
      <c r="C44" s="66" t="s">
        <v>108</v>
      </c>
      <c r="D44" s="67"/>
      <c r="E44" s="67"/>
      <c r="F44" s="67"/>
      <c r="G44" s="67"/>
      <c r="H44" s="67"/>
      <c r="I44" s="67"/>
      <c r="J44" s="67"/>
    </row>
    <row r="45" spans="3:10" x14ac:dyDescent="0.3">
      <c r="C45" s="67" t="s">
        <v>109</v>
      </c>
      <c r="D45" s="67"/>
      <c r="E45" s="67"/>
      <c r="F45" s="67"/>
      <c r="G45" s="67"/>
      <c r="H45" s="67"/>
      <c r="I45" s="67"/>
      <c r="J45" s="67"/>
    </row>
    <row r="47" spans="3:10" x14ac:dyDescent="0.3">
      <c r="D47" s="64">
        <f>D4</f>
        <v>45024</v>
      </c>
      <c r="E47" s="64">
        <f>D5</f>
        <v>45574</v>
      </c>
      <c r="F47" s="64">
        <f>D6</f>
        <v>46111</v>
      </c>
      <c r="G47" s="64">
        <f>F47+365</f>
        <v>46476</v>
      </c>
      <c r="H47" s="64">
        <f>G47+365</f>
        <v>46841</v>
      </c>
      <c r="I47" s="64">
        <f>H47+365</f>
        <v>47206</v>
      </c>
      <c r="J47" s="6" t="s">
        <v>42</v>
      </c>
    </row>
    <row r="48" spans="3:10" x14ac:dyDescent="0.3">
      <c r="C48" s="1" t="s">
        <v>110</v>
      </c>
      <c r="D48" s="41">
        <f>-$D$9</f>
        <v>-150000000</v>
      </c>
      <c r="E48" s="41">
        <f>-($D$14-$D$9)</f>
        <v>32000000</v>
      </c>
      <c r="F48" s="41">
        <f>$E$22-$D$16*$D$17</f>
        <v>5820000</v>
      </c>
      <c r="G48" s="41">
        <f>$E$29</f>
        <v>141473684.21052632</v>
      </c>
      <c r="J48" s="24">
        <f>XIRR(D48:G48,D47:G47)</f>
        <v>5.2583262324333191E-2</v>
      </c>
    </row>
    <row r="49" spans="3:10" x14ac:dyDescent="0.3">
      <c r="C49" s="1" t="s">
        <v>111</v>
      </c>
      <c r="D49" s="41">
        <f t="shared" ref="D49:D50" si="0">-$D$9</f>
        <v>-150000000</v>
      </c>
      <c r="E49" s="41">
        <f t="shared" ref="E49:E50" si="1">-($D$14-$D$9)</f>
        <v>32000000</v>
      </c>
      <c r="F49" s="41">
        <f>F48</f>
        <v>5820000</v>
      </c>
      <c r="G49" s="41">
        <f t="shared" ref="G49:G50" si="2">$E$22-$D$16*$D$17</f>
        <v>5820000</v>
      </c>
      <c r="H49" s="41">
        <f>$E$29</f>
        <v>141473684.21052632</v>
      </c>
      <c r="J49" s="24">
        <f>XIRR(D49:H49,D47:H47)</f>
        <v>5.0875112414360046E-2</v>
      </c>
    </row>
    <row r="50" spans="3:10" x14ac:dyDescent="0.3">
      <c r="C50" s="1" t="s">
        <v>112</v>
      </c>
      <c r="D50" s="41">
        <f t="shared" si="0"/>
        <v>-150000000</v>
      </c>
      <c r="E50" s="41">
        <f t="shared" si="1"/>
        <v>32000000</v>
      </c>
      <c r="F50" s="41">
        <f>F49</f>
        <v>5820000</v>
      </c>
      <c r="G50" s="41">
        <f t="shared" si="2"/>
        <v>5820000</v>
      </c>
      <c r="H50" s="41">
        <f>$E$22-$D$16*$D$17</f>
        <v>5820000</v>
      </c>
      <c r="I50" s="41">
        <f>$E$29</f>
        <v>141473684.21052632</v>
      </c>
      <c r="J50" s="24">
        <f>XIRR(D50:I50,D47:I47)</f>
        <v>4.9722108244895938E-2</v>
      </c>
    </row>
    <row r="53" spans="3:10" x14ac:dyDescent="0.3">
      <c r="C53" s="66" t="s">
        <v>108</v>
      </c>
      <c r="D53" s="67"/>
      <c r="E53" s="67"/>
      <c r="F53" s="67"/>
      <c r="G53" s="67"/>
      <c r="H53" s="67"/>
      <c r="I53" s="67"/>
      <c r="J53" s="67"/>
    </row>
    <row r="54" spans="3:10" x14ac:dyDescent="0.3">
      <c r="C54" s="67" t="s">
        <v>149</v>
      </c>
      <c r="D54" s="67"/>
      <c r="E54" s="67"/>
      <c r="F54" s="67"/>
      <c r="G54" s="67"/>
      <c r="H54" s="67"/>
      <c r="I54" s="67"/>
      <c r="J54" s="67"/>
    </row>
    <row r="56" spans="3:10" x14ac:dyDescent="0.3">
      <c r="D56" s="64">
        <f>D47</f>
        <v>45024</v>
      </c>
      <c r="E56" s="64">
        <f t="shared" ref="E56:I56" si="3">E47</f>
        <v>45574</v>
      </c>
      <c r="F56" s="64">
        <f t="shared" si="3"/>
        <v>46111</v>
      </c>
      <c r="G56" s="64">
        <f t="shared" si="3"/>
        <v>46476</v>
      </c>
      <c r="H56" s="64">
        <f t="shared" si="3"/>
        <v>46841</v>
      </c>
      <c r="I56" s="64">
        <f t="shared" si="3"/>
        <v>47206</v>
      </c>
      <c r="J56" s="6" t="s">
        <v>42</v>
      </c>
    </row>
    <row r="57" spans="3:10" x14ac:dyDescent="0.3">
      <c r="C57" s="1" t="s">
        <v>110</v>
      </c>
      <c r="D57" s="41">
        <f>-$D$9</f>
        <v>-150000000</v>
      </c>
      <c r="E57" s="41">
        <f>-($D$14-$D$9)</f>
        <v>32000000</v>
      </c>
      <c r="F57" s="68">
        <f>-3*$E$20-$D$17*$D$16</f>
        <v>-1530000</v>
      </c>
      <c r="G57" s="41">
        <v>120000000</v>
      </c>
      <c r="J57" s="24">
        <f>XIRR(D57:G57,D56:G56)</f>
        <v>9.0399682521820064E-4</v>
      </c>
    </row>
    <row r="58" spans="3:10" x14ac:dyDescent="0.3">
      <c r="C58" s="1" t="s">
        <v>111</v>
      </c>
      <c r="D58" s="41">
        <f t="shared" ref="D58:D59" si="4">-$D$9</f>
        <v>-150000000</v>
      </c>
      <c r="E58" s="41">
        <f t="shared" ref="E58:E59" si="5">-($D$14-$D$9)</f>
        <v>32000000</v>
      </c>
      <c r="F58" s="68">
        <f t="shared" ref="F58:G59" si="6">-3*$E$20-$D$17*$D$16</f>
        <v>-1530000</v>
      </c>
      <c r="G58" s="68">
        <f t="shared" si="6"/>
        <v>-1530000</v>
      </c>
      <c r="H58" s="41">
        <v>120000000</v>
      </c>
      <c r="J58" s="24">
        <f>XIRR(D58:H58,D56:H56)</f>
        <v>-1.6614824533462524E-3</v>
      </c>
    </row>
    <row r="59" spans="3:10" x14ac:dyDescent="0.3">
      <c r="C59" s="1" t="s">
        <v>112</v>
      </c>
      <c r="D59" s="41">
        <f t="shared" si="4"/>
        <v>-150000000</v>
      </c>
      <c r="E59" s="41">
        <f t="shared" si="5"/>
        <v>32000000</v>
      </c>
      <c r="F59" s="68">
        <f t="shared" si="6"/>
        <v>-1530000</v>
      </c>
      <c r="G59" s="68">
        <f t="shared" si="6"/>
        <v>-1530000</v>
      </c>
      <c r="H59" s="68">
        <f>-3*$E$20-$D$17*$D$16</f>
        <v>-1530000</v>
      </c>
      <c r="I59" s="41">
        <v>120000000</v>
      </c>
      <c r="J59" s="24">
        <f>XIRR(D59:I59,D56:I56)</f>
        <v>-3.425797820091247E-3</v>
      </c>
    </row>
    <row r="60" spans="3:10" x14ac:dyDescent="0.3">
      <c r="D60" s="41"/>
      <c r="E60" s="41"/>
      <c r="F60" s="68"/>
      <c r="G60" s="68"/>
      <c r="H60" s="68"/>
      <c r="I60" s="68"/>
    </row>
  </sheetData>
  <conditionalFormatting sqref="D32:F32">
    <cfRule type="cellIs" dxfId="2" priority="3" operator="greaterThan">
      <formula>0.15</formula>
    </cfRule>
  </conditionalFormatting>
  <conditionalFormatting sqref="D35:F35">
    <cfRule type="cellIs" dxfId="1" priority="2" operator="greaterThan">
      <formula>0.045</formula>
    </cfRule>
  </conditionalFormatting>
  <conditionalFormatting sqref="J48:J55 J57:J60">
    <cfRule type="cellIs" dxfId="0" priority="1" operator="greaterThan">
      <formula>0.15</formula>
    </cfRule>
  </conditionalFormatting>
  <pageMargins left="0.7" right="0.7" top="0.75" bottom="0.75" header="0.3" footer="0.3"/>
  <customProperties>
    <customPr name="QAA_DRILLPATH_NODE_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rkbookDrillPathInfo xmlns:xsd="http://www.w3.org/2001/XMLSchema" xmlns:xsi="http://www.w3.org/2001/XMLSchema-instance" xmlns="http://www.infor.com/qaa/DrillPath">
  <CurrentDrillPath>
    <DrillPathNode AnalysisType="NONE" Id="f57eca87-03dc-42a3-8035-2217098ea1ec" Name="Cover" HandleSummaryReportOnly="false" Source="">
      <SuppressZero>false</SuppressZero>
      <Children/>
    </DrillPathNode>
    <DrillPathNode AnalysisType="NONE" Id="f27e4938-8f4d-4773-8e3f-506bdbd36c27" Name="output" HandleSummaryReportOnly="false" Source="">
      <SuppressZero>false</SuppressZero>
      <Children/>
    </DrillPathNode>
    <DrillPathNode AnalysisType="NONE" Id="541bc918-e954-45c3-b0d5-b8ba64d77814" Name="financials" HandleSummaryReportOnly="false" Source="">
      <SuppressZero>false</SuppressZero>
      <Children/>
    </DrillPathNode>
    <DrillPathNode AnalysisType="NONE" Id="306116e3-c6d7-4b29-95b9-c329efa51b6f" Name="SE warehouse" HandleSummaryReportOnly="false" Source="">
      <SuppressZero>false</SuppressZero>
      <Children/>
    </DrillPathNode>
    <DrillPathNode AnalysisType="NONE" Id="29c92e4b-f1d5-42aa-b9d9-c1c342e2b9ac" Name="Heathrow warehouse" HandleSummaryReportOnly="false" Source="">
      <SuppressZero>false</SuppressZero>
      <Children/>
    </DrillPathNode>
    <DrillPathNode AnalysisType="NONE" Id="b879d817-96f1-4837-803a-bd6f16409f50" Name="office" HandleSummaryReportOnly="false" Source="">
      <SuppressZero>false</SuppressZero>
      <Children/>
    </DrillPathNode>
  </CurrentDrillPath>
  <SavedDrillPath/>
</WorkbookDrillPathInfo>
</file>

<file path=customXml/item2.xml>��< ? x m l   v e r s i o n = " 1 . 0 "   e n c o d i n g = " u t f - 1 6 " ? > < D a t a M a s h u p   x m l n s = " h t t p : / / s c h e m a s . m i c r o s o f t . c o m / D a t a M a s h u p " > A A A A A O M D A A B Q S w M E F A A C A A g A Q F U p W + i S f z e m A A A A 9 w A A A B I A H A B D b 2 5 m a W c v U G F j a 2 F n Z S 5 4 b W w g o h g A K K A U A A A A A A A A A A A A A A A A A A A A A A A A A A A A h Y + x D o I w G I R f h X S n L Z X B k J + S 6 O A i i Y m J c W 2 w Q i P 8 G F o s 7 + b g I / k K Y h R 1 c 7 j h 7 r 7 h 7 n 6 9 Q T Y 0 d X D R n T U t p i S i n A Q a i / Z g s E x J 7 4 7 h n G Q S N q o 4 q V I H I 4 w 2 G e w h J Z V z 5 4 Q x 7 z 3 1 M 9 p 2 J R O c R 2 y f r 7 d F p R t F P r D 5 D 4 c G r V N Y a C J h 9 x o j B Y 3 i e B Q X l A O b U s g N f g k x D n 6 2 P y E s + 9 r 1 n Z Y a w 9 U C 2 G S B v U / I B 1 B L A w Q U A A I A C A B A V S 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F U p W + G s Z Q H b A A A A W w E A A B M A H A B G b 3 J t d W x h c y 9 T Z W N 0 a W 9 u M S 5 t I K I Y A C i g F A A A A A A A A A A A A A A A A A A A A A A A A A A A A G 2 O w W r C Q B C G 7 4 G 8 w 7 K 9 R A i B 2 N K L e I o e v L R g h B 7 E w y Y Z N Z j M y O y E W k L e v Z s u V l v c y 8 D 3 z 3 7 z W y i l J l S 5 n + k s D M L A H g 1 D p T a m a C B V c 9 W A h I F y L 6 e O S 3 B k e S m h S b K O G V A + i E 8 F 0 S m a 9 N s 3 0 8 J c + 5 9 6 N 2 w z Q n E r u 9 g L n n R 2 N H g Y 5 V 9 n 0 M 7 0 s 5 p s 2 K D d E 7 c Z N V 2 L Y 2 g j f y 3 u e + 1 p q m O 1 Q n l 9 S c Z 8 i N U 1 m L p A H F I C F 7 n j z 1 e O X V s A D 8 P k t 0 Z O L K 7 F m j 7 t r c U I o 3 8 V / 5 5 / 5 w o 4 W Y A t A a s a D 0 4 Z B j U + s s 6 + A V B L A Q I t A B Q A A g A I A E B V K V v o k n 8 3 p g A A A P c A A A A S A A A A A A A A A A A A A A A A A A A A A A B D b 2 5 m a W c v U G F j a 2 F n Z S 5 4 b W x Q S w E C L Q A U A A I A C A B A V S l b D 8 r p q 6 Q A A A D p A A A A E w A A A A A A A A A A A A A A A A D y A A A A W 0 N v b n R l b n R f V H l w Z X N d L n h t b F B L A Q I t A B Q A A g A I A E B V K V v h r G U B 2 w A A A F s B A A A T A A A A A A A A A A A A A A A A A O M B A A B G b 3 J t d W x h c y 9 T Z W N 0 a W 9 u M S 5 t U E s F B g A A A A A D A A M A w g A A A A 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J A A A A A A A A y 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F k Y m M 3 Y W J j L W Y 4 M z A t N G N m Z C 0 5 Y j M 3 L T M y N z I z M W M 1 Z T A w N 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1 L T A 5 L T A 5 V D A 5 O j M y O j I 1 L j Q y O D c 2 M D J a I i A v P j x F b n R y e S B U e X B l P S J G a W x s Q 2 9 s d W 1 u V H l w Z X M i I F Z h b H V l P S J z Q X d Z R i 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X S w m c X V v d D t D b 2 x 1 b W 5 D b 3 V u d C Z x d W 9 0 O z o z 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v c n R l Z C U y M F J v d 3 M 8 L 0 l 0 Z W 1 Q Y X R o P j w v S X R l b U x v Y 2 F 0 a W 9 u P j x T d G F i b G V F b n R y a W V z I C 8 + P C 9 J d G V t P j w v S X R l b X M + P C 9 M b 2 N h b F B h Y 2 t h Z 2 V N Z X R h Z G F 0 Y U Z p b G U + F g A A A F B L B Q Y A A A A A A A A A A A A A A A A A A A A A A A D a A A A A A Q A A A N C M n d 8 B F d E R j H o A w E / C l + s B A A A A M L g b 2 w t E K 0 m T U Y F 8 T b t s K g A A A A A C A A A A A A A D Z g A A w A A A A B A A A A B M R 7 K t D / M k U X G g r f K 2 u W A B A A A A A A S A A A C g A A A A E A A A A N 5 U 4 A O x / y n p i W L 1 F 4 n 7 6 p J Q A A A A Y I 9 0 + a u O y 4 Q X 8 X J m 7 A / d I U t 4 5 8 c w 3 M / h K D Q y 5 L 1 1 P v m 7 x S A d P E 3 q 0 H 3 f d 8 Q W 9 7 U B s C j G B 5 H 6 g O U H F H 5 9 U d J k l 6 K A b U j B p K M Q 4 X 6 N G l o h p N w U A A A A O q V t 6 3 x / d R n a L Z d f r 4 b n N B V a g B E = < / D a t a M a s h u p > 
</file>

<file path=customXml/itemProps1.xml><?xml version="1.0" encoding="utf-8"?>
<ds:datastoreItem xmlns:ds="http://schemas.openxmlformats.org/officeDocument/2006/customXml" ds:itemID="{EC1D93BF-8252-4E6A-A246-B94647DDBAEB}">
  <ds:schemaRefs>
    <ds:schemaRef ds:uri="http://www.w3.org/2001/XMLSchema"/>
    <ds:schemaRef ds:uri="http://www.infor.com/qaa/DrillPath"/>
  </ds:schemaRefs>
</ds:datastoreItem>
</file>

<file path=customXml/itemProps2.xml><?xml version="1.0" encoding="utf-8"?>
<ds:datastoreItem xmlns:ds="http://schemas.openxmlformats.org/officeDocument/2006/customXml" ds:itemID="{33C30D7A-8FB2-4BB9-AAF8-B10ADC2EB8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output</vt:lpstr>
      <vt:lpstr>financials</vt:lpstr>
      <vt:lpstr>SE warehouse</vt:lpstr>
      <vt:lpstr>Heathrow warehouse</vt:lpstr>
      <vt:lpstr>office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 Wu</dc:creator>
  <cp:lastModifiedBy>Xuyi Wu</cp:lastModifiedBy>
  <dcterms:created xsi:type="dcterms:W3CDTF">2025-09-02T08:31:50Z</dcterms:created>
  <dcterms:modified xsi:type="dcterms:W3CDTF">2025-09-11T13:23:50Z</dcterms:modified>
</cp:coreProperties>
</file>