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cutler\Dropbox\Seaside\"/>
    </mc:Choice>
  </mc:AlternateContent>
  <bookViews>
    <workbookView xWindow="0" yWindow="0" windowWidth="23040" windowHeight="9060" tabRatio="769" firstSheet="2" activeTab="2"/>
  </bookViews>
  <sheets>
    <sheet name="sector employment" sheetId="2" r:id="rId1"/>
    <sheet name="QCEW-Brad" sheetId="10" r:id="rId2"/>
    <sheet name="Seaside SAM" sheetId="29" r:id="rId3"/>
    <sheet name="new outsam" sheetId="34" r:id="rId4"/>
    <sheet name="miscHC" sheetId="35" r:id="rId5"/>
    <sheet name=" fed state local" sheetId="33" r:id="rId6"/>
    <sheet name="kap land" sheetId="30" r:id="rId7"/>
    <sheet name="Import-Export" sheetId="19" r:id="rId8"/>
    <sheet name="I-O" sheetId="17" r:id="rId9"/>
    <sheet name="Taxes" sheetId="23" r:id="rId10"/>
    <sheet name="security payments" sheetId="3" r:id="rId11"/>
    <sheet name="job core" sheetId="1" r:id="rId12"/>
    <sheet name="employ" sheetId="8" r:id="rId13"/>
    <sheet name="capcom" sheetId="32" r:id="rId14"/>
    <sheet name="capcom out" sheetId="36" r:id="rId15"/>
    <sheet name="HH Cons" sheetId="31" r:id="rId16"/>
    <sheet name="LandKAP" sheetId="22" r:id="rId17"/>
    <sheet name="housing value-Brad" sheetId="28" r:id="rId18"/>
    <sheet name="SAM" sheetId="7" r:id="rId19"/>
    <sheet name="OUTSAM" sheetId="25" r:id="rId20"/>
    <sheet name="MISC" sheetId="26" r:id="rId21"/>
    <sheet name="Capcom-invest" sheetId="14" r:id="rId22"/>
    <sheet name="Far West consumption" sheetId="27" r:id="rId23"/>
    <sheet name="Consumption" sheetId="12" r:id="rId24"/>
    <sheet name="FED" sheetId="24" r:id="rId25"/>
  </sheets>
  <externalReferences>
    <externalReference r:id="rId26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38" i="34" l="1"/>
  <c r="AI38" i="34"/>
  <c r="AJ38" i="34"/>
  <c r="AK38" i="34"/>
  <c r="AL38" i="34"/>
  <c r="AM38" i="34"/>
  <c r="AN38" i="34"/>
  <c r="AO38" i="34"/>
  <c r="AP38" i="34"/>
  <c r="AQ38" i="34"/>
  <c r="AR38" i="34"/>
  <c r="AS38" i="34"/>
  <c r="AT38" i="34"/>
  <c r="AU38" i="34"/>
  <c r="AV38" i="34"/>
  <c r="AW38" i="34"/>
  <c r="AH39" i="34"/>
  <c r="AI39" i="34"/>
  <c r="AJ39" i="34"/>
  <c r="AK39" i="34"/>
  <c r="AL39" i="34"/>
  <c r="AM39" i="34"/>
  <c r="AN39" i="34"/>
  <c r="AO39" i="34"/>
  <c r="AP39" i="34"/>
  <c r="AQ39" i="34"/>
  <c r="AR39" i="34"/>
  <c r="AS39" i="34"/>
  <c r="AT39" i="34"/>
  <c r="AU39" i="34"/>
  <c r="AV39" i="34"/>
  <c r="AW39" i="34"/>
  <c r="AH40" i="34"/>
  <c r="AI40" i="34"/>
  <c r="AJ40" i="34"/>
  <c r="AK40" i="34"/>
  <c r="AL40" i="34"/>
  <c r="AM40" i="34"/>
  <c r="AN40" i="34"/>
  <c r="AO40" i="34"/>
  <c r="AP40" i="34"/>
  <c r="AQ40" i="34"/>
  <c r="AR40" i="34"/>
  <c r="AS40" i="34"/>
  <c r="AT40" i="34"/>
  <c r="AU40" i="34"/>
  <c r="AV40" i="34"/>
  <c r="AW40" i="34"/>
  <c r="AH41" i="34"/>
  <c r="AI41" i="34"/>
  <c r="AJ41" i="34"/>
  <c r="AK41" i="34"/>
  <c r="AL41" i="34"/>
  <c r="AM41" i="34"/>
  <c r="AN41" i="34"/>
  <c r="AO41" i="34"/>
  <c r="AP41" i="34"/>
  <c r="AQ41" i="34"/>
  <c r="AR41" i="34"/>
  <c r="AS41" i="34"/>
  <c r="AT41" i="34"/>
  <c r="AU41" i="34"/>
  <c r="AV41" i="34"/>
  <c r="AW41" i="34"/>
  <c r="AH42" i="34"/>
  <c r="AI42" i="34"/>
  <c r="AJ42" i="34"/>
  <c r="AK42" i="34"/>
  <c r="AL42" i="34"/>
  <c r="AM42" i="34"/>
  <c r="AN42" i="34"/>
  <c r="AO42" i="34"/>
  <c r="AP42" i="34"/>
  <c r="AQ42" i="34"/>
  <c r="AR42" i="34"/>
  <c r="AS42" i="34"/>
  <c r="AT42" i="34"/>
  <c r="AU42" i="34"/>
  <c r="AV42" i="34"/>
  <c r="AW42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AT43" i="34"/>
  <c r="AU43" i="34"/>
  <c r="AV43" i="34"/>
  <c r="AW43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AT44" i="34"/>
  <c r="AU44" i="34"/>
  <c r="AV44" i="34"/>
  <c r="AW44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AT45" i="34"/>
  <c r="AU45" i="34"/>
  <c r="AV45" i="34"/>
  <c r="AW45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AT46" i="34"/>
  <c r="AU46" i="34"/>
  <c r="AV46" i="34"/>
  <c r="AW46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AT47" i="34"/>
  <c r="AU47" i="34"/>
  <c r="AV47" i="34"/>
  <c r="AW47" i="34"/>
  <c r="AH48" i="34"/>
  <c r="AI48" i="34"/>
  <c r="AJ48" i="34"/>
  <c r="AK48" i="34"/>
  <c r="AL48" i="34"/>
  <c r="AM48" i="34"/>
  <c r="AN48" i="34"/>
  <c r="AO48" i="34"/>
  <c r="AP48" i="34"/>
  <c r="AQ48" i="34"/>
  <c r="AR48" i="34"/>
  <c r="AS48" i="34"/>
  <c r="AT48" i="34"/>
  <c r="AU48" i="34"/>
  <c r="AV48" i="34"/>
  <c r="AW48" i="34"/>
  <c r="AH49" i="34"/>
  <c r="AI49" i="34"/>
  <c r="AJ49" i="34"/>
  <c r="AK49" i="34"/>
  <c r="AL49" i="34"/>
  <c r="AM49" i="34"/>
  <c r="AN49" i="34"/>
  <c r="AO49" i="34"/>
  <c r="AP49" i="34"/>
  <c r="AQ49" i="34"/>
  <c r="AR49" i="34"/>
  <c r="AS49" i="34"/>
  <c r="AT49" i="34"/>
  <c r="AU49" i="34"/>
  <c r="AV49" i="34"/>
  <c r="AW49" i="34"/>
  <c r="AG39" i="34"/>
  <c r="AG40" i="34"/>
  <c r="AG41" i="34"/>
  <c r="AG42" i="34"/>
  <c r="AG43" i="34"/>
  <c r="AG44" i="34"/>
  <c r="AG45" i="34"/>
  <c r="AG46" i="34"/>
  <c r="AG47" i="34"/>
  <c r="AG48" i="34"/>
  <c r="AG49" i="34"/>
  <c r="AH43" i="29"/>
  <c r="AI43" i="29"/>
  <c r="AJ43" i="29"/>
  <c r="AK43" i="29"/>
  <c r="AG43" i="29"/>
  <c r="G16" i="23"/>
  <c r="F16" i="23"/>
  <c r="E16" i="23"/>
  <c r="D16" i="23"/>
  <c r="C16" i="23"/>
  <c r="H5" i="35" l="1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4" i="35"/>
  <c r="B1" i="36" l="1"/>
  <c r="C1" i="36"/>
  <c r="D1" i="36"/>
  <c r="E1" i="36"/>
  <c r="F1" i="36"/>
  <c r="G1" i="36"/>
  <c r="H1" i="36"/>
  <c r="I1" i="36"/>
  <c r="J1" i="36"/>
  <c r="K1" i="36"/>
  <c r="L1" i="36"/>
  <c r="M1" i="36"/>
  <c r="N1" i="36"/>
  <c r="O1" i="36"/>
  <c r="P1" i="36"/>
  <c r="Q1" i="36"/>
  <c r="R1" i="36"/>
  <c r="S1" i="36"/>
  <c r="T1" i="36"/>
  <c r="U1" i="36"/>
  <c r="V1" i="36"/>
  <c r="W1" i="36"/>
  <c r="X1" i="36"/>
  <c r="B2" i="36"/>
  <c r="C2" i="36"/>
  <c r="D2" i="36"/>
  <c r="E2" i="36"/>
  <c r="F2" i="36"/>
  <c r="G2" i="36"/>
  <c r="H2" i="36"/>
  <c r="I2" i="36"/>
  <c r="J2" i="36"/>
  <c r="K2" i="36"/>
  <c r="L2" i="36"/>
  <c r="M2" i="36"/>
  <c r="N2" i="36"/>
  <c r="O2" i="36"/>
  <c r="P2" i="36"/>
  <c r="Q2" i="36"/>
  <c r="R2" i="36"/>
  <c r="S2" i="36"/>
  <c r="T2" i="36"/>
  <c r="U2" i="36"/>
  <c r="V2" i="36"/>
  <c r="W2" i="36"/>
  <c r="X2" i="36"/>
  <c r="B3" i="36"/>
  <c r="C3" i="36"/>
  <c r="D3" i="36"/>
  <c r="E3" i="36"/>
  <c r="F3" i="36"/>
  <c r="G3" i="36"/>
  <c r="H3" i="36"/>
  <c r="I3" i="36"/>
  <c r="J3" i="36"/>
  <c r="K3" i="36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B4" i="36"/>
  <c r="C4" i="36"/>
  <c r="D4" i="36"/>
  <c r="E4" i="36"/>
  <c r="F4" i="36"/>
  <c r="G4" i="36"/>
  <c r="H4" i="36"/>
  <c r="I4" i="36"/>
  <c r="J4" i="36"/>
  <c r="K4" i="36"/>
  <c r="L4" i="36"/>
  <c r="M4" i="36"/>
  <c r="N4" i="36"/>
  <c r="O4" i="36"/>
  <c r="P4" i="36"/>
  <c r="Q4" i="36"/>
  <c r="R4" i="36"/>
  <c r="S4" i="36"/>
  <c r="T4" i="36"/>
  <c r="U4" i="36"/>
  <c r="V4" i="36"/>
  <c r="W4" i="36"/>
  <c r="X4" i="36"/>
  <c r="B5" i="36"/>
  <c r="C5" i="36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T5" i="36"/>
  <c r="U5" i="36"/>
  <c r="V5" i="36"/>
  <c r="W5" i="36"/>
  <c r="X5" i="36"/>
  <c r="B6" i="36"/>
  <c r="C6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T6" i="36"/>
  <c r="U6" i="36"/>
  <c r="V6" i="36"/>
  <c r="W6" i="36"/>
  <c r="X6" i="36"/>
  <c r="B7" i="36"/>
  <c r="C7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T7" i="36"/>
  <c r="U7" i="36"/>
  <c r="V7" i="36"/>
  <c r="W7" i="36"/>
  <c r="X7" i="36"/>
  <c r="B8" i="36"/>
  <c r="C8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B9" i="36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B10" i="36"/>
  <c r="C10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T10" i="36"/>
  <c r="U10" i="36"/>
  <c r="V10" i="36"/>
  <c r="W10" i="36"/>
  <c r="X10" i="36"/>
  <c r="B11" i="36"/>
  <c r="C11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T11" i="36"/>
  <c r="U11" i="36"/>
  <c r="V11" i="36"/>
  <c r="W11" i="36"/>
  <c r="X11" i="36"/>
  <c r="B12" i="36"/>
  <c r="C12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T12" i="36"/>
  <c r="U12" i="36"/>
  <c r="V12" i="36"/>
  <c r="W12" i="36"/>
  <c r="X12" i="36"/>
  <c r="B13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B14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U14" i="36"/>
  <c r="V14" i="36"/>
  <c r="W14" i="36"/>
  <c r="X14" i="36"/>
  <c r="B15" i="36"/>
  <c r="C15" i="36"/>
  <c r="D15" i="36"/>
  <c r="E15" i="36"/>
  <c r="F15" i="36"/>
  <c r="G15" i="36"/>
  <c r="H15" i="36"/>
  <c r="I15" i="36"/>
  <c r="J15" i="36"/>
  <c r="K15" i="36"/>
  <c r="L15" i="36"/>
  <c r="M15" i="36"/>
  <c r="N15" i="36"/>
  <c r="O15" i="36"/>
  <c r="P15" i="36"/>
  <c r="Q15" i="36"/>
  <c r="R15" i="36"/>
  <c r="S15" i="36"/>
  <c r="T15" i="36"/>
  <c r="U15" i="36"/>
  <c r="V15" i="36"/>
  <c r="W15" i="36"/>
  <c r="X15" i="36"/>
  <c r="B16" i="36"/>
  <c r="C16" i="36"/>
  <c r="D16" i="36"/>
  <c r="E16" i="36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B17" i="36"/>
  <c r="C17" i="36"/>
  <c r="D17" i="36"/>
  <c r="E17" i="36"/>
  <c r="F17" i="36"/>
  <c r="G17" i="36"/>
  <c r="H17" i="36"/>
  <c r="I17" i="36"/>
  <c r="J17" i="36"/>
  <c r="K17" i="36"/>
  <c r="L17" i="36"/>
  <c r="M17" i="36"/>
  <c r="N17" i="36"/>
  <c r="O17" i="36"/>
  <c r="P17" i="36"/>
  <c r="Q17" i="36"/>
  <c r="R17" i="36"/>
  <c r="S17" i="36"/>
  <c r="T17" i="36"/>
  <c r="U17" i="36"/>
  <c r="V17" i="36"/>
  <c r="W17" i="36"/>
  <c r="X17" i="36"/>
  <c r="B18" i="36"/>
  <c r="C18" i="36"/>
  <c r="D18" i="36"/>
  <c r="E18" i="36"/>
  <c r="F18" i="36"/>
  <c r="G18" i="36"/>
  <c r="H18" i="36"/>
  <c r="I18" i="36"/>
  <c r="J18" i="36"/>
  <c r="K18" i="36"/>
  <c r="L18" i="36"/>
  <c r="M18" i="36"/>
  <c r="N18" i="36"/>
  <c r="O18" i="36"/>
  <c r="P18" i="36"/>
  <c r="Q18" i="36"/>
  <c r="R18" i="36"/>
  <c r="S18" i="36"/>
  <c r="T18" i="36"/>
  <c r="U18" i="36"/>
  <c r="V18" i="36"/>
  <c r="W18" i="36"/>
  <c r="X18" i="36"/>
  <c r="B19" i="36"/>
  <c r="C19" i="36"/>
  <c r="D19" i="36"/>
  <c r="E19" i="36"/>
  <c r="F19" i="36"/>
  <c r="G19" i="36"/>
  <c r="H19" i="36"/>
  <c r="I19" i="36"/>
  <c r="J19" i="36"/>
  <c r="K19" i="36"/>
  <c r="L19" i="36"/>
  <c r="M19" i="36"/>
  <c r="N19" i="36"/>
  <c r="O19" i="36"/>
  <c r="P19" i="36"/>
  <c r="Q19" i="36"/>
  <c r="R19" i="36"/>
  <c r="S19" i="36"/>
  <c r="T19" i="36"/>
  <c r="U19" i="36"/>
  <c r="V19" i="36"/>
  <c r="W19" i="36"/>
  <c r="X19" i="36"/>
  <c r="B20" i="36"/>
  <c r="C20" i="36"/>
  <c r="D20" i="36"/>
  <c r="E20" i="36"/>
  <c r="F20" i="36"/>
  <c r="G20" i="36"/>
  <c r="H20" i="36"/>
  <c r="I20" i="36"/>
  <c r="J20" i="36"/>
  <c r="K20" i="36"/>
  <c r="L20" i="36"/>
  <c r="M20" i="36"/>
  <c r="N20" i="36"/>
  <c r="O20" i="36"/>
  <c r="P20" i="36"/>
  <c r="Q20" i="36"/>
  <c r="R20" i="36"/>
  <c r="S20" i="36"/>
  <c r="T20" i="36"/>
  <c r="U20" i="36"/>
  <c r="V20" i="36"/>
  <c r="W20" i="36"/>
  <c r="X20" i="36"/>
  <c r="B21" i="36"/>
  <c r="C21" i="36"/>
  <c r="D21" i="36"/>
  <c r="E21" i="36"/>
  <c r="F21" i="36"/>
  <c r="G21" i="36"/>
  <c r="H21" i="36"/>
  <c r="I21" i="36"/>
  <c r="J21" i="36"/>
  <c r="K21" i="36"/>
  <c r="L21" i="36"/>
  <c r="M21" i="36"/>
  <c r="N21" i="36"/>
  <c r="O21" i="36"/>
  <c r="P21" i="36"/>
  <c r="Q21" i="36"/>
  <c r="R21" i="36"/>
  <c r="S21" i="36"/>
  <c r="T21" i="36"/>
  <c r="U21" i="36"/>
  <c r="V21" i="36"/>
  <c r="W21" i="36"/>
  <c r="X21" i="36"/>
  <c r="A2" i="36"/>
  <c r="A3" i="36"/>
  <c r="A4" i="36"/>
  <c r="A5" i="36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1" i="36"/>
  <c r="G44" i="35"/>
  <c r="G45" i="35"/>
  <c r="G46" i="35"/>
  <c r="G47" i="35"/>
  <c r="G48" i="35"/>
  <c r="G49" i="35"/>
  <c r="C44" i="35"/>
  <c r="D44" i="35"/>
  <c r="E44" i="35"/>
  <c r="F44" i="35"/>
  <c r="C45" i="35"/>
  <c r="D45" i="35"/>
  <c r="E45" i="35"/>
  <c r="F45" i="35"/>
  <c r="C46" i="35"/>
  <c r="D46" i="35"/>
  <c r="E46" i="35"/>
  <c r="F46" i="35"/>
  <c r="C47" i="35"/>
  <c r="D47" i="35"/>
  <c r="E47" i="35"/>
  <c r="F47" i="35"/>
  <c r="C48" i="35"/>
  <c r="D48" i="35"/>
  <c r="E48" i="35"/>
  <c r="F48" i="35"/>
  <c r="C49" i="35"/>
  <c r="D49" i="35"/>
  <c r="E49" i="35"/>
  <c r="F49" i="35"/>
  <c r="B45" i="35"/>
  <c r="B46" i="35"/>
  <c r="B47" i="35"/>
  <c r="B48" i="35"/>
  <c r="B49" i="35"/>
  <c r="B44" i="35"/>
  <c r="C33" i="35"/>
  <c r="D33" i="35"/>
  <c r="E33" i="35"/>
  <c r="C34" i="35"/>
  <c r="D34" i="35"/>
  <c r="E34" i="35"/>
  <c r="C35" i="35"/>
  <c r="D35" i="35"/>
  <c r="E35" i="35"/>
  <c r="C36" i="35"/>
  <c r="D36" i="35"/>
  <c r="E36" i="35"/>
  <c r="C37" i="35"/>
  <c r="D37" i="35"/>
  <c r="E37" i="35"/>
  <c r="C38" i="35"/>
  <c r="D38" i="35"/>
  <c r="E38" i="35"/>
  <c r="C39" i="35"/>
  <c r="D39" i="35"/>
  <c r="E39" i="35"/>
  <c r="B34" i="35"/>
  <c r="B35" i="35"/>
  <c r="B36" i="35"/>
  <c r="B37" i="35"/>
  <c r="B38" i="35"/>
  <c r="M4" i="35"/>
  <c r="M5" i="35"/>
  <c r="M6" i="35"/>
  <c r="M7" i="35"/>
  <c r="M8" i="35"/>
  <c r="M9" i="35"/>
  <c r="M10" i="35"/>
  <c r="M11" i="35"/>
  <c r="M12" i="35"/>
  <c r="M13" i="35"/>
  <c r="M14" i="35"/>
  <c r="M15" i="35"/>
  <c r="M16" i="35"/>
  <c r="M17" i="35"/>
  <c r="M18" i="35"/>
  <c r="M19" i="35"/>
  <c r="M20" i="35"/>
  <c r="M21" i="35"/>
  <c r="M22" i="35"/>
  <c r="M3" i="35"/>
  <c r="N25" i="30"/>
  <c r="N24" i="30"/>
  <c r="N23" i="30"/>
  <c r="N22" i="30"/>
  <c r="N21" i="30"/>
  <c r="N20" i="30"/>
  <c r="Y66" i="30"/>
  <c r="W66" i="30"/>
  <c r="U66" i="30"/>
  <c r="R66" i="30"/>
  <c r="P66" i="30"/>
  <c r="N66" i="30"/>
  <c r="N19" i="30"/>
  <c r="N18" i="30"/>
  <c r="N17" i="30"/>
  <c r="N16" i="30"/>
  <c r="N15" i="30"/>
  <c r="N14" i="30"/>
  <c r="N13" i="30"/>
  <c r="AB34" i="30"/>
  <c r="Z34" i="30"/>
  <c r="X34" i="30"/>
  <c r="V34" i="30"/>
  <c r="T34" i="30"/>
  <c r="R34" i="30"/>
  <c r="P34" i="30"/>
  <c r="N12" i="30"/>
  <c r="N34" i="30"/>
  <c r="N11" i="30"/>
  <c r="N10" i="30"/>
  <c r="Z3" i="30"/>
  <c r="X3" i="30"/>
  <c r="N9" i="30"/>
  <c r="V3" i="30"/>
  <c r="N8" i="30"/>
  <c r="T3" i="30"/>
  <c r="N7" i="30"/>
  <c r="N6" i="30"/>
  <c r="R3" i="30"/>
  <c r="O3" i="30"/>
  <c r="M24" i="35"/>
  <c r="M25" i="35"/>
  <c r="M23" i="35"/>
  <c r="Q27" i="35"/>
  <c r="I27" i="35" s="1"/>
  <c r="C3" i="35"/>
  <c r="D3" i="35"/>
  <c r="E3" i="35"/>
  <c r="F3" i="35"/>
  <c r="G3" i="35"/>
  <c r="M26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7" i="35"/>
  <c r="BC71" i="8"/>
  <c r="BC70" i="8"/>
  <c r="BC69" i="8"/>
  <c r="BC68" i="8"/>
  <c r="BC67" i="8"/>
  <c r="BC66" i="8"/>
  <c r="BC65" i="8"/>
  <c r="BC64" i="8"/>
  <c r="BC63" i="8"/>
  <c r="BC62" i="8"/>
  <c r="BC61" i="8"/>
  <c r="BC60" i="8"/>
  <c r="BC59" i="8"/>
  <c r="BC58" i="8"/>
  <c r="BC57" i="8"/>
  <c r="BC56" i="8"/>
  <c r="BC55" i="8"/>
  <c r="BC54" i="8"/>
  <c r="BC53" i="8"/>
  <c r="BC52" i="8"/>
  <c r="BC51" i="8"/>
  <c r="BH50" i="8"/>
  <c r="BG50" i="8"/>
  <c r="BF50" i="8"/>
  <c r="BE50" i="8"/>
  <c r="BD50" i="8"/>
  <c r="BC50" i="8"/>
  <c r="AN1" i="34"/>
  <c r="AO1" i="34"/>
  <c r="AP1" i="34"/>
  <c r="AQ1" i="34"/>
  <c r="AR1" i="34"/>
  <c r="AS1" i="34"/>
  <c r="AT1" i="34"/>
  <c r="AU1" i="34"/>
  <c r="AV1" i="34"/>
  <c r="AW1" i="34"/>
  <c r="AN2" i="34"/>
  <c r="AO2" i="34"/>
  <c r="AP2" i="34"/>
  <c r="AQ2" i="34"/>
  <c r="AR2" i="34"/>
  <c r="AS2" i="34"/>
  <c r="AT2" i="34"/>
  <c r="AU2" i="34"/>
  <c r="AV2" i="34"/>
  <c r="AN3" i="34"/>
  <c r="AO3" i="34"/>
  <c r="AP3" i="34"/>
  <c r="AQ3" i="34"/>
  <c r="AR3" i="34"/>
  <c r="AS3" i="34"/>
  <c r="AT3" i="34"/>
  <c r="AU3" i="34"/>
  <c r="AV3" i="34"/>
  <c r="AN4" i="34"/>
  <c r="AO4" i="34"/>
  <c r="AP4" i="34"/>
  <c r="AQ4" i="34"/>
  <c r="AR4" i="34"/>
  <c r="AS4" i="34"/>
  <c r="AT4" i="34"/>
  <c r="AU4" i="34"/>
  <c r="AV4" i="34"/>
  <c r="AN5" i="34"/>
  <c r="AO5" i="34"/>
  <c r="AP5" i="34"/>
  <c r="AQ5" i="34"/>
  <c r="AR5" i="34"/>
  <c r="AS5" i="34"/>
  <c r="AT5" i="34"/>
  <c r="AU5" i="34"/>
  <c r="AV5" i="34"/>
  <c r="AN6" i="34"/>
  <c r="AO6" i="34"/>
  <c r="AP6" i="34"/>
  <c r="AQ6" i="34"/>
  <c r="AR6" i="34"/>
  <c r="AS6" i="34"/>
  <c r="AT6" i="34"/>
  <c r="AU6" i="34"/>
  <c r="AV6" i="34"/>
  <c r="AN7" i="34"/>
  <c r="AO7" i="34"/>
  <c r="AP7" i="34"/>
  <c r="AQ7" i="34"/>
  <c r="AR7" i="34"/>
  <c r="AS7" i="34"/>
  <c r="AT7" i="34"/>
  <c r="AU7" i="34"/>
  <c r="AV7" i="34"/>
  <c r="AN8" i="34"/>
  <c r="AO8" i="34"/>
  <c r="AP8" i="34"/>
  <c r="AQ8" i="34"/>
  <c r="AR8" i="34"/>
  <c r="AS8" i="34"/>
  <c r="AT8" i="34"/>
  <c r="AU8" i="34"/>
  <c r="AV8" i="34"/>
  <c r="AN9" i="34"/>
  <c r="AO9" i="34"/>
  <c r="AP9" i="34"/>
  <c r="AQ9" i="34"/>
  <c r="AR9" i="34"/>
  <c r="AS9" i="34"/>
  <c r="AT9" i="34"/>
  <c r="AU9" i="34"/>
  <c r="AV9" i="34"/>
  <c r="AN10" i="34"/>
  <c r="AO10" i="34"/>
  <c r="AP10" i="34"/>
  <c r="AQ10" i="34"/>
  <c r="AR10" i="34"/>
  <c r="AS10" i="34"/>
  <c r="AT10" i="34"/>
  <c r="AU10" i="34"/>
  <c r="AV10" i="34"/>
  <c r="AN11" i="34"/>
  <c r="AO11" i="34"/>
  <c r="AP11" i="34"/>
  <c r="AQ11" i="34"/>
  <c r="AR11" i="34"/>
  <c r="AS11" i="34"/>
  <c r="AT11" i="34"/>
  <c r="AU11" i="34"/>
  <c r="AV11" i="34"/>
  <c r="AN12" i="34"/>
  <c r="AO12" i="34"/>
  <c r="AP12" i="34"/>
  <c r="AQ12" i="34"/>
  <c r="AR12" i="34"/>
  <c r="AS12" i="34"/>
  <c r="AT12" i="34"/>
  <c r="AU12" i="34"/>
  <c r="AV12" i="34"/>
  <c r="AN13" i="34"/>
  <c r="AO13" i="34"/>
  <c r="AP13" i="34"/>
  <c r="AQ13" i="34"/>
  <c r="AR13" i="34"/>
  <c r="AS13" i="34"/>
  <c r="AT13" i="34"/>
  <c r="AU13" i="34"/>
  <c r="AV13" i="34"/>
  <c r="AN14" i="34"/>
  <c r="AO14" i="34"/>
  <c r="AP14" i="34"/>
  <c r="AQ14" i="34"/>
  <c r="AR14" i="34"/>
  <c r="AS14" i="34"/>
  <c r="AT14" i="34"/>
  <c r="AU14" i="34"/>
  <c r="AV14" i="34"/>
  <c r="AN15" i="34"/>
  <c r="AO15" i="34"/>
  <c r="AP15" i="34"/>
  <c r="AQ15" i="34"/>
  <c r="AR15" i="34"/>
  <c r="AS15" i="34"/>
  <c r="AT15" i="34"/>
  <c r="AU15" i="34"/>
  <c r="AV15" i="34"/>
  <c r="AN16" i="34"/>
  <c r="AO16" i="34"/>
  <c r="AP16" i="34"/>
  <c r="AQ16" i="34"/>
  <c r="AR16" i="34"/>
  <c r="AS16" i="34"/>
  <c r="AT16" i="34"/>
  <c r="AU16" i="34"/>
  <c r="AV16" i="34"/>
  <c r="AN17" i="34"/>
  <c r="AO17" i="34"/>
  <c r="AP17" i="34"/>
  <c r="AQ17" i="34"/>
  <c r="AR17" i="34"/>
  <c r="AS17" i="34"/>
  <c r="AT17" i="34"/>
  <c r="AU17" i="34"/>
  <c r="AV17" i="34"/>
  <c r="AN18" i="34"/>
  <c r="AO18" i="34"/>
  <c r="AP18" i="34"/>
  <c r="AQ18" i="34"/>
  <c r="AR18" i="34"/>
  <c r="AS18" i="34"/>
  <c r="AT18" i="34"/>
  <c r="AU18" i="34"/>
  <c r="AV18" i="34"/>
  <c r="AN19" i="34"/>
  <c r="AO19" i="34"/>
  <c r="AP19" i="34"/>
  <c r="AQ19" i="34"/>
  <c r="AR19" i="34"/>
  <c r="AS19" i="34"/>
  <c r="AT19" i="34"/>
  <c r="AU19" i="34"/>
  <c r="AV19" i="34"/>
  <c r="AN20" i="34"/>
  <c r="AO20" i="34"/>
  <c r="AP20" i="34"/>
  <c r="AQ20" i="34"/>
  <c r="AR20" i="34"/>
  <c r="AS20" i="34"/>
  <c r="AT20" i="34"/>
  <c r="AU20" i="34"/>
  <c r="AV20" i="34"/>
  <c r="AN21" i="34"/>
  <c r="AO21" i="34"/>
  <c r="AP21" i="34"/>
  <c r="AQ21" i="34"/>
  <c r="AR21" i="34"/>
  <c r="AS21" i="34"/>
  <c r="AT21" i="34"/>
  <c r="AU21" i="34"/>
  <c r="AV21" i="34"/>
  <c r="AN22" i="34"/>
  <c r="AO22" i="34"/>
  <c r="AP22" i="34"/>
  <c r="AQ22" i="34"/>
  <c r="AR22" i="34"/>
  <c r="AS22" i="34"/>
  <c r="AT22" i="34"/>
  <c r="AU22" i="34"/>
  <c r="AV22" i="34"/>
  <c r="AW22" i="34"/>
  <c r="AN23" i="34"/>
  <c r="AO23" i="34"/>
  <c r="AP23" i="34"/>
  <c r="AQ23" i="34"/>
  <c r="AR23" i="34"/>
  <c r="AS23" i="34"/>
  <c r="AT23" i="34"/>
  <c r="AU23" i="34"/>
  <c r="AV23" i="34"/>
  <c r="AW23" i="34"/>
  <c r="AN24" i="34"/>
  <c r="AO24" i="34"/>
  <c r="AP24" i="34"/>
  <c r="AQ24" i="34"/>
  <c r="AR24" i="34"/>
  <c r="AS24" i="34"/>
  <c r="AT24" i="34"/>
  <c r="AU24" i="34"/>
  <c r="AV24" i="34"/>
  <c r="AW24" i="34"/>
  <c r="AN25" i="34"/>
  <c r="AO25" i="34"/>
  <c r="AP25" i="34"/>
  <c r="AQ25" i="34"/>
  <c r="AR25" i="34"/>
  <c r="AS25" i="34"/>
  <c r="AT25" i="34"/>
  <c r="AU25" i="34"/>
  <c r="AW25" i="34"/>
  <c r="AN26" i="34"/>
  <c r="AO26" i="34"/>
  <c r="AP26" i="34"/>
  <c r="AQ26" i="34"/>
  <c r="AR26" i="34"/>
  <c r="AS26" i="34"/>
  <c r="AT26" i="34"/>
  <c r="AU26" i="34"/>
  <c r="AW26" i="34"/>
  <c r="AN27" i="34"/>
  <c r="AO27" i="34"/>
  <c r="AP27" i="34"/>
  <c r="AQ27" i="34"/>
  <c r="AR27" i="34"/>
  <c r="AS27" i="34"/>
  <c r="AT27" i="34"/>
  <c r="AU27" i="34"/>
  <c r="AW27" i="34"/>
  <c r="AN28" i="34"/>
  <c r="AO28" i="34"/>
  <c r="AP28" i="34"/>
  <c r="AQ28" i="34"/>
  <c r="AR28" i="34"/>
  <c r="AS28" i="34"/>
  <c r="AT28" i="34"/>
  <c r="AU28" i="34"/>
  <c r="AW28" i="34"/>
  <c r="AN29" i="34"/>
  <c r="AO29" i="34"/>
  <c r="AP29" i="34"/>
  <c r="AQ29" i="34"/>
  <c r="AR29" i="34"/>
  <c r="AS29" i="34"/>
  <c r="AT29" i="34"/>
  <c r="AU29" i="34"/>
  <c r="AW29" i="34"/>
  <c r="AN30" i="34"/>
  <c r="AO30" i="34"/>
  <c r="AP30" i="34"/>
  <c r="AQ30" i="34"/>
  <c r="AR30" i="34"/>
  <c r="AS30" i="34"/>
  <c r="AT30" i="34"/>
  <c r="AU30" i="34"/>
  <c r="AV30" i="34"/>
  <c r="AW30" i="34"/>
  <c r="AN31" i="34"/>
  <c r="AO31" i="34"/>
  <c r="AP31" i="34"/>
  <c r="AQ31" i="34"/>
  <c r="AR31" i="34"/>
  <c r="AS31" i="34"/>
  <c r="AT31" i="34"/>
  <c r="AU31" i="34"/>
  <c r="AV31" i="34"/>
  <c r="AW31" i="34"/>
  <c r="AN32" i="34"/>
  <c r="AO32" i="34"/>
  <c r="AP32" i="34"/>
  <c r="AQ32" i="34"/>
  <c r="AR32" i="34"/>
  <c r="AS32" i="34"/>
  <c r="AT32" i="34"/>
  <c r="AU32" i="34"/>
  <c r="AV32" i="34"/>
  <c r="AW32" i="34"/>
  <c r="AN33" i="34"/>
  <c r="AO33" i="34"/>
  <c r="AP33" i="34"/>
  <c r="AQ33" i="34"/>
  <c r="AR33" i="34"/>
  <c r="AS33" i="34"/>
  <c r="AT33" i="34"/>
  <c r="AU33" i="34"/>
  <c r="AV33" i="34"/>
  <c r="AW33" i="34"/>
  <c r="AN34" i="34"/>
  <c r="AO34" i="34"/>
  <c r="AP34" i="34"/>
  <c r="AQ34" i="34"/>
  <c r="AR34" i="34"/>
  <c r="AS34" i="34"/>
  <c r="AT34" i="34"/>
  <c r="AU34" i="34"/>
  <c r="AV34" i="34"/>
  <c r="AW34" i="34"/>
  <c r="AN35" i="34"/>
  <c r="AO35" i="34"/>
  <c r="AP35" i="34"/>
  <c r="AQ35" i="34"/>
  <c r="AR35" i="34"/>
  <c r="AS35" i="34"/>
  <c r="AT35" i="34"/>
  <c r="AU35" i="34"/>
  <c r="AV35" i="34"/>
  <c r="AW35" i="34"/>
  <c r="AN36" i="34"/>
  <c r="AO36" i="34"/>
  <c r="AP36" i="34"/>
  <c r="AQ36" i="34"/>
  <c r="AR36" i="34"/>
  <c r="AS36" i="34"/>
  <c r="AT36" i="34"/>
  <c r="AU36" i="34"/>
  <c r="AV36" i="34"/>
  <c r="AW36" i="34"/>
  <c r="AN37" i="34"/>
  <c r="AO37" i="34"/>
  <c r="AP37" i="34"/>
  <c r="AQ37" i="34"/>
  <c r="AR37" i="34"/>
  <c r="AS37" i="34"/>
  <c r="AT37" i="34"/>
  <c r="AU37" i="34"/>
  <c r="AV37" i="34"/>
  <c r="AW37" i="34"/>
  <c r="B1" i="34"/>
  <c r="C1" i="34"/>
  <c r="D1" i="34"/>
  <c r="E1" i="34"/>
  <c r="F1" i="34"/>
  <c r="G1" i="34"/>
  <c r="H1" i="34"/>
  <c r="I1" i="34"/>
  <c r="J1" i="34"/>
  <c r="K1" i="34"/>
  <c r="L1" i="34"/>
  <c r="M1" i="34"/>
  <c r="N1" i="34"/>
  <c r="O1" i="34"/>
  <c r="P1" i="34"/>
  <c r="Q1" i="34"/>
  <c r="R1" i="34"/>
  <c r="S1" i="34"/>
  <c r="T1" i="34"/>
  <c r="U1" i="34"/>
  <c r="V1" i="34"/>
  <c r="W1" i="34"/>
  <c r="X1" i="34"/>
  <c r="Y1" i="34"/>
  <c r="Z1" i="34"/>
  <c r="AA1" i="34"/>
  <c r="AB1" i="34"/>
  <c r="AC1" i="34"/>
  <c r="AD1" i="34"/>
  <c r="AE1" i="34"/>
  <c r="AF1" i="34"/>
  <c r="AG1" i="34"/>
  <c r="AH1" i="34"/>
  <c r="AI1" i="34"/>
  <c r="AJ1" i="34"/>
  <c r="AK1" i="34"/>
  <c r="AL1" i="34"/>
  <c r="AM1" i="34"/>
  <c r="V2" i="34"/>
  <c r="W2" i="34"/>
  <c r="X2" i="34"/>
  <c r="Y2" i="34"/>
  <c r="Z2" i="34"/>
  <c r="AA2" i="34"/>
  <c r="AB2" i="34"/>
  <c r="AC2" i="34"/>
  <c r="AD2" i="34"/>
  <c r="AE2" i="34"/>
  <c r="AG2" i="34"/>
  <c r="AH2" i="34"/>
  <c r="AI2" i="34"/>
  <c r="AJ2" i="34"/>
  <c r="AK2" i="34"/>
  <c r="AL2" i="34"/>
  <c r="AM2" i="34"/>
  <c r="V3" i="34"/>
  <c r="W3" i="34"/>
  <c r="X3" i="34"/>
  <c r="Y3" i="34"/>
  <c r="Z3" i="34"/>
  <c r="AA3" i="34"/>
  <c r="AB3" i="34"/>
  <c r="AC3" i="34"/>
  <c r="AD3" i="34"/>
  <c r="AE3" i="34"/>
  <c r="AG3" i="34"/>
  <c r="AH3" i="34"/>
  <c r="AI3" i="34"/>
  <c r="AJ3" i="34"/>
  <c r="AK3" i="34"/>
  <c r="AL3" i="34"/>
  <c r="AM3" i="34"/>
  <c r="V4" i="34"/>
  <c r="W4" i="34"/>
  <c r="X4" i="34"/>
  <c r="Y4" i="34"/>
  <c r="Z4" i="34"/>
  <c r="AA4" i="34"/>
  <c r="AB4" i="34"/>
  <c r="AC4" i="34"/>
  <c r="AD4" i="34"/>
  <c r="AE4" i="34"/>
  <c r="AG4" i="34"/>
  <c r="AH4" i="34"/>
  <c r="AI4" i="34"/>
  <c r="AJ4" i="34"/>
  <c r="AK4" i="34"/>
  <c r="AL4" i="34"/>
  <c r="AM4" i="34"/>
  <c r="V5" i="34"/>
  <c r="W5" i="34"/>
  <c r="X5" i="34"/>
  <c r="Y5" i="34"/>
  <c r="Z5" i="34"/>
  <c r="AA5" i="34"/>
  <c r="AB5" i="34"/>
  <c r="AC5" i="34"/>
  <c r="AD5" i="34"/>
  <c r="AE5" i="34"/>
  <c r="AG5" i="34"/>
  <c r="AH5" i="34"/>
  <c r="AI5" i="34"/>
  <c r="AJ5" i="34"/>
  <c r="AK5" i="34"/>
  <c r="AL5" i="34"/>
  <c r="AM5" i="34"/>
  <c r="V6" i="34"/>
  <c r="W6" i="34"/>
  <c r="X6" i="34"/>
  <c r="Y6" i="34"/>
  <c r="Z6" i="34"/>
  <c r="AA6" i="34"/>
  <c r="AB6" i="34"/>
  <c r="AC6" i="34"/>
  <c r="AD6" i="34"/>
  <c r="AE6" i="34"/>
  <c r="AG6" i="34"/>
  <c r="AH6" i="34"/>
  <c r="AI6" i="34"/>
  <c r="AJ6" i="34"/>
  <c r="AK6" i="34"/>
  <c r="AL6" i="34"/>
  <c r="AM6" i="34"/>
  <c r="V7" i="34"/>
  <c r="W7" i="34"/>
  <c r="X7" i="34"/>
  <c r="Y7" i="34"/>
  <c r="Z7" i="34"/>
  <c r="AA7" i="34"/>
  <c r="AB7" i="34"/>
  <c r="AC7" i="34"/>
  <c r="AD7" i="34"/>
  <c r="AE7" i="34"/>
  <c r="AG7" i="34"/>
  <c r="AH7" i="34"/>
  <c r="AI7" i="34"/>
  <c r="AJ7" i="34"/>
  <c r="AK7" i="34"/>
  <c r="AL7" i="34"/>
  <c r="AM7" i="34"/>
  <c r="V8" i="34"/>
  <c r="W8" i="34"/>
  <c r="X8" i="34"/>
  <c r="Y8" i="34"/>
  <c r="Z8" i="34"/>
  <c r="AA8" i="34"/>
  <c r="AB8" i="34"/>
  <c r="AC8" i="34"/>
  <c r="AD8" i="34"/>
  <c r="AE8" i="34"/>
  <c r="AG8" i="34"/>
  <c r="AH8" i="34"/>
  <c r="AI8" i="34"/>
  <c r="AJ8" i="34"/>
  <c r="AK8" i="34"/>
  <c r="AL8" i="34"/>
  <c r="AM8" i="34"/>
  <c r="V9" i="34"/>
  <c r="W9" i="34"/>
  <c r="X9" i="34"/>
  <c r="Y9" i="34"/>
  <c r="Z9" i="34"/>
  <c r="AA9" i="34"/>
  <c r="AB9" i="34"/>
  <c r="AC9" i="34"/>
  <c r="AD9" i="34"/>
  <c r="AE9" i="34"/>
  <c r="AG9" i="34"/>
  <c r="AH9" i="34"/>
  <c r="AI9" i="34"/>
  <c r="AJ9" i="34"/>
  <c r="AK9" i="34"/>
  <c r="AL9" i="34"/>
  <c r="AM9" i="34"/>
  <c r="V10" i="34"/>
  <c r="W10" i="34"/>
  <c r="X10" i="34"/>
  <c r="Y10" i="34"/>
  <c r="Z10" i="34"/>
  <c r="AA10" i="34"/>
  <c r="AB10" i="34"/>
  <c r="AC10" i="34"/>
  <c r="AD10" i="34"/>
  <c r="AE10" i="34"/>
  <c r="AG10" i="34"/>
  <c r="AH10" i="34"/>
  <c r="AI10" i="34"/>
  <c r="AJ10" i="34"/>
  <c r="AK10" i="34"/>
  <c r="AL10" i="34"/>
  <c r="AM10" i="34"/>
  <c r="V11" i="34"/>
  <c r="W11" i="34"/>
  <c r="X11" i="34"/>
  <c r="Y11" i="34"/>
  <c r="Z11" i="34"/>
  <c r="AA11" i="34"/>
  <c r="AB11" i="34"/>
  <c r="AC11" i="34"/>
  <c r="AD11" i="34"/>
  <c r="AE11" i="34"/>
  <c r="AG11" i="34"/>
  <c r="AH11" i="34"/>
  <c r="AI11" i="34"/>
  <c r="AJ11" i="34"/>
  <c r="AK11" i="34"/>
  <c r="AL11" i="34"/>
  <c r="AM11" i="34"/>
  <c r="V12" i="34"/>
  <c r="W12" i="34"/>
  <c r="X12" i="34"/>
  <c r="Y12" i="34"/>
  <c r="Z12" i="34"/>
  <c r="AA12" i="34"/>
  <c r="AB12" i="34"/>
  <c r="AC12" i="34"/>
  <c r="AD12" i="34"/>
  <c r="AE12" i="34"/>
  <c r="AG12" i="34"/>
  <c r="AH12" i="34"/>
  <c r="AI12" i="34"/>
  <c r="AJ12" i="34"/>
  <c r="AK12" i="34"/>
  <c r="AL12" i="34"/>
  <c r="AM12" i="34"/>
  <c r="V13" i="34"/>
  <c r="W13" i="34"/>
  <c r="X13" i="34"/>
  <c r="Y13" i="34"/>
  <c r="Z13" i="34"/>
  <c r="AA13" i="34"/>
  <c r="AB13" i="34"/>
  <c r="AC13" i="34"/>
  <c r="AD13" i="34"/>
  <c r="AE13" i="34"/>
  <c r="AG13" i="34"/>
  <c r="AH13" i="34"/>
  <c r="AI13" i="34"/>
  <c r="AJ13" i="34"/>
  <c r="AK13" i="34"/>
  <c r="AL13" i="34"/>
  <c r="AM13" i="34"/>
  <c r="V14" i="34"/>
  <c r="W14" i="34"/>
  <c r="X14" i="34"/>
  <c r="Y14" i="34"/>
  <c r="Z14" i="34"/>
  <c r="AA14" i="34"/>
  <c r="AB14" i="34"/>
  <c r="AC14" i="34"/>
  <c r="AD14" i="34"/>
  <c r="AE14" i="34"/>
  <c r="AG14" i="34"/>
  <c r="AH14" i="34"/>
  <c r="AI14" i="34"/>
  <c r="AJ14" i="34"/>
  <c r="AK14" i="34"/>
  <c r="AL14" i="34"/>
  <c r="AM14" i="34"/>
  <c r="V15" i="34"/>
  <c r="W15" i="34"/>
  <c r="X15" i="34"/>
  <c r="Y15" i="34"/>
  <c r="Z15" i="34"/>
  <c r="AA15" i="34"/>
  <c r="AB15" i="34"/>
  <c r="AC15" i="34"/>
  <c r="AD15" i="34"/>
  <c r="AE15" i="34"/>
  <c r="AG15" i="34"/>
  <c r="AH15" i="34"/>
  <c r="AI15" i="34"/>
  <c r="AJ15" i="34"/>
  <c r="AK15" i="34"/>
  <c r="AL15" i="34"/>
  <c r="AM15" i="34"/>
  <c r="V16" i="34"/>
  <c r="W16" i="34"/>
  <c r="X16" i="34"/>
  <c r="Y16" i="34"/>
  <c r="Z16" i="34"/>
  <c r="AA16" i="34"/>
  <c r="AB16" i="34"/>
  <c r="AC16" i="34"/>
  <c r="AD16" i="34"/>
  <c r="AE16" i="34"/>
  <c r="AG16" i="34"/>
  <c r="AH16" i="34"/>
  <c r="AI16" i="34"/>
  <c r="AJ16" i="34"/>
  <c r="AK16" i="34"/>
  <c r="AL16" i="34"/>
  <c r="AM16" i="34"/>
  <c r="V17" i="34"/>
  <c r="W17" i="34"/>
  <c r="X17" i="34"/>
  <c r="Y17" i="34"/>
  <c r="Z17" i="34"/>
  <c r="AA17" i="34"/>
  <c r="AB17" i="34"/>
  <c r="AC17" i="34"/>
  <c r="AD17" i="34"/>
  <c r="AE17" i="34"/>
  <c r="AG17" i="34"/>
  <c r="AH17" i="34"/>
  <c r="AI17" i="34"/>
  <c r="AJ17" i="34"/>
  <c r="AK17" i="34"/>
  <c r="AL17" i="34"/>
  <c r="AM17" i="34"/>
  <c r="V18" i="34"/>
  <c r="W18" i="34"/>
  <c r="X18" i="34"/>
  <c r="Y18" i="34"/>
  <c r="Z18" i="34"/>
  <c r="AA18" i="34"/>
  <c r="AB18" i="34"/>
  <c r="AC18" i="34"/>
  <c r="AD18" i="34"/>
  <c r="AE18" i="34"/>
  <c r="AG18" i="34"/>
  <c r="AH18" i="34"/>
  <c r="AI18" i="34"/>
  <c r="AJ18" i="34"/>
  <c r="AK18" i="34"/>
  <c r="AL18" i="34"/>
  <c r="AM18" i="34"/>
  <c r="V19" i="34"/>
  <c r="W19" i="34"/>
  <c r="X19" i="34"/>
  <c r="Y19" i="34"/>
  <c r="Z19" i="34"/>
  <c r="AA19" i="34"/>
  <c r="AB19" i="34"/>
  <c r="AC19" i="34"/>
  <c r="AD19" i="34"/>
  <c r="AE19" i="34"/>
  <c r="AG19" i="34"/>
  <c r="AH19" i="34"/>
  <c r="AI19" i="34"/>
  <c r="AJ19" i="34"/>
  <c r="AK19" i="34"/>
  <c r="AL19" i="34"/>
  <c r="AM19" i="34"/>
  <c r="V20" i="34"/>
  <c r="W20" i="34"/>
  <c r="X20" i="34"/>
  <c r="Y20" i="34"/>
  <c r="Z20" i="34"/>
  <c r="AA20" i="34"/>
  <c r="AB20" i="34"/>
  <c r="AC20" i="34"/>
  <c r="AD20" i="34"/>
  <c r="AE20" i="34"/>
  <c r="AG20" i="34"/>
  <c r="AH20" i="34"/>
  <c r="AI20" i="34"/>
  <c r="AJ20" i="34"/>
  <c r="AK20" i="34"/>
  <c r="AL20" i="34"/>
  <c r="AM20" i="34"/>
  <c r="V21" i="34"/>
  <c r="W21" i="34"/>
  <c r="X21" i="34"/>
  <c r="Y21" i="34"/>
  <c r="Z21" i="34"/>
  <c r="AA21" i="34"/>
  <c r="AB21" i="34"/>
  <c r="AC21" i="34"/>
  <c r="AD21" i="34"/>
  <c r="AE21" i="34"/>
  <c r="AG21" i="34"/>
  <c r="AH21" i="34"/>
  <c r="AI21" i="34"/>
  <c r="AJ21" i="34"/>
  <c r="AK21" i="34"/>
  <c r="AL21" i="34"/>
  <c r="AM21" i="34"/>
  <c r="B22" i="34"/>
  <c r="C22" i="34"/>
  <c r="D22" i="34"/>
  <c r="E22" i="34"/>
  <c r="F22" i="34"/>
  <c r="G22" i="34"/>
  <c r="H22" i="34"/>
  <c r="I22" i="34"/>
  <c r="J22" i="34"/>
  <c r="K22" i="34"/>
  <c r="L22" i="34"/>
  <c r="M22" i="34"/>
  <c r="N22" i="34"/>
  <c r="O22" i="34"/>
  <c r="P22" i="34"/>
  <c r="Q22" i="34"/>
  <c r="R22" i="34"/>
  <c r="S22" i="34"/>
  <c r="T22" i="34"/>
  <c r="U22" i="34"/>
  <c r="V22" i="34"/>
  <c r="W22" i="34"/>
  <c r="X22" i="34"/>
  <c r="Y22" i="34"/>
  <c r="Z22" i="34"/>
  <c r="AA22" i="34"/>
  <c r="AB22" i="34"/>
  <c r="AC22" i="34"/>
  <c r="AD22" i="34"/>
  <c r="AE22" i="34"/>
  <c r="AF22" i="34"/>
  <c r="AL22" i="34"/>
  <c r="AM22" i="34"/>
  <c r="B23" i="34"/>
  <c r="C23" i="34"/>
  <c r="D23" i="34"/>
  <c r="E23" i="34"/>
  <c r="F23" i="34"/>
  <c r="G23" i="34"/>
  <c r="H23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L23" i="34"/>
  <c r="AM23" i="34"/>
  <c r="B24" i="34"/>
  <c r="C24" i="34"/>
  <c r="D24" i="34"/>
  <c r="E24" i="34"/>
  <c r="F24" i="34"/>
  <c r="G24" i="34"/>
  <c r="H24" i="34"/>
  <c r="I24" i="34"/>
  <c r="J24" i="34"/>
  <c r="K24" i="34"/>
  <c r="L24" i="34"/>
  <c r="M24" i="34"/>
  <c r="N24" i="34"/>
  <c r="O24" i="34"/>
  <c r="P24" i="34"/>
  <c r="Q24" i="34"/>
  <c r="R24" i="34"/>
  <c r="S24" i="34"/>
  <c r="T24" i="34"/>
  <c r="U24" i="34"/>
  <c r="V24" i="34"/>
  <c r="W24" i="34"/>
  <c r="X24" i="34"/>
  <c r="Y24" i="34"/>
  <c r="Z24" i="34"/>
  <c r="AA24" i="34"/>
  <c r="AB24" i="34"/>
  <c r="AC24" i="34"/>
  <c r="AD24" i="34"/>
  <c r="AE24" i="34"/>
  <c r="AF24" i="34"/>
  <c r="AL24" i="34"/>
  <c r="AM24" i="34"/>
  <c r="V25" i="34"/>
  <c r="W25" i="34"/>
  <c r="X25" i="34"/>
  <c r="Y25" i="34"/>
  <c r="Z25" i="34"/>
  <c r="AA25" i="34"/>
  <c r="AB25" i="34"/>
  <c r="AC25" i="34"/>
  <c r="AD25" i="34"/>
  <c r="AE25" i="34"/>
  <c r="AF25" i="34"/>
  <c r="AG25" i="34"/>
  <c r="AH25" i="34"/>
  <c r="AI25" i="34"/>
  <c r="AJ25" i="34"/>
  <c r="AK25" i="34"/>
  <c r="AL25" i="34"/>
  <c r="AM25" i="34"/>
  <c r="V26" i="34"/>
  <c r="W26" i="34"/>
  <c r="X26" i="34"/>
  <c r="Y26" i="34"/>
  <c r="Z26" i="34"/>
  <c r="AA26" i="34"/>
  <c r="AB26" i="34"/>
  <c r="AC26" i="34"/>
  <c r="AD26" i="34"/>
  <c r="AE26" i="34"/>
  <c r="AF26" i="34"/>
  <c r="AG26" i="34"/>
  <c r="AH26" i="34"/>
  <c r="AI26" i="34"/>
  <c r="AJ26" i="34"/>
  <c r="AK26" i="34"/>
  <c r="AL26" i="34"/>
  <c r="AM26" i="34"/>
  <c r="V27" i="34"/>
  <c r="W27" i="34"/>
  <c r="X27" i="34"/>
  <c r="Y27" i="34"/>
  <c r="Z27" i="34"/>
  <c r="AA27" i="34"/>
  <c r="AB27" i="34"/>
  <c r="AC27" i="34"/>
  <c r="AD27" i="34"/>
  <c r="AE27" i="34"/>
  <c r="AF27" i="34"/>
  <c r="AG27" i="34"/>
  <c r="AH27" i="34"/>
  <c r="AI27" i="34"/>
  <c r="AJ27" i="34"/>
  <c r="AK27" i="34"/>
  <c r="AL27" i="34"/>
  <c r="AM27" i="34"/>
  <c r="V28" i="34"/>
  <c r="W28" i="34"/>
  <c r="X28" i="34"/>
  <c r="Y28" i="34"/>
  <c r="Z28" i="34"/>
  <c r="AA28" i="34"/>
  <c r="AB28" i="34"/>
  <c r="AC28" i="34"/>
  <c r="AD28" i="34"/>
  <c r="AE28" i="34"/>
  <c r="AF28" i="34"/>
  <c r="AG28" i="34"/>
  <c r="AH28" i="34"/>
  <c r="AI28" i="34"/>
  <c r="AJ28" i="34"/>
  <c r="AK28" i="34"/>
  <c r="AL28" i="34"/>
  <c r="AM28" i="34"/>
  <c r="V29" i="34"/>
  <c r="W29" i="34"/>
  <c r="X29" i="34"/>
  <c r="Y29" i="34"/>
  <c r="Z29" i="34"/>
  <c r="AA29" i="34"/>
  <c r="AB29" i="34"/>
  <c r="AC29" i="34"/>
  <c r="AD29" i="34"/>
  <c r="AE29" i="34"/>
  <c r="AF29" i="34"/>
  <c r="AG29" i="34"/>
  <c r="AH29" i="34"/>
  <c r="AI29" i="34"/>
  <c r="AJ29" i="34"/>
  <c r="AK29" i="34"/>
  <c r="AL29" i="34"/>
  <c r="AM29" i="34"/>
  <c r="Y30" i="34"/>
  <c r="Z30" i="34"/>
  <c r="AA30" i="34"/>
  <c r="AB30" i="34"/>
  <c r="AC30" i="34"/>
  <c r="AD30" i="34"/>
  <c r="AE30" i="34"/>
  <c r="AF30" i="34"/>
  <c r="AG30" i="34"/>
  <c r="AH30" i="34"/>
  <c r="AI30" i="34"/>
  <c r="AJ30" i="34"/>
  <c r="AK30" i="34"/>
  <c r="AL30" i="34"/>
  <c r="AM30" i="34"/>
  <c r="Y31" i="34"/>
  <c r="Z31" i="34"/>
  <c r="AA31" i="34"/>
  <c r="AB31" i="34"/>
  <c r="AC31" i="34"/>
  <c r="AD31" i="34"/>
  <c r="AE31" i="34"/>
  <c r="AF31" i="34"/>
  <c r="AG31" i="34"/>
  <c r="AH31" i="34"/>
  <c r="AI31" i="34"/>
  <c r="AJ31" i="34"/>
  <c r="AK31" i="34"/>
  <c r="AL31" i="34"/>
  <c r="AM31" i="34"/>
  <c r="B32" i="34"/>
  <c r="C32" i="34"/>
  <c r="D32" i="34"/>
  <c r="E32" i="34"/>
  <c r="F32" i="34"/>
  <c r="G32" i="34"/>
  <c r="H32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B33" i="34"/>
  <c r="C33" i="34"/>
  <c r="D33" i="34"/>
  <c r="E33" i="34"/>
  <c r="F33" i="34"/>
  <c r="G33" i="34"/>
  <c r="H33" i="34"/>
  <c r="I33" i="34"/>
  <c r="J33" i="34"/>
  <c r="K33" i="34"/>
  <c r="L33" i="34"/>
  <c r="M33" i="34"/>
  <c r="N33" i="34"/>
  <c r="O33" i="34"/>
  <c r="P33" i="34"/>
  <c r="Q33" i="34"/>
  <c r="R33" i="34"/>
  <c r="S33" i="34"/>
  <c r="T33" i="34"/>
  <c r="U33" i="34"/>
  <c r="V33" i="34"/>
  <c r="W33" i="34"/>
  <c r="X33" i="34"/>
  <c r="AF33" i="34"/>
  <c r="AG33" i="34"/>
  <c r="AH33" i="34"/>
  <c r="AI33" i="34"/>
  <c r="AJ33" i="34"/>
  <c r="AK33" i="34"/>
  <c r="AL33" i="34"/>
  <c r="AM33" i="34"/>
  <c r="B34" i="34"/>
  <c r="C34" i="34"/>
  <c r="D34" i="34"/>
  <c r="E34" i="34"/>
  <c r="F34" i="34"/>
  <c r="G34" i="34"/>
  <c r="H34" i="34"/>
  <c r="I34" i="34"/>
  <c r="J34" i="34"/>
  <c r="K34" i="34"/>
  <c r="L34" i="34"/>
  <c r="M34" i="34"/>
  <c r="N34" i="34"/>
  <c r="O34" i="34"/>
  <c r="P34" i="34"/>
  <c r="Q34" i="34"/>
  <c r="R34" i="34"/>
  <c r="S34" i="34"/>
  <c r="T34" i="34"/>
  <c r="U34" i="34"/>
  <c r="V34" i="34"/>
  <c r="W34" i="34"/>
  <c r="X34" i="34"/>
  <c r="AF34" i="34"/>
  <c r="AG34" i="34"/>
  <c r="AH34" i="34"/>
  <c r="AI34" i="34"/>
  <c r="AJ34" i="34"/>
  <c r="AK34" i="34"/>
  <c r="AL34" i="34"/>
  <c r="AM34" i="34"/>
  <c r="B35" i="34"/>
  <c r="C35" i="34"/>
  <c r="D35" i="34"/>
  <c r="E35" i="34"/>
  <c r="F35" i="34"/>
  <c r="G35" i="34"/>
  <c r="H35" i="34"/>
  <c r="I35" i="34"/>
  <c r="J35" i="34"/>
  <c r="K35" i="34"/>
  <c r="L35" i="34"/>
  <c r="M35" i="34"/>
  <c r="N35" i="34"/>
  <c r="O35" i="34"/>
  <c r="P35" i="34"/>
  <c r="Q35" i="34"/>
  <c r="R35" i="34"/>
  <c r="S35" i="34"/>
  <c r="T35" i="34"/>
  <c r="U35" i="34"/>
  <c r="V35" i="34"/>
  <c r="W35" i="34"/>
  <c r="X35" i="34"/>
  <c r="AF35" i="34"/>
  <c r="AG35" i="34"/>
  <c r="AH35" i="34"/>
  <c r="AI35" i="34"/>
  <c r="AJ35" i="34"/>
  <c r="AK35" i="34"/>
  <c r="AL35" i="34"/>
  <c r="AM35" i="34"/>
  <c r="B36" i="34"/>
  <c r="C36" i="34"/>
  <c r="D36" i="34"/>
  <c r="E36" i="34"/>
  <c r="F36" i="34"/>
  <c r="G36" i="34"/>
  <c r="H36" i="34"/>
  <c r="I36" i="34"/>
  <c r="J36" i="34"/>
  <c r="K36" i="34"/>
  <c r="L36" i="34"/>
  <c r="M36" i="34"/>
  <c r="N36" i="34"/>
  <c r="O36" i="34"/>
  <c r="P36" i="34"/>
  <c r="Q36" i="34"/>
  <c r="R36" i="34"/>
  <c r="S36" i="34"/>
  <c r="T36" i="34"/>
  <c r="U36" i="34"/>
  <c r="V36" i="34"/>
  <c r="W36" i="34"/>
  <c r="X36" i="34"/>
  <c r="AF36" i="34"/>
  <c r="AG36" i="34"/>
  <c r="AH36" i="34"/>
  <c r="AI36" i="34"/>
  <c r="AJ36" i="34"/>
  <c r="AK36" i="34"/>
  <c r="AL36" i="34"/>
  <c r="AM36" i="34"/>
  <c r="B37" i="34"/>
  <c r="C37" i="34"/>
  <c r="D37" i="34"/>
  <c r="E37" i="34"/>
  <c r="F37" i="34"/>
  <c r="G37" i="34"/>
  <c r="H37" i="34"/>
  <c r="I37" i="34"/>
  <c r="J37" i="34"/>
  <c r="K37" i="34"/>
  <c r="L37" i="34"/>
  <c r="M37" i="34"/>
  <c r="N37" i="34"/>
  <c r="O37" i="34"/>
  <c r="P37" i="34"/>
  <c r="Q37" i="34"/>
  <c r="R37" i="34"/>
  <c r="S37" i="34"/>
  <c r="T37" i="34"/>
  <c r="U37" i="34"/>
  <c r="V37" i="34"/>
  <c r="W37" i="34"/>
  <c r="X37" i="34"/>
  <c r="AF37" i="34"/>
  <c r="AG37" i="34"/>
  <c r="AH37" i="34"/>
  <c r="AI37" i="34"/>
  <c r="AJ37" i="34"/>
  <c r="AK37" i="34"/>
  <c r="AL37" i="34"/>
  <c r="AM37" i="34"/>
  <c r="V38" i="34"/>
  <c r="W38" i="34"/>
  <c r="X38" i="34"/>
  <c r="Z38" i="34"/>
  <c r="AA38" i="34"/>
  <c r="AB38" i="34"/>
  <c r="AC38" i="34"/>
  <c r="AD38" i="34"/>
  <c r="AE38" i="34"/>
  <c r="AF38" i="34"/>
  <c r="AG38" i="34"/>
  <c r="V39" i="34"/>
  <c r="W39" i="34"/>
  <c r="X39" i="34"/>
  <c r="Y39" i="34"/>
  <c r="AA39" i="34"/>
  <c r="AB39" i="34"/>
  <c r="AC39" i="34"/>
  <c r="AD39" i="34"/>
  <c r="AE39" i="34"/>
  <c r="AF39" i="34"/>
  <c r="V40" i="34"/>
  <c r="W40" i="34"/>
  <c r="X40" i="34"/>
  <c r="Y40" i="34"/>
  <c r="Z40" i="34"/>
  <c r="AB40" i="34"/>
  <c r="AC40" i="34"/>
  <c r="AD40" i="34"/>
  <c r="AE40" i="34"/>
  <c r="AF40" i="34"/>
  <c r="V41" i="34"/>
  <c r="W41" i="34"/>
  <c r="X41" i="34"/>
  <c r="Y41" i="34"/>
  <c r="Z41" i="34"/>
  <c r="AA41" i="34"/>
  <c r="AC41" i="34"/>
  <c r="AD41" i="34"/>
  <c r="AE41" i="34"/>
  <c r="AF41" i="34"/>
  <c r="V42" i="34"/>
  <c r="W42" i="34"/>
  <c r="X42" i="34"/>
  <c r="Y42" i="34"/>
  <c r="Z42" i="34"/>
  <c r="AA42" i="34"/>
  <c r="AB42" i="34"/>
  <c r="AD42" i="34"/>
  <c r="AE42" i="34"/>
  <c r="AF42" i="34"/>
  <c r="B43" i="34"/>
  <c r="C43" i="34"/>
  <c r="D43" i="34"/>
  <c r="E43" i="34"/>
  <c r="F43" i="34"/>
  <c r="G43" i="34"/>
  <c r="H43" i="34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V44" i="34"/>
  <c r="W44" i="34"/>
  <c r="X44" i="34"/>
  <c r="Y44" i="34"/>
  <c r="Z44" i="34"/>
  <c r="AA44" i="34"/>
  <c r="AB44" i="34"/>
  <c r="AC44" i="34"/>
  <c r="AD44" i="34"/>
  <c r="AE44" i="34"/>
  <c r="AF44" i="34"/>
  <c r="V45" i="34"/>
  <c r="W45" i="34"/>
  <c r="X45" i="34"/>
  <c r="Y45" i="34"/>
  <c r="Z45" i="34"/>
  <c r="AA45" i="34"/>
  <c r="AB45" i="34"/>
  <c r="AC45" i="34"/>
  <c r="AD45" i="34"/>
  <c r="AE45" i="34"/>
  <c r="AF45" i="34"/>
  <c r="B46" i="34"/>
  <c r="C46" i="34"/>
  <c r="D46" i="34"/>
  <c r="E46" i="34"/>
  <c r="G46" i="34"/>
  <c r="H46" i="34"/>
  <c r="I46" i="34"/>
  <c r="J46" i="34"/>
  <c r="K46" i="34"/>
  <c r="L46" i="34"/>
  <c r="M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B47" i="34"/>
  <c r="C47" i="34"/>
  <c r="D47" i="34"/>
  <c r="E47" i="34"/>
  <c r="F47" i="34"/>
  <c r="G47" i="34"/>
  <c r="H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B48" i="34"/>
  <c r="C48" i="34"/>
  <c r="D48" i="34"/>
  <c r="E48" i="34"/>
  <c r="F48" i="34"/>
  <c r="G48" i="34"/>
  <c r="H48" i="34"/>
  <c r="I48" i="34"/>
  <c r="J48" i="34"/>
  <c r="K48" i="34"/>
  <c r="L48" i="34"/>
  <c r="M48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Z48" i="34"/>
  <c r="AA48" i="34"/>
  <c r="AB48" i="34"/>
  <c r="AC48" i="34"/>
  <c r="AD48" i="34"/>
  <c r="AE48" i="34"/>
  <c r="AF48" i="34"/>
  <c r="V49" i="34"/>
  <c r="W49" i="34"/>
  <c r="X49" i="34"/>
  <c r="Y49" i="34"/>
  <c r="Z49" i="34"/>
  <c r="AA49" i="34"/>
  <c r="AB49" i="34"/>
  <c r="AC49" i="34"/>
  <c r="AD49" i="34"/>
  <c r="AE49" i="34"/>
  <c r="AF49" i="34"/>
  <c r="A2" i="34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V92" i="17"/>
  <c r="V94" i="17"/>
  <c r="V100" i="17"/>
  <c r="V101" i="17"/>
  <c r="R99" i="17"/>
  <c r="R105" i="17"/>
  <c r="R95" i="17"/>
  <c r="R97" i="17"/>
  <c r="R103" i="17"/>
  <c r="R102" i="17"/>
  <c r="R91" i="17"/>
  <c r="R88" i="17"/>
  <c r="R87" i="17"/>
  <c r="R89" i="17"/>
  <c r="R90" i="17"/>
  <c r="R92" i="17"/>
  <c r="R93" i="17"/>
  <c r="R94" i="17"/>
  <c r="R96" i="17"/>
  <c r="R98" i="17"/>
  <c r="R100" i="17"/>
  <c r="R101" i="17"/>
  <c r="R104" i="17"/>
  <c r="R86" i="17"/>
  <c r="T92" i="17"/>
  <c r="T94" i="17"/>
  <c r="T100" i="17"/>
  <c r="T101" i="17"/>
  <c r="Z63" i="32" l="1"/>
  <c r="Y63" i="32"/>
  <c r="X63" i="32"/>
  <c r="W63" i="32"/>
  <c r="V63" i="32"/>
  <c r="U63" i="32"/>
  <c r="T63" i="32"/>
  <c r="S63" i="32"/>
  <c r="R63" i="32"/>
  <c r="Q63" i="32"/>
  <c r="P63" i="32"/>
  <c r="O63" i="32"/>
  <c r="N63" i="32"/>
  <c r="M63" i="32"/>
  <c r="L63" i="32"/>
  <c r="K63" i="32"/>
  <c r="J63" i="32"/>
  <c r="I63" i="32"/>
  <c r="H63" i="32"/>
  <c r="G63" i="32"/>
  <c r="Z62" i="32"/>
  <c r="Y62" i="32"/>
  <c r="X62" i="32"/>
  <c r="W62" i="32"/>
  <c r="V62" i="32"/>
  <c r="U62" i="32"/>
  <c r="T62" i="32"/>
  <c r="S62" i="32"/>
  <c r="R62" i="32"/>
  <c r="Q62" i="32"/>
  <c r="P62" i="32"/>
  <c r="O62" i="32"/>
  <c r="N62" i="32"/>
  <c r="M62" i="32"/>
  <c r="L62" i="32"/>
  <c r="K62" i="32"/>
  <c r="J62" i="32"/>
  <c r="I62" i="32"/>
  <c r="H62" i="32"/>
  <c r="G62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AD105" i="32"/>
  <c r="AE105" i="32"/>
  <c r="AF105" i="32"/>
  <c r="AD106" i="32"/>
  <c r="AE106" i="32"/>
  <c r="AF106" i="32"/>
  <c r="AD107" i="32"/>
  <c r="AE107" i="32"/>
  <c r="AF107" i="32"/>
  <c r="AD108" i="32"/>
  <c r="AE108" i="32"/>
  <c r="AF108" i="32"/>
  <c r="AD109" i="32"/>
  <c r="AE109" i="32"/>
  <c r="AF109" i="32"/>
  <c r="AD110" i="32"/>
  <c r="AE110" i="32"/>
  <c r="AF110" i="32"/>
  <c r="AD111" i="32"/>
  <c r="AE111" i="32"/>
  <c r="AF111" i="32"/>
  <c r="AD112" i="32"/>
  <c r="AE112" i="32"/>
  <c r="AF112" i="32"/>
  <c r="AD113" i="32"/>
  <c r="AE113" i="32"/>
  <c r="AF113" i="32"/>
  <c r="AD114" i="32"/>
  <c r="AE114" i="32"/>
  <c r="AF114" i="32"/>
  <c r="AD115" i="32"/>
  <c r="AE115" i="32"/>
  <c r="AF115" i="32"/>
  <c r="AD116" i="32"/>
  <c r="AE116" i="32"/>
  <c r="AF116" i="32"/>
  <c r="AD117" i="32"/>
  <c r="AE117" i="32"/>
  <c r="AF117" i="32"/>
  <c r="AD118" i="32"/>
  <c r="AE118" i="32"/>
  <c r="AF118" i="32"/>
  <c r="AD119" i="32"/>
  <c r="AE119" i="32"/>
  <c r="AF119" i="32"/>
  <c r="AD120" i="32"/>
  <c r="AE120" i="32"/>
  <c r="AF120" i="32"/>
  <c r="AD121" i="32"/>
  <c r="AE121" i="32"/>
  <c r="AF121" i="32"/>
  <c r="AD122" i="32"/>
  <c r="AE122" i="32"/>
  <c r="AF122" i="32"/>
  <c r="AD123" i="32"/>
  <c r="AE123" i="32"/>
  <c r="AF123" i="32"/>
  <c r="AD124" i="32"/>
  <c r="AE124" i="32"/>
  <c r="AF124" i="32"/>
  <c r="AK19" i="29"/>
  <c r="AJ19" i="29"/>
  <c r="AI19" i="29"/>
  <c r="AH19" i="29"/>
  <c r="K104" i="17"/>
  <c r="I104" i="17"/>
  <c r="C55" i="17"/>
  <c r="AV3" i="29"/>
  <c r="AV4" i="29"/>
  <c r="AV5" i="29"/>
  <c r="AV6" i="29"/>
  <c r="AV7" i="29"/>
  <c r="AV8" i="29"/>
  <c r="AV9" i="29"/>
  <c r="AV10" i="29"/>
  <c r="AV11" i="29"/>
  <c r="AV12" i="29"/>
  <c r="AV13" i="29"/>
  <c r="AV14" i="29"/>
  <c r="AV15" i="29"/>
  <c r="AV16" i="29"/>
  <c r="AV17" i="29"/>
  <c r="AV18" i="29"/>
  <c r="AV19" i="29"/>
  <c r="AV20" i="29"/>
  <c r="AV2" i="29"/>
  <c r="AU50" i="29"/>
  <c r="AX47" i="29"/>
  <c r="AU52" i="29" s="1"/>
  <c r="AT50" i="29"/>
  <c r="C91" i="29"/>
  <c r="C44" i="29" s="1"/>
  <c r="C44" i="34" s="1"/>
  <c r="D91" i="29"/>
  <c r="D44" i="29" s="1"/>
  <c r="D44" i="34" s="1"/>
  <c r="E91" i="29"/>
  <c r="E44" i="29" s="1"/>
  <c r="E44" i="34" s="1"/>
  <c r="F91" i="29"/>
  <c r="F44" i="29" s="1"/>
  <c r="F44" i="34" s="1"/>
  <c r="G91" i="29"/>
  <c r="G44" i="29" s="1"/>
  <c r="G44" i="34" s="1"/>
  <c r="H91" i="29"/>
  <c r="H44" i="29" s="1"/>
  <c r="H44" i="34" s="1"/>
  <c r="I91" i="29"/>
  <c r="I44" i="29" s="1"/>
  <c r="I44" i="34" s="1"/>
  <c r="J91" i="29"/>
  <c r="J44" i="29" s="1"/>
  <c r="J44" i="34" s="1"/>
  <c r="K91" i="29"/>
  <c r="K44" i="29" s="1"/>
  <c r="K44" i="34" s="1"/>
  <c r="L91" i="29"/>
  <c r="L44" i="29" s="1"/>
  <c r="L44" i="34" s="1"/>
  <c r="M91" i="29"/>
  <c r="M44" i="29" s="1"/>
  <c r="M44" i="34" s="1"/>
  <c r="N91" i="29"/>
  <c r="N44" i="29" s="1"/>
  <c r="N44" i="34" s="1"/>
  <c r="O91" i="29"/>
  <c r="O44" i="29" s="1"/>
  <c r="O44" i="34" s="1"/>
  <c r="P91" i="29"/>
  <c r="P44" i="29" s="1"/>
  <c r="P44" i="34" s="1"/>
  <c r="Q91" i="29"/>
  <c r="Q44" i="29" s="1"/>
  <c r="Q44" i="34" s="1"/>
  <c r="R91" i="29"/>
  <c r="R44" i="29" s="1"/>
  <c r="R44" i="34" s="1"/>
  <c r="S91" i="29"/>
  <c r="S44" i="29" s="1"/>
  <c r="S44" i="34" s="1"/>
  <c r="T91" i="29"/>
  <c r="T44" i="29" s="1"/>
  <c r="T44" i="34" s="1"/>
  <c r="U91" i="29"/>
  <c r="U44" i="29" s="1"/>
  <c r="U44" i="34" s="1"/>
  <c r="B91" i="29"/>
  <c r="B44" i="29" s="1"/>
  <c r="B44" i="34" s="1"/>
  <c r="N46" i="29"/>
  <c r="N46" i="34" s="1"/>
  <c r="F46" i="29"/>
  <c r="M76" i="30"/>
  <c r="AH32" i="29"/>
  <c r="AI32" i="29"/>
  <c r="AJ32" i="29"/>
  <c r="AK32" i="29"/>
  <c r="AG32" i="29"/>
  <c r="I101" i="32"/>
  <c r="J101" i="32"/>
  <c r="K101" i="32"/>
  <c r="L101" i="32"/>
  <c r="H101" i="32"/>
  <c r="I99" i="32"/>
  <c r="J99" i="32"/>
  <c r="K99" i="32"/>
  <c r="L99" i="32"/>
  <c r="H99" i="32"/>
  <c r="I97" i="32"/>
  <c r="J97" i="32"/>
  <c r="K97" i="32"/>
  <c r="L97" i="32"/>
  <c r="H97" i="32"/>
  <c r="V38" i="32"/>
  <c r="W38" i="32"/>
  <c r="X38" i="32"/>
  <c r="AU54" i="29" l="1"/>
  <c r="AX46" i="29"/>
  <c r="AT52" i="29" s="1"/>
  <c r="AT54" i="29" s="1"/>
  <c r="F46" i="34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B38" i="32"/>
  <c r="C49" i="23" l="1"/>
  <c r="C47" i="23"/>
  <c r="D49" i="23"/>
  <c r="D48" i="23"/>
  <c r="C44" i="23"/>
  <c r="AJ4" i="29"/>
  <c r="AJ5" i="29"/>
  <c r="AJ6" i="29"/>
  <c r="AJ7" i="29"/>
  <c r="AJ8" i="29"/>
  <c r="AJ9" i="29"/>
  <c r="AJ10" i="29"/>
  <c r="AJ11" i="29"/>
  <c r="AJ12" i="29"/>
  <c r="AJ13" i="29"/>
  <c r="AJ14" i="29"/>
  <c r="AJ15" i="29"/>
  <c r="AJ16" i="29"/>
  <c r="AJ17" i="29"/>
  <c r="AJ18" i="29"/>
  <c r="AJ20" i="29"/>
  <c r="AJ21" i="29"/>
  <c r="AJ3" i="29"/>
  <c r="AK4" i="29"/>
  <c r="AK5" i="29"/>
  <c r="AK6" i="29"/>
  <c r="AK7" i="29"/>
  <c r="AK8" i="29"/>
  <c r="AK9" i="29"/>
  <c r="AK10" i="29"/>
  <c r="AK11" i="29"/>
  <c r="AK12" i="29"/>
  <c r="AK13" i="29"/>
  <c r="AK14" i="29"/>
  <c r="AK15" i="29"/>
  <c r="AK16" i="29"/>
  <c r="AK17" i="29"/>
  <c r="AK18" i="29"/>
  <c r="AK20" i="29"/>
  <c r="AK21" i="29"/>
  <c r="AK3" i="29"/>
  <c r="AI4" i="29"/>
  <c r="AI5" i="29"/>
  <c r="AI6" i="29"/>
  <c r="AI7" i="29"/>
  <c r="AI8" i="29"/>
  <c r="AI9" i="29"/>
  <c r="AI10" i="29"/>
  <c r="AI11" i="29"/>
  <c r="AI12" i="29"/>
  <c r="AI13" i="29"/>
  <c r="AI14" i="29"/>
  <c r="AI15" i="29"/>
  <c r="AI16" i="29"/>
  <c r="AI17" i="29"/>
  <c r="AI18" i="29"/>
  <c r="AI20" i="29"/>
  <c r="AI21" i="29"/>
  <c r="AI3" i="29"/>
  <c r="AH20" i="29"/>
  <c r="AH21" i="29"/>
  <c r="AH11" i="29"/>
  <c r="AH12" i="29"/>
  <c r="AH13" i="29"/>
  <c r="AH14" i="29"/>
  <c r="AH15" i="29"/>
  <c r="AH16" i="29"/>
  <c r="AH17" i="29"/>
  <c r="AH10" i="29"/>
  <c r="AH4" i="29"/>
  <c r="AH5" i="29"/>
  <c r="AH6" i="29"/>
  <c r="AH7" i="29"/>
  <c r="AH8" i="29"/>
  <c r="AH3" i="29"/>
  <c r="U7" i="30"/>
  <c r="U11" i="30" s="1"/>
  <c r="U6" i="30"/>
  <c r="U10" i="30" s="1"/>
  <c r="AM33" i="29" l="1"/>
  <c r="AN33" i="29"/>
  <c r="AO33" i="29"/>
  <c r="AP33" i="29"/>
  <c r="AM34" i="29"/>
  <c r="AN34" i="29"/>
  <c r="AO34" i="29"/>
  <c r="AP34" i="29"/>
  <c r="AM35" i="29"/>
  <c r="AN35" i="29"/>
  <c r="AO35" i="29"/>
  <c r="AP35" i="29"/>
  <c r="AM36" i="29"/>
  <c r="AN36" i="29"/>
  <c r="AO36" i="29"/>
  <c r="AP36" i="29"/>
  <c r="AM37" i="29"/>
  <c r="AN37" i="29"/>
  <c r="AO37" i="29"/>
  <c r="AP37" i="29"/>
  <c r="AL34" i="29"/>
  <c r="AL35" i="29"/>
  <c r="AL36" i="29"/>
  <c r="AL37" i="29"/>
  <c r="AL33" i="29"/>
  <c r="C38" i="3"/>
  <c r="D38" i="3"/>
  <c r="E38" i="3"/>
  <c r="F38" i="3"/>
  <c r="C39" i="3"/>
  <c r="D39" i="3"/>
  <c r="E39" i="3"/>
  <c r="F39" i="3"/>
  <c r="C40" i="3"/>
  <c r="D40" i="3"/>
  <c r="E40" i="3"/>
  <c r="F40" i="3"/>
  <c r="C41" i="3"/>
  <c r="D41" i="3"/>
  <c r="E41" i="3"/>
  <c r="F41" i="3"/>
  <c r="C42" i="3"/>
  <c r="D42" i="3"/>
  <c r="E42" i="3"/>
  <c r="F42" i="3"/>
  <c r="B42" i="3"/>
  <c r="B41" i="3"/>
  <c r="B40" i="3"/>
  <c r="B39" i="3"/>
  <c r="B38" i="3"/>
  <c r="D28" i="3"/>
  <c r="D29" i="3"/>
  <c r="D30" i="3"/>
  <c r="D31" i="3"/>
  <c r="D32" i="3"/>
  <c r="D33" i="3"/>
  <c r="D34" i="3"/>
  <c r="D35" i="3"/>
  <c r="D27" i="3"/>
  <c r="C28" i="3"/>
  <c r="C29" i="3"/>
  <c r="C30" i="3"/>
  <c r="C31" i="3"/>
  <c r="C32" i="3"/>
  <c r="C33" i="3"/>
  <c r="C34" i="3"/>
  <c r="C35" i="3"/>
  <c r="C27" i="3"/>
  <c r="B28" i="3"/>
  <c r="B29" i="3"/>
  <c r="B30" i="3"/>
  <c r="B31" i="3"/>
  <c r="B32" i="3"/>
  <c r="B33" i="3"/>
  <c r="B34" i="3"/>
  <c r="B35" i="3"/>
  <c r="B27" i="3"/>
  <c r="W30" i="29"/>
  <c r="X30" i="29"/>
  <c r="W31" i="29"/>
  <c r="W31" i="34" s="1"/>
  <c r="X31" i="29"/>
  <c r="X31" i="34" s="1"/>
  <c r="V31" i="29"/>
  <c r="V31" i="34" s="1"/>
  <c r="V30" i="29"/>
  <c r="D98" i="30"/>
  <c r="E98" i="30"/>
  <c r="D99" i="30"/>
  <c r="E99" i="30"/>
  <c r="C99" i="30"/>
  <c r="C98" i="30"/>
  <c r="B31" i="29"/>
  <c r="B31" i="34" s="1"/>
  <c r="B30" i="29"/>
  <c r="G93" i="30"/>
  <c r="G94" i="30"/>
  <c r="G95" i="30"/>
  <c r="F94" i="30"/>
  <c r="F95" i="30"/>
  <c r="F93" i="30"/>
  <c r="AG20" i="29"/>
  <c r="AG21" i="29"/>
  <c r="AG19" i="29"/>
  <c r="AG11" i="29"/>
  <c r="AG12" i="29"/>
  <c r="AG13" i="29"/>
  <c r="AG14" i="29"/>
  <c r="AG15" i="29"/>
  <c r="AG16" i="29"/>
  <c r="AG17" i="29"/>
  <c r="AG10" i="29"/>
  <c r="AG4" i="29"/>
  <c r="AG5" i="29"/>
  <c r="AG6" i="29"/>
  <c r="AG7" i="29"/>
  <c r="AG8" i="29"/>
  <c r="AG3" i="29"/>
  <c r="V6" i="30" l="1"/>
  <c r="B30" i="34"/>
  <c r="AR6" i="30"/>
  <c r="X30" i="34"/>
  <c r="AQ6" i="30"/>
  <c r="W30" i="34"/>
  <c r="AP6" i="30"/>
  <c r="V30" i="34"/>
  <c r="D81" i="29"/>
  <c r="AP7" i="30"/>
  <c r="D83" i="29"/>
  <c r="AR7" i="30"/>
  <c r="D61" i="29"/>
  <c r="V7" i="30"/>
  <c r="D82" i="29"/>
  <c r="AQ7" i="30"/>
  <c r="X57" i="29"/>
  <c r="B83" i="29" s="1"/>
  <c r="W57" i="29"/>
  <c r="B82" i="29" s="1"/>
  <c r="V57" i="29"/>
  <c r="B81" i="29" s="1"/>
  <c r="E96" i="30"/>
  <c r="D96" i="30"/>
  <c r="C128" i="30" s="1"/>
  <c r="C96" i="30"/>
  <c r="E95" i="30"/>
  <c r="D95" i="30"/>
  <c r="C95" i="30"/>
  <c r="G83" i="30"/>
  <c r="H83" i="30"/>
  <c r="B41" i="32" l="1"/>
  <c r="Q4" i="35"/>
  <c r="I4" i="35" s="1"/>
  <c r="B62" i="32"/>
  <c r="Q25" i="35"/>
  <c r="I25" i="35" s="1"/>
  <c r="B63" i="32"/>
  <c r="Q26" i="35"/>
  <c r="I26" i="35" s="1"/>
  <c r="B61" i="32"/>
  <c r="Q24" i="35"/>
  <c r="I24" i="35" s="1"/>
  <c r="D128" i="30"/>
  <c r="B128" i="30"/>
  <c r="AG9" i="29"/>
  <c r="AH9" i="29"/>
  <c r="AG18" i="29"/>
  <c r="AH18" i="29"/>
  <c r="P26" i="31"/>
  <c r="Q26" i="31"/>
  <c r="R26" i="31"/>
  <c r="S26" i="31"/>
  <c r="O26" i="31"/>
  <c r="P18" i="31"/>
  <c r="Q18" i="31"/>
  <c r="R18" i="31"/>
  <c r="S18" i="31"/>
  <c r="O18" i="31"/>
  <c r="P25" i="31"/>
  <c r="Q25" i="31"/>
  <c r="R25" i="31"/>
  <c r="S25" i="31"/>
  <c r="O25" i="31"/>
  <c r="P24" i="31"/>
  <c r="Q24" i="31"/>
  <c r="R24" i="31"/>
  <c r="S24" i="31"/>
  <c r="O24" i="31"/>
  <c r="P17" i="31"/>
  <c r="Q17" i="31"/>
  <c r="R17" i="31"/>
  <c r="S17" i="31"/>
  <c r="O17" i="31"/>
  <c r="P16" i="31"/>
  <c r="Q16" i="31"/>
  <c r="R16" i="31"/>
  <c r="S16" i="31"/>
  <c r="O16" i="31"/>
  <c r="P27" i="31"/>
  <c r="Q27" i="31"/>
  <c r="R27" i="31"/>
  <c r="S27" i="31"/>
  <c r="O27" i="31"/>
  <c r="P20" i="31"/>
  <c r="Q20" i="31"/>
  <c r="R20" i="31"/>
  <c r="S20" i="31"/>
  <c r="O20" i="31"/>
  <c r="P31" i="31"/>
  <c r="Q31" i="31"/>
  <c r="R31" i="31"/>
  <c r="S31" i="31"/>
  <c r="O31" i="31"/>
  <c r="P23" i="31"/>
  <c r="Q23" i="31"/>
  <c r="R23" i="31"/>
  <c r="S23" i="31"/>
  <c r="O23" i="31"/>
  <c r="P15" i="31"/>
  <c r="Q15" i="31"/>
  <c r="R15" i="31"/>
  <c r="S15" i="31"/>
  <c r="O15" i="31"/>
  <c r="P30" i="31"/>
  <c r="Q30" i="31"/>
  <c r="R30" i="31"/>
  <c r="S30" i="31"/>
  <c r="O30" i="31"/>
  <c r="P22" i="31"/>
  <c r="Q22" i="31"/>
  <c r="R22" i="31"/>
  <c r="S22" i="31"/>
  <c r="O22" i="31"/>
  <c r="P14" i="31"/>
  <c r="Q14" i="31"/>
  <c r="R14" i="31"/>
  <c r="S14" i="31"/>
  <c r="O14" i="31"/>
  <c r="P29" i="31"/>
  <c r="Q29" i="31"/>
  <c r="R29" i="31"/>
  <c r="S29" i="31"/>
  <c r="O29" i="31"/>
  <c r="P21" i="31"/>
  <c r="Q21" i="31"/>
  <c r="R21" i="31"/>
  <c r="S21" i="31"/>
  <c r="O21" i="31"/>
  <c r="P13" i="31"/>
  <c r="Q13" i="31"/>
  <c r="R13" i="31"/>
  <c r="S13" i="31"/>
  <c r="O13" i="31"/>
  <c r="S10" i="31"/>
  <c r="R10" i="31"/>
  <c r="Q10" i="31"/>
  <c r="P10" i="31"/>
  <c r="O10" i="31"/>
  <c r="I20" i="31"/>
  <c r="J20" i="31"/>
  <c r="K20" i="31"/>
  <c r="L20" i="31"/>
  <c r="I21" i="31"/>
  <c r="J21" i="31"/>
  <c r="K21" i="31"/>
  <c r="L21" i="31"/>
  <c r="I22" i="31"/>
  <c r="J22" i="31"/>
  <c r="K22" i="31"/>
  <c r="L22" i="31"/>
  <c r="I23" i="31"/>
  <c r="J23" i="31"/>
  <c r="K23" i="31"/>
  <c r="L23" i="31"/>
  <c r="I24" i="31"/>
  <c r="J24" i="31"/>
  <c r="K24" i="31"/>
  <c r="L24" i="31"/>
  <c r="I25" i="31"/>
  <c r="J25" i="31"/>
  <c r="K25" i="31"/>
  <c r="L25" i="31"/>
  <c r="I26" i="31"/>
  <c r="J26" i="31"/>
  <c r="K26" i="31"/>
  <c r="L26" i="31"/>
  <c r="I27" i="31"/>
  <c r="J27" i="31"/>
  <c r="K27" i="31"/>
  <c r="L27" i="31"/>
  <c r="I28" i="31"/>
  <c r="J28" i="31"/>
  <c r="K28" i="31"/>
  <c r="L28" i="31"/>
  <c r="I29" i="31"/>
  <c r="J29" i="31"/>
  <c r="K29" i="31"/>
  <c r="L29" i="31"/>
  <c r="I30" i="31"/>
  <c r="J30" i="31"/>
  <c r="K30" i="31"/>
  <c r="L30" i="31"/>
  <c r="I31" i="31"/>
  <c r="J31" i="31"/>
  <c r="K31" i="31"/>
  <c r="L31" i="31"/>
  <c r="H21" i="31"/>
  <c r="H22" i="31"/>
  <c r="H23" i="31"/>
  <c r="H24" i="31"/>
  <c r="H25" i="31"/>
  <c r="H26" i="31"/>
  <c r="H27" i="31"/>
  <c r="H28" i="31"/>
  <c r="H29" i="31"/>
  <c r="H30" i="31"/>
  <c r="H31" i="31"/>
  <c r="H20" i="31"/>
  <c r="O2" i="31"/>
  <c r="P2" i="31"/>
  <c r="Q2" i="31"/>
  <c r="O3" i="31"/>
  <c r="P3" i="31"/>
  <c r="Q3" i="31"/>
  <c r="O4" i="31"/>
  <c r="P4" i="31"/>
  <c r="Q4" i="31"/>
  <c r="O5" i="31"/>
  <c r="P5" i="31"/>
  <c r="Q5" i="31"/>
  <c r="O6" i="31"/>
  <c r="P6" i="31"/>
  <c r="Q6" i="31"/>
  <c r="O7" i="31"/>
  <c r="P7" i="31"/>
  <c r="Q7" i="31"/>
  <c r="O8" i="31"/>
  <c r="P8" i="31"/>
  <c r="Q8" i="31"/>
  <c r="N3" i="31"/>
  <c r="N4" i="31"/>
  <c r="N5" i="31"/>
  <c r="N6" i="31"/>
  <c r="N7" i="31"/>
  <c r="N8" i="31"/>
  <c r="N2" i="31"/>
  <c r="C36" i="31"/>
  <c r="D36" i="31"/>
  <c r="E36" i="31"/>
  <c r="F36" i="31"/>
  <c r="B36" i="31"/>
  <c r="B34" i="31"/>
  <c r="C34" i="31"/>
  <c r="D34" i="31"/>
  <c r="E34" i="31"/>
  <c r="F34" i="31"/>
  <c r="A34" i="31"/>
  <c r="C32" i="31"/>
  <c r="D32" i="31"/>
  <c r="E32" i="31"/>
  <c r="F32" i="31"/>
  <c r="D20" i="31"/>
  <c r="E20" i="31"/>
  <c r="F20" i="31"/>
  <c r="D21" i="31"/>
  <c r="E21" i="31"/>
  <c r="F21" i="31"/>
  <c r="D22" i="31"/>
  <c r="E22" i="31"/>
  <c r="F22" i="31"/>
  <c r="D23" i="31"/>
  <c r="E23" i="31"/>
  <c r="F23" i="31"/>
  <c r="D24" i="31"/>
  <c r="E24" i="31"/>
  <c r="F24" i="31"/>
  <c r="D25" i="31"/>
  <c r="E25" i="31"/>
  <c r="F25" i="31"/>
  <c r="D26" i="31"/>
  <c r="E26" i="31"/>
  <c r="F26" i="31"/>
  <c r="D27" i="31"/>
  <c r="E27" i="31"/>
  <c r="F27" i="31"/>
  <c r="D28" i="31"/>
  <c r="E28" i="31"/>
  <c r="F28" i="31"/>
  <c r="D29" i="31"/>
  <c r="E29" i="31"/>
  <c r="F29" i="31"/>
  <c r="D30" i="31"/>
  <c r="E30" i="31"/>
  <c r="F30" i="31"/>
  <c r="D31" i="31"/>
  <c r="E31" i="31"/>
  <c r="F31" i="31"/>
  <c r="C21" i="31"/>
  <c r="C22" i="31"/>
  <c r="C23" i="31"/>
  <c r="C24" i="31"/>
  <c r="C25" i="31"/>
  <c r="C26" i="31"/>
  <c r="C27" i="31"/>
  <c r="C28" i="31"/>
  <c r="C29" i="31"/>
  <c r="C30" i="31"/>
  <c r="C31" i="31"/>
  <c r="C20" i="31"/>
  <c r="L85" i="32" l="1"/>
  <c r="T85" i="32"/>
  <c r="G85" i="32"/>
  <c r="M85" i="32"/>
  <c r="U85" i="32"/>
  <c r="N85" i="32"/>
  <c r="V85" i="32"/>
  <c r="O85" i="32"/>
  <c r="W85" i="32"/>
  <c r="H85" i="32"/>
  <c r="P85" i="32"/>
  <c r="X85" i="32"/>
  <c r="S85" i="32"/>
  <c r="I85" i="32"/>
  <c r="Q85" i="32"/>
  <c r="Y85" i="32"/>
  <c r="J85" i="32"/>
  <c r="R85" i="32"/>
  <c r="Z85" i="32"/>
  <c r="K85" i="32"/>
  <c r="N87" i="32"/>
  <c r="V87" i="32"/>
  <c r="O87" i="32"/>
  <c r="W87" i="32"/>
  <c r="H87" i="32"/>
  <c r="P87" i="32"/>
  <c r="X87" i="32"/>
  <c r="G87" i="32"/>
  <c r="Q87" i="32"/>
  <c r="I87" i="32"/>
  <c r="Y87" i="32"/>
  <c r="J87" i="32"/>
  <c r="R87" i="32"/>
  <c r="Z87" i="32"/>
  <c r="K87" i="32"/>
  <c r="S87" i="32"/>
  <c r="L87" i="32"/>
  <c r="T87" i="32"/>
  <c r="M87" i="32"/>
  <c r="U87" i="32"/>
  <c r="I86" i="32"/>
  <c r="Q86" i="32"/>
  <c r="Y86" i="32"/>
  <c r="J86" i="32"/>
  <c r="G86" i="32"/>
  <c r="R86" i="32"/>
  <c r="Z86" i="32"/>
  <c r="K86" i="32"/>
  <c r="S86" i="32"/>
  <c r="T86" i="32"/>
  <c r="L86" i="32"/>
  <c r="M86" i="32"/>
  <c r="U86" i="32"/>
  <c r="X86" i="32"/>
  <c r="N86" i="32"/>
  <c r="V86" i="32"/>
  <c r="H86" i="32"/>
  <c r="O86" i="32"/>
  <c r="W86" i="32"/>
  <c r="P86" i="32"/>
  <c r="H65" i="32"/>
  <c r="P65" i="32"/>
  <c r="X65" i="32"/>
  <c r="I65" i="32"/>
  <c r="Q65" i="32"/>
  <c r="Y65" i="32"/>
  <c r="J65" i="32"/>
  <c r="R65" i="32"/>
  <c r="Z65" i="32"/>
  <c r="G65" i="32"/>
  <c r="K65" i="32"/>
  <c r="S65" i="32"/>
  <c r="L65" i="32"/>
  <c r="T65" i="32"/>
  <c r="M65" i="32"/>
  <c r="U65" i="32"/>
  <c r="W65" i="32"/>
  <c r="N65" i="32"/>
  <c r="V65" i="32"/>
  <c r="O65" i="32"/>
  <c r="B32" i="31"/>
  <c r="B21" i="31"/>
  <c r="B22" i="31"/>
  <c r="B23" i="31"/>
  <c r="B24" i="31"/>
  <c r="B25" i="31"/>
  <c r="B26" i="31"/>
  <c r="B27" i="31"/>
  <c r="B28" i="31"/>
  <c r="B29" i="31"/>
  <c r="B30" i="31"/>
  <c r="B31" i="31"/>
  <c r="B20" i="31"/>
  <c r="C18" i="31"/>
  <c r="D18" i="31"/>
  <c r="E18" i="31"/>
  <c r="F18" i="31"/>
  <c r="B18" i="31"/>
  <c r="B15" i="31"/>
  <c r="C15" i="31"/>
  <c r="D15" i="31"/>
  <c r="E15" i="31"/>
  <c r="F15" i="31"/>
  <c r="C61" i="17" l="1"/>
  <c r="D61" i="17"/>
  <c r="E61" i="17"/>
  <c r="F61" i="17"/>
  <c r="G61" i="17"/>
  <c r="H61" i="17"/>
  <c r="I61" i="17"/>
  <c r="J61" i="17"/>
  <c r="K61" i="17"/>
  <c r="R107" i="17"/>
  <c r="R108" i="17" s="1"/>
  <c r="Q88" i="17"/>
  <c r="Q89" i="17"/>
  <c r="Q90" i="17"/>
  <c r="Q91" i="17"/>
  <c r="Q92" i="17"/>
  <c r="Q93" i="17"/>
  <c r="Q94" i="17"/>
  <c r="Q96" i="17"/>
  <c r="Q97" i="17"/>
  <c r="Q98" i="17"/>
  <c r="Q99" i="17"/>
  <c r="Q100" i="17"/>
  <c r="Q101" i="17"/>
  <c r="Q102" i="17"/>
  <c r="Q104" i="17"/>
  <c r="Q105" i="17"/>
  <c r="Q86" i="17"/>
  <c r="S92" i="17"/>
  <c r="U92" i="17"/>
  <c r="S94" i="17"/>
  <c r="U94" i="17"/>
  <c r="S100" i="17"/>
  <c r="U100" i="17"/>
  <c r="S101" i="17"/>
  <c r="U101" i="17"/>
  <c r="K101" i="17"/>
  <c r="L101" i="17"/>
  <c r="M101" i="17"/>
  <c r="N101" i="17"/>
  <c r="O101" i="17"/>
  <c r="P101" i="17"/>
  <c r="J101" i="17"/>
  <c r="K100" i="17"/>
  <c r="L100" i="17"/>
  <c r="M100" i="17"/>
  <c r="N100" i="17"/>
  <c r="O100" i="17"/>
  <c r="P100" i="17"/>
  <c r="J100" i="17"/>
  <c r="I101" i="17"/>
  <c r="I105" i="17"/>
  <c r="I102" i="17"/>
  <c r="I100" i="17"/>
  <c r="K103" i="17"/>
  <c r="K105" i="17"/>
  <c r="K102" i="17"/>
  <c r="K94" i="17"/>
  <c r="L94" i="17"/>
  <c r="M94" i="17"/>
  <c r="N94" i="17"/>
  <c r="O94" i="17"/>
  <c r="P94" i="17"/>
  <c r="J94" i="17"/>
  <c r="I94" i="17"/>
  <c r="I95" i="17"/>
  <c r="Q95" i="17" s="1"/>
  <c r="I96" i="17"/>
  <c r="I97" i="17"/>
  <c r="I98" i="17"/>
  <c r="I99" i="17"/>
  <c r="I93" i="17"/>
  <c r="K92" i="17"/>
  <c r="L92" i="17"/>
  <c r="M92" i="17"/>
  <c r="N92" i="17"/>
  <c r="O92" i="17"/>
  <c r="P92" i="17"/>
  <c r="J92" i="17"/>
  <c r="I92" i="17"/>
  <c r="I88" i="17"/>
  <c r="I89" i="17"/>
  <c r="I90" i="17"/>
  <c r="I91" i="17"/>
  <c r="I87" i="17"/>
  <c r="I103" i="17" s="1"/>
  <c r="I86" i="17"/>
  <c r="K87" i="17"/>
  <c r="K88" i="17"/>
  <c r="K89" i="17"/>
  <c r="K90" i="17"/>
  <c r="K91" i="17"/>
  <c r="K86" i="17"/>
  <c r="D100" i="17"/>
  <c r="E100" i="17"/>
  <c r="F100" i="17"/>
  <c r="G100" i="17"/>
  <c r="H100" i="17"/>
  <c r="C100" i="17"/>
  <c r="D92" i="17"/>
  <c r="E92" i="17"/>
  <c r="F92" i="17"/>
  <c r="G92" i="17"/>
  <c r="H92" i="17"/>
  <c r="C92" i="17"/>
  <c r="D101" i="17"/>
  <c r="E101" i="17"/>
  <c r="F101" i="17"/>
  <c r="G101" i="17"/>
  <c r="H101" i="17"/>
  <c r="C101" i="17"/>
  <c r="Q50" i="17"/>
  <c r="W50" i="29"/>
  <c r="X50" i="29"/>
  <c r="AL50" i="29"/>
  <c r="AM50" i="29"/>
  <c r="AN50" i="29"/>
  <c r="AO50" i="29"/>
  <c r="AP50" i="29"/>
  <c r="AQ50" i="29"/>
  <c r="AR50" i="29"/>
  <c r="AS50" i="29"/>
  <c r="AX32" i="29"/>
  <c r="AF52" i="29" s="1"/>
  <c r="AX43" i="29"/>
  <c r="AQ52" i="29" s="1"/>
  <c r="AX44" i="29"/>
  <c r="AR52" i="29" s="1"/>
  <c r="AX48" i="29"/>
  <c r="AV52" i="29" s="1"/>
  <c r="AK67" i="1"/>
  <c r="AK68" i="1"/>
  <c r="AK69" i="1"/>
  <c r="AK70" i="1"/>
  <c r="AK66" i="1"/>
  <c r="AK61" i="1"/>
  <c r="AK62" i="1"/>
  <c r="AK63" i="1"/>
  <c r="AK64" i="1"/>
  <c r="AK60" i="1"/>
  <c r="AQ38" i="1"/>
  <c r="AL38" i="1"/>
  <c r="BR28" i="8"/>
  <c r="BR29" i="8"/>
  <c r="BR30" i="8"/>
  <c r="BR31" i="8"/>
  <c r="BR27" i="8"/>
  <c r="AT43" i="1"/>
  <c r="AT42" i="1"/>
  <c r="AT41" i="1"/>
  <c r="AT40" i="1"/>
  <c r="AT39" i="1"/>
  <c r="AM38" i="1"/>
  <c r="AN38" i="1"/>
  <c r="AO38" i="1"/>
  <c r="AP38" i="1"/>
  <c r="AM33" i="1"/>
  <c r="AN33" i="1"/>
  <c r="AO33" i="1"/>
  <c r="AP33" i="1"/>
  <c r="AM34" i="1"/>
  <c r="AN34" i="1"/>
  <c r="AO34" i="1"/>
  <c r="AP34" i="1"/>
  <c r="AM35" i="1"/>
  <c r="AN35" i="1"/>
  <c r="AO35" i="1"/>
  <c r="AP35" i="1"/>
  <c r="AM36" i="1"/>
  <c r="AN36" i="1"/>
  <c r="AO36" i="1"/>
  <c r="AP36" i="1"/>
  <c r="AM37" i="1"/>
  <c r="AN37" i="1"/>
  <c r="AO37" i="1"/>
  <c r="AP37" i="1"/>
  <c r="AL34" i="1"/>
  <c r="AL35" i="1"/>
  <c r="AL36" i="1"/>
  <c r="AL37" i="1"/>
  <c r="AL33" i="1"/>
  <c r="AQ26" i="1"/>
  <c r="AM26" i="1"/>
  <c r="AN26" i="1"/>
  <c r="AO26" i="1"/>
  <c r="AP26" i="1"/>
  <c r="AM27" i="1"/>
  <c r="AN27" i="1"/>
  <c r="AO27" i="1"/>
  <c r="AP27" i="1"/>
  <c r="AM28" i="1"/>
  <c r="AN28" i="1"/>
  <c r="AO28" i="1"/>
  <c r="AP28" i="1"/>
  <c r="AM29" i="1"/>
  <c r="AN29" i="1"/>
  <c r="AO29" i="1"/>
  <c r="AP29" i="1"/>
  <c r="AM30" i="1"/>
  <c r="AN30" i="1"/>
  <c r="AO30" i="1"/>
  <c r="AP30" i="1"/>
  <c r="AL27" i="1"/>
  <c r="AQ27" i="1" s="1"/>
  <c r="AL28" i="1"/>
  <c r="AQ28" i="1" s="1"/>
  <c r="AL29" i="1"/>
  <c r="AQ29" i="1" s="1"/>
  <c r="AL30" i="1"/>
  <c r="AQ30" i="1" s="1"/>
  <c r="AL26" i="1"/>
  <c r="AN10" i="1"/>
  <c r="AO10" i="1"/>
  <c r="AR10" i="1"/>
  <c r="AL10" i="1"/>
  <c r="AI10" i="1"/>
  <c r="AS10" i="1" s="1"/>
  <c r="AJ10" i="1"/>
  <c r="AT10" i="1" s="1"/>
  <c r="AC10" i="1"/>
  <c r="AM10" i="1" s="1"/>
  <c r="AD10" i="1"/>
  <c r="AE10" i="1"/>
  <c r="AF10" i="1"/>
  <c r="AP10" i="1" s="1"/>
  <c r="AG10" i="1"/>
  <c r="AQ10" i="1" s="1"/>
  <c r="AH10" i="1"/>
  <c r="AB10" i="1"/>
  <c r="AS50" i="8"/>
  <c r="AS49" i="8"/>
  <c r="AS48" i="8"/>
  <c r="AS47" i="8"/>
  <c r="AS46" i="8"/>
  <c r="AS45" i="8"/>
  <c r="AS44" i="8"/>
  <c r="AS43" i="8"/>
  <c r="AS42" i="8"/>
  <c r="AS41" i="8"/>
  <c r="AY42" i="8"/>
  <c r="AZ42" i="8"/>
  <c r="AY43" i="8"/>
  <c r="AZ43" i="8"/>
  <c r="AY44" i="8"/>
  <c r="AZ44" i="8"/>
  <c r="AY45" i="8"/>
  <c r="AZ45" i="8"/>
  <c r="AY46" i="8"/>
  <c r="AZ46" i="8"/>
  <c r="AY47" i="8"/>
  <c r="AZ47" i="8"/>
  <c r="AY48" i="8"/>
  <c r="AZ48" i="8"/>
  <c r="AY49" i="8"/>
  <c r="AZ49" i="8"/>
  <c r="AY50" i="8"/>
  <c r="AZ50" i="8"/>
  <c r="AZ41" i="8"/>
  <c r="AY41" i="8"/>
  <c r="AE5" i="8"/>
  <c r="AE6" i="8"/>
  <c r="AE7" i="8"/>
  <c r="AE8" i="8"/>
  <c r="AE9" i="8"/>
  <c r="AE10" i="8"/>
  <c r="AE11" i="8"/>
  <c r="AE12" i="8"/>
  <c r="AE13" i="8"/>
  <c r="AE14" i="8"/>
  <c r="AE15" i="8"/>
  <c r="BP18" i="8"/>
  <c r="BQ18" i="8"/>
  <c r="BR18" i="8"/>
  <c r="BS18" i="8"/>
  <c r="BT18" i="8"/>
  <c r="BC6" i="8"/>
  <c r="BC7" i="8"/>
  <c r="BC8" i="8"/>
  <c r="BC9" i="8"/>
  <c r="BC10" i="8"/>
  <c r="BC12" i="8"/>
  <c r="CF25" i="8"/>
  <c r="CF20" i="8"/>
  <c r="CF21" i="8"/>
  <c r="CF22" i="8"/>
  <c r="CF23" i="8"/>
  <c r="CF24" i="8"/>
  <c r="AT12" i="8"/>
  <c r="AU12" i="8"/>
  <c r="AV12" i="8"/>
  <c r="AW12" i="8"/>
  <c r="AX12" i="8"/>
  <c r="AY12" i="8"/>
  <c r="AZ12" i="8"/>
  <c r="BA12" i="8"/>
  <c r="BB12" i="8"/>
  <c r="AS12" i="8"/>
  <c r="Q103" i="17" l="1"/>
  <c r="I107" i="17"/>
  <c r="I108" i="17" s="1"/>
  <c r="Q87" i="17"/>
  <c r="AQ54" i="29"/>
  <c r="AR54" i="29"/>
  <c r="BR32" i="8"/>
  <c r="AR6" i="8"/>
  <c r="AR7" i="8"/>
  <c r="AR8" i="8"/>
  <c r="AR9" i="8"/>
  <c r="AR10" i="8"/>
  <c r="AR11" i="8"/>
  <c r="AR12" i="8"/>
  <c r="AR13" i="8"/>
  <c r="AR14" i="8"/>
  <c r="AR16" i="8"/>
  <c r="AH16" i="8"/>
  <c r="AI16" i="8"/>
  <c r="AJ16" i="8"/>
  <c r="AK16" i="8"/>
  <c r="AL16" i="8"/>
  <c r="AM16" i="8"/>
  <c r="AN16" i="8"/>
  <c r="AO16" i="8"/>
  <c r="AP16" i="8"/>
  <c r="AQ16" i="8"/>
  <c r="CF26" i="8"/>
  <c r="CF27" i="8"/>
  <c r="CF28" i="8"/>
  <c r="CF29" i="8"/>
  <c r="CF30" i="8"/>
  <c r="BW26" i="8"/>
  <c r="BX26" i="8"/>
  <c r="BY26" i="8"/>
  <c r="BZ26" i="8"/>
  <c r="CA26" i="8"/>
  <c r="CB26" i="8"/>
  <c r="CC26" i="8"/>
  <c r="CD26" i="8"/>
  <c r="BW27" i="8"/>
  <c r="BX27" i="8"/>
  <c r="BY27" i="8"/>
  <c r="BZ27" i="8"/>
  <c r="CA27" i="8"/>
  <c r="CB27" i="8"/>
  <c r="CC27" i="8"/>
  <c r="CD27" i="8"/>
  <c r="BW28" i="8"/>
  <c r="BX28" i="8"/>
  <c r="BY28" i="8"/>
  <c r="BZ28" i="8"/>
  <c r="CA28" i="8"/>
  <c r="CB28" i="8"/>
  <c r="CC28" i="8"/>
  <c r="CD28" i="8"/>
  <c r="BX29" i="8"/>
  <c r="BY29" i="8"/>
  <c r="BZ29" i="8"/>
  <c r="CA29" i="8"/>
  <c r="CB29" i="8"/>
  <c r="BW30" i="8"/>
  <c r="BX30" i="8"/>
  <c r="BY30" i="8"/>
  <c r="BZ30" i="8"/>
  <c r="CA30" i="8"/>
  <c r="CB30" i="8"/>
  <c r="BV27" i="8"/>
  <c r="BV28" i="8"/>
  <c r="BV29" i="8"/>
  <c r="BV30" i="8"/>
  <c r="BV26" i="8"/>
  <c r="CE24" i="8"/>
  <c r="CD24" i="8"/>
  <c r="CC24" i="8"/>
  <c r="CB24" i="8"/>
  <c r="CA24" i="8"/>
  <c r="BZ24" i="8"/>
  <c r="BY24" i="8"/>
  <c r="BX24" i="8"/>
  <c r="BW24" i="8"/>
  <c r="BV24" i="8"/>
  <c r="CE23" i="8"/>
  <c r="CD23" i="8"/>
  <c r="CC23" i="8"/>
  <c r="CB23" i="8"/>
  <c r="CA23" i="8"/>
  <c r="BZ23" i="8"/>
  <c r="BY23" i="8"/>
  <c r="BX23" i="8"/>
  <c r="BW23" i="8"/>
  <c r="BV23" i="8"/>
  <c r="CE22" i="8"/>
  <c r="CD22" i="8"/>
  <c r="CC22" i="8"/>
  <c r="CB22" i="8"/>
  <c r="CA22" i="8"/>
  <c r="BZ22" i="8"/>
  <c r="BY22" i="8"/>
  <c r="BX22" i="8"/>
  <c r="BW22" i="8"/>
  <c r="BV22" i="8"/>
  <c r="CE21" i="8"/>
  <c r="CD21" i="8"/>
  <c r="CC21" i="8"/>
  <c r="CB21" i="8"/>
  <c r="CA21" i="8"/>
  <c r="BZ21" i="8"/>
  <c r="BY21" i="8"/>
  <c r="BX21" i="8"/>
  <c r="BW21" i="8"/>
  <c r="BV21" i="8"/>
  <c r="CE20" i="8"/>
  <c r="CD20" i="8"/>
  <c r="CC20" i="8"/>
  <c r="CB20" i="8"/>
  <c r="CA20" i="8"/>
  <c r="BZ20" i="8"/>
  <c r="BY20" i="8"/>
  <c r="BX20" i="8"/>
  <c r="BW20" i="8"/>
  <c r="BV20" i="8"/>
  <c r="CE19" i="8"/>
  <c r="CD19" i="8"/>
  <c r="CC19" i="8"/>
  <c r="CB19" i="8"/>
  <c r="CA19" i="8"/>
  <c r="BZ19" i="8"/>
  <c r="BY19" i="8"/>
  <c r="BX19" i="8"/>
  <c r="BW19" i="8"/>
  <c r="BV19" i="8"/>
  <c r="BP7" i="8"/>
  <c r="BQ7" i="8"/>
  <c r="BR7" i="8"/>
  <c r="BS7" i="8"/>
  <c r="BT7" i="8"/>
  <c r="BP8" i="8"/>
  <c r="BQ8" i="8"/>
  <c r="BR8" i="8"/>
  <c r="BS8" i="8"/>
  <c r="BT8" i="8"/>
  <c r="BP9" i="8"/>
  <c r="BQ9" i="8"/>
  <c r="BR9" i="8"/>
  <c r="BS9" i="8"/>
  <c r="BT9" i="8"/>
  <c r="BP10" i="8"/>
  <c r="BQ10" i="8"/>
  <c r="BR10" i="8"/>
  <c r="BS10" i="8"/>
  <c r="BT10" i="8"/>
  <c r="BP11" i="8"/>
  <c r="BQ11" i="8"/>
  <c r="BR11" i="8"/>
  <c r="BS11" i="8"/>
  <c r="BT11" i="8"/>
  <c r="BP12" i="8"/>
  <c r="BQ12" i="8"/>
  <c r="BR12" i="8"/>
  <c r="BS12" i="8"/>
  <c r="BT12" i="8"/>
  <c r="BP13" i="8"/>
  <c r="BQ13" i="8"/>
  <c r="BR13" i="8"/>
  <c r="BS13" i="8"/>
  <c r="BT13" i="8"/>
  <c r="BP14" i="8"/>
  <c r="BQ14" i="8"/>
  <c r="BR14" i="8"/>
  <c r="BS14" i="8"/>
  <c r="BT14" i="8"/>
  <c r="BP15" i="8"/>
  <c r="BQ15" i="8"/>
  <c r="BR15" i="8"/>
  <c r="BS15" i="8"/>
  <c r="BT15" i="8"/>
  <c r="BP16" i="8"/>
  <c r="BQ16" i="8"/>
  <c r="BR16" i="8"/>
  <c r="BS16" i="8"/>
  <c r="BT16" i="8"/>
  <c r="BT6" i="8"/>
  <c r="BS6" i="8"/>
  <c r="BR6" i="8"/>
  <c r="BQ6" i="8"/>
  <c r="BP6" i="8"/>
  <c r="BO7" i="8"/>
  <c r="BO8" i="8"/>
  <c r="BO9" i="8"/>
  <c r="BO10" i="8"/>
  <c r="BO11" i="8"/>
  <c r="BO12" i="8"/>
  <c r="BO13" i="8"/>
  <c r="BO14" i="8"/>
  <c r="BO15" i="8"/>
  <c r="BO16" i="8"/>
  <c r="BO6" i="8"/>
  <c r="BE5" i="8"/>
  <c r="BF5" i="8"/>
  <c r="BG5" i="8"/>
  <c r="BH5" i="8"/>
  <c r="BI5" i="8"/>
  <c r="BJ5" i="8"/>
  <c r="BK5" i="8"/>
  <c r="BL5" i="8"/>
  <c r="BM5" i="8"/>
  <c r="BE6" i="8"/>
  <c r="BF6" i="8"/>
  <c r="BG6" i="8"/>
  <c r="BH6" i="8"/>
  <c r="BI6" i="8"/>
  <c r="BJ6" i="8"/>
  <c r="BK6" i="8"/>
  <c r="BL6" i="8"/>
  <c r="BM6" i="8"/>
  <c r="BE7" i="8"/>
  <c r="BF7" i="8"/>
  <c r="BG7" i="8"/>
  <c r="BH7" i="8"/>
  <c r="BI7" i="8"/>
  <c r="BJ7" i="8"/>
  <c r="BK7" i="8"/>
  <c r="BL7" i="8"/>
  <c r="BM7" i="8"/>
  <c r="BE8" i="8"/>
  <c r="BF8" i="8"/>
  <c r="BG8" i="8"/>
  <c r="BH8" i="8"/>
  <c r="BI8" i="8"/>
  <c r="BJ8" i="8"/>
  <c r="BK8" i="8"/>
  <c r="BL8" i="8"/>
  <c r="BM8" i="8"/>
  <c r="BE9" i="8"/>
  <c r="BF9" i="8"/>
  <c r="BG9" i="8"/>
  <c r="BH9" i="8"/>
  <c r="BI9" i="8"/>
  <c r="BJ9" i="8"/>
  <c r="BK9" i="8"/>
  <c r="BL9" i="8"/>
  <c r="BM9" i="8"/>
  <c r="BE10" i="8"/>
  <c r="BF10" i="8"/>
  <c r="BG10" i="8"/>
  <c r="BH10" i="8"/>
  <c r="BI10" i="8"/>
  <c r="BJ10" i="8"/>
  <c r="BK10" i="8"/>
  <c r="BL10" i="8"/>
  <c r="BM10" i="8"/>
  <c r="BE11" i="8"/>
  <c r="BF11" i="8"/>
  <c r="BG11" i="8"/>
  <c r="BH11" i="8"/>
  <c r="BI11" i="8"/>
  <c r="BJ11" i="8"/>
  <c r="BK11" i="8"/>
  <c r="BL11" i="8"/>
  <c r="BM11" i="8"/>
  <c r="BE12" i="8"/>
  <c r="BF12" i="8"/>
  <c r="BG12" i="8"/>
  <c r="BH12" i="8"/>
  <c r="BI12" i="8"/>
  <c r="BJ12" i="8"/>
  <c r="BK12" i="8"/>
  <c r="BL12" i="8"/>
  <c r="BM12" i="8"/>
  <c r="BE13" i="8"/>
  <c r="BF13" i="8"/>
  <c r="BG13" i="8"/>
  <c r="BH13" i="8"/>
  <c r="BI13" i="8"/>
  <c r="BJ13" i="8"/>
  <c r="BK13" i="8"/>
  <c r="BL13" i="8"/>
  <c r="BM13" i="8"/>
  <c r="BE14" i="8"/>
  <c r="BF14" i="8"/>
  <c r="BG14" i="8"/>
  <c r="BH14" i="8"/>
  <c r="BI14" i="8"/>
  <c r="BJ14" i="8"/>
  <c r="BK14" i="8"/>
  <c r="BL14" i="8"/>
  <c r="BM14" i="8"/>
  <c r="BE15" i="8"/>
  <c r="BF15" i="8"/>
  <c r="BG15" i="8"/>
  <c r="BH15" i="8"/>
  <c r="BI15" i="8"/>
  <c r="BJ15" i="8"/>
  <c r="BK15" i="8"/>
  <c r="BL15" i="8"/>
  <c r="BM15" i="8"/>
  <c r="BE16" i="8"/>
  <c r="BF16" i="8"/>
  <c r="BG16" i="8"/>
  <c r="BH16" i="8"/>
  <c r="BI16" i="8"/>
  <c r="BJ16" i="8"/>
  <c r="BK16" i="8"/>
  <c r="BL16" i="8"/>
  <c r="BM16" i="8"/>
  <c r="BD6" i="8"/>
  <c r="BD7" i="8"/>
  <c r="BD8" i="8"/>
  <c r="BD9" i="8"/>
  <c r="BD10" i="8"/>
  <c r="BD11" i="8"/>
  <c r="BD12" i="8"/>
  <c r="BD13" i="8"/>
  <c r="BD14" i="8"/>
  <c r="BD15" i="8"/>
  <c r="BD16" i="8"/>
  <c r="BD5" i="8"/>
  <c r="AU31" i="8"/>
  <c r="AU30" i="8"/>
  <c r="AU29" i="8"/>
  <c r="AU28" i="8"/>
  <c r="AU27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6" i="8"/>
  <c r="AU6" i="8"/>
  <c r="AV6" i="8"/>
  <c r="AW6" i="8"/>
  <c r="AX6" i="8"/>
  <c r="AY6" i="8"/>
  <c r="AZ6" i="8"/>
  <c r="BA6" i="8"/>
  <c r="BB6" i="8"/>
  <c r="AT7" i="8"/>
  <c r="AU7" i="8"/>
  <c r="AV7" i="8"/>
  <c r="AW7" i="8"/>
  <c r="AX7" i="8"/>
  <c r="AY7" i="8"/>
  <c r="AZ7" i="8"/>
  <c r="BA7" i="8"/>
  <c r="BB7" i="8"/>
  <c r="AT8" i="8"/>
  <c r="AU8" i="8"/>
  <c r="AV8" i="8"/>
  <c r="AW8" i="8"/>
  <c r="AX8" i="8"/>
  <c r="AY8" i="8"/>
  <c r="AZ8" i="8"/>
  <c r="BA8" i="8"/>
  <c r="BB8" i="8"/>
  <c r="AT9" i="8"/>
  <c r="AU9" i="8"/>
  <c r="AV9" i="8"/>
  <c r="AW9" i="8"/>
  <c r="AX9" i="8"/>
  <c r="AY9" i="8"/>
  <c r="AZ9" i="8"/>
  <c r="BA9" i="8"/>
  <c r="BB9" i="8"/>
  <c r="AT10" i="8"/>
  <c r="AU10" i="8"/>
  <c r="AV10" i="8"/>
  <c r="AW10" i="8"/>
  <c r="AX10" i="8"/>
  <c r="AY10" i="8"/>
  <c r="AZ10" i="8"/>
  <c r="BA10" i="8"/>
  <c r="BB10" i="8"/>
  <c r="AS10" i="8"/>
  <c r="AS9" i="8"/>
  <c r="AS8" i="8"/>
  <c r="AS7" i="8"/>
  <c r="AS6" i="8"/>
  <c r="AG29" i="8"/>
  <c r="BD28" i="8" s="1"/>
  <c r="AI29" i="8"/>
  <c r="BD30" i="8" s="1"/>
  <c r="AG36" i="8"/>
  <c r="BK28" i="8" s="1"/>
  <c r="BE66" i="8" s="1"/>
  <c r="D19" i="35" s="1"/>
  <c r="AH36" i="8"/>
  <c r="BK29" i="8" s="1"/>
  <c r="AI36" i="8"/>
  <c r="BK30" i="8" s="1"/>
  <c r="AJ36" i="8"/>
  <c r="BK31" i="8" s="1"/>
  <c r="AF41" i="8"/>
  <c r="BP27" i="8" s="1"/>
  <c r="AG41" i="8"/>
  <c r="BP28" i="8" s="1"/>
  <c r="AH41" i="8"/>
  <c r="BP29" i="8" s="1"/>
  <c r="CE28" i="8" s="1"/>
  <c r="AI41" i="8"/>
  <c r="BP30" i="8" s="1"/>
  <c r="AJ41" i="8"/>
  <c r="BP31" i="8" s="1"/>
  <c r="AD29" i="8"/>
  <c r="AJ29" i="8" s="1"/>
  <c r="BD31" i="8" s="1"/>
  <c r="Z29" i="8"/>
  <c r="AH29" i="8" s="1"/>
  <c r="BD29" i="8" s="1"/>
  <c r="V7" i="8"/>
  <c r="M87" i="30"/>
  <c r="M85" i="30"/>
  <c r="M86" i="30"/>
  <c r="N86" i="30"/>
  <c r="N84" i="30"/>
  <c r="R50" i="17" s="1"/>
  <c r="M84" i="30"/>
  <c r="W29" i="8"/>
  <c r="X29" i="8"/>
  <c r="Y29" i="8"/>
  <c r="AA29" i="8"/>
  <c r="AB29" i="8"/>
  <c r="AC29" i="8"/>
  <c r="V29" i="8"/>
  <c r="AF29" i="8" s="1"/>
  <c r="BD27" i="8" s="1"/>
  <c r="W41" i="8"/>
  <c r="X41" i="8"/>
  <c r="Y41" i="8"/>
  <c r="Z41" i="8"/>
  <c r="AA41" i="8"/>
  <c r="AB41" i="8"/>
  <c r="AC41" i="8"/>
  <c r="AD41" i="8"/>
  <c r="V41" i="8"/>
  <c r="W36" i="8"/>
  <c r="X36" i="8"/>
  <c r="Y36" i="8"/>
  <c r="Z36" i="8"/>
  <c r="AA36" i="8"/>
  <c r="AB36" i="8"/>
  <c r="AC36" i="8"/>
  <c r="AD36" i="8"/>
  <c r="V36" i="8"/>
  <c r="AF36" i="8" s="1"/>
  <c r="BK27" i="8" s="1"/>
  <c r="BD66" i="8" s="1"/>
  <c r="C19" i="35" s="1"/>
  <c r="T83" i="30"/>
  <c r="Q35" i="30"/>
  <c r="U75" i="30" s="1"/>
  <c r="J31" i="29" s="1"/>
  <c r="Q34" i="30"/>
  <c r="U74" i="30" s="1"/>
  <c r="U35" i="30"/>
  <c r="W75" i="30" s="1"/>
  <c r="L31" i="29" s="1"/>
  <c r="U34" i="30"/>
  <c r="AO75" i="30"/>
  <c r="AN75" i="30"/>
  <c r="AM75" i="30"/>
  <c r="AB75" i="30"/>
  <c r="Q31" i="29" s="1"/>
  <c r="AA75" i="30"/>
  <c r="P31" i="29" s="1"/>
  <c r="AO74" i="30"/>
  <c r="AN74" i="30"/>
  <c r="AM74" i="30"/>
  <c r="Z74" i="30"/>
  <c r="Y74" i="30"/>
  <c r="R74" i="30"/>
  <c r="M115" i="30" s="1"/>
  <c r="M74" i="30"/>
  <c r="AO73" i="30"/>
  <c r="AN73" i="30"/>
  <c r="AM73" i="30"/>
  <c r="AF73" i="30"/>
  <c r="O102" i="30" s="1"/>
  <c r="S53" i="17" s="1"/>
  <c r="AE73" i="30"/>
  <c r="O96" i="30" s="1"/>
  <c r="S52" i="17" s="1"/>
  <c r="AD73" i="30"/>
  <c r="O90" i="30" s="1"/>
  <c r="S51" i="17" s="1"/>
  <c r="AC73" i="30"/>
  <c r="O84" i="30" s="1"/>
  <c r="S50" i="17" s="1"/>
  <c r="AB73" i="30"/>
  <c r="AA73" i="30"/>
  <c r="T82" i="30" s="1"/>
  <c r="Z73" i="30"/>
  <c r="N114" i="30" s="1"/>
  <c r="R55" i="17" s="1"/>
  <c r="Y73" i="30"/>
  <c r="N108" i="30" s="1"/>
  <c r="R54" i="17" s="1"/>
  <c r="X73" i="30"/>
  <c r="N102" i="30" s="1"/>
  <c r="R53" i="17" s="1"/>
  <c r="W73" i="30"/>
  <c r="N96" i="30" s="1"/>
  <c r="R52" i="17" s="1"/>
  <c r="V73" i="30"/>
  <c r="N90" i="30" s="1"/>
  <c r="R51" i="17" s="1"/>
  <c r="U73" i="30"/>
  <c r="T73" i="30"/>
  <c r="S73" i="30"/>
  <c r="S82" i="30" s="1"/>
  <c r="R73" i="30"/>
  <c r="M114" i="30" s="1"/>
  <c r="Q55" i="17" s="1"/>
  <c r="Q73" i="30"/>
  <c r="M108" i="30" s="1"/>
  <c r="Q54" i="17" s="1"/>
  <c r="P73" i="30"/>
  <c r="M102" i="30" s="1"/>
  <c r="Q53" i="17" s="1"/>
  <c r="O73" i="30"/>
  <c r="M96" i="30" s="1"/>
  <c r="Q52" i="17" s="1"/>
  <c r="N73" i="30"/>
  <c r="M90" i="30" s="1"/>
  <c r="Q51" i="17" s="1"/>
  <c r="M73" i="30"/>
  <c r="X67" i="30"/>
  <c r="AF75" i="30" s="1"/>
  <c r="U31" i="29" s="1"/>
  <c r="V67" i="30"/>
  <c r="AE75" i="30" s="1"/>
  <c r="T31" i="29" s="1"/>
  <c r="T67" i="30"/>
  <c r="AD75" i="30" s="1"/>
  <c r="S31" i="29" s="1"/>
  <c r="Q67" i="30"/>
  <c r="AC75" i="30" s="1"/>
  <c r="R31" i="29" s="1"/>
  <c r="O67" i="30"/>
  <c r="M67" i="30"/>
  <c r="X66" i="30"/>
  <c r="AF74" i="30" s="1"/>
  <c r="V66" i="30"/>
  <c r="AE74" i="30" s="1"/>
  <c r="O97" i="30" s="1"/>
  <c r="T66" i="30"/>
  <c r="AD74" i="30" s="1"/>
  <c r="Q66" i="30"/>
  <c r="AC74" i="30" s="1"/>
  <c r="O85" i="30" s="1"/>
  <c r="O66" i="30"/>
  <c r="AB74" i="30" s="1"/>
  <c r="M66" i="30"/>
  <c r="AA74" i="30" s="1"/>
  <c r="AA35" i="30"/>
  <c r="Z75" i="30" s="1"/>
  <c r="O31" i="29" s="1"/>
  <c r="Y35" i="30"/>
  <c r="Y75" i="30" s="1"/>
  <c r="N31" i="29" s="1"/>
  <c r="W35" i="30"/>
  <c r="X75" i="30" s="1"/>
  <c r="M31" i="29" s="1"/>
  <c r="S35" i="30"/>
  <c r="V75" i="30" s="1"/>
  <c r="K31" i="29" s="1"/>
  <c r="O35" i="30"/>
  <c r="T75" i="30" s="1"/>
  <c r="I31" i="29" s="1"/>
  <c r="M35" i="30"/>
  <c r="S75" i="30" s="1"/>
  <c r="H31" i="29" s="1"/>
  <c r="AA34" i="30"/>
  <c r="Y34" i="30"/>
  <c r="W34" i="30"/>
  <c r="X74" i="30" s="1"/>
  <c r="W74" i="30"/>
  <c r="S34" i="30"/>
  <c r="V74" i="30" s="1"/>
  <c r="O34" i="30"/>
  <c r="T74" i="30" s="1"/>
  <c r="N85" i="30" s="1"/>
  <c r="N87" i="30" s="1"/>
  <c r="M34" i="30"/>
  <c r="S74" i="30" s="1"/>
  <c r="S83" i="30" s="1"/>
  <c r="Y4" i="30"/>
  <c r="R75" i="30" s="1"/>
  <c r="G31" i="29" s="1"/>
  <c r="W4" i="30"/>
  <c r="Q75" i="30" s="1"/>
  <c r="F31" i="29" s="1"/>
  <c r="U4" i="30"/>
  <c r="P75" i="30" s="1"/>
  <c r="E31" i="29" s="1"/>
  <c r="S4" i="30"/>
  <c r="O75" i="30" s="1"/>
  <c r="D31" i="29" s="1"/>
  <c r="Q4" i="30"/>
  <c r="N75" i="30" s="1"/>
  <c r="C31" i="29" s="1"/>
  <c r="N4" i="30"/>
  <c r="M75" i="30" s="1"/>
  <c r="Y3" i="30"/>
  <c r="W3" i="30"/>
  <c r="Q74" i="30" s="1"/>
  <c r="U3" i="30"/>
  <c r="P74" i="30" s="1"/>
  <c r="S3" i="30"/>
  <c r="O74" i="30" s="1"/>
  <c r="Q3" i="30"/>
  <c r="N74" i="30" s="1"/>
  <c r="M91" i="30" s="1"/>
  <c r="N3" i="30"/>
  <c r="O98" i="30" l="1"/>
  <c r="O99" i="30" s="1"/>
  <c r="O81" i="30"/>
  <c r="AA76" i="30"/>
  <c r="P30" i="29"/>
  <c r="AB76" i="30"/>
  <c r="Q30" i="29"/>
  <c r="S31" i="34"/>
  <c r="D78" i="29"/>
  <c r="AM7" i="30"/>
  <c r="R31" i="34"/>
  <c r="D77" i="29"/>
  <c r="AL7" i="30"/>
  <c r="AD76" i="30"/>
  <c r="S30" i="29"/>
  <c r="U31" i="34"/>
  <c r="D80" i="29"/>
  <c r="AO7" i="30"/>
  <c r="Q31" i="34"/>
  <c r="D76" i="29"/>
  <c r="AK7" i="30"/>
  <c r="AC76" i="30"/>
  <c r="R30" i="29"/>
  <c r="T31" i="34"/>
  <c r="D79" i="29"/>
  <c r="AN7" i="30"/>
  <c r="P31" i="34"/>
  <c r="D75" i="29"/>
  <c r="AJ7" i="30"/>
  <c r="AE76" i="30"/>
  <c r="T30" i="29"/>
  <c r="O86" i="30"/>
  <c r="O87" i="30" s="1"/>
  <c r="P87" i="30" s="1"/>
  <c r="M88" i="30" s="1"/>
  <c r="O92" i="30"/>
  <c r="O104" i="30"/>
  <c r="AF76" i="30"/>
  <c r="U30" i="29"/>
  <c r="T84" i="30"/>
  <c r="T85" i="30" s="1"/>
  <c r="O91" i="30"/>
  <c r="O103" i="30"/>
  <c r="N98" i="30"/>
  <c r="N104" i="30"/>
  <c r="U76" i="30"/>
  <c r="J30" i="29"/>
  <c r="K31" i="34"/>
  <c r="AE7" i="30"/>
  <c r="D70" i="29"/>
  <c r="V76" i="30"/>
  <c r="K30" i="29"/>
  <c r="M31" i="34"/>
  <c r="D72" i="29"/>
  <c r="AG7" i="30"/>
  <c r="Y76" i="30"/>
  <c r="N30" i="29"/>
  <c r="N110" i="30"/>
  <c r="T76" i="30"/>
  <c r="I30" i="29"/>
  <c r="W76" i="30"/>
  <c r="L30" i="29"/>
  <c r="N31" i="34"/>
  <c r="D73" i="29"/>
  <c r="AH7" i="30"/>
  <c r="Z76" i="30"/>
  <c r="O30" i="29"/>
  <c r="N109" i="30"/>
  <c r="X76" i="30"/>
  <c r="M30" i="29"/>
  <c r="O31" i="34"/>
  <c r="AI7" i="30"/>
  <c r="D74" i="29"/>
  <c r="S84" i="30"/>
  <c r="N92" i="30"/>
  <c r="N116" i="30"/>
  <c r="L31" i="34"/>
  <c r="D71" i="29"/>
  <c r="AF7" i="30"/>
  <c r="N91" i="30"/>
  <c r="N97" i="30"/>
  <c r="N103" i="30"/>
  <c r="N115" i="30"/>
  <c r="H31" i="34"/>
  <c r="AB7" i="30"/>
  <c r="D67" i="29"/>
  <c r="S76" i="30"/>
  <c r="H30" i="29"/>
  <c r="I31" i="34"/>
  <c r="D68" i="29"/>
  <c r="AC7" i="30"/>
  <c r="J31" i="34"/>
  <c r="AD7" i="30"/>
  <c r="D69" i="29"/>
  <c r="BG59" i="8"/>
  <c r="F12" i="35" s="1"/>
  <c r="BD37" i="8"/>
  <c r="J28" i="29" s="1"/>
  <c r="J41" i="29" s="1"/>
  <c r="J41" i="34" s="1"/>
  <c r="BE59" i="8"/>
  <c r="D12" i="35" s="1"/>
  <c r="BD35" i="8"/>
  <c r="J26" i="29" s="1"/>
  <c r="BE71" i="8"/>
  <c r="D27" i="35" s="1"/>
  <c r="CE27" i="8"/>
  <c r="BP35" i="8" s="1"/>
  <c r="AV26" i="29" s="1"/>
  <c r="BH66" i="8"/>
  <c r="G19" i="35" s="1"/>
  <c r="BK38" i="8"/>
  <c r="Q29" i="29" s="1"/>
  <c r="BD71" i="8"/>
  <c r="C27" i="35" s="1"/>
  <c r="BP32" i="8"/>
  <c r="AW49" i="8" s="1"/>
  <c r="CE26" i="8"/>
  <c r="BP34" i="8" s="1"/>
  <c r="BG66" i="8"/>
  <c r="F19" i="35" s="1"/>
  <c r="BK37" i="8"/>
  <c r="Q28" i="29" s="1"/>
  <c r="BF66" i="8"/>
  <c r="E19" i="35" s="1"/>
  <c r="BK36" i="8"/>
  <c r="Q27" i="29" s="1"/>
  <c r="BH71" i="8"/>
  <c r="G27" i="35" s="1"/>
  <c r="CE30" i="8"/>
  <c r="BP38" i="8" s="1"/>
  <c r="AV29" i="29" s="1"/>
  <c r="O76" i="30"/>
  <c r="D30" i="29"/>
  <c r="F31" i="34"/>
  <c r="D65" i="29"/>
  <c r="Z7" i="30"/>
  <c r="M97" i="30"/>
  <c r="P76" i="30"/>
  <c r="E30" i="29"/>
  <c r="G31" i="34"/>
  <c r="D66" i="29"/>
  <c r="AA7" i="30"/>
  <c r="M92" i="30"/>
  <c r="M93" i="30" s="1"/>
  <c r="M104" i="30"/>
  <c r="M116" i="30"/>
  <c r="M117" i="30" s="1"/>
  <c r="BD36" i="8"/>
  <c r="J27" i="29" s="1"/>
  <c r="J27" i="34" s="1"/>
  <c r="BF59" i="8"/>
  <c r="E12" i="35" s="1"/>
  <c r="BD38" i="8"/>
  <c r="J29" i="29" s="1"/>
  <c r="BH59" i="8"/>
  <c r="G12" i="35" s="1"/>
  <c r="BG71" i="8"/>
  <c r="F27" i="35" s="1"/>
  <c r="M103" i="30"/>
  <c r="N76" i="30"/>
  <c r="C30" i="29"/>
  <c r="Q76" i="30"/>
  <c r="F30" i="29"/>
  <c r="R76" i="30"/>
  <c r="G30" i="29"/>
  <c r="M110" i="30"/>
  <c r="CE29" i="8"/>
  <c r="BP37" i="8" s="1"/>
  <c r="AV28" i="29" s="1"/>
  <c r="BK35" i="8"/>
  <c r="Q26" i="29" s="1"/>
  <c r="C31" i="34"/>
  <c r="D62" i="29"/>
  <c r="W7" i="30"/>
  <c r="M98" i="30"/>
  <c r="M109" i="30"/>
  <c r="D31" i="34"/>
  <c r="D63" i="29"/>
  <c r="X7" i="30"/>
  <c r="M81" i="30"/>
  <c r="BF71" i="8"/>
  <c r="E27" i="35" s="1"/>
  <c r="BP36" i="8"/>
  <c r="AV27" i="29" s="1"/>
  <c r="J28" i="34"/>
  <c r="E31" i="34"/>
  <c r="Y7" i="30"/>
  <c r="D64" i="29"/>
  <c r="BD34" i="8"/>
  <c r="J25" i="29" s="1"/>
  <c r="BD59" i="8"/>
  <c r="C12" i="35" s="1"/>
  <c r="Q107" i="17"/>
  <c r="Q108" i="17" s="1"/>
  <c r="BK32" i="8"/>
  <c r="AW50" i="8" s="1"/>
  <c r="BK34" i="8"/>
  <c r="BD32" i="8"/>
  <c r="AW48" i="8" s="1"/>
  <c r="AX31" i="29"/>
  <c r="AE52" i="29" s="1"/>
  <c r="N81" i="30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P81" i="30" l="1"/>
  <c r="O82" i="30" s="1"/>
  <c r="O93" i="30"/>
  <c r="N50" i="17"/>
  <c r="G86" i="17" s="1"/>
  <c r="W21" i="8"/>
  <c r="X21" i="8"/>
  <c r="AD21" i="8"/>
  <c r="Z21" i="8"/>
  <c r="V21" i="8"/>
  <c r="AF21" i="8" s="1"/>
  <c r="U30" i="34"/>
  <c r="AO6" i="30"/>
  <c r="B55" i="32"/>
  <c r="Q18" i="35"/>
  <c r="I18" i="35" s="1"/>
  <c r="B56" i="32"/>
  <c r="Q19" i="35"/>
  <c r="I19" i="35" s="1"/>
  <c r="Q21" i="35"/>
  <c r="I21" i="35" s="1"/>
  <c r="B58" i="32"/>
  <c r="P30" i="34"/>
  <c r="AJ6" i="30"/>
  <c r="Q20" i="35"/>
  <c r="I20" i="35" s="1"/>
  <c r="B57" i="32"/>
  <c r="B59" i="32"/>
  <c r="Q22" i="35"/>
  <c r="I22" i="35" s="1"/>
  <c r="Q23" i="35"/>
  <c r="I23" i="35" s="1"/>
  <c r="B60" i="32"/>
  <c r="O105" i="30"/>
  <c r="AN6" i="30"/>
  <c r="T30" i="34"/>
  <c r="AL6" i="30"/>
  <c r="R30" i="34"/>
  <c r="AM6" i="30"/>
  <c r="S30" i="34"/>
  <c r="Q30" i="34"/>
  <c r="AK6" i="30"/>
  <c r="N105" i="30"/>
  <c r="N99" i="30"/>
  <c r="E86" i="17"/>
  <c r="F86" i="17"/>
  <c r="N93" i="30"/>
  <c r="N111" i="30"/>
  <c r="Q11" i="35"/>
  <c r="I11" i="35" s="1"/>
  <c r="B48" i="32"/>
  <c r="O88" i="30"/>
  <c r="AI6" i="30"/>
  <c r="O30" i="34"/>
  <c r="C86" i="17"/>
  <c r="H86" i="17"/>
  <c r="U84" i="30"/>
  <c r="S85" i="30"/>
  <c r="Q13" i="35"/>
  <c r="I13" i="35" s="1"/>
  <c r="B50" i="32"/>
  <c r="B54" i="32"/>
  <c r="Q17" i="35"/>
  <c r="I17" i="35" s="1"/>
  <c r="N30" i="34"/>
  <c r="AH6" i="30"/>
  <c r="AB6" i="30"/>
  <c r="H30" i="34"/>
  <c r="D86" i="17"/>
  <c r="AB21" i="8"/>
  <c r="AI21" i="8" s="1"/>
  <c r="AV30" i="8" s="1"/>
  <c r="BG51" i="8" s="1"/>
  <c r="F4" i="35" s="1"/>
  <c r="B53" i="32"/>
  <c r="Q16" i="35"/>
  <c r="I16" i="35" s="1"/>
  <c r="AC21" i="8"/>
  <c r="Y21" i="8"/>
  <c r="B49" i="32"/>
  <c r="Q12" i="35"/>
  <c r="I12" i="35" s="1"/>
  <c r="Q10" i="35"/>
  <c r="I10" i="35" s="1"/>
  <c r="B47" i="32"/>
  <c r="Q14" i="35"/>
  <c r="I14" i="35" s="1"/>
  <c r="B51" i="32"/>
  <c r="AD6" i="30"/>
  <c r="J30" i="34"/>
  <c r="AA21" i="8"/>
  <c r="AH21" i="8" s="1"/>
  <c r="AV29" i="8" s="1"/>
  <c r="BF51" i="8" s="1"/>
  <c r="E4" i="35" s="1"/>
  <c r="AG6" i="30"/>
  <c r="M30" i="34"/>
  <c r="AF6" i="30"/>
  <c r="L30" i="34"/>
  <c r="B52" i="32"/>
  <c r="Q15" i="35"/>
  <c r="I15" i="35" s="1"/>
  <c r="N117" i="30"/>
  <c r="O117" i="30" s="1"/>
  <c r="I30" i="34"/>
  <c r="AC6" i="30"/>
  <c r="K30" i="34"/>
  <c r="AE6" i="30"/>
  <c r="N88" i="30"/>
  <c r="M105" i="30"/>
  <c r="AV42" i="29"/>
  <c r="AV29" i="34"/>
  <c r="AV39" i="29"/>
  <c r="AV26" i="34"/>
  <c r="BP39" i="8"/>
  <c r="AV25" i="29"/>
  <c r="AV41" i="29"/>
  <c r="AV28" i="34"/>
  <c r="M111" i="30"/>
  <c r="X6" i="30"/>
  <c r="D30" i="34"/>
  <c r="Z6" i="30"/>
  <c r="F30" i="34"/>
  <c r="Q41" i="29"/>
  <c r="Q41" i="34" s="1"/>
  <c r="Q28" i="34"/>
  <c r="J42" i="29"/>
  <c r="J42" i="34" s="1"/>
  <c r="J29" i="34"/>
  <c r="B42" i="32"/>
  <c r="Q5" i="35"/>
  <c r="I5" i="35" s="1"/>
  <c r="Y6" i="30"/>
  <c r="E30" i="34"/>
  <c r="B45" i="32"/>
  <c r="Q8" i="35"/>
  <c r="I8" i="35" s="1"/>
  <c r="AA6" i="30"/>
  <c r="G30" i="34"/>
  <c r="AX30" i="29"/>
  <c r="AD52" i="29" s="1"/>
  <c r="BD39" i="8"/>
  <c r="J38" i="29"/>
  <c r="J38" i="34" s="1"/>
  <c r="J25" i="34"/>
  <c r="W6" i="30"/>
  <c r="C30" i="34"/>
  <c r="Q40" i="29"/>
  <c r="Q40" i="34" s="1"/>
  <c r="Q27" i="34"/>
  <c r="B46" i="32"/>
  <c r="Q9" i="35"/>
  <c r="I9" i="35" s="1"/>
  <c r="AV40" i="29"/>
  <c r="AV27" i="34"/>
  <c r="B44" i="32"/>
  <c r="Q7" i="35"/>
  <c r="I7" i="35" s="1"/>
  <c r="Q39" i="29"/>
  <c r="Q39" i="34" s="1"/>
  <c r="Q26" i="34"/>
  <c r="AG76" i="30"/>
  <c r="P77" i="30" s="1"/>
  <c r="P78" i="30" s="1"/>
  <c r="E45" i="29" s="1"/>
  <c r="E45" i="34" s="1"/>
  <c r="M99" i="30"/>
  <c r="J39" i="29"/>
  <c r="J39" i="34" s="1"/>
  <c r="J26" i="34"/>
  <c r="Q42" i="29"/>
  <c r="Q42" i="34" s="1"/>
  <c r="Q29" i="34"/>
  <c r="AS7" i="30"/>
  <c r="V11" i="30" s="1"/>
  <c r="B43" i="32"/>
  <c r="Q6" i="35"/>
  <c r="I6" i="35" s="1"/>
  <c r="Q25" i="29"/>
  <c r="Q25" i="34" s="1"/>
  <c r="BK39" i="8"/>
  <c r="J40" i="29"/>
  <c r="J40" i="34" s="1"/>
  <c r="M82" i="30"/>
  <c r="C29" i="27"/>
  <c r="C28" i="27"/>
  <c r="T20" i="27"/>
  <c r="T19" i="27"/>
  <c r="T18" i="27"/>
  <c r="T17" i="27"/>
  <c r="T16" i="27"/>
  <c r="T15" i="27"/>
  <c r="T14" i="27"/>
  <c r="T13" i="27"/>
  <c r="T12" i="27"/>
  <c r="T11" i="27"/>
  <c r="T10" i="27"/>
  <c r="T9" i="27"/>
  <c r="T8" i="27"/>
  <c r="T7" i="27"/>
  <c r="T6" i="27"/>
  <c r="T5" i="27"/>
  <c r="T4" i="27"/>
  <c r="T3" i="27"/>
  <c r="AJ21" i="8" l="1"/>
  <c r="AV31" i="8" s="1"/>
  <c r="BH51" i="8" s="1"/>
  <c r="G4" i="35" s="1"/>
  <c r="N82" i="30"/>
  <c r="AG21" i="8"/>
  <c r="AV28" i="8" s="1"/>
  <c r="BE51" i="8" s="1"/>
  <c r="D4" i="35" s="1"/>
  <c r="P93" i="30"/>
  <c r="M94" i="30" s="1"/>
  <c r="W84" i="32"/>
  <c r="J84" i="32"/>
  <c r="M84" i="32"/>
  <c r="X84" i="32"/>
  <c r="I84" i="32"/>
  <c r="L84" i="32"/>
  <c r="Y84" i="32"/>
  <c r="O84" i="32"/>
  <c r="H84" i="32"/>
  <c r="Z84" i="32"/>
  <c r="U84" i="32"/>
  <c r="Q84" i="32"/>
  <c r="T84" i="32"/>
  <c r="P84" i="32"/>
  <c r="K84" i="32"/>
  <c r="G84" i="32"/>
  <c r="R84" i="32"/>
  <c r="S84" i="32"/>
  <c r="N84" i="32"/>
  <c r="V84" i="32"/>
  <c r="U82" i="32"/>
  <c r="I82" i="32"/>
  <c r="K82" i="32"/>
  <c r="W82" i="32"/>
  <c r="H82" i="32"/>
  <c r="M82" i="32"/>
  <c r="N82" i="32"/>
  <c r="Q82" i="32"/>
  <c r="S82" i="32"/>
  <c r="R82" i="32"/>
  <c r="P82" i="32"/>
  <c r="L82" i="32"/>
  <c r="V82" i="32"/>
  <c r="Y82" i="32"/>
  <c r="T82" i="32"/>
  <c r="O82" i="32"/>
  <c r="J82" i="32"/>
  <c r="Z82" i="32"/>
  <c r="G82" i="32"/>
  <c r="X82" i="32"/>
  <c r="R83" i="32"/>
  <c r="N83" i="32"/>
  <c r="X83" i="32"/>
  <c r="H83" i="32"/>
  <c r="P83" i="32"/>
  <c r="Z83" i="32"/>
  <c r="V83" i="32"/>
  <c r="G83" i="32"/>
  <c r="L83" i="32"/>
  <c r="T83" i="32"/>
  <c r="K83" i="32"/>
  <c r="I83" i="32"/>
  <c r="Y83" i="32"/>
  <c r="U83" i="32"/>
  <c r="S83" i="32"/>
  <c r="O83" i="32"/>
  <c r="W83" i="32"/>
  <c r="Q83" i="32"/>
  <c r="M83" i="32"/>
  <c r="J83" i="32"/>
  <c r="U80" i="32"/>
  <c r="X80" i="32"/>
  <c r="S80" i="32"/>
  <c r="Q80" i="32"/>
  <c r="L80" i="32"/>
  <c r="Y80" i="32"/>
  <c r="H80" i="32"/>
  <c r="P80" i="32"/>
  <c r="N80" i="32"/>
  <c r="J80" i="32"/>
  <c r="R80" i="32"/>
  <c r="M80" i="32"/>
  <c r="V80" i="32"/>
  <c r="Z80" i="32"/>
  <c r="K80" i="32"/>
  <c r="G80" i="32"/>
  <c r="I80" i="32"/>
  <c r="O80" i="32"/>
  <c r="W80" i="32"/>
  <c r="T80" i="32"/>
  <c r="Y81" i="32"/>
  <c r="G81" i="32"/>
  <c r="K81" i="32"/>
  <c r="S81" i="32"/>
  <c r="I81" i="32"/>
  <c r="T81" i="32"/>
  <c r="J81" i="32"/>
  <c r="O81" i="32"/>
  <c r="H81" i="32"/>
  <c r="P81" i="32"/>
  <c r="Q81" i="32"/>
  <c r="R81" i="32"/>
  <c r="M81" i="32"/>
  <c r="U81" i="32"/>
  <c r="V81" i="32"/>
  <c r="W81" i="32"/>
  <c r="Z81" i="32"/>
  <c r="N81" i="32"/>
  <c r="X81" i="32"/>
  <c r="L81" i="32"/>
  <c r="P79" i="32"/>
  <c r="Z79" i="32"/>
  <c r="W79" i="32"/>
  <c r="R79" i="32"/>
  <c r="X79" i="32"/>
  <c r="U79" i="32"/>
  <c r="O79" i="32"/>
  <c r="M79" i="32"/>
  <c r="G79" i="32"/>
  <c r="K79" i="32"/>
  <c r="Q79" i="32"/>
  <c r="Y79" i="32"/>
  <c r="J79" i="32"/>
  <c r="H79" i="32"/>
  <c r="N79" i="32"/>
  <c r="I79" i="32"/>
  <c r="S79" i="32"/>
  <c r="V79" i="32"/>
  <c r="L79" i="32"/>
  <c r="T79" i="32"/>
  <c r="O111" i="30"/>
  <c r="N112" i="30" s="1"/>
  <c r="Y33" i="8" s="1"/>
  <c r="P105" i="30"/>
  <c r="O106" i="30" s="1"/>
  <c r="X40" i="8" s="1"/>
  <c r="M112" i="30"/>
  <c r="AA25" i="8" s="1"/>
  <c r="N94" i="30"/>
  <c r="AB30" i="8" s="1"/>
  <c r="AI30" i="8" s="1"/>
  <c r="BE30" i="8" s="1"/>
  <c r="AD33" i="8"/>
  <c r="V33" i="8"/>
  <c r="M118" i="30"/>
  <c r="N118" i="30"/>
  <c r="W34" i="8" s="1"/>
  <c r="Q73" i="32"/>
  <c r="T73" i="32"/>
  <c r="Y73" i="32"/>
  <c r="G73" i="32"/>
  <c r="J73" i="32"/>
  <c r="M73" i="32"/>
  <c r="R73" i="32"/>
  <c r="U73" i="32"/>
  <c r="H73" i="32"/>
  <c r="Z73" i="32"/>
  <c r="O73" i="32"/>
  <c r="W73" i="32"/>
  <c r="P73" i="32"/>
  <c r="K73" i="32"/>
  <c r="N73" i="32"/>
  <c r="I73" i="32"/>
  <c r="X73" i="32"/>
  <c r="S73" i="32"/>
  <c r="V73" i="32"/>
  <c r="L73" i="32"/>
  <c r="X76" i="32"/>
  <c r="S76" i="32"/>
  <c r="L76" i="32"/>
  <c r="I76" i="32"/>
  <c r="Q76" i="32"/>
  <c r="T76" i="32"/>
  <c r="V76" i="32"/>
  <c r="Y76" i="32"/>
  <c r="O76" i="32"/>
  <c r="J76" i="32"/>
  <c r="M76" i="32"/>
  <c r="K76" i="32"/>
  <c r="W76" i="32"/>
  <c r="R76" i="32"/>
  <c r="U76" i="32"/>
  <c r="P76" i="32"/>
  <c r="H76" i="32"/>
  <c r="Z76" i="32"/>
  <c r="N76" i="32"/>
  <c r="G76" i="32"/>
  <c r="AC28" i="8"/>
  <c r="W28" i="8"/>
  <c r="Y28" i="8"/>
  <c r="AD28" i="8"/>
  <c r="X28" i="8"/>
  <c r="V28" i="8"/>
  <c r="AA28" i="8"/>
  <c r="O50" i="17"/>
  <c r="Z28" i="8"/>
  <c r="AB28" i="8"/>
  <c r="AI28" i="8" s="1"/>
  <c r="BC30" i="8" s="1"/>
  <c r="P88" i="30"/>
  <c r="S75" i="32"/>
  <c r="O75" i="32"/>
  <c r="W75" i="32"/>
  <c r="L75" i="32"/>
  <c r="T75" i="32"/>
  <c r="Y75" i="32"/>
  <c r="M75" i="32"/>
  <c r="H75" i="32"/>
  <c r="J75" i="32"/>
  <c r="U75" i="32"/>
  <c r="P75" i="32"/>
  <c r="K75" i="32"/>
  <c r="I75" i="32"/>
  <c r="Q75" i="32"/>
  <c r="R75" i="32"/>
  <c r="N75" i="32"/>
  <c r="X75" i="32"/>
  <c r="Z75" i="32"/>
  <c r="V75" i="32"/>
  <c r="G75" i="32"/>
  <c r="L77" i="32"/>
  <c r="W77" i="32"/>
  <c r="J77" i="32"/>
  <c r="R77" i="32"/>
  <c r="T77" i="32"/>
  <c r="H77" i="32"/>
  <c r="G77" i="32"/>
  <c r="P77" i="32"/>
  <c r="Z77" i="32"/>
  <c r="K77" i="32"/>
  <c r="M77" i="32"/>
  <c r="X77" i="32"/>
  <c r="U77" i="32"/>
  <c r="I77" i="32"/>
  <c r="S77" i="32"/>
  <c r="N77" i="32"/>
  <c r="Q77" i="32"/>
  <c r="V77" i="32"/>
  <c r="Y77" i="32"/>
  <c r="O77" i="32"/>
  <c r="R78" i="32"/>
  <c r="U78" i="32"/>
  <c r="H78" i="32"/>
  <c r="Z78" i="32"/>
  <c r="G78" i="32"/>
  <c r="N78" i="32"/>
  <c r="V78" i="32"/>
  <c r="K78" i="32"/>
  <c r="I78" i="32"/>
  <c r="S78" i="32"/>
  <c r="X78" i="32"/>
  <c r="M78" i="32"/>
  <c r="Q78" i="32"/>
  <c r="L78" i="32"/>
  <c r="O78" i="32"/>
  <c r="P78" i="32"/>
  <c r="Y78" i="32"/>
  <c r="T78" i="32"/>
  <c r="W78" i="32"/>
  <c r="J78" i="32"/>
  <c r="H71" i="32"/>
  <c r="R71" i="32"/>
  <c r="Z71" i="32"/>
  <c r="P71" i="32"/>
  <c r="X71" i="32"/>
  <c r="K71" i="32"/>
  <c r="G71" i="32"/>
  <c r="S71" i="32"/>
  <c r="N71" i="32"/>
  <c r="I71" i="32"/>
  <c r="L71" i="32"/>
  <c r="W71" i="32"/>
  <c r="V71" i="32"/>
  <c r="Q71" i="32"/>
  <c r="T71" i="32"/>
  <c r="U71" i="32"/>
  <c r="O71" i="32"/>
  <c r="Y71" i="32"/>
  <c r="M71" i="32"/>
  <c r="J71" i="32"/>
  <c r="M74" i="32"/>
  <c r="X74" i="32"/>
  <c r="L74" i="32"/>
  <c r="U74" i="32"/>
  <c r="K74" i="32"/>
  <c r="I74" i="32"/>
  <c r="N74" i="32"/>
  <c r="Q74" i="32"/>
  <c r="S74" i="32"/>
  <c r="Y74" i="32"/>
  <c r="V74" i="32"/>
  <c r="T74" i="32"/>
  <c r="O74" i="32"/>
  <c r="J74" i="32"/>
  <c r="W74" i="32"/>
  <c r="R74" i="32"/>
  <c r="G74" i="32"/>
  <c r="H74" i="32"/>
  <c r="Z74" i="32"/>
  <c r="P74" i="32"/>
  <c r="AA37" i="8"/>
  <c r="AB37" i="8"/>
  <c r="AI37" i="8" s="1"/>
  <c r="BL30" i="8" s="1"/>
  <c r="AC37" i="8"/>
  <c r="P50" i="17"/>
  <c r="AD37" i="8"/>
  <c r="X37" i="8"/>
  <c r="V37" i="8"/>
  <c r="Y37" i="8"/>
  <c r="Z37" i="8"/>
  <c r="W37" i="8"/>
  <c r="K72" i="32"/>
  <c r="V72" i="32"/>
  <c r="Q72" i="32"/>
  <c r="S72" i="32"/>
  <c r="O72" i="32"/>
  <c r="Y72" i="32"/>
  <c r="L72" i="32"/>
  <c r="W72" i="32"/>
  <c r="R72" i="32"/>
  <c r="T72" i="32"/>
  <c r="H72" i="32"/>
  <c r="Z72" i="32"/>
  <c r="M72" i="32"/>
  <c r="P72" i="32"/>
  <c r="N72" i="32"/>
  <c r="U72" i="32"/>
  <c r="X72" i="32"/>
  <c r="G72" i="32"/>
  <c r="J72" i="32"/>
  <c r="I72" i="32"/>
  <c r="U85" i="30"/>
  <c r="T86" i="30" s="1"/>
  <c r="AV36" i="8"/>
  <c r="B27" i="29" s="1"/>
  <c r="B27" i="34" s="1"/>
  <c r="O118" i="30"/>
  <c r="AC33" i="8"/>
  <c r="AB33" i="8"/>
  <c r="AI33" i="8" s="1"/>
  <c r="BH30" i="8" s="1"/>
  <c r="BG63" i="8" s="1"/>
  <c r="F16" i="35" s="1"/>
  <c r="AV38" i="8"/>
  <c r="B29" i="29" s="1"/>
  <c r="B29" i="34" s="1"/>
  <c r="P53" i="17"/>
  <c r="M66" i="32"/>
  <c r="U66" i="32"/>
  <c r="N66" i="32"/>
  <c r="V66" i="32"/>
  <c r="O66" i="32"/>
  <c r="W66" i="32"/>
  <c r="H66" i="32"/>
  <c r="P66" i="32"/>
  <c r="X66" i="32"/>
  <c r="I66" i="32"/>
  <c r="Q66" i="32"/>
  <c r="Y66" i="32"/>
  <c r="L66" i="32"/>
  <c r="J66" i="32"/>
  <c r="R66" i="32"/>
  <c r="Z66" i="32"/>
  <c r="G66" i="32"/>
  <c r="K66" i="32"/>
  <c r="S66" i="32"/>
  <c r="T66" i="32"/>
  <c r="C42" i="32" a="1"/>
  <c r="C41" i="32" a="1"/>
  <c r="C41" i="32" s="1"/>
  <c r="C45" i="32" a="1"/>
  <c r="C45" i="32" s="1"/>
  <c r="C46" i="32" a="1"/>
  <c r="C46" i="32" s="1"/>
  <c r="Y77" i="30"/>
  <c r="Y78" i="30" s="1"/>
  <c r="N45" i="29" s="1"/>
  <c r="N45" i="34" s="1"/>
  <c r="M77" i="30"/>
  <c r="S77" i="30"/>
  <c r="S78" i="30" s="1"/>
  <c r="H45" i="29" s="1"/>
  <c r="H45" i="34" s="1"/>
  <c r="AA77" i="30"/>
  <c r="AA78" i="30" s="1"/>
  <c r="P45" i="29" s="1"/>
  <c r="P45" i="34" s="1"/>
  <c r="U77" i="30"/>
  <c r="U78" i="30" s="1"/>
  <c r="J45" i="29" s="1"/>
  <c r="J45" i="34" s="1"/>
  <c r="AC77" i="30"/>
  <c r="AC78" i="30" s="1"/>
  <c r="R45" i="29" s="1"/>
  <c r="R45" i="34" s="1"/>
  <c r="V77" i="30"/>
  <c r="V78" i="30" s="1"/>
  <c r="K45" i="29" s="1"/>
  <c r="K45" i="34" s="1"/>
  <c r="AD77" i="30"/>
  <c r="AD78" i="30" s="1"/>
  <c r="S45" i="29" s="1"/>
  <c r="S45" i="34" s="1"/>
  <c r="W77" i="30"/>
  <c r="W78" i="30" s="1"/>
  <c r="L45" i="29" s="1"/>
  <c r="L45" i="34" s="1"/>
  <c r="AE77" i="30"/>
  <c r="AE78" i="30" s="1"/>
  <c r="T45" i="29" s="1"/>
  <c r="T45" i="34" s="1"/>
  <c r="AB77" i="30"/>
  <c r="AB78" i="30" s="1"/>
  <c r="Q45" i="29" s="1"/>
  <c r="Q45" i="34" s="1"/>
  <c r="AF77" i="30"/>
  <c r="AF78" i="30" s="1"/>
  <c r="U45" i="29" s="1"/>
  <c r="U45" i="34" s="1"/>
  <c r="T77" i="30"/>
  <c r="T78" i="30" s="1"/>
  <c r="I45" i="29" s="1"/>
  <c r="I45" i="34" s="1"/>
  <c r="Z77" i="30"/>
  <c r="Z78" i="30" s="1"/>
  <c r="O45" i="29" s="1"/>
  <c r="O45" i="34" s="1"/>
  <c r="X77" i="30"/>
  <c r="X78" i="30" s="1"/>
  <c r="M45" i="29" s="1"/>
  <c r="M45" i="34" s="1"/>
  <c r="O77" i="30"/>
  <c r="O78" i="30" s="1"/>
  <c r="D45" i="29" s="1"/>
  <c r="D45" i="34" s="1"/>
  <c r="N77" i="30"/>
  <c r="N78" i="30" s="1"/>
  <c r="C45" i="29" s="1"/>
  <c r="C45" i="34" s="1"/>
  <c r="AS6" i="30"/>
  <c r="V10" i="30" s="1"/>
  <c r="L69" i="32"/>
  <c r="T69" i="32"/>
  <c r="G69" i="32"/>
  <c r="M69" i="32"/>
  <c r="U69" i="32"/>
  <c r="N69" i="32"/>
  <c r="V69" i="32"/>
  <c r="O69" i="32"/>
  <c r="W69" i="32"/>
  <c r="H69" i="32"/>
  <c r="P69" i="32"/>
  <c r="X69" i="32"/>
  <c r="I69" i="32"/>
  <c r="Q69" i="32"/>
  <c r="Y69" i="32"/>
  <c r="J69" i="32"/>
  <c r="R69" i="32"/>
  <c r="Z69" i="32"/>
  <c r="K69" i="32"/>
  <c r="S69" i="32"/>
  <c r="AV25" i="34"/>
  <c r="AV38" i="29"/>
  <c r="P99" i="30"/>
  <c r="M100" i="30" s="1"/>
  <c r="R77" i="30"/>
  <c r="R78" i="30" s="1"/>
  <c r="G45" i="29" s="1"/>
  <c r="G45" i="34" s="1"/>
  <c r="J67" i="32"/>
  <c r="R67" i="32"/>
  <c r="Z67" i="32"/>
  <c r="K67" i="32"/>
  <c r="S67" i="32"/>
  <c r="L67" i="32"/>
  <c r="T67" i="32"/>
  <c r="M67" i="32"/>
  <c r="U67" i="32"/>
  <c r="N67" i="32"/>
  <c r="V67" i="32"/>
  <c r="O67" i="32"/>
  <c r="W67" i="32"/>
  <c r="I67" i="32"/>
  <c r="Y67" i="32"/>
  <c r="H67" i="32"/>
  <c r="P67" i="32"/>
  <c r="X67" i="32"/>
  <c r="G67" i="32"/>
  <c r="Q67" i="32"/>
  <c r="I70" i="32"/>
  <c r="Q70" i="32"/>
  <c r="Y70" i="32"/>
  <c r="G70" i="32"/>
  <c r="J70" i="32"/>
  <c r="R70" i="32"/>
  <c r="Z70" i="32"/>
  <c r="K70" i="32"/>
  <c r="S70" i="32"/>
  <c r="L70" i="32"/>
  <c r="T70" i="32"/>
  <c r="M70" i="32"/>
  <c r="U70" i="32"/>
  <c r="N70" i="32"/>
  <c r="V70" i="32"/>
  <c r="H70" i="32"/>
  <c r="X70" i="32"/>
  <c r="O70" i="32"/>
  <c r="W70" i="32"/>
  <c r="P70" i="32"/>
  <c r="Q77" i="30"/>
  <c r="Q78" i="30" s="1"/>
  <c r="F45" i="29" s="1"/>
  <c r="F45" i="34" s="1"/>
  <c r="O68" i="32"/>
  <c r="W68" i="32"/>
  <c r="H68" i="32"/>
  <c r="P68" i="32"/>
  <c r="X68" i="32"/>
  <c r="I68" i="32"/>
  <c r="Q68" i="32"/>
  <c r="Y68" i="32"/>
  <c r="J68" i="32"/>
  <c r="R68" i="32"/>
  <c r="Z68" i="32"/>
  <c r="K68" i="32"/>
  <c r="S68" i="32"/>
  <c r="L68" i="32"/>
  <c r="T68" i="32"/>
  <c r="V68" i="32"/>
  <c r="M68" i="32"/>
  <c r="U68" i="32"/>
  <c r="N68" i="32"/>
  <c r="G68" i="32"/>
  <c r="N54" i="17"/>
  <c r="Y25" i="8"/>
  <c r="Z25" i="8"/>
  <c r="AC25" i="8"/>
  <c r="O112" i="30"/>
  <c r="X25" i="8"/>
  <c r="Y30" i="8"/>
  <c r="X30" i="8"/>
  <c r="AV37" i="8"/>
  <c r="Q38" i="29"/>
  <c r="AV27" i="8"/>
  <c r="BD51" i="8" s="1"/>
  <c r="C4" i="35" s="1"/>
  <c r="P82" i="30"/>
  <c r="C36" i="14"/>
  <c r="D36" i="14"/>
  <c r="E36" i="14"/>
  <c r="F36" i="14"/>
  <c r="I36" i="14"/>
  <c r="L36" i="14"/>
  <c r="C37" i="14"/>
  <c r="D37" i="14"/>
  <c r="E37" i="14"/>
  <c r="F37" i="14"/>
  <c r="I37" i="14"/>
  <c r="L37" i="14"/>
  <c r="C38" i="14"/>
  <c r="D38" i="14"/>
  <c r="E38" i="14"/>
  <c r="F38" i="14"/>
  <c r="I38" i="14"/>
  <c r="L38" i="14"/>
  <c r="L39" i="14"/>
  <c r="L40" i="14"/>
  <c r="C41" i="14"/>
  <c r="D41" i="14"/>
  <c r="E41" i="14"/>
  <c r="F41" i="14"/>
  <c r="I41" i="14"/>
  <c r="L41" i="14"/>
  <c r="L42" i="14"/>
  <c r="L43" i="14"/>
  <c r="C44" i="14"/>
  <c r="D44" i="14"/>
  <c r="E44" i="14"/>
  <c r="F44" i="14"/>
  <c r="I44" i="14"/>
  <c r="L44" i="14"/>
  <c r="L35" i="14"/>
  <c r="I35" i="14"/>
  <c r="F35" i="14"/>
  <c r="E35" i="14"/>
  <c r="D35" i="14"/>
  <c r="C35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Z5" i="14"/>
  <c r="Z4" i="14"/>
  <c r="Z3" i="14"/>
  <c r="Z2" i="14"/>
  <c r="AV35" i="8" l="1"/>
  <c r="B26" i="29" s="1"/>
  <c r="B26" i="34" s="1"/>
  <c r="N106" i="30"/>
  <c r="V32" i="8" s="1"/>
  <c r="V30" i="8"/>
  <c r="AC30" i="8"/>
  <c r="AA30" i="8"/>
  <c r="W30" i="8"/>
  <c r="Z30" i="8"/>
  <c r="AJ33" i="8"/>
  <c r="BH31" i="8" s="1"/>
  <c r="BH38" i="8" s="1"/>
  <c r="N29" i="29" s="1"/>
  <c r="AH28" i="8"/>
  <c r="BC29" i="8" s="1"/>
  <c r="BF58" i="8" s="1"/>
  <c r="E11" i="35" s="1"/>
  <c r="O94" i="30"/>
  <c r="O51" i="17"/>
  <c r="J87" i="17" s="1"/>
  <c r="AB40" i="8"/>
  <c r="AI40" i="8" s="1"/>
  <c r="BO30" i="8" s="1"/>
  <c r="V40" i="8"/>
  <c r="AF40" i="8" s="1"/>
  <c r="BO27" i="8" s="1"/>
  <c r="BD70" i="8" s="1"/>
  <c r="C23" i="35" s="1"/>
  <c r="AD30" i="8"/>
  <c r="W40" i="8"/>
  <c r="Y40" i="8"/>
  <c r="AG40" i="8" s="1"/>
  <c r="BO28" i="8" s="1"/>
  <c r="BO35" i="8" s="1"/>
  <c r="U26" i="29" s="1"/>
  <c r="U39" i="29" s="1"/>
  <c r="U39" i="34" s="1"/>
  <c r="AJ37" i="8"/>
  <c r="BL31" i="8" s="1"/>
  <c r="BL38" i="8" s="1"/>
  <c r="R29" i="29" s="1"/>
  <c r="R42" i="29" s="1"/>
  <c r="R42" i="34" s="1"/>
  <c r="AC40" i="8"/>
  <c r="Z40" i="8"/>
  <c r="O54" i="17"/>
  <c r="AA40" i="8"/>
  <c r="M106" i="30"/>
  <c r="Y24" i="8" s="1"/>
  <c r="X33" i="8"/>
  <c r="AG33" i="8" s="1"/>
  <c r="BH28" i="8" s="1"/>
  <c r="AD40" i="8"/>
  <c r="X34" i="8"/>
  <c r="V25" i="8"/>
  <c r="AA33" i="8"/>
  <c r="W33" i="8"/>
  <c r="AF33" i="8" s="1"/>
  <c r="BH27" i="8" s="1"/>
  <c r="Z33" i="8"/>
  <c r="W25" i="8"/>
  <c r="AD25" i="8"/>
  <c r="AJ25" i="8" s="1"/>
  <c r="AZ31" i="8" s="1"/>
  <c r="AB25" i="8"/>
  <c r="AI25" i="8" s="1"/>
  <c r="AZ30" i="8" s="1"/>
  <c r="BG55" i="8" s="1"/>
  <c r="F8" i="35" s="1"/>
  <c r="AG37" i="8"/>
  <c r="BL28" i="8" s="1"/>
  <c r="BE67" i="8" s="1"/>
  <c r="D20" i="35" s="1"/>
  <c r="AG28" i="8"/>
  <c r="BC28" i="8" s="1"/>
  <c r="BE58" i="8" s="1"/>
  <c r="D11" i="35" s="1"/>
  <c r="AJ28" i="8"/>
  <c r="BC31" i="8" s="1"/>
  <c r="Z22" i="8"/>
  <c r="AA22" i="8"/>
  <c r="AC22" i="8"/>
  <c r="W22" i="8"/>
  <c r="Y22" i="8"/>
  <c r="AB22" i="8"/>
  <c r="AI22" i="8" s="1"/>
  <c r="AW30" i="8" s="1"/>
  <c r="BG52" i="8" s="1"/>
  <c r="F5" i="35" s="1"/>
  <c r="N51" i="17"/>
  <c r="X22" i="8"/>
  <c r="AD22" i="8"/>
  <c r="V22" i="8"/>
  <c r="O55" i="17"/>
  <c r="O91" i="17" s="1"/>
  <c r="Y34" i="8"/>
  <c r="C102" i="17"/>
  <c r="H102" i="17"/>
  <c r="N102" i="17"/>
  <c r="V102" i="17" s="1"/>
  <c r="L102" i="17"/>
  <c r="T102" i="17" s="1"/>
  <c r="G102" i="17"/>
  <c r="M102" i="17"/>
  <c r="U102" i="17" s="1"/>
  <c r="D102" i="17"/>
  <c r="P102" i="17"/>
  <c r="E102" i="17"/>
  <c r="J102" i="17"/>
  <c r="S102" i="17" s="1"/>
  <c r="O102" i="17"/>
  <c r="F102" i="17"/>
  <c r="BG58" i="8"/>
  <c r="F11" i="35" s="1"/>
  <c r="BC37" i="8"/>
  <c r="I28" i="29" s="1"/>
  <c r="BL37" i="8"/>
  <c r="R28" i="29" s="1"/>
  <c r="BG67" i="8"/>
  <c r="F20" i="35" s="1"/>
  <c r="Z34" i="8"/>
  <c r="AH37" i="8"/>
  <c r="BL29" i="8" s="1"/>
  <c r="N86" i="17"/>
  <c r="V86" i="17" s="1"/>
  <c r="J93" i="17"/>
  <c r="S93" i="17" s="1"/>
  <c r="M93" i="17"/>
  <c r="U93" i="17" s="1"/>
  <c r="K93" i="17"/>
  <c r="N93" i="17"/>
  <c r="V93" i="17" s="1"/>
  <c r="E93" i="17"/>
  <c r="C93" i="17"/>
  <c r="D93" i="17"/>
  <c r="J86" i="17"/>
  <c r="S86" i="17" s="1"/>
  <c r="O86" i="17"/>
  <c r="L86" i="17"/>
  <c r="T86" i="17" s="1"/>
  <c r="P93" i="17"/>
  <c r="P86" i="17"/>
  <c r="F93" i="17"/>
  <c r="M86" i="17"/>
  <c r="U86" i="17" s="1"/>
  <c r="H93" i="17"/>
  <c r="L93" i="17"/>
  <c r="T93" i="17" s="1"/>
  <c r="G93" i="17"/>
  <c r="O93" i="17"/>
  <c r="AD34" i="8"/>
  <c r="S86" i="30"/>
  <c r="Y35" i="8"/>
  <c r="V35" i="8"/>
  <c r="Z35" i="8"/>
  <c r="AA35" i="8"/>
  <c r="X35" i="8"/>
  <c r="AC35" i="8"/>
  <c r="AD35" i="8"/>
  <c r="W35" i="8"/>
  <c r="AB35" i="8"/>
  <c r="AI35" i="8" s="1"/>
  <c r="BJ30" i="8" s="1"/>
  <c r="AF37" i="8"/>
  <c r="BL27" i="8" s="1"/>
  <c r="AF28" i="8"/>
  <c r="BC27" i="8" s="1"/>
  <c r="AC34" i="8"/>
  <c r="AB34" i="8"/>
  <c r="AI34" i="8" s="1"/>
  <c r="BI30" i="8" s="1"/>
  <c r="V34" i="8"/>
  <c r="AF34" i="8" s="1"/>
  <c r="BI27" i="8" s="1"/>
  <c r="AA34" i="8"/>
  <c r="Z26" i="8"/>
  <c r="AA26" i="8"/>
  <c r="Y26" i="8"/>
  <c r="AB26" i="8"/>
  <c r="AI26" i="8" s="1"/>
  <c r="BA30" i="8" s="1"/>
  <c r="AC26" i="8"/>
  <c r="N55" i="17"/>
  <c r="W26" i="8"/>
  <c r="X26" i="8"/>
  <c r="AD26" i="8"/>
  <c r="V26" i="8"/>
  <c r="AG25" i="8"/>
  <c r="AZ28" i="8" s="1"/>
  <c r="BE55" i="8" s="1"/>
  <c r="D8" i="35" s="1"/>
  <c r="BH37" i="8"/>
  <c r="N28" i="29" s="1"/>
  <c r="N41" i="29" s="1"/>
  <c r="N41" i="34" s="1"/>
  <c r="W24" i="8"/>
  <c r="V24" i="8"/>
  <c r="X24" i="8"/>
  <c r="AC24" i="8"/>
  <c r="AA24" i="8"/>
  <c r="P106" i="30"/>
  <c r="AD32" i="8"/>
  <c r="X32" i="8"/>
  <c r="W32" i="8"/>
  <c r="BG70" i="8"/>
  <c r="F23" i="35" s="1"/>
  <c r="BO37" i="8"/>
  <c r="U28" i="29" s="1"/>
  <c r="H89" i="32"/>
  <c r="D42" i="32" s="1"/>
  <c r="AF3" i="29" s="1"/>
  <c r="AF3" i="34" s="1"/>
  <c r="J105" i="17"/>
  <c r="S105" i="17" s="1"/>
  <c r="L105" i="17"/>
  <c r="T105" i="17" s="1"/>
  <c r="H105" i="17"/>
  <c r="G105" i="17"/>
  <c r="C105" i="17"/>
  <c r="F105" i="17"/>
  <c r="O105" i="17"/>
  <c r="N105" i="17"/>
  <c r="V105" i="17" s="1"/>
  <c r="P105" i="17"/>
  <c r="D105" i="17"/>
  <c r="M105" i="17"/>
  <c r="U105" i="17" s="1"/>
  <c r="E105" i="17"/>
  <c r="C43" i="32"/>
  <c r="C44" i="32"/>
  <c r="C42" i="32"/>
  <c r="L89" i="32"/>
  <c r="D46" i="32" s="1"/>
  <c r="AF7" i="29" s="1"/>
  <c r="AF7" i="34" s="1"/>
  <c r="AG77" i="30"/>
  <c r="M78" i="30"/>
  <c r="O89" i="32"/>
  <c r="D49" i="32" s="1"/>
  <c r="AF10" i="29" s="1"/>
  <c r="AF10" i="34" s="1"/>
  <c r="R109" i="17"/>
  <c r="R111" i="17" s="1"/>
  <c r="R115" i="17" s="1"/>
  <c r="Q4" i="29" s="1"/>
  <c r="Q4" i="34" s="1"/>
  <c r="Q38" i="34"/>
  <c r="T89" i="32"/>
  <c r="D54" i="32" s="1"/>
  <c r="AF15" i="29" s="1"/>
  <c r="AF15" i="34" s="1"/>
  <c r="Y89" i="32"/>
  <c r="D59" i="32" s="1"/>
  <c r="AF20" i="29" s="1"/>
  <c r="AF20" i="34" s="1"/>
  <c r="V89" i="32"/>
  <c r="D56" i="32" s="1"/>
  <c r="AF17" i="29" s="1"/>
  <c r="AF17" i="34" s="1"/>
  <c r="W23" i="8"/>
  <c r="V23" i="8"/>
  <c r="AC23" i="8"/>
  <c r="N52" i="17"/>
  <c r="X23" i="8"/>
  <c r="AA23" i="8"/>
  <c r="Y23" i="8"/>
  <c r="AB23" i="8"/>
  <c r="AI23" i="8" s="1"/>
  <c r="AX30" i="8" s="1"/>
  <c r="Z23" i="8"/>
  <c r="AD23" i="8"/>
  <c r="S89" i="32"/>
  <c r="D53" i="32" s="1"/>
  <c r="AF14" i="29" s="1"/>
  <c r="AF14" i="34" s="1"/>
  <c r="Q89" i="32"/>
  <c r="D51" i="32" s="1"/>
  <c r="AF12" i="29" s="1"/>
  <c r="AF12" i="34" s="1"/>
  <c r="N89" i="32"/>
  <c r="D48" i="32" s="1"/>
  <c r="AF9" i="29" s="1"/>
  <c r="AF9" i="34" s="1"/>
  <c r="O100" i="30"/>
  <c r="N100" i="30"/>
  <c r="K89" i="32"/>
  <c r="D45" i="32" s="1"/>
  <c r="AF6" i="29" s="1"/>
  <c r="AF6" i="34" s="1"/>
  <c r="I89" i="32"/>
  <c r="D43" i="32" s="1"/>
  <c r="AF4" i="29" s="1"/>
  <c r="AF4" i="34" s="1"/>
  <c r="U89" i="32"/>
  <c r="D55" i="32" s="1"/>
  <c r="AF16" i="29" s="1"/>
  <c r="AF16" i="34" s="1"/>
  <c r="K109" i="17"/>
  <c r="BE37" i="8"/>
  <c r="K28" i="29" s="1"/>
  <c r="BG60" i="8"/>
  <c r="F13" i="35" s="1"/>
  <c r="G89" i="32"/>
  <c r="D41" i="32" s="1"/>
  <c r="AF2" i="29" s="1"/>
  <c r="X89" i="32"/>
  <c r="D58" i="32" s="1"/>
  <c r="AF19" i="29" s="1"/>
  <c r="AF19" i="34" s="1"/>
  <c r="M89" i="32"/>
  <c r="D47" i="32" s="1"/>
  <c r="AF8" i="29" s="1"/>
  <c r="AF8" i="34" s="1"/>
  <c r="Z89" i="32"/>
  <c r="D60" i="32" s="1"/>
  <c r="AF21" i="29" s="1"/>
  <c r="AF21" i="34" s="1"/>
  <c r="P89" i="32"/>
  <c r="D50" i="32" s="1"/>
  <c r="AF11" i="29" s="1"/>
  <c r="AF11" i="34" s="1"/>
  <c r="AV50" i="29"/>
  <c r="AV54" i="29" s="1"/>
  <c r="R89" i="32"/>
  <c r="D52" i="32" s="1"/>
  <c r="AF13" i="29" s="1"/>
  <c r="AF13" i="34" s="1"/>
  <c r="J89" i="32"/>
  <c r="D44" i="32" s="1"/>
  <c r="AF5" i="29" s="1"/>
  <c r="AF5" i="34" s="1"/>
  <c r="W89" i="32"/>
  <c r="D57" i="32" s="1"/>
  <c r="AF18" i="29" s="1"/>
  <c r="AF18" i="34" s="1"/>
  <c r="AG30" i="8"/>
  <c r="BE28" i="8" s="1"/>
  <c r="AJ30" i="8"/>
  <c r="BE31" i="8" s="1"/>
  <c r="AH25" i="8"/>
  <c r="AZ29" i="8" s="1"/>
  <c r="E90" i="17"/>
  <c r="G90" i="17"/>
  <c r="C90" i="17"/>
  <c r="D90" i="17"/>
  <c r="H90" i="17"/>
  <c r="F90" i="17"/>
  <c r="E94" i="17"/>
  <c r="D94" i="17"/>
  <c r="B40" i="29"/>
  <c r="B40" i="34" s="1"/>
  <c r="AV32" i="8"/>
  <c r="AV34" i="8"/>
  <c r="B28" i="29"/>
  <c r="B28" i="34" s="1"/>
  <c r="B42" i="29"/>
  <c r="B42" i="34" s="1"/>
  <c r="Z6" i="14"/>
  <c r="AA2" i="14"/>
  <c r="AA4" i="14"/>
  <c r="AA3" i="14"/>
  <c r="AA5" i="14"/>
  <c r="AH30" i="8" l="1"/>
  <c r="BE29" i="8" s="1"/>
  <c r="BH63" i="8"/>
  <c r="G16" i="35" s="1"/>
  <c r="AF30" i="8"/>
  <c r="BE27" i="8" s="1"/>
  <c r="BD60" i="8" s="1"/>
  <c r="C13" i="35" s="1"/>
  <c r="O53" i="17"/>
  <c r="B39" i="29"/>
  <c r="B39" i="34" s="1"/>
  <c r="Z32" i="8"/>
  <c r="G95" i="17"/>
  <c r="AB32" i="8"/>
  <c r="AI32" i="8" s="1"/>
  <c r="BG30" i="8" s="1"/>
  <c r="BG62" i="8" s="1"/>
  <c r="F15" i="35" s="1"/>
  <c r="Y32" i="8"/>
  <c r="AG32" i="8" s="1"/>
  <c r="BG28" i="8" s="1"/>
  <c r="AC32" i="8"/>
  <c r="AJ32" i="8" s="1"/>
  <c r="BG31" i="8" s="1"/>
  <c r="AA32" i="8"/>
  <c r="BC36" i="8"/>
  <c r="I27" i="29" s="1"/>
  <c r="I27" i="34" s="1"/>
  <c r="AD38" i="8"/>
  <c r="W38" i="8"/>
  <c r="P51" i="17"/>
  <c r="V38" i="8"/>
  <c r="Z38" i="8"/>
  <c r="X38" i="8"/>
  <c r="AA38" i="8"/>
  <c r="AB38" i="8"/>
  <c r="AI38" i="8" s="1"/>
  <c r="BM30" i="8" s="1"/>
  <c r="Y38" i="8"/>
  <c r="AC38" i="8"/>
  <c r="M87" i="17"/>
  <c r="U87" i="17" s="1"/>
  <c r="E95" i="17"/>
  <c r="G94" i="17"/>
  <c r="H94" i="17"/>
  <c r="C94" i="17"/>
  <c r="N87" i="17"/>
  <c r="V87" i="17" s="1"/>
  <c r="F95" i="17"/>
  <c r="L87" i="17"/>
  <c r="T87" i="17" s="1"/>
  <c r="C95" i="17"/>
  <c r="O87" i="17"/>
  <c r="N95" i="17"/>
  <c r="V95" i="17" s="1"/>
  <c r="H95" i="17"/>
  <c r="K95" i="17"/>
  <c r="L95" i="17"/>
  <c r="T95" i="17" s="1"/>
  <c r="D95" i="17"/>
  <c r="M95" i="17"/>
  <c r="U95" i="17" s="1"/>
  <c r="O95" i="17"/>
  <c r="F94" i="17"/>
  <c r="P95" i="17"/>
  <c r="P87" i="17"/>
  <c r="J95" i="17"/>
  <c r="S95" i="17" s="1"/>
  <c r="P94" i="30"/>
  <c r="BC35" i="8"/>
  <c r="I26" i="29" s="1"/>
  <c r="I26" i="34" s="1"/>
  <c r="BE70" i="8"/>
  <c r="D23" i="35" s="1"/>
  <c r="AJ40" i="8"/>
  <c r="BO31" i="8" s="1"/>
  <c r="BO38" i="8" s="1"/>
  <c r="U29" i="29" s="1"/>
  <c r="U29" i="34" s="1"/>
  <c r="BL35" i="8"/>
  <c r="R26" i="29" s="1"/>
  <c r="R39" i="29" s="1"/>
  <c r="R39" i="34" s="1"/>
  <c r="AZ37" i="8"/>
  <c r="F28" i="29" s="1"/>
  <c r="F28" i="34" s="1"/>
  <c r="AF25" i="8"/>
  <c r="AZ27" i="8" s="1"/>
  <c r="BD55" i="8" s="1"/>
  <c r="C8" i="35" s="1"/>
  <c r="R29" i="34"/>
  <c r="BH67" i="8"/>
  <c r="G20" i="35" s="1"/>
  <c r="AH40" i="8"/>
  <c r="BO29" i="8" s="1"/>
  <c r="BO36" i="8" s="1"/>
  <c r="U27" i="29" s="1"/>
  <c r="U27" i="34" s="1"/>
  <c r="BE63" i="8"/>
  <c r="D16" i="35" s="1"/>
  <c r="BH35" i="8"/>
  <c r="N26" i="29" s="1"/>
  <c r="N26" i="34" s="1"/>
  <c r="BD63" i="8"/>
  <c r="C16" i="35" s="1"/>
  <c r="BH34" i="8"/>
  <c r="N25" i="29" s="1"/>
  <c r="AD24" i="8"/>
  <c r="AJ24" i="8" s="1"/>
  <c r="AY31" i="8" s="1"/>
  <c r="BO34" i="8"/>
  <c r="U25" i="29" s="1"/>
  <c r="U38" i="29" s="1"/>
  <c r="Z24" i="8"/>
  <c r="AH24" i="8" s="1"/>
  <c r="AY29" i="8" s="1"/>
  <c r="N53" i="17"/>
  <c r="F89" i="17" s="1"/>
  <c r="AB24" i="8"/>
  <c r="AI24" i="8" s="1"/>
  <c r="AY30" i="8" s="1"/>
  <c r="BG54" i="8" s="1"/>
  <c r="F7" i="35" s="1"/>
  <c r="AZ35" i="8"/>
  <c r="F26" i="29" s="1"/>
  <c r="F39" i="29" s="1"/>
  <c r="F39" i="34" s="1"/>
  <c r="M98" i="17"/>
  <c r="U98" i="17" s="1"/>
  <c r="N90" i="17"/>
  <c r="V90" i="17" s="1"/>
  <c r="P90" i="17"/>
  <c r="J90" i="17"/>
  <c r="S90" i="17" s="1"/>
  <c r="K98" i="17"/>
  <c r="J98" i="17"/>
  <c r="S98" i="17" s="1"/>
  <c r="O98" i="17"/>
  <c r="L90" i="17"/>
  <c r="T90" i="17" s="1"/>
  <c r="E98" i="17"/>
  <c r="O90" i="17"/>
  <c r="P98" i="17"/>
  <c r="G98" i="17"/>
  <c r="L98" i="17"/>
  <c r="T98" i="17" s="1"/>
  <c r="H98" i="17"/>
  <c r="M90" i="17"/>
  <c r="U90" i="17" s="1"/>
  <c r="N98" i="17"/>
  <c r="V98" i="17" s="1"/>
  <c r="D98" i="17"/>
  <c r="C98" i="17"/>
  <c r="F98" i="17"/>
  <c r="U26" i="34"/>
  <c r="D99" i="17"/>
  <c r="AG34" i="8"/>
  <c r="BI28" i="8" s="1"/>
  <c r="BI35" i="8" s="1"/>
  <c r="O26" i="29" s="1"/>
  <c r="AH33" i="8"/>
  <c r="BH29" i="8" s="1"/>
  <c r="AJ22" i="8"/>
  <c r="AW31" i="8" s="1"/>
  <c r="BH52" i="8" s="1"/>
  <c r="G5" i="35" s="1"/>
  <c r="AJ34" i="8"/>
  <c r="BI31" i="8" s="1"/>
  <c r="BH64" i="8" s="1"/>
  <c r="G17" i="35" s="1"/>
  <c r="R121" i="17"/>
  <c r="Q10" i="29" s="1"/>
  <c r="Q10" i="34" s="1"/>
  <c r="AG22" i="8"/>
  <c r="AW28" i="8" s="1"/>
  <c r="BE52" i="8" s="1"/>
  <c r="D5" i="35" s="1"/>
  <c r="AF26" i="8"/>
  <c r="BA27" i="8" s="1"/>
  <c r="J99" i="17"/>
  <c r="S99" i="17" s="1"/>
  <c r="AH34" i="8"/>
  <c r="BI29" i="8" s="1"/>
  <c r="BI36" i="8" s="1"/>
  <c r="O27" i="29" s="1"/>
  <c r="N91" i="17"/>
  <c r="V91" i="17" s="1"/>
  <c r="N99" i="17"/>
  <c r="V99" i="17" s="1"/>
  <c r="AG35" i="8"/>
  <c r="BJ28" i="8" s="1"/>
  <c r="AF22" i="8"/>
  <c r="AW27" i="8" s="1"/>
  <c r="O99" i="17"/>
  <c r="AH26" i="8"/>
  <c r="BA29" i="8" s="1"/>
  <c r="BF56" i="8" s="1"/>
  <c r="E9" i="35" s="1"/>
  <c r="AH22" i="8"/>
  <c r="AW29" i="8" s="1"/>
  <c r="BF52" i="8" s="1"/>
  <c r="E5" i="35" s="1"/>
  <c r="AF32" i="8"/>
  <c r="BG27" i="8" s="1"/>
  <c r="BG34" i="8" s="1"/>
  <c r="M25" i="29" s="1"/>
  <c r="M25" i="34" s="1"/>
  <c r="M91" i="17"/>
  <c r="U91" i="17" s="1"/>
  <c r="AG26" i="8"/>
  <c r="BA28" i="8" s="1"/>
  <c r="E99" i="17"/>
  <c r="P91" i="17"/>
  <c r="E87" i="17"/>
  <c r="F87" i="17"/>
  <c r="G87" i="17"/>
  <c r="H87" i="17"/>
  <c r="C87" i="17"/>
  <c r="D87" i="17"/>
  <c r="L91" i="17"/>
  <c r="T91" i="17" s="1"/>
  <c r="BC38" i="8"/>
  <c r="I29" i="29" s="1"/>
  <c r="BH58" i="8"/>
  <c r="G11" i="35" s="1"/>
  <c r="I28" i="34"/>
  <c r="I41" i="29"/>
  <c r="I41" i="34" s="1"/>
  <c r="R131" i="17"/>
  <c r="Q20" i="29" s="1"/>
  <c r="Q20" i="34" s="1"/>
  <c r="BC34" i="8"/>
  <c r="BD58" i="8"/>
  <c r="C11" i="35" s="1"/>
  <c r="BC32" i="8"/>
  <c r="AH35" i="8"/>
  <c r="BJ29" i="8" s="1"/>
  <c r="BL36" i="8"/>
  <c r="R27" i="29" s="1"/>
  <c r="BF67" i="8"/>
  <c r="E20" i="35" s="1"/>
  <c r="BD67" i="8"/>
  <c r="C20" i="35" s="1"/>
  <c r="BL34" i="8"/>
  <c r="BL32" i="8"/>
  <c r="AF35" i="8"/>
  <c r="BJ27" i="8" s="1"/>
  <c r="D91" i="17"/>
  <c r="C91" i="17"/>
  <c r="E91" i="17"/>
  <c r="F91" i="17"/>
  <c r="G91" i="17"/>
  <c r="H91" i="17"/>
  <c r="BI37" i="8"/>
  <c r="O28" i="29" s="1"/>
  <c r="BG64" i="8"/>
  <c r="F17" i="35" s="1"/>
  <c r="BG65" i="8"/>
  <c r="F18" i="35" s="1"/>
  <c r="BJ36" i="8"/>
  <c r="P27" i="29" s="1"/>
  <c r="I40" i="29"/>
  <c r="I40" i="34" s="1"/>
  <c r="AJ26" i="8"/>
  <c r="BA31" i="8" s="1"/>
  <c r="AD27" i="8"/>
  <c r="AA27" i="8"/>
  <c r="X27" i="8"/>
  <c r="Z27" i="8"/>
  <c r="Y27" i="8"/>
  <c r="U86" i="30"/>
  <c r="W27" i="8"/>
  <c r="AB27" i="8"/>
  <c r="AI27" i="8" s="1"/>
  <c r="BB30" i="8" s="1"/>
  <c r="AC27" i="8"/>
  <c r="AJ27" i="8" s="1"/>
  <c r="BB31" i="8" s="1"/>
  <c r="V27" i="8"/>
  <c r="BG56" i="8"/>
  <c r="F9" i="35" s="1"/>
  <c r="BA37" i="8"/>
  <c r="G28" i="29" s="1"/>
  <c r="AJ35" i="8"/>
  <c r="BJ31" i="8" s="1"/>
  <c r="R28" i="34"/>
  <c r="R41" i="29"/>
  <c r="R41" i="34" s="1"/>
  <c r="M99" i="17"/>
  <c r="U99" i="17" s="1"/>
  <c r="L99" i="17"/>
  <c r="T99" i="17" s="1"/>
  <c r="P99" i="17"/>
  <c r="H99" i="17"/>
  <c r="F99" i="17"/>
  <c r="C99" i="17"/>
  <c r="K99" i="17"/>
  <c r="J91" i="17"/>
  <c r="S91" i="17" s="1"/>
  <c r="G99" i="17"/>
  <c r="R117" i="17"/>
  <c r="Q6" i="29" s="1"/>
  <c r="Q6" i="34" s="1"/>
  <c r="R119" i="17"/>
  <c r="Q8" i="29" s="1"/>
  <c r="Q8" i="34" s="1"/>
  <c r="R122" i="17"/>
  <c r="Q11" i="29" s="1"/>
  <c r="Q11" i="34" s="1"/>
  <c r="R123" i="17"/>
  <c r="Q12" i="29" s="1"/>
  <c r="Q12" i="34" s="1"/>
  <c r="R127" i="17"/>
  <c r="Q16" i="29" s="1"/>
  <c r="Q16" i="34" s="1"/>
  <c r="R128" i="17"/>
  <c r="Q17" i="29" s="1"/>
  <c r="Q17" i="34" s="1"/>
  <c r="R132" i="17"/>
  <c r="Q21" i="29" s="1"/>
  <c r="Q21" i="34" s="1"/>
  <c r="R129" i="17"/>
  <c r="Q18" i="29" s="1"/>
  <c r="Q18" i="34" s="1"/>
  <c r="N28" i="34"/>
  <c r="BE34" i="8"/>
  <c r="K25" i="29" s="1"/>
  <c r="K25" i="34" s="1"/>
  <c r="AF23" i="8"/>
  <c r="AX27" i="8" s="1"/>
  <c r="BD53" i="8" s="1"/>
  <c r="C6" i="35" s="1"/>
  <c r="AH32" i="8"/>
  <c r="BG29" i="8" s="1"/>
  <c r="BG36" i="8" s="1"/>
  <c r="M27" i="29" s="1"/>
  <c r="M27" i="34" s="1"/>
  <c r="BD64" i="8"/>
  <c r="C17" i="35" s="1"/>
  <c r="BI34" i="8"/>
  <c r="O25" i="29" s="1"/>
  <c r="AF24" i="8"/>
  <c r="AY27" i="8" s="1"/>
  <c r="P89" i="17"/>
  <c r="G97" i="17"/>
  <c r="P97" i="17"/>
  <c r="M97" i="17"/>
  <c r="U97" i="17" s="1"/>
  <c r="H97" i="17"/>
  <c r="N89" i="17"/>
  <c r="V89" i="17" s="1"/>
  <c r="J89" i="17"/>
  <c r="S89" i="17" s="1"/>
  <c r="K97" i="17"/>
  <c r="O97" i="17"/>
  <c r="C97" i="17"/>
  <c r="L97" i="17"/>
  <c r="T97" i="17" s="1"/>
  <c r="F97" i="17"/>
  <c r="D97" i="17"/>
  <c r="J97" i="17"/>
  <c r="S97" i="17" s="1"/>
  <c r="L89" i="17"/>
  <c r="T89" i="17" s="1"/>
  <c r="O89" i="17"/>
  <c r="M89" i="17"/>
  <c r="U89" i="17" s="1"/>
  <c r="N97" i="17"/>
  <c r="V97" i="17" s="1"/>
  <c r="E97" i="17"/>
  <c r="AG24" i="8"/>
  <c r="AY28" i="8" s="1"/>
  <c r="AG23" i="8"/>
  <c r="AX28" i="8" s="1"/>
  <c r="AX35" i="8" s="1"/>
  <c r="D26" i="29" s="1"/>
  <c r="R120" i="17"/>
  <c r="Q9" i="29" s="1"/>
  <c r="Q9" i="34" s="1"/>
  <c r="R124" i="17"/>
  <c r="Q13" i="29" s="1"/>
  <c r="Q13" i="34" s="1"/>
  <c r="U41" i="29"/>
  <c r="U41" i="34" s="1"/>
  <c r="U28" i="34"/>
  <c r="R125" i="17"/>
  <c r="Q14" i="29" s="1"/>
  <c r="Q14" i="34" s="1"/>
  <c r="R116" i="17"/>
  <c r="Q5" i="29" s="1"/>
  <c r="Q5" i="34" s="1"/>
  <c r="R118" i="17"/>
  <c r="Q7" i="29" s="1"/>
  <c r="Q7" i="34" s="1"/>
  <c r="R130" i="17"/>
  <c r="Q19" i="29" s="1"/>
  <c r="Q19" i="34" s="1"/>
  <c r="R114" i="17"/>
  <c r="Q3" i="29" s="1"/>
  <c r="Q3" i="34" s="1"/>
  <c r="R113" i="17"/>
  <c r="Q2" i="29" s="1"/>
  <c r="Q2" i="34" s="1"/>
  <c r="BE32" i="8"/>
  <c r="R126" i="17"/>
  <c r="Q15" i="29" s="1"/>
  <c r="Q15" i="34" s="1"/>
  <c r="AF2" i="34"/>
  <c r="AF50" i="29"/>
  <c r="AF54" i="29" s="1"/>
  <c r="H88" i="17"/>
  <c r="E88" i="17"/>
  <c r="G88" i="17"/>
  <c r="C88" i="17"/>
  <c r="D88" i="17"/>
  <c r="F88" i="17"/>
  <c r="N42" i="29"/>
  <c r="N42" i="34" s="1"/>
  <c r="N29" i="34"/>
  <c r="BE36" i="8"/>
  <c r="K27" i="29" s="1"/>
  <c r="BF60" i="8"/>
  <c r="E13" i="35" s="1"/>
  <c r="AZ36" i="8"/>
  <c r="F27" i="29" s="1"/>
  <c r="BF55" i="8"/>
  <c r="E8" i="35" s="1"/>
  <c r="BE38" i="8"/>
  <c r="K29" i="29" s="1"/>
  <c r="BH60" i="8"/>
  <c r="G13" i="35" s="1"/>
  <c r="AC31" i="8"/>
  <c r="AD31" i="8"/>
  <c r="Z31" i="8"/>
  <c r="W31" i="8"/>
  <c r="V31" i="8"/>
  <c r="X31" i="8"/>
  <c r="O52" i="17"/>
  <c r="AB31" i="8"/>
  <c r="AI31" i="8" s="1"/>
  <c r="Y31" i="8"/>
  <c r="AA31" i="8"/>
  <c r="AJ23" i="8"/>
  <c r="P52" i="17"/>
  <c r="AB39" i="8"/>
  <c r="AI39" i="8" s="1"/>
  <c r="BN30" i="8" s="1"/>
  <c r="W39" i="8"/>
  <c r="AC39" i="8"/>
  <c r="AD39" i="8"/>
  <c r="V39" i="8"/>
  <c r="X39" i="8"/>
  <c r="AA39" i="8"/>
  <c r="Y39" i="8"/>
  <c r="Z39" i="8"/>
  <c r="BE35" i="8"/>
  <c r="K26" i="29" s="1"/>
  <c r="BE60" i="8"/>
  <c r="D13" i="35" s="1"/>
  <c r="AZ38" i="8"/>
  <c r="F29" i="29" s="1"/>
  <c r="BH55" i="8"/>
  <c r="G8" i="35" s="1"/>
  <c r="AH23" i="8"/>
  <c r="P100" i="30"/>
  <c r="AX37" i="8"/>
  <c r="D28" i="29" s="1"/>
  <c r="BG53" i="8"/>
  <c r="F6" i="35" s="1"/>
  <c r="K41" i="29"/>
  <c r="K41" i="34" s="1"/>
  <c r="K28" i="34"/>
  <c r="B45" i="29"/>
  <c r="B45" i="34" s="1"/>
  <c r="AG78" i="30"/>
  <c r="S87" i="17"/>
  <c r="AW37" i="8"/>
  <c r="B25" i="29"/>
  <c r="B25" i="34" s="1"/>
  <c r="AV39" i="8"/>
  <c r="B41" i="29"/>
  <c r="B41" i="34" s="1"/>
  <c r="G35" i="14"/>
  <c r="G36" i="14"/>
  <c r="G38" i="14"/>
  <c r="G44" i="14"/>
  <c r="G37" i="14"/>
  <c r="G41" i="14"/>
  <c r="J37" i="14"/>
  <c r="J41" i="14"/>
  <c r="J44" i="14"/>
  <c r="J36" i="14"/>
  <c r="J38" i="14"/>
  <c r="J35" i="14"/>
  <c r="K36" i="14"/>
  <c r="K37" i="14"/>
  <c r="K41" i="14"/>
  <c r="K35" i="14"/>
  <c r="K38" i="14"/>
  <c r="K44" i="14"/>
  <c r="H36" i="14"/>
  <c r="H38" i="14"/>
  <c r="H44" i="14"/>
  <c r="H37" i="14"/>
  <c r="H41" i="14"/>
  <c r="H35" i="14"/>
  <c r="D31" i="14"/>
  <c r="H31" i="14"/>
  <c r="L31" i="14"/>
  <c r="E43" i="14" s="1"/>
  <c r="P31" i="14"/>
  <c r="I31" i="14"/>
  <c r="M31" i="14"/>
  <c r="F43" i="14" s="1"/>
  <c r="F31" i="14"/>
  <c r="J31" i="14"/>
  <c r="N31" i="14"/>
  <c r="R31" i="14"/>
  <c r="C31" i="14"/>
  <c r="G31" i="14"/>
  <c r="K31" i="14"/>
  <c r="O31" i="14"/>
  <c r="S31" i="14"/>
  <c r="I43" i="14" s="1"/>
  <c r="E31" i="14"/>
  <c r="Q31" i="14"/>
  <c r="D28" i="14"/>
  <c r="H28" i="14"/>
  <c r="L28" i="14"/>
  <c r="E40" i="14" s="1"/>
  <c r="P28" i="14"/>
  <c r="E28" i="14"/>
  <c r="I28" i="14"/>
  <c r="M28" i="14"/>
  <c r="F40" i="14" s="1"/>
  <c r="Q28" i="14"/>
  <c r="C28" i="14"/>
  <c r="C40" i="14" s="1"/>
  <c r="F28" i="14"/>
  <c r="J28" i="14"/>
  <c r="N28" i="14"/>
  <c r="R28" i="14"/>
  <c r="H40" i="14" s="1"/>
  <c r="G28" i="14"/>
  <c r="K28" i="14"/>
  <c r="O28" i="14"/>
  <c r="G40" i="14" s="1"/>
  <c r="S28" i="14"/>
  <c r="I40" i="14" s="1"/>
  <c r="D30" i="14"/>
  <c r="H30" i="14"/>
  <c r="L30" i="14"/>
  <c r="E42" i="14" s="1"/>
  <c r="P30" i="14"/>
  <c r="E30" i="14"/>
  <c r="I30" i="14"/>
  <c r="M30" i="14"/>
  <c r="Q30" i="14"/>
  <c r="F30" i="14"/>
  <c r="J30" i="14"/>
  <c r="N30" i="14"/>
  <c r="R30" i="14"/>
  <c r="H42" i="14" s="1"/>
  <c r="G30" i="14"/>
  <c r="K30" i="14"/>
  <c r="O30" i="14"/>
  <c r="S30" i="14"/>
  <c r="I42" i="14" s="1"/>
  <c r="C30" i="14"/>
  <c r="C42" i="14" s="1"/>
  <c r="D27" i="14"/>
  <c r="H27" i="14"/>
  <c r="L27" i="14"/>
  <c r="E39" i="14" s="1"/>
  <c r="P27" i="14"/>
  <c r="C27" i="14"/>
  <c r="C39" i="14" s="1"/>
  <c r="E27" i="14"/>
  <c r="I27" i="14"/>
  <c r="M27" i="14"/>
  <c r="Q27" i="14"/>
  <c r="F27" i="14"/>
  <c r="J27" i="14"/>
  <c r="N27" i="14"/>
  <c r="R27" i="14"/>
  <c r="H39" i="14" s="1"/>
  <c r="G27" i="14"/>
  <c r="K27" i="14"/>
  <c r="O27" i="14"/>
  <c r="G39" i="14" s="1"/>
  <c r="S27" i="14"/>
  <c r="I39" i="14" s="1"/>
  <c r="BG37" i="8" l="1"/>
  <c r="M28" i="29" s="1"/>
  <c r="R26" i="34"/>
  <c r="U42" i="29"/>
  <c r="U42" i="34" s="1"/>
  <c r="N39" i="29"/>
  <c r="N39" i="34" s="1"/>
  <c r="F41" i="29"/>
  <c r="F41" i="34" s="1"/>
  <c r="AG38" i="8"/>
  <c r="BM28" i="8" s="1"/>
  <c r="I39" i="29"/>
  <c r="I39" i="34" s="1"/>
  <c r="M38" i="29"/>
  <c r="M38" i="34" s="1"/>
  <c r="AF38" i="8"/>
  <c r="BM27" i="8" s="1"/>
  <c r="BD68" i="8" s="1"/>
  <c r="C21" i="35" s="1"/>
  <c r="AZ32" i="8"/>
  <c r="AH38" i="8"/>
  <c r="BM29" i="8" s="1"/>
  <c r="BE64" i="8"/>
  <c r="D17" i="35" s="1"/>
  <c r="E103" i="17"/>
  <c r="P103" i="17"/>
  <c r="G103" i="17"/>
  <c r="F103" i="17"/>
  <c r="H103" i="17"/>
  <c r="D103" i="17"/>
  <c r="N103" i="17"/>
  <c r="V103" i="17" s="1"/>
  <c r="M103" i="17"/>
  <c r="U103" i="17" s="1"/>
  <c r="O103" i="17"/>
  <c r="J103" i="17"/>
  <c r="S103" i="17" s="1"/>
  <c r="C103" i="17"/>
  <c r="L103" i="17"/>
  <c r="T103" i="17" s="1"/>
  <c r="AJ38" i="8"/>
  <c r="BM31" i="8" s="1"/>
  <c r="BG68" i="8"/>
  <c r="F21" i="35" s="1"/>
  <c r="BM37" i="8"/>
  <c r="S28" i="29" s="1"/>
  <c r="U25" i="34"/>
  <c r="AY37" i="8"/>
  <c r="E28" i="29" s="1"/>
  <c r="E41" i="29" s="1"/>
  <c r="E41" i="34" s="1"/>
  <c r="BD62" i="8"/>
  <c r="C15" i="35" s="1"/>
  <c r="AZ34" i="8"/>
  <c r="F25" i="29" s="1"/>
  <c r="F38" i="29" s="1"/>
  <c r="F38" i="34" s="1"/>
  <c r="BH70" i="8"/>
  <c r="G23" i="35" s="1"/>
  <c r="C89" i="17"/>
  <c r="D89" i="17"/>
  <c r="BF70" i="8"/>
  <c r="E23" i="35" s="1"/>
  <c r="G89" i="17"/>
  <c r="E89" i="17"/>
  <c r="H89" i="17"/>
  <c r="U40" i="29"/>
  <c r="U40" i="34" s="1"/>
  <c r="BH54" i="8"/>
  <c r="G7" i="35" s="1"/>
  <c r="AY38" i="8"/>
  <c r="E29" i="29" s="1"/>
  <c r="E42" i="29" s="1"/>
  <c r="E42" i="34" s="1"/>
  <c r="AW38" i="8"/>
  <c r="C29" i="29" s="1"/>
  <c r="C29" i="34" s="1"/>
  <c r="F26" i="34"/>
  <c r="BF64" i="8"/>
  <c r="E17" i="35" s="1"/>
  <c r="BO32" i="8"/>
  <c r="BO39" i="8"/>
  <c r="BI38" i="8"/>
  <c r="O29" i="29" s="1"/>
  <c r="AW35" i="8"/>
  <c r="C26" i="29" s="1"/>
  <c r="C26" i="34" s="1"/>
  <c r="BF63" i="8"/>
  <c r="E16" i="35" s="1"/>
  <c r="BH32" i="8"/>
  <c r="AW46" i="8" s="1"/>
  <c r="BH36" i="8"/>
  <c r="BE53" i="8"/>
  <c r="D6" i="35" s="1"/>
  <c r="BI32" i="8"/>
  <c r="AW36" i="8"/>
  <c r="C27" i="29" s="1"/>
  <c r="C27" i="34" s="1"/>
  <c r="BA32" i="8"/>
  <c r="AG27" i="8"/>
  <c r="BB28" i="8" s="1"/>
  <c r="BB35" i="8" s="1"/>
  <c r="H26" i="29" s="1"/>
  <c r="BD56" i="8"/>
  <c r="C9" i="35" s="1"/>
  <c r="BA34" i="8"/>
  <c r="G25" i="29" s="1"/>
  <c r="G38" i="29" s="1"/>
  <c r="M40" i="29"/>
  <c r="M40" i="34" s="1"/>
  <c r="I42" i="29"/>
  <c r="I42" i="34" s="1"/>
  <c r="I29" i="34"/>
  <c r="AW34" i="8"/>
  <c r="C25" i="29" s="1"/>
  <c r="BD52" i="8"/>
  <c r="C5" i="35" s="1"/>
  <c r="BE65" i="8"/>
  <c r="D18" i="35" s="1"/>
  <c r="BJ34" i="8"/>
  <c r="P25" i="29" s="1"/>
  <c r="AW32" i="8"/>
  <c r="BA35" i="8"/>
  <c r="G26" i="29" s="1"/>
  <c r="BE56" i="8"/>
  <c r="D9" i="35" s="1"/>
  <c r="AH27" i="8"/>
  <c r="BB29" i="8" s="1"/>
  <c r="BB36" i="8" s="1"/>
  <c r="H27" i="29" s="1"/>
  <c r="AW42" i="8"/>
  <c r="BA36" i="8"/>
  <c r="G27" i="29" s="1"/>
  <c r="BH65" i="8"/>
  <c r="G18" i="35" s="1"/>
  <c r="BJ37" i="8"/>
  <c r="P28" i="29" s="1"/>
  <c r="BG57" i="8"/>
  <c r="F10" i="35" s="1"/>
  <c r="BB37" i="8"/>
  <c r="H28" i="29" s="1"/>
  <c r="BH56" i="8"/>
  <c r="G9" i="35" s="1"/>
  <c r="BA38" i="8"/>
  <c r="G29" i="29" s="1"/>
  <c r="R25" i="29"/>
  <c r="BL39" i="8"/>
  <c r="G28" i="34"/>
  <c r="G41" i="29"/>
  <c r="G41" i="34" s="1"/>
  <c r="R27" i="34"/>
  <c r="R40" i="29"/>
  <c r="R40" i="34" s="1"/>
  <c r="P27" i="34"/>
  <c r="P40" i="29"/>
  <c r="P40" i="34" s="1"/>
  <c r="BF65" i="8"/>
  <c r="E18" i="35" s="1"/>
  <c r="BJ35" i="8"/>
  <c r="AF27" i="8"/>
  <c r="BB27" i="8" s="1"/>
  <c r="BD65" i="8"/>
  <c r="C18" i="35" s="1"/>
  <c r="BJ32" i="8"/>
  <c r="BJ38" i="8" s="1"/>
  <c r="P29" i="29" s="1"/>
  <c r="BH57" i="8"/>
  <c r="G10" i="35" s="1"/>
  <c r="BB38" i="8"/>
  <c r="H29" i="29" s="1"/>
  <c r="O41" i="29"/>
  <c r="O41" i="34" s="1"/>
  <c r="O28" i="34"/>
  <c r="I25" i="29"/>
  <c r="BC39" i="8"/>
  <c r="O40" i="29"/>
  <c r="O40" i="34" s="1"/>
  <c r="O27" i="34"/>
  <c r="AX34" i="8"/>
  <c r="D25" i="29" s="1"/>
  <c r="D25" i="34" s="1"/>
  <c r="BF62" i="8"/>
  <c r="E15" i="35" s="1"/>
  <c r="Q87" i="29"/>
  <c r="AY32" i="8"/>
  <c r="AY34" i="8"/>
  <c r="BD54" i="8"/>
  <c r="C7" i="35" s="1"/>
  <c r="M41" i="29"/>
  <c r="M41" i="34" s="1"/>
  <c r="M28" i="34"/>
  <c r="BG35" i="8"/>
  <c r="BE62" i="8"/>
  <c r="D15" i="35" s="1"/>
  <c r="BG32" i="8"/>
  <c r="AA42" i="8"/>
  <c r="Q57" i="29"/>
  <c r="B76" i="29" s="1"/>
  <c r="C35" i="19" s="1"/>
  <c r="BE54" i="8"/>
  <c r="D7" i="35" s="1"/>
  <c r="AY35" i="8"/>
  <c r="E26" i="29" s="1"/>
  <c r="O25" i="34"/>
  <c r="O38" i="29"/>
  <c r="O38" i="34" s="1"/>
  <c r="BH62" i="8"/>
  <c r="G15" i="35" s="1"/>
  <c r="BG38" i="8"/>
  <c r="M29" i="29" s="1"/>
  <c r="AY36" i="8"/>
  <c r="E27" i="29" s="1"/>
  <c r="BF54" i="8"/>
  <c r="E7" i="35" s="1"/>
  <c r="AB42" i="8"/>
  <c r="W42" i="8"/>
  <c r="BE39" i="8"/>
  <c r="AD42" i="8"/>
  <c r="AF39" i="8"/>
  <c r="BN27" i="8" s="1"/>
  <c r="BN34" i="8" s="1"/>
  <c r="AX29" i="8"/>
  <c r="J104" i="17"/>
  <c r="S104" i="17" s="1"/>
  <c r="G104" i="17"/>
  <c r="F104" i="17"/>
  <c r="H104" i="17"/>
  <c r="M104" i="17"/>
  <c r="U104" i="17" s="1"/>
  <c r="E104" i="17"/>
  <c r="N104" i="17"/>
  <c r="V104" i="17" s="1"/>
  <c r="D104" i="17"/>
  <c r="L104" i="17"/>
  <c r="T104" i="17" s="1"/>
  <c r="P104" i="17"/>
  <c r="C104" i="17"/>
  <c r="O104" i="17"/>
  <c r="AH31" i="8"/>
  <c r="BF29" i="8" s="1"/>
  <c r="Z42" i="8"/>
  <c r="F40" i="29"/>
  <c r="F40" i="34" s="1"/>
  <c r="F27" i="34"/>
  <c r="AX31" i="8"/>
  <c r="F25" i="34"/>
  <c r="K39" i="29"/>
  <c r="K39" i="34" s="1"/>
  <c r="K26" i="34"/>
  <c r="AG39" i="8"/>
  <c r="BN28" i="8" s="1"/>
  <c r="Y42" i="8"/>
  <c r="AJ31" i="8"/>
  <c r="BF31" i="8" s="1"/>
  <c r="AC42" i="8"/>
  <c r="O39" i="29"/>
  <c r="O39" i="34" s="1"/>
  <c r="O26" i="34"/>
  <c r="N38" i="29"/>
  <c r="N25" i="34"/>
  <c r="F42" i="29"/>
  <c r="F42" i="34" s="1"/>
  <c r="F29" i="34"/>
  <c r="BF30" i="8"/>
  <c r="AI43" i="8"/>
  <c r="X42" i="8"/>
  <c r="D41" i="29"/>
  <c r="D41" i="34" s="1"/>
  <c r="D28" i="34"/>
  <c r="AJ39" i="8"/>
  <c r="BN31" i="8" s="1"/>
  <c r="F96" i="17"/>
  <c r="G96" i="17"/>
  <c r="K96" i="17"/>
  <c r="K107" i="17" s="1"/>
  <c r="K108" i="17" s="1"/>
  <c r="K111" i="17" s="1"/>
  <c r="J96" i="17"/>
  <c r="S96" i="17" s="1"/>
  <c r="M96" i="17"/>
  <c r="U96" i="17" s="1"/>
  <c r="E96" i="17"/>
  <c r="D96" i="17"/>
  <c r="P96" i="17"/>
  <c r="P88" i="17"/>
  <c r="N88" i="17"/>
  <c r="N96" i="17"/>
  <c r="V96" i="17" s="1"/>
  <c r="M88" i="17"/>
  <c r="H96" i="17"/>
  <c r="C96" i="17"/>
  <c r="O96" i="17"/>
  <c r="L88" i="17"/>
  <c r="J88" i="17"/>
  <c r="O88" i="17"/>
  <c r="L96" i="17"/>
  <c r="T96" i="17" s="1"/>
  <c r="D39" i="29"/>
  <c r="D39" i="34" s="1"/>
  <c r="D26" i="34"/>
  <c r="AG31" i="8"/>
  <c r="U38" i="34"/>
  <c r="AH39" i="8"/>
  <c r="BN29" i="8" s="1"/>
  <c r="BN37" i="8"/>
  <c r="T28" i="29" s="1"/>
  <c r="BG69" i="8"/>
  <c r="F22" i="35" s="1"/>
  <c r="AF31" i="8"/>
  <c r="V42" i="8"/>
  <c r="K42" i="29"/>
  <c r="K42" i="34" s="1"/>
  <c r="K29" i="34"/>
  <c r="K40" i="29"/>
  <c r="K40" i="34" s="1"/>
  <c r="K27" i="34"/>
  <c r="C28" i="29"/>
  <c r="C28" i="34" s="1"/>
  <c r="K38" i="29"/>
  <c r="BM34" i="8"/>
  <c r="B38" i="29"/>
  <c r="F39" i="14"/>
  <c r="J39" i="14"/>
  <c r="K39" i="14"/>
  <c r="D40" i="14"/>
  <c r="C43" i="14"/>
  <c r="D42" i="14"/>
  <c r="J42" i="14"/>
  <c r="K42" i="14"/>
  <c r="G43" i="14"/>
  <c r="H43" i="14"/>
  <c r="D43" i="14"/>
  <c r="J43" i="14"/>
  <c r="K43" i="14"/>
  <c r="D39" i="14"/>
  <c r="G42" i="14"/>
  <c r="F42" i="14"/>
  <c r="J40" i="14"/>
  <c r="K40" i="14"/>
  <c r="C26" i="14"/>
  <c r="T29" i="14"/>
  <c r="C29" i="14"/>
  <c r="AT48" i="7"/>
  <c r="AT50" i="7" s="1"/>
  <c r="AU51" i="7"/>
  <c r="V50" i="7"/>
  <c r="W50" i="7"/>
  <c r="AH50" i="7"/>
  <c r="AI50" i="7"/>
  <c r="AJ50" i="7"/>
  <c r="AK50" i="7"/>
  <c r="AL50" i="7"/>
  <c r="AM50" i="7"/>
  <c r="AN50" i="7"/>
  <c r="AO50" i="7"/>
  <c r="AP50" i="7"/>
  <c r="AV50" i="7"/>
  <c r="AW50" i="7"/>
  <c r="AY23" i="7"/>
  <c r="AY46" i="7"/>
  <c r="AS48" i="7"/>
  <c r="AW51" i="7" s="1"/>
  <c r="AW53" i="7" s="1"/>
  <c r="AW54" i="7" s="1"/>
  <c r="K2" i="25"/>
  <c r="L2" i="25"/>
  <c r="M2" i="25"/>
  <c r="N2" i="25"/>
  <c r="O2" i="25"/>
  <c r="P2" i="25"/>
  <c r="Q2" i="25"/>
  <c r="R2" i="25"/>
  <c r="S2" i="25"/>
  <c r="T2" i="25"/>
  <c r="U2" i="25"/>
  <c r="V2" i="25"/>
  <c r="X2" i="25"/>
  <c r="Y2" i="25"/>
  <c r="Z2" i="25"/>
  <c r="AA2" i="25"/>
  <c r="AB2" i="25"/>
  <c r="AC2" i="25"/>
  <c r="AD2" i="25"/>
  <c r="AE2" i="25"/>
  <c r="AF2" i="25"/>
  <c r="AG2" i="25"/>
  <c r="AH2" i="25"/>
  <c r="AI2" i="25"/>
  <c r="AJ2" i="25"/>
  <c r="AK2" i="25"/>
  <c r="AL2" i="25"/>
  <c r="AM2" i="25"/>
  <c r="AN2" i="25"/>
  <c r="AO2" i="25"/>
  <c r="AP2" i="25"/>
  <c r="AQ2" i="25"/>
  <c r="AR2" i="25"/>
  <c r="AS2" i="25"/>
  <c r="AT2" i="25"/>
  <c r="AU2" i="25"/>
  <c r="K3" i="25"/>
  <c r="L3" i="25"/>
  <c r="M3" i="25"/>
  <c r="N3" i="25"/>
  <c r="O3" i="25"/>
  <c r="P3" i="25"/>
  <c r="Q3" i="25"/>
  <c r="R3" i="25"/>
  <c r="S3" i="25"/>
  <c r="T3" i="25"/>
  <c r="U3" i="25"/>
  <c r="V3" i="25"/>
  <c r="X3" i="25"/>
  <c r="Y3" i="25"/>
  <c r="Z3" i="25"/>
  <c r="AA3" i="25"/>
  <c r="AB3" i="25"/>
  <c r="AC3" i="25"/>
  <c r="AD3" i="25"/>
  <c r="AE3" i="25"/>
  <c r="AF3" i="25"/>
  <c r="AG3" i="25"/>
  <c r="AH3" i="25"/>
  <c r="AI3" i="25"/>
  <c r="AJ3" i="25"/>
  <c r="AK3" i="25"/>
  <c r="AL3" i="25"/>
  <c r="AM3" i="25"/>
  <c r="AN3" i="25"/>
  <c r="AO3" i="25"/>
  <c r="AP3" i="25"/>
  <c r="AQ3" i="25"/>
  <c r="AR3" i="25"/>
  <c r="AS3" i="25"/>
  <c r="AT3" i="25"/>
  <c r="AU3" i="25"/>
  <c r="L4" i="25"/>
  <c r="M4" i="25"/>
  <c r="N4" i="25"/>
  <c r="O4" i="25"/>
  <c r="P4" i="25"/>
  <c r="Q4" i="25"/>
  <c r="R4" i="25"/>
  <c r="S4" i="25"/>
  <c r="T4" i="25"/>
  <c r="U4" i="25"/>
  <c r="V4" i="25"/>
  <c r="X4" i="25"/>
  <c r="Y4" i="25"/>
  <c r="Z4" i="25"/>
  <c r="AA4" i="25"/>
  <c r="AB4" i="25"/>
  <c r="AC4" i="25"/>
  <c r="AD4" i="25"/>
  <c r="AE4" i="25"/>
  <c r="AF4" i="25"/>
  <c r="AG4" i="25"/>
  <c r="AH4" i="25"/>
  <c r="AI4" i="25"/>
  <c r="AJ4" i="25"/>
  <c r="AK4" i="25"/>
  <c r="AL4" i="25"/>
  <c r="AM4" i="25"/>
  <c r="AN4" i="25"/>
  <c r="AO4" i="25"/>
  <c r="AP4" i="25"/>
  <c r="AQ4" i="25"/>
  <c r="AR4" i="25"/>
  <c r="AS4" i="25"/>
  <c r="AT4" i="25"/>
  <c r="AU4" i="25"/>
  <c r="K5" i="25"/>
  <c r="L5" i="25"/>
  <c r="M5" i="25"/>
  <c r="N5" i="25"/>
  <c r="O5" i="25"/>
  <c r="P5" i="25"/>
  <c r="Q5" i="25"/>
  <c r="R5" i="25"/>
  <c r="S5" i="25"/>
  <c r="T5" i="25"/>
  <c r="U5" i="25"/>
  <c r="V5" i="25"/>
  <c r="X5" i="25"/>
  <c r="Y5" i="25"/>
  <c r="Z5" i="25"/>
  <c r="AA5" i="25"/>
  <c r="AB5" i="25"/>
  <c r="AC5" i="25"/>
  <c r="AD5" i="25"/>
  <c r="AE5" i="25"/>
  <c r="AF5" i="25"/>
  <c r="AG5" i="25"/>
  <c r="AH5" i="25"/>
  <c r="AI5" i="25"/>
  <c r="AJ5" i="25"/>
  <c r="AK5" i="25"/>
  <c r="AL5" i="25"/>
  <c r="AM5" i="25"/>
  <c r="AN5" i="25"/>
  <c r="AO5" i="25"/>
  <c r="AP5" i="25"/>
  <c r="AQ5" i="25"/>
  <c r="AR5" i="25"/>
  <c r="AS5" i="25"/>
  <c r="AT5" i="25"/>
  <c r="AU5" i="25"/>
  <c r="K6" i="25"/>
  <c r="L6" i="25"/>
  <c r="M6" i="25"/>
  <c r="N6" i="25"/>
  <c r="O6" i="25"/>
  <c r="P6" i="25"/>
  <c r="Q6" i="25"/>
  <c r="R6" i="25"/>
  <c r="S6" i="25"/>
  <c r="T6" i="25"/>
  <c r="U6" i="25"/>
  <c r="V6" i="25"/>
  <c r="X6" i="25"/>
  <c r="Y6" i="25"/>
  <c r="Z6" i="25"/>
  <c r="AA6" i="25"/>
  <c r="AB6" i="25"/>
  <c r="AC6" i="25"/>
  <c r="AD6" i="25"/>
  <c r="AE6" i="25"/>
  <c r="AF6" i="25"/>
  <c r="AG6" i="25"/>
  <c r="AH6" i="25"/>
  <c r="AI6" i="25"/>
  <c r="AJ6" i="25"/>
  <c r="AK6" i="25"/>
  <c r="AL6" i="25"/>
  <c r="AM6" i="25"/>
  <c r="AN6" i="25"/>
  <c r="AO6" i="25"/>
  <c r="AP6" i="25"/>
  <c r="AQ6" i="25"/>
  <c r="AR6" i="25"/>
  <c r="AS6" i="25"/>
  <c r="AT6" i="25"/>
  <c r="AU6" i="25"/>
  <c r="L7" i="25"/>
  <c r="M7" i="25"/>
  <c r="N7" i="25"/>
  <c r="O7" i="25"/>
  <c r="P7" i="25"/>
  <c r="Q7" i="25"/>
  <c r="R7" i="25"/>
  <c r="S7" i="25"/>
  <c r="T7" i="25"/>
  <c r="U7" i="25"/>
  <c r="V7" i="25"/>
  <c r="X7" i="25"/>
  <c r="Y7" i="25"/>
  <c r="Z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AM7" i="25"/>
  <c r="AN7" i="25"/>
  <c r="AO7" i="25"/>
  <c r="AP7" i="25"/>
  <c r="AQ7" i="25"/>
  <c r="AR7" i="25"/>
  <c r="AS7" i="25"/>
  <c r="AT7" i="25"/>
  <c r="AU7" i="25"/>
  <c r="K8" i="25"/>
  <c r="L8" i="25"/>
  <c r="M8" i="25"/>
  <c r="N8" i="25"/>
  <c r="O8" i="25"/>
  <c r="P8" i="25"/>
  <c r="Q8" i="25"/>
  <c r="R8" i="25"/>
  <c r="S8" i="25"/>
  <c r="T8" i="25"/>
  <c r="U8" i="25"/>
  <c r="V8" i="25"/>
  <c r="X8" i="25"/>
  <c r="Y8" i="25"/>
  <c r="Z8" i="25"/>
  <c r="AA8" i="25"/>
  <c r="AB8" i="25"/>
  <c r="AC8" i="25"/>
  <c r="AD8" i="25"/>
  <c r="AE8" i="25"/>
  <c r="AF8" i="25"/>
  <c r="AG8" i="25"/>
  <c r="AH8" i="25"/>
  <c r="AI8" i="25"/>
  <c r="AJ8" i="25"/>
  <c r="AK8" i="25"/>
  <c r="AL8" i="25"/>
  <c r="AM8" i="25"/>
  <c r="AN8" i="25"/>
  <c r="AO8" i="25"/>
  <c r="AP8" i="25"/>
  <c r="AQ8" i="25"/>
  <c r="AR8" i="25"/>
  <c r="AS8" i="25"/>
  <c r="AT8" i="25"/>
  <c r="AU8" i="25"/>
  <c r="K9" i="25"/>
  <c r="L9" i="25"/>
  <c r="M9" i="25"/>
  <c r="N9" i="25"/>
  <c r="O9" i="25"/>
  <c r="P9" i="25"/>
  <c r="Q9" i="25"/>
  <c r="R9" i="25"/>
  <c r="S9" i="25"/>
  <c r="T9" i="25"/>
  <c r="U9" i="25"/>
  <c r="V9" i="25"/>
  <c r="X9" i="25"/>
  <c r="Y9" i="25"/>
  <c r="Z9" i="25"/>
  <c r="AA9" i="25"/>
  <c r="AB9" i="25"/>
  <c r="AC9" i="25"/>
  <c r="AD9" i="25"/>
  <c r="AE9" i="25"/>
  <c r="AF9" i="25"/>
  <c r="AG9" i="25"/>
  <c r="AH9" i="25"/>
  <c r="AI9" i="25"/>
  <c r="AJ9" i="25"/>
  <c r="AK9" i="25"/>
  <c r="AL9" i="25"/>
  <c r="AM9" i="25"/>
  <c r="AN9" i="25"/>
  <c r="AO9" i="25"/>
  <c r="AP9" i="25"/>
  <c r="AQ9" i="25"/>
  <c r="AR9" i="25"/>
  <c r="AS9" i="25"/>
  <c r="AT9" i="25"/>
  <c r="AU9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X10" i="25"/>
  <c r="Y10" i="25"/>
  <c r="Z10" i="25"/>
  <c r="AA10" i="25"/>
  <c r="AB10" i="25"/>
  <c r="AC10" i="25"/>
  <c r="AD10" i="25"/>
  <c r="AE10" i="25"/>
  <c r="AF10" i="25"/>
  <c r="AG10" i="25"/>
  <c r="AH10" i="25"/>
  <c r="AI10" i="25"/>
  <c r="AJ10" i="25"/>
  <c r="AK10" i="25"/>
  <c r="AL10" i="25"/>
  <c r="AM10" i="25"/>
  <c r="AN10" i="25"/>
  <c r="AO10" i="25"/>
  <c r="AP10" i="25"/>
  <c r="AQ10" i="25"/>
  <c r="AR10" i="25"/>
  <c r="AS10" i="25"/>
  <c r="AT10" i="25"/>
  <c r="AU10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AN11" i="25"/>
  <c r="AO11" i="25"/>
  <c r="AP11" i="25"/>
  <c r="AQ11" i="25"/>
  <c r="AR11" i="25"/>
  <c r="AS11" i="25"/>
  <c r="AT11" i="25"/>
  <c r="AU11" i="25"/>
  <c r="AV11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T12" i="25"/>
  <c r="AU12" i="25"/>
  <c r="AV12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T13" i="25"/>
  <c r="AU13" i="25"/>
  <c r="AV13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T14" i="25"/>
  <c r="AU14" i="25"/>
  <c r="AV14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T15" i="25"/>
  <c r="AU15" i="25"/>
  <c r="AV15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T16" i="25"/>
  <c r="AU16" i="25"/>
  <c r="AV16" i="25"/>
  <c r="K17" i="25"/>
  <c r="L17" i="25"/>
  <c r="M17" i="25"/>
  <c r="N17" i="25"/>
  <c r="O17" i="25"/>
  <c r="P17" i="25"/>
  <c r="Q17" i="25"/>
  <c r="R17" i="25"/>
  <c r="S17" i="25"/>
  <c r="T17" i="25"/>
  <c r="U17" i="25"/>
  <c r="V17" i="25"/>
  <c r="W17" i="25"/>
  <c r="X17" i="25"/>
  <c r="Y17" i="25"/>
  <c r="Z17" i="25"/>
  <c r="AA17" i="25"/>
  <c r="AB17" i="25"/>
  <c r="AC17" i="25"/>
  <c r="AD17" i="25"/>
  <c r="AE17" i="25"/>
  <c r="AF17" i="25"/>
  <c r="AG17" i="25"/>
  <c r="AH17" i="25"/>
  <c r="AI17" i="25"/>
  <c r="AJ17" i="25"/>
  <c r="AK17" i="25"/>
  <c r="AL17" i="25"/>
  <c r="AM17" i="25"/>
  <c r="AN17" i="25"/>
  <c r="AO17" i="25"/>
  <c r="AP17" i="25"/>
  <c r="AQ17" i="25"/>
  <c r="AR17" i="25"/>
  <c r="AT17" i="25"/>
  <c r="AU17" i="25"/>
  <c r="AV17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W18" i="25"/>
  <c r="X18" i="25"/>
  <c r="Y18" i="25"/>
  <c r="Z18" i="25"/>
  <c r="AA18" i="25"/>
  <c r="AB18" i="25"/>
  <c r="AC18" i="25"/>
  <c r="AD18" i="25"/>
  <c r="AE18" i="25"/>
  <c r="AF18" i="25"/>
  <c r="AG18" i="25"/>
  <c r="AH18" i="25"/>
  <c r="AI18" i="25"/>
  <c r="AJ18" i="25"/>
  <c r="AK18" i="25"/>
  <c r="AL18" i="25"/>
  <c r="AM18" i="25"/>
  <c r="AN18" i="25"/>
  <c r="AO18" i="25"/>
  <c r="AP18" i="25"/>
  <c r="AQ18" i="25"/>
  <c r="AR18" i="25"/>
  <c r="AT18" i="25"/>
  <c r="AU18" i="25"/>
  <c r="AV18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N19" i="25"/>
  <c r="AO19" i="25"/>
  <c r="AP19" i="25"/>
  <c r="AQ19" i="25"/>
  <c r="AR19" i="25"/>
  <c r="AT19" i="25"/>
  <c r="AU19" i="25"/>
  <c r="AV19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C20" i="25"/>
  <c r="AD20" i="25"/>
  <c r="AE20" i="25"/>
  <c r="AF20" i="25"/>
  <c r="AG20" i="25"/>
  <c r="AH20" i="25"/>
  <c r="AI20" i="25"/>
  <c r="AJ20" i="25"/>
  <c r="AK20" i="25"/>
  <c r="AL20" i="25"/>
  <c r="AM20" i="25"/>
  <c r="AN20" i="25"/>
  <c r="AO20" i="25"/>
  <c r="AP20" i="25"/>
  <c r="AQ20" i="25"/>
  <c r="AR20" i="25"/>
  <c r="AT20" i="25"/>
  <c r="AU20" i="25"/>
  <c r="AV20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AR21" i="25"/>
  <c r="AS21" i="25"/>
  <c r="AT21" i="25"/>
  <c r="AU21" i="25"/>
  <c r="AV21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AT22" i="25"/>
  <c r="AU22" i="25"/>
  <c r="AV22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AT23" i="25"/>
  <c r="AU23" i="25"/>
  <c r="AV23" i="25"/>
  <c r="C24" i="25"/>
  <c r="D24" i="25"/>
  <c r="E24" i="25"/>
  <c r="F24" i="25"/>
  <c r="G24" i="25"/>
  <c r="H24" i="25"/>
  <c r="I24" i="25"/>
  <c r="J24" i="25"/>
  <c r="K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P24" i="25"/>
  <c r="AQ24" i="25"/>
  <c r="AR24" i="25"/>
  <c r="AS24" i="25"/>
  <c r="AT24" i="25"/>
  <c r="AU24" i="25"/>
  <c r="AV24" i="25"/>
  <c r="C25" i="25"/>
  <c r="D25" i="25"/>
  <c r="E25" i="25"/>
  <c r="F25" i="25"/>
  <c r="G25" i="25"/>
  <c r="H25" i="25"/>
  <c r="I25" i="25"/>
  <c r="J25" i="25"/>
  <c r="K25" i="25"/>
  <c r="U25" i="25"/>
  <c r="V25" i="25"/>
  <c r="W25" i="25"/>
  <c r="X25" i="25"/>
  <c r="Y25" i="25"/>
  <c r="Z25" i="25"/>
  <c r="AA25" i="25"/>
  <c r="AB25" i="25"/>
  <c r="AC25" i="25"/>
  <c r="AD25" i="25"/>
  <c r="AE25" i="25"/>
  <c r="AF25" i="25"/>
  <c r="AP25" i="25"/>
  <c r="AQ25" i="25"/>
  <c r="AR25" i="25"/>
  <c r="AS25" i="25"/>
  <c r="AT25" i="25"/>
  <c r="AU25" i="25"/>
  <c r="AV25" i="25"/>
  <c r="C26" i="25"/>
  <c r="D26" i="25"/>
  <c r="E26" i="25"/>
  <c r="F26" i="25"/>
  <c r="G26" i="25"/>
  <c r="H26" i="25"/>
  <c r="I26" i="25"/>
  <c r="J26" i="25"/>
  <c r="K26" i="25"/>
  <c r="U26" i="25"/>
  <c r="V26" i="25"/>
  <c r="W26" i="25"/>
  <c r="X26" i="25"/>
  <c r="Y26" i="25"/>
  <c r="Z26" i="25"/>
  <c r="AA26" i="25"/>
  <c r="AB26" i="25"/>
  <c r="AC26" i="25"/>
  <c r="AD26" i="25"/>
  <c r="AE26" i="25"/>
  <c r="AF26" i="25"/>
  <c r="AP26" i="25"/>
  <c r="AQ26" i="25"/>
  <c r="AR26" i="25"/>
  <c r="AS26" i="25"/>
  <c r="AT26" i="25"/>
  <c r="AU26" i="25"/>
  <c r="AV26" i="25"/>
  <c r="C27" i="25"/>
  <c r="D27" i="25"/>
  <c r="E27" i="25"/>
  <c r="F27" i="25"/>
  <c r="G27" i="25"/>
  <c r="H27" i="25"/>
  <c r="I27" i="25"/>
  <c r="J27" i="25"/>
  <c r="K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P27" i="25"/>
  <c r="AQ27" i="25"/>
  <c r="AR27" i="25"/>
  <c r="AS27" i="25"/>
  <c r="AT27" i="25"/>
  <c r="AU27" i="25"/>
  <c r="AV27" i="25"/>
  <c r="C28" i="25"/>
  <c r="D28" i="25"/>
  <c r="E28" i="25"/>
  <c r="F28" i="25"/>
  <c r="G28" i="25"/>
  <c r="H28" i="25"/>
  <c r="I28" i="25"/>
  <c r="J28" i="25"/>
  <c r="K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P28" i="25"/>
  <c r="AQ28" i="25"/>
  <c r="AR28" i="25"/>
  <c r="AS28" i="25"/>
  <c r="AT28" i="25"/>
  <c r="AU28" i="25"/>
  <c r="AV28" i="25"/>
  <c r="C29" i="25"/>
  <c r="D29" i="25"/>
  <c r="E29" i="25"/>
  <c r="F29" i="25"/>
  <c r="G29" i="25"/>
  <c r="H29" i="25"/>
  <c r="I29" i="25"/>
  <c r="J29" i="25"/>
  <c r="K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P29" i="25"/>
  <c r="AQ29" i="25"/>
  <c r="AR29" i="25"/>
  <c r="AS29" i="25"/>
  <c r="AT29" i="25"/>
  <c r="AU29" i="25"/>
  <c r="AV29" i="25"/>
  <c r="C30" i="25"/>
  <c r="D30" i="25"/>
  <c r="E30" i="25"/>
  <c r="F30" i="25"/>
  <c r="G30" i="25"/>
  <c r="H30" i="25"/>
  <c r="I30" i="25"/>
  <c r="J30" i="25"/>
  <c r="K30" i="25"/>
  <c r="U30" i="25"/>
  <c r="V30" i="25"/>
  <c r="W30" i="25"/>
  <c r="X30" i="25"/>
  <c r="Y30" i="25"/>
  <c r="Z30" i="25"/>
  <c r="AA30" i="25"/>
  <c r="AB30" i="25"/>
  <c r="AC30" i="25"/>
  <c r="AD30" i="25"/>
  <c r="AE30" i="25"/>
  <c r="AF30" i="25"/>
  <c r="AP30" i="25"/>
  <c r="AQ30" i="25"/>
  <c r="AR30" i="25"/>
  <c r="AS30" i="25"/>
  <c r="AT30" i="25"/>
  <c r="AU30" i="25"/>
  <c r="AV30" i="25"/>
  <c r="C31" i="25"/>
  <c r="D31" i="25"/>
  <c r="E31" i="25"/>
  <c r="F31" i="25"/>
  <c r="G31" i="25"/>
  <c r="H31" i="25"/>
  <c r="I31" i="25"/>
  <c r="J31" i="25"/>
  <c r="K31" i="25"/>
  <c r="U31" i="25"/>
  <c r="V31" i="25"/>
  <c r="W31" i="25"/>
  <c r="X31" i="25"/>
  <c r="Y31" i="25"/>
  <c r="Z31" i="25"/>
  <c r="AA31" i="25"/>
  <c r="AB31" i="25"/>
  <c r="AC31" i="25"/>
  <c r="AD31" i="25"/>
  <c r="AE31" i="25"/>
  <c r="AF31" i="25"/>
  <c r="AP31" i="25"/>
  <c r="AQ31" i="25"/>
  <c r="AR31" i="25"/>
  <c r="AS31" i="25"/>
  <c r="AT31" i="25"/>
  <c r="AU31" i="25"/>
  <c r="AV31" i="25"/>
  <c r="C32" i="25"/>
  <c r="D32" i="25"/>
  <c r="E32" i="25"/>
  <c r="F32" i="25"/>
  <c r="G32" i="25"/>
  <c r="H32" i="25"/>
  <c r="I32" i="25"/>
  <c r="J32" i="25"/>
  <c r="K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P32" i="25"/>
  <c r="AQ32" i="25"/>
  <c r="AR32" i="25"/>
  <c r="AS32" i="25"/>
  <c r="AT32" i="25"/>
  <c r="AU32" i="25"/>
  <c r="AV32" i="25"/>
  <c r="K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AP33" i="25"/>
  <c r="AQ33" i="25"/>
  <c r="AR33" i="25"/>
  <c r="AT33" i="25"/>
  <c r="AU33" i="25"/>
  <c r="AV33" i="25"/>
  <c r="K34" i="25"/>
  <c r="L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AN34" i="25"/>
  <c r="AO34" i="25"/>
  <c r="AP34" i="25"/>
  <c r="AQ34" i="25"/>
  <c r="AR34" i="25"/>
  <c r="AT34" i="25"/>
  <c r="AU34" i="25"/>
  <c r="AV34" i="25"/>
  <c r="K35" i="25"/>
  <c r="L35" i="25"/>
  <c r="M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T35" i="25"/>
  <c r="AU35" i="25"/>
  <c r="AV35" i="25"/>
  <c r="K36" i="25"/>
  <c r="L36" i="25"/>
  <c r="M36" i="25"/>
  <c r="N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AN36" i="25"/>
  <c r="AO36" i="25"/>
  <c r="AP36" i="25"/>
  <c r="AQ36" i="25"/>
  <c r="AR36" i="25"/>
  <c r="AT36" i="25"/>
  <c r="AU36" i="25"/>
  <c r="AV36" i="25"/>
  <c r="K37" i="25"/>
  <c r="L37" i="25"/>
  <c r="M37" i="25"/>
  <c r="N37" i="25"/>
  <c r="O37" i="25"/>
  <c r="Q37" i="25"/>
  <c r="R37" i="25"/>
  <c r="S37" i="25"/>
  <c r="T37" i="25"/>
  <c r="U37" i="25"/>
  <c r="V37" i="25"/>
  <c r="W37" i="25"/>
  <c r="X37" i="25"/>
  <c r="Y37" i="25"/>
  <c r="Z37" i="25"/>
  <c r="AA37" i="25"/>
  <c r="AB37" i="25"/>
  <c r="AC37" i="25"/>
  <c r="AD37" i="25"/>
  <c r="AE37" i="25"/>
  <c r="AF37" i="25"/>
  <c r="AG37" i="25"/>
  <c r="AH37" i="25"/>
  <c r="AI37" i="25"/>
  <c r="AJ37" i="25"/>
  <c r="AK37" i="25"/>
  <c r="AL37" i="25"/>
  <c r="AM37" i="25"/>
  <c r="AN37" i="25"/>
  <c r="AO37" i="25"/>
  <c r="AP37" i="25"/>
  <c r="AQ37" i="25"/>
  <c r="AR37" i="25"/>
  <c r="AT37" i="25"/>
  <c r="AU37" i="25"/>
  <c r="AV37" i="25"/>
  <c r="K38" i="25"/>
  <c r="L38" i="25"/>
  <c r="M38" i="25"/>
  <c r="N38" i="25"/>
  <c r="O38" i="25"/>
  <c r="P38" i="25"/>
  <c r="R38" i="25"/>
  <c r="S38" i="25"/>
  <c r="T38" i="25"/>
  <c r="U38" i="25"/>
  <c r="V38" i="25"/>
  <c r="W38" i="25"/>
  <c r="X38" i="25"/>
  <c r="Y38" i="25"/>
  <c r="Z38" i="25"/>
  <c r="AA38" i="25"/>
  <c r="AB38" i="25"/>
  <c r="AC38" i="25"/>
  <c r="AD38" i="25"/>
  <c r="AE38" i="25"/>
  <c r="AF38" i="25"/>
  <c r="AG38" i="25"/>
  <c r="AH38" i="25"/>
  <c r="AI38" i="25"/>
  <c r="AJ38" i="25"/>
  <c r="AK38" i="25"/>
  <c r="AL38" i="25"/>
  <c r="AM38" i="25"/>
  <c r="AN38" i="25"/>
  <c r="AO38" i="25"/>
  <c r="AP38" i="25"/>
  <c r="AQ38" i="25"/>
  <c r="AR38" i="25"/>
  <c r="AT38" i="25"/>
  <c r="AU38" i="25"/>
  <c r="AV38" i="25"/>
  <c r="K39" i="25"/>
  <c r="L39" i="25"/>
  <c r="M39" i="25"/>
  <c r="N39" i="25"/>
  <c r="O39" i="25"/>
  <c r="P39" i="25"/>
  <c r="Q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AT39" i="25"/>
  <c r="AU39" i="25"/>
  <c r="AV39" i="25"/>
  <c r="K40" i="25"/>
  <c r="L40" i="25"/>
  <c r="M40" i="25"/>
  <c r="N40" i="25"/>
  <c r="O40" i="25"/>
  <c r="P40" i="25"/>
  <c r="Q40" i="25"/>
  <c r="R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L40" i="25"/>
  <c r="AM40" i="25"/>
  <c r="AN40" i="25"/>
  <c r="AO40" i="25"/>
  <c r="AP40" i="25"/>
  <c r="AQ40" i="25"/>
  <c r="AR40" i="25"/>
  <c r="AS40" i="25"/>
  <c r="AT40" i="25"/>
  <c r="AU40" i="25"/>
  <c r="AV40" i="25"/>
  <c r="K41" i="25"/>
  <c r="L41" i="25"/>
  <c r="M41" i="25"/>
  <c r="N41" i="25"/>
  <c r="O41" i="25"/>
  <c r="P41" i="25"/>
  <c r="Q41" i="25"/>
  <c r="R41" i="25"/>
  <c r="S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AL41" i="25"/>
  <c r="AM41" i="25"/>
  <c r="AN41" i="25"/>
  <c r="AO41" i="25"/>
  <c r="AP41" i="25"/>
  <c r="AQ41" i="25"/>
  <c r="AR41" i="25"/>
  <c r="AS41" i="25"/>
  <c r="AT41" i="25"/>
  <c r="AU41" i="25"/>
  <c r="AV41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AG42" i="25"/>
  <c r="AH42" i="25"/>
  <c r="AI42" i="25"/>
  <c r="AJ42" i="25"/>
  <c r="AK42" i="25"/>
  <c r="AL42" i="25"/>
  <c r="AM42" i="25"/>
  <c r="AN42" i="25"/>
  <c r="AO42" i="25"/>
  <c r="AP42" i="25"/>
  <c r="AQ42" i="25"/>
  <c r="AR42" i="25"/>
  <c r="AS42" i="25"/>
  <c r="AT42" i="25"/>
  <c r="AU42" i="25"/>
  <c r="AV42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AN43" i="25"/>
  <c r="AO43" i="25"/>
  <c r="AP43" i="25"/>
  <c r="AQ43" i="25"/>
  <c r="AR43" i="25"/>
  <c r="AS43" i="25"/>
  <c r="AT43" i="25"/>
  <c r="AU43" i="25"/>
  <c r="AV43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AG44" i="25"/>
  <c r="AH44" i="25"/>
  <c r="AI44" i="25"/>
  <c r="AJ44" i="25"/>
  <c r="AK44" i="25"/>
  <c r="AL44" i="25"/>
  <c r="AM44" i="25"/>
  <c r="AN44" i="25"/>
  <c r="AO44" i="25"/>
  <c r="AP44" i="25"/>
  <c r="AQ44" i="25"/>
  <c r="AR44" i="25"/>
  <c r="AS44" i="25"/>
  <c r="AT44" i="25"/>
  <c r="AU44" i="25"/>
  <c r="AV44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AN45" i="25"/>
  <c r="AO45" i="25"/>
  <c r="AP45" i="25"/>
  <c r="AQ45" i="25"/>
  <c r="AR45" i="25"/>
  <c r="AS45" i="25"/>
  <c r="AT45" i="25"/>
  <c r="AU45" i="25"/>
  <c r="AV45" i="25"/>
  <c r="C46" i="25"/>
  <c r="D46" i="25"/>
  <c r="E46" i="25"/>
  <c r="F46" i="25"/>
  <c r="G46" i="25"/>
  <c r="H46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W46" i="25"/>
  <c r="X46" i="25"/>
  <c r="Y46" i="25"/>
  <c r="Z46" i="25"/>
  <c r="AA46" i="25"/>
  <c r="AB46" i="25"/>
  <c r="AC46" i="25"/>
  <c r="AD46" i="25"/>
  <c r="AE46" i="25"/>
  <c r="AF46" i="25"/>
  <c r="AG46" i="25"/>
  <c r="AH46" i="25"/>
  <c r="AI46" i="25"/>
  <c r="AJ46" i="25"/>
  <c r="AK46" i="25"/>
  <c r="AL46" i="25"/>
  <c r="AM46" i="25"/>
  <c r="AN46" i="25"/>
  <c r="AO46" i="25"/>
  <c r="AP46" i="25"/>
  <c r="AQ46" i="25"/>
  <c r="AR46" i="25"/>
  <c r="AS46" i="25"/>
  <c r="AT46" i="25"/>
  <c r="AU46" i="25"/>
  <c r="AV46" i="25"/>
  <c r="C47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R47" i="25"/>
  <c r="AS47" i="25"/>
  <c r="AT47" i="25"/>
  <c r="AU47" i="25"/>
  <c r="AV47" i="25"/>
  <c r="C48" i="25"/>
  <c r="D48" i="25"/>
  <c r="E48" i="25"/>
  <c r="F48" i="25"/>
  <c r="G48" i="25"/>
  <c r="H48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W48" i="25"/>
  <c r="X48" i="25"/>
  <c r="Y48" i="25"/>
  <c r="Z48" i="25"/>
  <c r="AA48" i="25"/>
  <c r="AB48" i="25"/>
  <c r="AC48" i="25"/>
  <c r="AD48" i="25"/>
  <c r="AE48" i="25"/>
  <c r="AF48" i="25"/>
  <c r="AG48" i="25"/>
  <c r="AH48" i="25"/>
  <c r="AI48" i="25"/>
  <c r="AJ48" i="25"/>
  <c r="AK48" i="25"/>
  <c r="AL48" i="25"/>
  <c r="AM48" i="25"/>
  <c r="AN48" i="25"/>
  <c r="AO48" i="25"/>
  <c r="AP48" i="25"/>
  <c r="AQ48" i="25"/>
  <c r="AR48" i="25"/>
  <c r="AS48" i="25"/>
  <c r="AT48" i="25"/>
  <c r="AU48" i="25"/>
  <c r="AV48" i="25"/>
  <c r="B11" i="25"/>
  <c r="B23" i="25"/>
  <c r="B24" i="25"/>
  <c r="B25" i="25"/>
  <c r="B26" i="25"/>
  <c r="B27" i="25"/>
  <c r="B28" i="25"/>
  <c r="B29" i="25"/>
  <c r="B30" i="25"/>
  <c r="B31" i="25"/>
  <c r="B32" i="25"/>
  <c r="B42" i="25"/>
  <c r="B46" i="25"/>
  <c r="B47" i="25"/>
  <c r="B48" i="25"/>
  <c r="BM32" i="8" l="1"/>
  <c r="AW43" i="8" s="1"/>
  <c r="AZ39" i="8"/>
  <c r="E28" i="34"/>
  <c r="BE68" i="8"/>
  <c r="D21" i="35" s="1"/>
  <c r="BM35" i="8"/>
  <c r="S26" i="29" s="1"/>
  <c r="BM38" i="8"/>
  <c r="S29" i="29" s="1"/>
  <c r="BH68" i="8"/>
  <c r="G21" i="35" s="1"/>
  <c r="E29" i="34"/>
  <c r="S41" i="29"/>
  <c r="S41" i="34" s="1"/>
  <c r="S28" i="34"/>
  <c r="BM36" i="8"/>
  <c r="S27" i="29" s="1"/>
  <c r="BF68" i="8"/>
  <c r="E21" i="35" s="1"/>
  <c r="V109" i="17"/>
  <c r="AW47" i="8"/>
  <c r="BI39" i="8"/>
  <c r="BF57" i="8"/>
  <c r="E10" i="35" s="1"/>
  <c r="AW39" i="8"/>
  <c r="N27" i="29"/>
  <c r="BH39" i="8"/>
  <c r="O42" i="29"/>
  <c r="O42" i="34" s="1"/>
  <c r="O29" i="34"/>
  <c r="G25" i="34"/>
  <c r="BE57" i="8"/>
  <c r="D10" i="35" s="1"/>
  <c r="D38" i="29"/>
  <c r="D38" i="34" s="1"/>
  <c r="P38" i="29"/>
  <c r="P38" i="34" s="1"/>
  <c r="P25" i="34"/>
  <c r="C38" i="29"/>
  <c r="C38" i="34" s="1"/>
  <c r="C25" i="34"/>
  <c r="AV42" i="8"/>
  <c r="G27" i="34"/>
  <c r="G40" i="29"/>
  <c r="G40" i="34" s="1"/>
  <c r="G26" i="34"/>
  <c r="G39" i="29"/>
  <c r="G39" i="34" s="1"/>
  <c r="P28" i="34"/>
  <c r="P41" i="29"/>
  <c r="P41" i="34" s="1"/>
  <c r="R25" i="34"/>
  <c r="R38" i="29"/>
  <c r="R38" i="34" s="1"/>
  <c r="I25" i="34"/>
  <c r="I38" i="29"/>
  <c r="G42" i="29"/>
  <c r="G42" i="34" s="1"/>
  <c r="G29" i="34"/>
  <c r="BD57" i="8"/>
  <c r="C10" i="35" s="1"/>
  <c r="BB34" i="8"/>
  <c r="BB32" i="8"/>
  <c r="AW41" i="8" s="1"/>
  <c r="H40" i="29"/>
  <c r="H40" i="34" s="1"/>
  <c r="H27" i="34"/>
  <c r="H28" i="34"/>
  <c r="H41" i="29"/>
  <c r="H41" i="34" s="1"/>
  <c r="P42" i="29"/>
  <c r="P42" i="34" s="1"/>
  <c r="P29" i="34"/>
  <c r="H42" i="29"/>
  <c r="H42" i="34" s="1"/>
  <c r="H29" i="34"/>
  <c r="H26" i="34"/>
  <c r="H39" i="29"/>
  <c r="H39" i="34" s="1"/>
  <c r="P26" i="29"/>
  <c r="BJ39" i="8"/>
  <c r="BA39" i="8"/>
  <c r="G107" i="17"/>
  <c r="G108" i="17" s="1"/>
  <c r="AW45" i="8"/>
  <c r="F107" i="17"/>
  <c r="F108" i="17" s="1"/>
  <c r="E39" i="29"/>
  <c r="E39" i="34" s="1"/>
  <c r="E26" i="34"/>
  <c r="M26" i="29"/>
  <c r="BG39" i="8"/>
  <c r="E40" i="29"/>
  <c r="E40" i="34" s="1"/>
  <c r="E27" i="34"/>
  <c r="M42" i="29"/>
  <c r="M42" i="34" s="1"/>
  <c r="M29" i="34"/>
  <c r="E25" i="29"/>
  <c r="AY39" i="8"/>
  <c r="O107" i="17"/>
  <c r="O108" i="17" s="1"/>
  <c r="BD69" i="8"/>
  <c r="C22" i="35" s="1"/>
  <c r="C107" i="17"/>
  <c r="C108" i="17" s="1"/>
  <c r="E107" i="17"/>
  <c r="E108" i="17" s="1"/>
  <c r="T88" i="17"/>
  <c r="T107" i="17" s="1"/>
  <c r="T108" i="17" s="1"/>
  <c r="L107" i="17"/>
  <c r="L108" i="17" s="1"/>
  <c r="BN38" i="8"/>
  <c r="T29" i="29" s="1"/>
  <c r="BH69" i="8"/>
  <c r="G22" i="35" s="1"/>
  <c r="T25" i="29"/>
  <c r="BF36" i="8"/>
  <c r="L27" i="29" s="1"/>
  <c r="BF61" i="8"/>
  <c r="E14" i="35" s="1"/>
  <c r="C109" i="17"/>
  <c r="B38" i="34"/>
  <c r="AE42" i="8"/>
  <c r="D107" i="17"/>
  <c r="D108" i="17" s="1"/>
  <c r="BF37" i="8"/>
  <c r="BG61" i="8"/>
  <c r="F14" i="35" s="1"/>
  <c r="BQ30" i="8"/>
  <c r="BS30" i="8" s="1"/>
  <c r="G38" i="34"/>
  <c r="BN35" i="8"/>
  <c r="T26" i="29" s="1"/>
  <c r="BE69" i="8"/>
  <c r="D22" i="35" s="1"/>
  <c r="AJ43" i="8"/>
  <c r="BF27" i="8"/>
  <c r="AF43" i="8"/>
  <c r="BF28" i="8"/>
  <c r="AG43" i="8"/>
  <c r="AX38" i="8"/>
  <c r="BH53" i="8"/>
  <c r="G6" i="35" s="1"/>
  <c r="BQ31" i="8"/>
  <c r="BS31" i="8" s="1"/>
  <c r="H107" i="17"/>
  <c r="H108" i="17" s="1"/>
  <c r="L109" i="17"/>
  <c r="K38" i="34"/>
  <c r="T41" i="29"/>
  <c r="T41" i="34" s="1"/>
  <c r="T28" i="34"/>
  <c r="U88" i="17"/>
  <c r="U107" i="17" s="1"/>
  <c r="U108" i="17" s="1"/>
  <c r="M107" i="17"/>
  <c r="M108" i="17" s="1"/>
  <c r="BF38" i="8"/>
  <c r="L29" i="29" s="1"/>
  <c r="BH61" i="8"/>
  <c r="G14" i="35" s="1"/>
  <c r="BF69" i="8"/>
  <c r="E22" i="35" s="1"/>
  <c r="BN36" i="8"/>
  <c r="T27" i="29" s="1"/>
  <c r="K129" i="17"/>
  <c r="J18" i="29" s="1"/>
  <c r="J18" i="34" s="1"/>
  <c r="K124" i="17"/>
  <c r="J13" i="29" s="1"/>
  <c r="J13" i="34" s="1"/>
  <c r="K122" i="17"/>
  <c r="J11" i="29" s="1"/>
  <c r="J11" i="34" s="1"/>
  <c r="K119" i="17"/>
  <c r="J8" i="29" s="1"/>
  <c r="J8" i="34" s="1"/>
  <c r="K115" i="17"/>
  <c r="J4" i="29" s="1"/>
  <c r="J4" i="34" s="1"/>
  <c r="K121" i="17"/>
  <c r="J10" i="29" s="1"/>
  <c r="J10" i="34" s="1"/>
  <c r="K120" i="17"/>
  <c r="J9" i="29" s="1"/>
  <c r="J9" i="34" s="1"/>
  <c r="K125" i="17"/>
  <c r="J14" i="29" s="1"/>
  <c r="J14" i="34" s="1"/>
  <c r="K114" i="17"/>
  <c r="J3" i="29" s="1"/>
  <c r="J3" i="34" s="1"/>
  <c r="K118" i="17"/>
  <c r="J7" i="29" s="1"/>
  <c r="J7" i="34" s="1"/>
  <c r="K126" i="17"/>
  <c r="J15" i="29" s="1"/>
  <c r="J15" i="34" s="1"/>
  <c r="K128" i="17"/>
  <c r="J17" i="29" s="1"/>
  <c r="J17" i="34" s="1"/>
  <c r="K117" i="17"/>
  <c r="J6" i="29" s="1"/>
  <c r="J6" i="34" s="1"/>
  <c r="K116" i="17"/>
  <c r="J5" i="29" s="1"/>
  <c r="J5" i="34" s="1"/>
  <c r="K127" i="17"/>
  <c r="J16" i="29" s="1"/>
  <c r="J16" i="34" s="1"/>
  <c r="K131" i="17"/>
  <c r="J20" i="29" s="1"/>
  <c r="J20" i="34" s="1"/>
  <c r="K132" i="17"/>
  <c r="J21" i="29" s="1"/>
  <c r="J21" i="34" s="1"/>
  <c r="K130" i="17"/>
  <c r="J19" i="29" s="1"/>
  <c r="J19" i="34" s="1"/>
  <c r="K113" i="17"/>
  <c r="J2" i="29" s="1"/>
  <c r="K123" i="17"/>
  <c r="J12" i="29" s="1"/>
  <c r="J12" i="34" s="1"/>
  <c r="AH43" i="8"/>
  <c r="V88" i="17"/>
  <c r="V107" i="17" s="1"/>
  <c r="V108" i="17" s="1"/>
  <c r="N107" i="17"/>
  <c r="N108" i="17" s="1"/>
  <c r="BN32" i="8"/>
  <c r="AX36" i="8"/>
  <c r="BF53" i="8"/>
  <c r="E6" i="35" s="1"/>
  <c r="AX32" i="8"/>
  <c r="BQ29" i="8"/>
  <c r="BS29" i="8" s="1"/>
  <c r="S88" i="17"/>
  <c r="S107" i="17" s="1"/>
  <c r="S108" i="17" s="1"/>
  <c r="J107" i="17"/>
  <c r="J108" i="17" s="1"/>
  <c r="P107" i="17"/>
  <c r="P108" i="17" s="1"/>
  <c r="N38" i="34"/>
  <c r="C42" i="29"/>
  <c r="C42" i="34" s="1"/>
  <c r="S25" i="29"/>
  <c r="S25" i="34" s="1"/>
  <c r="C40" i="29"/>
  <c r="C40" i="34" s="1"/>
  <c r="C39" i="29"/>
  <c r="C39" i="34" s="1"/>
  <c r="C41" i="29"/>
  <c r="C41" i="34" s="1"/>
  <c r="AS50" i="7"/>
  <c r="AY48" i="7"/>
  <c r="C3" i="23"/>
  <c r="V111" i="17" l="1"/>
  <c r="AV46" i="8"/>
  <c r="S39" i="29"/>
  <c r="S39" i="34" s="1"/>
  <c r="S26" i="34"/>
  <c r="S29" i="34"/>
  <c r="S42" i="29"/>
  <c r="S42" i="34" s="1"/>
  <c r="S40" i="29"/>
  <c r="S40" i="34" s="1"/>
  <c r="S27" i="34"/>
  <c r="BM39" i="8"/>
  <c r="AV43" i="8" s="1"/>
  <c r="AV47" i="8"/>
  <c r="S109" i="17"/>
  <c r="S111" i="17" s="1"/>
  <c r="S115" i="17" s="1"/>
  <c r="R4" i="29" s="1"/>
  <c r="R4" i="34" s="1"/>
  <c r="P109" i="17"/>
  <c r="P111" i="17" s="1"/>
  <c r="N27" i="34"/>
  <c r="N40" i="29"/>
  <c r="H109" i="17"/>
  <c r="H111" i="17" s="1"/>
  <c r="H126" i="17" s="1"/>
  <c r="G15" i="29" s="1"/>
  <c r="G15" i="34" s="1"/>
  <c r="P39" i="29"/>
  <c r="P39" i="34" s="1"/>
  <c r="P26" i="34"/>
  <c r="I38" i="34"/>
  <c r="J109" i="17"/>
  <c r="J111" i="17" s="1"/>
  <c r="H25" i="29"/>
  <c r="BB39" i="8"/>
  <c r="AV45" i="8"/>
  <c r="M26" i="34"/>
  <c r="M39" i="29"/>
  <c r="M39" i="34" s="1"/>
  <c r="E25" i="34"/>
  <c r="E38" i="29"/>
  <c r="E38" i="34" s="1"/>
  <c r="C111" i="17"/>
  <c r="J2" i="34"/>
  <c r="J87" i="29"/>
  <c r="J57" i="29"/>
  <c r="B69" i="29" s="1"/>
  <c r="C28" i="19" s="1"/>
  <c r="T39" i="29"/>
  <c r="T39" i="34" s="1"/>
  <c r="T26" i="34"/>
  <c r="BF35" i="8"/>
  <c r="BE61" i="8"/>
  <c r="D14" i="35" s="1"/>
  <c r="BQ28" i="8"/>
  <c r="BS28" i="8" s="1"/>
  <c r="V118" i="17"/>
  <c r="U7" i="29" s="1"/>
  <c r="U7" i="34" s="1"/>
  <c r="V127" i="17"/>
  <c r="U16" i="29" s="1"/>
  <c r="U16" i="34" s="1"/>
  <c r="V128" i="17"/>
  <c r="U17" i="29" s="1"/>
  <c r="U17" i="34" s="1"/>
  <c r="V116" i="17"/>
  <c r="U5" i="29" s="1"/>
  <c r="U5" i="34" s="1"/>
  <c r="V126" i="17"/>
  <c r="U15" i="29" s="1"/>
  <c r="U15" i="34" s="1"/>
  <c r="V120" i="17"/>
  <c r="U9" i="29" s="1"/>
  <c r="U9" i="34" s="1"/>
  <c r="V121" i="17"/>
  <c r="U10" i="29" s="1"/>
  <c r="U10" i="34" s="1"/>
  <c r="V119" i="17"/>
  <c r="U8" i="29" s="1"/>
  <c r="U8" i="34" s="1"/>
  <c r="V132" i="17"/>
  <c r="U21" i="29" s="1"/>
  <c r="U21" i="34" s="1"/>
  <c r="V130" i="17"/>
  <c r="U19" i="29" s="1"/>
  <c r="U19" i="34" s="1"/>
  <c r="V122" i="17"/>
  <c r="U11" i="29" s="1"/>
  <c r="U11" i="34" s="1"/>
  <c r="V123" i="17"/>
  <c r="U12" i="29" s="1"/>
  <c r="U12" i="34" s="1"/>
  <c r="V129" i="17"/>
  <c r="U18" i="29" s="1"/>
  <c r="U18" i="34" s="1"/>
  <c r="V114" i="17"/>
  <c r="U3" i="29" s="1"/>
  <c r="U3" i="34" s="1"/>
  <c r="V117" i="17"/>
  <c r="U6" i="29" s="1"/>
  <c r="U6" i="34" s="1"/>
  <c r="V131" i="17"/>
  <c r="U20" i="29" s="1"/>
  <c r="U20" i="34" s="1"/>
  <c r="V115" i="17"/>
  <c r="U4" i="29" s="1"/>
  <c r="U4" i="34" s="1"/>
  <c r="V124" i="17"/>
  <c r="U13" i="29" s="1"/>
  <c r="U13" i="34" s="1"/>
  <c r="V125" i="17"/>
  <c r="U14" i="29" s="1"/>
  <c r="U14" i="34" s="1"/>
  <c r="V113" i="17"/>
  <c r="U2" i="29" s="1"/>
  <c r="T27" i="34"/>
  <c r="T40" i="29"/>
  <c r="L40" i="29"/>
  <c r="L40" i="34" s="1"/>
  <c r="L27" i="34"/>
  <c r="L111" i="17"/>
  <c r="BF34" i="8"/>
  <c r="BD61" i="8"/>
  <c r="C14" i="35" s="1"/>
  <c r="BF32" i="8"/>
  <c r="AW44" i="8" s="1"/>
  <c r="AW51" i="8" s="1"/>
  <c r="BQ27" i="8"/>
  <c r="BN39" i="8"/>
  <c r="AK43" i="8"/>
  <c r="L28" i="29"/>
  <c r="BQ37" i="8"/>
  <c r="T25" i="34"/>
  <c r="T38" i="29"/>
  <c r="T38" i="34" s="1"/>
  <c r="L42" i="29"/>
  <c r="L42" i="34" s="1"/>
  <c r="L29" i="34"/>
  <c r="T42" i="29"/>
  <c r="T42" i="34" s="1"/>
  <c r="T29" i="34"/>
  <c r="D27" i="29"/>
  <c r="AX39" i="8"/>
  <c r="BQ36" i="8"/>
  <c r="D29" i="29"/>
  <c r="BQ38" i="8"/>
  <c r="D109" i="17"/>
  <c r="D111" i="17" s="1"/>
  <c r="D124" i="17" s="1"/>
  <c r="C13" i="29" s="1"/>
  <c r="C13" i="34" s="1"/>
  <c r="S38" i="29"/>
  <c r="G3" i="23"/>
  <c r="H3" i="23"/>
  <c r="I3" i="23"/>
  <c r="J3" i="23"/>
  <c r="K3" i="23"/>
  <c r="L3" i="23"/>
  <c r="M3" i="23"/>
  <c r="N3" i="23"/>
  <c r="F3" i="23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B17" i="1"/>
  <c r="B18" i="1"/>
  <c r="B19" i="1"/>
  <c r="B20" i="1"/>
  <c r="B21" i="1"/>
  <c r="B22" i="1"/>
  <c r="B23" i="1"/>
  <c r="B24" i="1"/>
  <c r="B16" i="1"/>
  <c r="C16" i="3"/>
  <c r="D16" i="3"/>
  <c r="E16" i="3"/>
  <c r="F16" i="3"/>
  <c r="G16" i="3"/>
  <c r="H16" i="3"/>
  <c r="I16" i="3"/>
  <c r="J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J18" i="3"/>
  <c r="C19" i="3"/>
  <c r="D19" i="3"/>
  <c r="E19" i="3"/>
  <c r="F19" i="3"/>
  <c r="G19" i="3"/>
  <c r="H19" i="3"/>
  <c r="I19" i="3"/>
  <c r="J19" i="3"/>
  <c r="C20" i="3"/>
  <c r="D20" i="3"/>
  <c r="E20" i="3"/>
  <c r="F20" i="3"/>
  <c r="G20" i="3"/>
  <c r="H20" i="3"/>
  <c r="I20" i="3"/>
  <c r="J20" i="3"/>
  <c r="C21" i="3"/>
  <c r="D21" i="3"/>
  <c r="E21" i="3"/>
  <c r="F21" i="3"/>
  <c r="G21" i="3"/>
  <c r="H21" i="3"/>
  <c r="I21" i="3"/>
  <c r="J21" i="3"/>
  <c r="C22" i="3"/>
  <c r="D22" i="3"/>
  <c r="E22" i="3"/>
  <c r="F22" i="3"/>
  <c r="G22" i="3"/>
  <c r="H22" i="3"/>
  <c r="I22" i="3"/>
  <c r="J22" i="3"/>
  <c r="C23" i="3"/>
  <c r="D23" i="3"/>
  <c r="E23" i="3"/>
  <c r="F23" i="3"/>
  <c r="G23" i="3"/>
  <c r="H23" i="3"/>
  <c r="I23" i="3"/>
  <c r="J23" i="3"/>
  <c r="C24" i="3"/>
  <c r="D24" i="3"/>
  <c r="E24" i="3"/>
  <c r="F24" i="3"/>
  <c r="G24" i="3"/>
  <c r="H24" i="3"/>
  <c r="I24" i="3"/>
  <c r="J24" i="3"/>
  <c r="B17" i="3"/>
  <c r="B18" i="3"/>
  <c r="B19" i="3"/>
  <c r="B20" i="3"/>
  <c r="B21" i="3"/>
  <c r="B22" i="3"/>
  <c r="B23" i="3"/>
  <c r="B24" i="3"/>
  <c r="B16" i="3"/>
  <c r="J25" i="23"/>
  <c r="C4" i="23"/>
  <c r="D21" i="7"/>
  <c r="C21" i="25" s="1"/>
  <c r="E21" i="7"/>
  <c r="D21" i="25" s="1"/>
  <c r="F21" i="7"/>
  <c r="E21" i="25" s="1"/>
  <c r="G21" i="7"/>
  <c r="F21" i="25" s="1"/>
  <c r="H21" i="7"/>
  <c r="G21" i="25" s="1"/>
  <c r="I21" i="7"/>
  <c r="H21" i="25" s="1"/>
  <c r="J21" i="7"/>
  <c r="I21" i="25" s="1"/>
  <c r="K21" i="7"/>
  <c r="J21" i="25" s="1"/>
  <c r="D22" i="7"/>
  <c r="C22" i="25" s="1"/>
  <c r="E22" i="7"/>
  <c r="D22" i="25" s="1"/>
  <c r="F22" i="7"/>
  <c r="E22" i="25" s="1"/>
  <c r="G22" i="7"/>
  <c r="F22" i="25" s="1"/>
  <c r="H22" i="7"/>
  <c r="G22" i="25" s="1"/>
  <c r="I22" i="7"/>
  <c r="H22" i="25" s="1"/>
  <c r="J22" i="7"/>
  <c r="I22" i="25" s="1"/>
  <c r="K22" i="7"/>
  <c r="J22" i="25" s="1"/>
  <c r="C22" i="7"/>
  <c r="C21" i="7"/>
  <c r="G54" i="22"/>
  <c r="F54" i="22"/>
  <c r="E54" i="22"/>
  <c r="D54" i="22"/>
  <c r="C54" i="22"/>
  <c r="B54" i="22"/>
  <c r="N12" i="22"/>
  <c r="M12" i="22"/>
  <c r="L12" i="22"/>
  <c r="K12" i="22"/>
  <c r="W11" i="22"/>
  <c r="N11" i="22"/>
  <c r="L24" i="22" s="1"/>
  <c r="M11" i="22"/>
  <c r="K24" i="22" s="1"/>
  <c r="B57" i="14" s="1"/>
  <c r="L11" i="22"/>
  <c r="K11" i="22"/>
  <c r="N10" i="22"/>
  <c r="L23" i="22" s="1"/>
  <c r="M10" i="22"/>
  <c r="K23" i="22" s="1"/>
  <c r="B56" i="14" s="1"/>
  <c r="L10" i="22"/>
  <c r="K10" i="22"/>
  <c r="N9" i="22"/>
  <c r="L22" i="22" s="1"/>
  <c r="M9" i="22"/>
  <c r="K22" i="22" s="1"/>
  <c r="B55" i="14" s="1"/>
  <c r="L9" i="22"/>
  <c r="K9" i="22"/>
  <c r="N8" i="22"/>
  <c r="L21" i="22" s="1"/>
  <c r="M8" i="22"/>
  <c r="K21" i="22" s="1"/>
  <c r="B54" i="14" s="1"/>
  <c r="L8" i="22"/>
  <c r="K8" i="22"/>
  <c r="N7" i="22"/>
  <c r="L20" i="22" s="1"/>
  <c r="M7" i="22"/>
  <c r="K20" i="22" s="1"/>
  <c r="B53" i="14" s="1"/>
  <c r="L7" i="22"/>
  <c r="K7" i="22"/>
  <c r="N6" i="22"/>
  <c r="L19" i="22" s="1"/>
  <c r="M6" i="22"/>
  <c r="K19" i="22" s="1"/>
  <c r="B52" i="14" s="1"/>
  <c r="L6" i="22"/>
  <c r="K6" i="22"/>
  <c r="N5" i="22"/>
  <c r="L18" i="22" s="1"/>
  <c r="M5" i="22"/>
  <c r="K18" i="22" s="1"/>
  <c r="B51" i="14" s="1"/>
  <c r="L5" i="22"/>
  <c r="K5" i="22"/>
  <c r="N4" i="22"/>
  <c r="L17" i="22" s="1"/>
  <c r="M4" i="22"/>
  <c r="K17" i="22" s="1"/>
  <c r="B50" i="14" s="1"/>
  <c r="L4" i="22"/>
  <c r="K4" i="22"/>
  <c r="N3" i="22"/>
  <c r="L16" i="22" s="1"/>
  <c r="M3" i="22"/>
  <c r="K16" i="22" s="1"/>
  <c r="B49" i="14" s="1"/>
  <c r="L3" i="22"/>
  <c r="K3" i="22"/>
  <c r="Y2" i="22"/>
  <c r="Y3" i="22" s="1"/>
  <c r="Q109" i="17" l="1"/>
  <c r="Q111" i="17" s="1"/>
  <c r="Q131" i="17" s="1"/>
  <c r="P20" i="29" s="1"/>
  <c r="P20" i="34" s="1"/>
  <c r="P126" i="17"/>
  <c r="O15" i="29" s="1"/>
  <c r="O15" i="34" s="1"/>
  <c r="P117" i="17"/>
  <c r="O6" i="29" s="1"/>
  <c r="O6" i="34" s="1"/>
  <c r="P127" i="17"/>
  <c r="O16" i="29" s="1"/>
  <c r="O16" i="34" s="1"/>
  <c r="P121" i="17"/>
  <c r="O10" i="29" s="1"/>
  <c r="O10" i="34" s="1"/>
  <c r="P124" i="17"/>
  <c r="O13" i="29" s="1"/>
  <c r="O13" i="34" s="1"/>
  <c r="P125" i="17"/>
  <c r="O14" i="29" s="1"/>
  <c r="O14" i="34" s="1"/>
  <c r="P123" i="17"/>
  <c r="O12" i="29" s="1"/>
  <c r="O12" i="34" s="1"/>
  <c r="P116" i="17"/>
  <c r="O5" i="29" s="1"/>
  <c r="O5" i="34" s="1"/>
  <c r="P113" i="17"/>
  <c r="O2" i="29" s="1"/>
  <c r="O2" i="34" s="1"/>
  <c r="P115" i="17"/>
  <c r="O4" i="29" s="1"/>
  <c r="O4" i="34" s="1"/>
  <c r="P118" i="17"/>
  <c r="O7" i="29" s="1"/>
  <c r="O7" i="34" s="1"/>
  <c r="P132" i="17"/>
  <c r="O21" i="29" s="1"/>
  <c r="O21" i="34" s="1"/>
  <c r="P129" i="17"/>
  <c r="O18" i="29" s="1"/>
  <c r="O18" i="34" s="1"/>
  <c r="P131" i="17"/>
  <c r="O20" i="29" s="1"/>
  <c r="O20" i="34" s="1"/>
  <c r="P120" i="17"/>
  <c r="O9" i="29" s="1"/>
  <c r="O9" i="34" s="1"/>
  <c r="P114" i="17"/>
  <c r="O3" i="29" s="1"/>
  <c r="O3" i="34" s="1"/>
  <c r="S114" i="17"/>
  <c r="R3" i="29" s="1"/>
  <c r="R3" i="34" s="1"/>
  <c r="P122" i="17"/>
  <c r="O11" i="29" s="1"/>
  <c r="O11" i="34" s="1"/>
  <c r="P130" i="17"/>
  <c r="O19" i="29" s="1"/>
  <c r="O19" i="34" s="1"/>
  <c r="S119" i="17"/>
  <c r="R8" i="29" s="1"/>
  <c r="R8" i="34" s="1"/>
  <c r="P128" i="17"/>
  <c r="O17" i="29" s="1"/>
  <c r="O17" i="34" s="1"/>
  <c r="N40" i="34"/>
  <c r="O109" i="17"/>
  <c r="O111" i="17" s="1"/>
  <c r="P119" i="17"/>
  <c r="O8" i="29" s="1"/>
  <c r="O8" i="34" s="1"/>
  <c r="S125" i="17"/>
  <c r="R14" i="29" s="1"/>
  <c r="R14" i="34" s="1"/>
  <c r="S120" i="17"/>
  <c r="R9" i="29" s="1"/>
  <c r="R9" i="34" s="1"/>
  <c r="S118" i="17"/>
  <c r="R7" i="29" s="1"/>
  <c r="R7" i="34" s="1"/>
  <c r="S123" i="17"/>
  <c r="R12" i="29" s="1"/>
  <c r="R12" i="34" s="1"/>
  <c r="S131" i="17"/>
  <c r="R20" i="29" s="1"/>
  <c r="R20" i="34" s="1"/>
  <c r="S128" i="17"/>
  <c r="R17" i="29" s="1"/>
  <c r="R17" i="34" s="1"/>
  <c r="S113" i="17"/>
  <c r="R2" i="29" s="1"/>
  <c r="S126" i="17"/>
  <c r="R15" i="29" s="1"/>
  <c r="R15" i="34" s="1"/>
  <c r="S130" i="17"/>
  <c r="R19" i="29" s="1"/>
  <c r="R19" i="34" s="1"/>
  <c r="S117" i="17"/>
  <c r="R6" i="29" s="1"/>
  <c r="R6" i="34" s="1"/>
  <c r="S127" i="17"/>
  <c r="R16" i="29" s="1"/>
  <c r="R16" i="34" s="1"/>
  <c r="S121" i="17"/>
  <c r="R10" i="29" s="1"/>
  <c r="R10" i="34" s="1"/>
  <c r="S116" i="17"/>
  <c r="R5" i="29" s="1"/>
  <c r="R5" i="34" s="1"/>
  <c r="S132" i="17"/>
  <c r="R21" i="29" s="1"/>
  <c r="R21" i="34" s="1"/>
  <c r="S122" i="17"/>
  <c r="R11" i="29" s="1"/>
  <c r="R11" i="34" s="1"/>
  <c r="S124" i="17"/>
  <c r="R13" i="29" s="1"/>
  <c r="R13" i="34" s="1"/>
  <c r="S129" i="17"/>
  <c r="R18" i="29" s="1"/>
  <c r="R18" i="34" s="1"/>
  <c r="J118" i="17"/>
  <c r="I7" i="29" s="1"/>
  <c r="I7" i="34" s="1"/>
  <c r="J121" i="17"/>
  <c r="I10" i="29" s="1"/>
  <c r="I10" i="34" s="1"/>
  <c r="J130" i="17"/>
  <c r="I19" i="29" s="1"/>
  <c r="I19" i="34" s="1"/>
  <c r="J115" i="17"/>
  <c r="I4" i="29" s="1"/>
  <c r="I4" i="34" s="1"/>
  <c r="J131" i="17"/>
  <c r="I20" i="29" s="1"/>
  <c r="I20" i="34" s="1"/>
  <c r="J124" i="17"/>
  <c r="I13" i="29" s="1"/>
  <c r="I13" i="34" s="1"/>
  <c r="J129" i="17"/>
  <c r="I18" i="29" s="1"/>
  <c r="I18" i="34" s="1"/>
  <c r="J114" i="17"/>
  <c r="I3" i="29" s="1"/>
  <c r="I3" i="34" s="1"/>
  <c r="J127" i="17"/>
  <c r="I16" i="29" s="1"/>
  <c r="I16" i="34" s="1"/>
  <c r="J123" i="17"/>
  <c r="I12" i="29" s="1"/>
  <c r="I12" i="34" s="1"/>
  <c r="J128" i="17"/>
  <c r="I17" i="29" s="1"/>
  <c r="I17" i="34" s="1"/>
  <c r="J126" i="17"/>
  <c r="I15" i="29" s="1"/>
  <c r="I15" i="34" s="1"/>
  <c r="J119" i="17"/>
  <c r="I8" i="29" s="1"/>
  <c r="I8" i="34" s="1"/>
  <c r="J132" i="17"/>
  <c r="I21" i="29" s="1"/>
  <c r="I21" i="34" s="1"/>
  <c r="J122" i="17"/>
  <c r="I11" i="29" s="1"/>
  <c r="I11" i="34" s="1"/>
  <c r="J120" i="17"/>
  <c r="I9" i="29" s="1"/>
  <c r="I9" i="34" s="1"/>
  <c r="J125" i="17"/>
  <c r="I14" i="29" s="1"/>
  <c r="I14" i="34" s="1"/>
  <c r="J116" i="17"/>
  <c r="I5" i="29" s="1"/>
  <c r="I5" i="34" s="1"/>
  <c r="J117" i="17"/>
  <c r="I6" i="29" s="1"/>
  <c r="I6" i="34" s="1"/>
  <c r="J113" i="17"/>
  <c r="I2" i="29" s="1"/>
  <c r="I2" i="34" s="1"/>
  <c r="H38" i="29"/>
  <c r="H38" i="34" s="1"/>
  <c r="H25" i="34"/>
  <c r="H116" i="17"/>
  <c r="G5" i="29" s="1"/>
  <c r="G5" i="34" s="1"/>
  <c r="H114" i="17"/>
  <c r="G3" i="29" s="1"/>
  <c r="G3" i="34" s="1"/>
  <c r="F109" i="17"/>
  <c r="F111" i="17" s="1"/>
  <c r="F125" i="17" s="1"/>
  <c r="E14" i="29" s="1"/>
  <c r="E14" i="34" s="1"/>
  <c r="H128" i="17"/>
  <c r="G17" i="29" s="1"/>
  <c r="G17" i="34" s="1"/>
  <c r="N109" i="17"/>
  <c r="N111" i="17" s="1"/>
  <c r="H118" i="17"/>
  <c r="G7" i="29" s="1"/>
  <c r="G7" i="34" s="1"/>
  <c r="H124" i="17"/>
  <c r="G13" i="29" s="1"/>
  <c r="G13" i="34" s="1"/>
  <c r="C118" i="17"/>
  <c r="B7" i="29" s="1"/>
  <c r="B7" i="34" s="1"/>
  <c r="C127" i="17"/>
  <c r="B16" i="29" s="1"/>
  <c r="B16" i="34" s="1"/>
  <c r="C122" i="17"/>
  <c r="B11" i="29" s="1"/>
  <c r="B11" i="34" s="1"/>
  <c r="C119" i="17"/>
  <c r="B8" i="29" s="1"/>
  <c r="B8" i="34" s="1"/>
  <c r="C132" i="17"/>
  <c r="B21" i="29" s="1"/>
  <c r="B21" i="34" s="1"/>
  <c r="C115" i="17"/>
  <c r="B4" i="29" s="1"/>
  <c r="B4" i="34" s="1"/>
  <c r="C123" i="17"/>
  <c r="B12" i="29" s="1"/>
  <c r="B12" i="34" s="1"/>
  <c r="C120" i="17"/>
  <c r="B9" i="29" s="1"/>
  <c r="B9" i="34" s="1"/>
  <c r="C117" i="17"/>
  <c r="B6" i="29" s="1"/>
  <c r="B6" i="34" s="1"/>
  <c r="C130" i="17"/>
  <c r="B19" i="29" s="1"/>
  <c r="B19" i="34" s="1"/>
  <c r="C128" i="17"/>
  <c r="B17" i="29" s="1"/>
  <c r="B17" i="34" s="1"/>
  <c r="C114" i="17"/>
  <c r="B3" i="29" s="1"/>
  <c r="B3" i="34" s="1"/>
  <c r="C116" i="17"/>
  <c r="B5" i="29" s="1"/>
  <c r="B5" i="34" s="1"/>
  <c r="C125" i="17"/>
  <c r="B14" i="29" s="1"/>
  <c r="B14" i="34" s="1"/>
  <c r="C129" i="17"/>
  <c r="B18" i="29" s="1"/>
  <c r="B18" i="34" s="1"/>
  <c r="C124" i="17"/>
  <c r="B13" i="29" s="1"/>
  <c r="B13" i="34" s="1"/>
  <c r="C113" i="17"/>
  <c r="B2" i="29" s="1"/>
  <c r="C131" i="17"/>
  <c r="B20" i="29" s="1"/>
  <c r="B20" i="34" s="1"/>
  <c r="C126" i="17"/>
  <c r="B15" i="29" s="1"/>
  <c r="B15" i="34" s="1"/>
  <c r="C121" i="17"/>
  <c r="B10" i="29" s="1"/>
  <c r="B10" i="34" s="1"/>
  <c r="H131" i="17"/>
  <c r="G20" i="29" s="1"/>
  <c r="G20" i="34" s="1"/>
  <c r="H121" i="17"/>
  <c r="G10" i="29" s="1"/>
  <c r="G10" i="34" s="1"/>
  <c r="H125" i="17"/>
  <c r="G14" i="29" s="1"/>
  <c r="G14" i="34" s="1"/>
  <c r="H117" i="17"/>
  <c r="G6" i="29" s="1"/>
  <c r="G6" i="34" s="1"/>
  <c r="H119" i="17"/>
  <c r="G8" i="29" s="1"/>
  <c r="G8" i="34" s="1"/>
  <c r="H122" i="17"/>
  <c r="G11" i="29" s="1"/>
  <c r="G11" i="34" s="1"/>
  <c r="H113" i="17"/>
  <c r="G2" i="29" s="1"/>
  <c r="G2" i="34" s="1"/>
  <c r="H115" i="17"/>
  <c r="G4" i="29" s="1"/>
  <c r="G4" i="34" s="1"/>
  <c r="H129" i="17"/>
  <c r="G18" i="29" s="1"/>
  <c r="G18" i="34" s="1"/>
  <c r="H127" i="17"/>
  <c r="G16" i="29" s="1"/>
  <c r="G16" i="34" s="1"/>
  <c r="H132" i="17"/>
  <c r="G21" i="29" s="1"/>
  <c r="G21" i="34" s="1"/>
  <c r="H123" i="17"/>
  <c r="G12" i="29" s="1"/>
  <c r="G12" i="34" s="1"/>
  <c r="H130" i="17"/>
  <c r="G19" i="29" s="1"/>
  <c r="G19" i="34" s="1"/>
  <c r="H120" i="17"/>
  <c r="G9" i="29" s="1"/>
  <c r="G9" i="34" s="1"/>
  <c r="T109" i="17"/>
  <c r="T111" i="17" s="1"/>
  <c r="T116" i="17" s="1"/>
  <c r="S5" i="29" s="1"/>
  <c r="S5" i="34" s="1"/>
  <c r="S38" i="34"/>
  <c r="BX34" i="8"/>
  <c r="AP54" i="1" s="1"/>
  <c r="BR38" i="8"/>
  <c r="AX47" i="1" s="1"/>
  <c r="BW34" i="8"/>
  <c r="AO54" i="1" s="1"/>
  <c r="BR37" i="8"/>
  <c r="AW47" i="1" s="1"/>
  <c r="D42" i="29"/>
  <c r="D42" i="34" s="1"/>
  <c r="D29" i="34"/>
  <c r="AX29" i="29"/>
  <c r="AC52" i="29" s="1"/>
  <c r="L41" i="29"/>
  <c r="L41" i="34" s="1"/>
  <c r="L28" i="34"/>
  <c r="AX28" i="29"/>
  <c r="AB52" i="29" s="1"/>
  <c r="U109" i="17"/>
  <c r="U111" i="17" s="1"/>
  <c r="T40" i="34"/>
  <c r="BR36" i="8"/>
  <c r="AV47" i="1" s="1"/>
  <c r="BV34" i="8"/>
  <c r="AN54" i="1" s="1"/>
  <c r="BS27" i="8"/>
  <c r="BQ32" i="8"/>
  <c r="BS32" i="8" s="1"/>
  <c r="U2" i="34"/>
  <c r="U87" i="29"/>
  <c r="U57" i="29"/>
  <c r="B80" i="29" s="1"/>
  <c r="C39" i="19" s="1"/>
  <c r="D40" i="29"/>
  <c r="D40" i="34" s="1"/>
  <c r="D27" i="34"/>
  <c r="AX27" i="29"/>
  <c r="AA52" i="29" s="1"/>
  <c r="L25" i="29"/>
  <c r="BF39" i="8"/>
  <c r="AV44" i="8" s="1"/>
  <c r="BQ34" i="8"/>
  <c r="L26" i="29"/>
  <c r="BQ35" i="8"/>
  <c r="L122" i="17"/>
  <c r="K11" i="29" s="1"/>
  <c r="K11" i="34" s="1"/>
  <c r="L129" i="17"/>
  <c r="K18" i="29" s="1"/>
  <c r="K18" i="34" s="1"/>
  <c r="L132" i="17"/>
  <c r="K21" i="29" s="1"/>
  <c r="K21" i="34" s="1"/>
  <c r="L117" i="17"/>
  <c r="K6" i="29" s="1"/>
  <c r="K6" i="34" s="1"/>
  <c r="L126" i="17"/>
  <c r="K15" i="29" s="1"/>
  <c r="K15" i="34" s="1"/>
  <c r="L118" i="17"/>
  <c r="K7" i="29" s="1"/>
  <c r="K7" i="34" s="1"/>
  <c r="L116" i="17"/>
  <c r="K5" i="29" s="1"/>
  <c r="K5" i="34" s="1"/>
  <c r="L131" i="17"/>
  <c r="K20" i="29" s="1"/>
  <c r="K20" i="34" s="1"/>
  <c r="L113" i="17"/>
  <c r="K2" i="29" s="1"/>
  <c r="L125" i="17"/>
  <c r="K14" i="29" s="1"/>
  <c r="K14" i="34" s="1"/>
  <c r="L124" i="17"/>
  <c r="K13" i="29" s="1"/>
  <c r="K13" i="34" s="1"/>
  <c r="L127" i="17"/>
  <c r="K16" i="29" s="1"/>
  <c r="K16" i="34" s="1"/>
  <c r="L128" i="17"/>
  <c r="K17" i="29" s="1"/>
  <c r="K17" i="34" s="1"/>
  <c r="L119" i="17"/>
  <c r="K8" i="29" s="1"/>
  <c r="K8" i="34" s="1"/>
  <c r="L130" i="17"/>
  <c r="K19" i="29" s="1"/>
  <c r="K19" i="34" s="1"/>
  <c r="L114" i="17"/>
  <c r="K3" i="29" s="1"/>
  <c r="K3" i="34" s="1"/>
  <c r="L123" i="17"/>
  <c r="K12" i="29" s="1"/>
  <c r="K12" i="34" s="1"/>
  <c r="L121" i="17"/>
  <c r="K10" i="29" s="1"/>
  <c r="K10" i="34" s="1"/>
  <c r="L115" i="17"/>
  <c r="K4" i="29" s="1"/>
  <c r="K4" i="34" s="1"/>
  <c r="L120" i="17"/>
  <c r="K9" i="29" s="1"/>
  <c r="K9" i="34" s="1"/>
  <c r="D113" i="17"/>
  <c r="C2" i="29" s="1"/>
  <c r="C2" i="34" s="1"/>
  <c r="D125" i="17"/>
  <c r="C14" i="29" s="1"/>
  <c r="C14" i="34" s="1"/>
  <c r="D122" i="17"/>
  <c r="C11" i="29" s="1"/>
  <c r="C11" i="34" s="1"/>
  <c r="D119" i="17"/>
  <c r="C8" i="29" s="1"/>
  <c r="C8" i="34" s="1"/>
  <c r="D132" i="17"/>
  <c r="C21" i="29" s="1"/>
  <c r="C21" i="34" s="1"/>
  <c r="D128" i="17"/>
  <c r="C17" i="29" s="1"/>
  <c r="C17" i="34" s="1"/>
  <c r="D120" i="17"/>
  <c r="C9" i="29" s="1"/>
  <c r="C9" i="34" s="1"/>
  <c r="D129" i="17"/>
  <c r="C18" i="29" s="1"/>
  <c r="C18" i="34" s="1"/>
  <c r="D130" i="17"/>
  <c r="C19" i="29" s="1"/>
  <c r="C19" i="34" s="1"/>
  <c r="D114" i="17"/>
  <c r="C3" i="29" s="1"/>
  <c r="C3" i="34" s="1"/>
  <c r="D123" i="17"/>
  <c r="C12" i="29" s="1"/>
  <c r="C12" i="34" s="1"/>
  <c r="D131" i="17"/>
  <c r="C20" i="29" s="1"/>
  <c r="C20" i="34" s="1"/>
  <c r="D118" i="17"/>
  <c r="C7" i="29" s="1"/>
  <c r="C7" i="34" s="1"/>
  <c r="D126" i="17"/>
  <c r="C15" i="29" s="1"/>
  <c r="C15" i="34" s="1"/>
  <c r="D115" i="17"/>
  <c r="C4" i="29" s="1"/>
  <c r="C4" i="34" s="1"/>
  <c r="D117" i="17"/>
  <c r="C6" i="29" s="1"/>
  <c r="C6" i="34" s="1"/>
  <c r="D116" i="17"/>
  <c r="C5" i="29" s="1"/>
  <c r="C5" i="34" s="1"/>
  <c r="D121" i="17"/>
  <c r="C10" i="29" s="1"/>
  <c r="C10" i="34" s="1"/>
  <c r="D127" i="17"/>
  <c r="C16" i="29" s="1"/>
  <c r="C16" i="34" s="1"/>
  <c r="B22" i="25"/>
  <c r="K13" i="22"/>
  <c r="B21" i="25"/>
  <c r="L13" i="22"/>
  <c r="W4" i="22"/>
  <c r="V14" i="22" s="1"/>
  <c r="L4" i="7" s="1"/>
  <c r="W5" i="22"/>
  <c r="V15" i="22" s="1"/>
  <c r="L7" i="7" s="1"/>
  <c r="K7" i="25" s="1"/>
  <c r="M13" i="22"/>
  <c r="N13" i="22"/>
  <c r="Q118" i="17" l="1"/>
  <c r="P7" i="29" s="1"/>
  <c r="P7" i="34" s="1"/>
  <c r="Q117" i="17"/>
  <c r="P6" i="29" s="1"/>
  <c r="P6" i="34" s="1"/>
  <c r="Q127" i="17"/>
  <c r="P16" i="29" s="1"/>
  <c r="P16" i="34" s="1"/>
  <c r="Q119" i="17"/>
  <c r="P8" i="29" s="1"/>
  <c r="P8" i="34" s="1"/>
  <c r="Q121" i="17"/>
  <c r="P10" i="29" s="1"/>
  <c r="P10" i="34" s="1"/>
  <c r="Q115" i="17"/>
  <c r="P4" i="29" s="1"/>
  <c r="P4" i="34" s="1"/>
  <c r="Q116" i="17"/>
  <c r="P5" i="29" s="1"/>
  <c r="P5" i="34" s="1"/>
  <c r="Q123" i="17"/>
  <c r="P12" i="29" s="1"/>
  <c r="P12" i="34" s="1"/>
  <c r="Q130" i="17"/>
  <c r="P19" i="29" s="1"/>
  <c r="P19" i="34" s="1"/>
  <c r="Q122" i="17"/>
  <c r="P11" i="29" s="1"/>
  <c r="P11" i="34" s="1"/>
  <c r="Q114" i="17"/>
  <c r="P3" i="29" s="1"/>
  <c r="P3" i="34" s="1"/>
  <c r="Q120" i="17"/>
  <c r="P9" i="29" s="1"/>
  <c r="P9" i="34" s="1"/>
  <c r="Q124" i="17"/>
  <c r="P13" i="29" s="1"/>
  <c r="P13" i="34" s="1"/>
  <c r="Q132" i="17"/>
  <c r="P21" i="29" s="1"/>
  <c r="P21" i="34" s="1"/>
  <c r="Q128" i="17"/>
  <c r="P17" i="29" s="1"/>
  <c r="P17" i="34" s="1"/>
  <c r="Q126" i="17"/>
  <c r="P15" i="29" s="1"/>
  <c r="P15" i="34" s="1"/>
  <c r="Q125" i="17"/>
  <c r="P14" i="29" s="1"/>
  <c r="P14" i="34" s="1"/>
  <c r="Q129" i="17"/>
  <c r="P18" i="29" s="1"/>
  <c r="P18" i="34" s="1"/>
  <c r="Q113" i="17"/>
  <c r="P2" i="29" s="1"/>
  <c r="P2" i="34" s="1"/>
  <c r="O57" i="29"/>
  <c r="B74" i="29" s="1"/>
  <c r="C33" i="19" s="1"/>
  <c r="R87" i="29"/>
  <c r="O120" i="17"/>
  <c r="N9" i="29" s="1"/>
  <c r="N9" i="34" s="1"/>
  <c r="O130" i="17"/>
  <c r="N19" i="29" s="1"/>
  <c r="N19" i="34" s="1"/>
  <c r="O114" i="17"/>
  <c r="N3" i="29" s="1"/>
  <c r="N3" i="34" s="1"/>
  <c r="O126" i="17"/>
  <c r="N15" i="29" s="1"/>
  <c r="N15" i="34" s="1"/>
  <c r="O117" i="17"/>
  <c r="N6" i="29" s="1"/>
  <c r="N6" i="34" s="1"/>
  <c r="O119" i="17"/>
  <c r="N8" i="29" s="1"/>
  <c r="N8" i="34" s="1"/>
  <c r="O122" i="17"/>
  <c r="N11" i="29" s="1"/>
  <c r="N11" i="34" s="1"/>
  <c r="O121" i="17"/>
  <c r="N10" i="29" s="1"/>
  <c r="N10" i="34" s="1"/>
  <c r="O116" i="17"/>
  <c r="N5" i="29" s="1"/>
  <c r="N5" i="34" s="1"/>
  <c r="O124" i="17"/>
  <c r="N13" i="29" s="1"/>
  <c r="N13" i="34" s="1"/>
  <c r="O123" i="17"/>
  <c r="N12" i="29" s="1"/>
  <c r="N12" i="34" s="1"/>
  <c r="O115" i="17"/>
  <c r="N4" i="29" s="1"/>
  <c r="N4" i="34" s="1"/>
  <c r="O131" i="17"/>
  <c r="N20" i="29" s="1"/>
  <c r="N20" i="34" s="1"/>
  <c r="O132" i="17"/>
  <c r="N21" i="29" s="1"/>
  <c r="N21" i="34" s="1"/>
  <c r="O118" i="17"/>
  <c r="N7" i="29" s="1"/>
  <c r="N7" i="34" s="1"/>
  <c r="O113" i="17"/>
  <c r="N2" i="29" s="1"/>
  <c r="O129" i="17"/>
  <c r="N18" i="29" s="1"/>
  <c r="N18" i="34" s="1"/>
  <c r="O127" i="17"/>
  <c r="N16" i="29" s="1"/>
  <c r="N16" i="34" s="1"/>
  <c r="O128" i="17"/>
  <c r="N17" i="29" s="1"/>
  <c r="N17" i="34" s="1"/>
  <c r="O125" i="17"/>
  <c r="N14" i="29" s="1"/>
  <c r="N14" i="34" s="1"/>
  <c r="O87" i="29"/>
  <c r="R2" i="34"/>
  <c r="R57" i="29"/>
  <c r="B77" i="29" s="1"/>
  <c r="C36" i="19" s="1"/>
  <c r="I57" i="29"/>
  <c r="B68" i="29" s="1"/>
  <c r="C27" i="19" s="1"/>
  <c r="I87" i="29"/>
  <c r="F124" i="17"/>
  <c r="E13" i="29" s="1"/>
  <c r="E13" i="34" s="1"/>
  <c r="F114" i="17"/>
  <c r="E3" i="29" s="1"/>
  <c r="E3" i="34" s="1"/>
  <c r="I109" i="17"/>
  <c r="I111" i="17" s="1"/>
  <c r="F131" i="17"/>
  <c r="E20" i="29" s="1"/>
  <c r="E20" i="34" s="1"/>
  <c r="F122" i="17"/>
  <c r="E11" i="29" s="1"/>
  <c r="E11" i="34" s="1"/>
  <c r="F130" i="17"/>
  <c r="E19" i="29" s="1"/>
  <c r="E19" i="34" s="1"/>
  <c r="F126" i="17"/>
  <c r="E15" i="29" s="1"/>
  <c r="E15" i="34" s="1"/>
  <c r="F121" i="17"/>
  <c r="E10" i="29" s="1"/>
  <c r="E10" i="34" s="1"/>
  <c r="F119" i="17"/>
  <c r="E8" i="29" s="1"/>
  <c r="E8" i="34" s="1"/>
  <c r="F128" i="17"/>
  <c r="E17" i="29" s="1"/>
  <c r="E17" i="34" s="1"/>
  <c r="F116" i="17"/>
  <c r="E5" i="29" s="1"/>
  <c r="E5" i="34" s="1"/>
  <c r="F129" i="17"/>
  <c r="E18" i="29" s="1"/>
  <c r="E18" i="34" s="1"/>
  <c r="F115" i="17"/>
  <c r="E4" i="29" s="1"/>
  <c r="E4" i="34" s="1"/>
  <c r="F117" i="17"/>
  <c r="E6" i="29" s="1"/>
  <c r="E6" i="34" s="1"/>
  <c r="F120" i="17"/>
  <c r="E9" i="29" s="1"/>
  <c r="E9" i="34" s="1"/>
  <c r="F118" i="17"/>
  <c r="E7" i="29" s="1"/>
  <c r="E7" i="34" s="1"/>
  <c r="F113" i="17"/>
  <c r="E2" i="29" s="1"/>
  <c r="F123" i="17"/>
  <c r="E12" i="29" s="1"/>
  <c r="E12" i="34" s="1"/>
  <c r="F132" i="17"/>
  <c r="E21" i="29" s="1"/>
  <c r="E21" i="34" s="1"/>
  <c r="F127" i="17"/>
  <c r="E16" i="29" s="1"/>
  <c r="E16" i="34" s="1"/>
  <c r="B2" i="34"/>
  <c r="B87" i="29"/>
  <c r="B57" i="29"/>
  <c r="B61" i="29" s="1"/>
  <c r="C20" i="19" s="1"/>
  <c r="T126" i="17"/>
  <c r="S15" i="29" s="1"/>
  <c r="S15" i="34" s="1"/>
  <c r="T132" i="17"/>
  <c r="S21" i="29" s="1"/>
  <c r="S21" i="34" s="1"/>
  <c r="N125" i="17"/>
  <c r="M14" i="29" s="1"/>
  <c r="M14" i="34" s="1"/>
  <c r="N121" i="17"/>
  <c r="M10" i="29" s="1"/>
  <c r="M10" i="34" s="1"/>
  <c r="N127" i="17"/>
  <c r="M16" i="29" s="1"/>
  <c r="M16" i="34" s="1"/>
  <c r="N128" i="17"/>
  <c r="M17" i="29" s="1"/>
  <c r="M17" i="34" s="1"/>
  <c r="N113" i="17"/>
  <c r="M2" i="29" s="1"/>
  <c r="N122" i="17"/>
  <c r="M11" i="29" s="1"/>
  <c r="M11" i="34" s="1"/>
  <c r="N130" i="17"/>
  <c r="M19" i="29" s="1"/>
  <c r="M19" i="34" s="1"/>
  <c r="N119" i="17"/>
  <c r="M8" i="29" s="1"/>
  <c r="M8" i="34" s="1"/>
  <c r="N120" i="17"/>
  <c r="M9" i="29" s="1"/>
  <c r="M9" i="34" s="1"/>
  <c r="N129" i="17"/>
  <c r="M18" i="29" s="1"/>
  <c r="M18" i="34" s="1"/>
  <c r="N124" i="17"/>
  <c r="M13" i="29" s="1"/>
  <c r="M13" i="34" s="1"/>
  <c r="N131" i="17"/>
  <c r="M20" i="29" s="1"/>
  <c r="M20" i="34" s="1"/>
  <c r="N123" i="17"/>
  <c r="M12" i="29" s="1"/>
  <c r="M12" i="34" s="1"/>
  <c r="N116" i="17"/>
  <c r="M5" i="29" s="1"/>
  <c r="M5" i="34" s="1"/>
  <c r="N114" i="17"/>
  <c r="M3" i="29" s="1"/>
  <c r="M3" i="34" s="1"/>
  <c r="N132" i="17"/>
  <c r="M21" i="29" s="1"/>
  <c r="M21" i="34" s="1"/>
  <c r="N118" i="17"/>
  <c r="M7" i="29" s="1"/>
  <c r="M7" i="34" s="1"/>
  <c r="N117" i="17"/>
  <c r="M6" i="29" s="1"/>
  <c r="M6" i="34" s="1"/>
  <c r="N115" i="17"/>
  <c r="M4" i="29" s="1"/>
  <c r="M4" i="34" s="1"/>
  <c r="N126" i="17"/>
  <c r="M15" i="29" s="1"/>
  <c r="M15" i="34" s="1"/>
  <c r="T122" i="17"/>
  <c r="S11" i="29" s="1"/>
  <c r="S11" i="34" s="1"/>
  <c r="G87" i="29"/>
  <c r="G57" i="29"/>
  <c r="B66" i="29" s="1"/>
  <c r="C25" i="19" s="1"/>
  <c r="T123" i="17"/>
  <c r="S12" i="29" s="1"/>
  <c r="S12" i="34" s="1"/>
  <c r="K2" i="34"/>
  <c r="K57" i="29"/>
  <c r="B70" i="29" s="1"/>
  <c r="C29" i="19" s="1"/>
  <c r="K87" i="29"/>
  <c r="T113" i="17"/>
  <c r="S2" i="29" s="1"/>
  <c r="S2" i="34" s="1"/>
  <c r="T119" i="17"/>
  <c r="S8" i="29" s="1"/>
  <c r="S8" i="34" s="1"/>
  <c r="AN50" i="1"/>
  <c r="AN63" i="1" s="1"/>
  <c r="AN69" i="1" s="1"/>
  <c r="AA36" i="29" s="1"/>
  <c r="AN49" i="1"/>
  <c r="AN62" i="1" s="1"/>
  <c r="AN68" i="1" s="1"/>
  <c r="AA35" i="29" s="1"/>
  <c r="AN51" i="1"/>
  <c r="AN64" i="1" s="1"/>
  <c r="AN70" i="1" s="1"/>
  <c r="AA37" i="29" s="1"/>
  <c r="AN47" i="1"/>
  <c r="AN48" i="1"/>
  <c r="AN61" i="1" s="1"/>
  <c r="AN67" i="1" s="1"/>
  <c r="AA34" i="29" s="1"/>
  <c r="T124" i="17"/>
  <c r="S13" i="29" s="1"/>
  <c r="S13" i="34" s="1"/>
  <c r="T131" i="17"/>
  <c r="S20" i="29" s="1"/>
  <c r="S20" i="34" s="1"/>
  <c r="AP47" i="1"/>
  <c r="AP51" i="1"/>
  <c r="AP64" i="1" s="1"/>
  <c r="AP70" i="1" s="1"/>
  <c r="AC37" i="29" s="1"/>
  <c r="AP48" i="1"/>
  <c r="AP61" i="1" s="1"/>
  <c r="AP67" i="1" s="1"/>
  <c r="AC34" i="29" s="1"/>
  <c r="AP50" i="1"/>
  <c r="AP63" i="1" s="1"/>
  <c r="AP69" i="1" s="1"/>
  <c r="AC36" i="29" s="1"/>
  <c r="AP49" i="1"/>
  <c r="AP62" i="1" s="1"/>
  <c r="AP68" i="1" s="1"/>
  <c r="AC35" i="29" s="1"/>
  <c r="AC35" i="34" s="1"/>
  <c r="T118" i="17"/>
  <c r="S7" i="29" s="1"/>
  <c r="S7" i="34" s="1"/>
  <c r="U114" i="17"/>
  <c r="T3" i="29" s="1"/>
  <c r="T3" i="34" s="1"/>
  <c r="U124" i="17"/>
  <c r="T13" i="29" s="1"/>
  <c r="T13" i="34" s="1"/>
  <c r="U132" i="17"/>
  <c r="T21" i="29" s="1"/>
  <c r="T21" i="34" s="1"/>
  <c r="U128" i="17"/>
  <c r="T17" i="29" s="1"/>
  <c r="T17" i="34" s="1"/>
  <c r="U121" i="17"/>
  <c r="T10" i="29" s="1"/>
  <c r="T10" i="34" s="1"/>
  <c r="U129" i="17"/>
  <c r="T18" i="29" s="1"/>
  <c r="T18" i="34" s="1"/>
  <c r="U118" i="17"/>
  <c r="T7" i="29" s="1"/>
  <c r="T7" i="34" s="1"/>
  <c r="U126" i="17"/>
  <c r="T15" i="29" s="1"/>
  <c r="T15" i="34" s="1"/>
  <c r="U120" i="17"/>
  <c r="T9" i="29" s="1"/>
  <c r="T9" i="34" s="1"/>
  <c r="U122" i="17"/>
  <c r="T11" i="29" s="1"/>
  <c r="T11" i="34" s="1"/>
  <c r="U125" i="17"/>
  <c r="T14" i="29" s="1"/>
  <c r="T14" i="34" s="1"/>
  <c r="U123" i="17"/>
  <c r="T12" i="29" s="1"/>
  <c r="T12" i="34" s="1"/>
  <c r="U119" i="17"/>
  <c r="T8" i="29" s="1"/>
  <c r="T8" i="34" s="1"/>
  <c r="U116" i="17"/>
  <c r="T5" i="29" s="1"/>
  <c r="T5" i="34" s="1"/>
  <c r="U113" i="17"/>
  <c r="T2" i="29" s="1"/>
  <c r="U117" i="17"/>
  <c r="T6" i="29" s="1"/>
  <c r="T6" i="34" s="1"/>
  <c r="U130" i="17"/>
  <c r="T19" i="29" s="1"/>
  <c r="T19" i="34" s="1"/>
  <c r="U127" i="17"/>
  <c r="T16" i="29" s="1"/>
  <c r="T16" i="34" s="1"/>
  <c r="U115" i="17"/>
  <c r="T4" i="29" s="1"/>
  <c r="T4" i="34" s="1"/>
  <c r="U131" i="17"/>
  <c r="T20" i="29" s="1"/>
  <c r="T20" i="34" s="1"/>
  <c r="T121" i="17"/>
  <c r="S10" i="29" s="1"/>
  <c r="S10" i="34" s="1"/>
  <c r="T125" i="17"/>
  <c r="S14" i="29" s="1"/>
  <c r="S14" i="34" s="1"/>
  <c r="T117" i="17"/>
  <c r="S6" i="29" s="1"/>
  <c r="S6" i="34" s="1"/>
  <c r="BU34" i="8"/>
  <c r="AM54" i="1" s="1"/>
  <c r="BR35" i="8"/>
  <c r="AU47" i="1" s="1"/>
  <c r="T120" i="17"/>
  <c r="S9" i="29" s="1"/>
  <c r="S9" i="34" s="1"/>
  <c r="T115" i="17"/>
  <c r="S4" i="29" s="1"/>
  <c r="S4" i="34" s="1"/>
  <c r="T128" i="17"/>
  <c r="S17" i="29" s="1"/>
  <c r="S17" i="34" s="1"/>
  <c r="T114" i="17"/>
  <c r="S3" i="29" s="1"/>
  <c r="S3" i="34" s="1"/>
  <c r="T130" i="17"/>
  <c r="S19" i="29" s="1"/>
  <c r="S19" i="34" s="1"/>
  <c r="L26" i="34"/>
  <c r="L39" i="29"/>
  <c r="L39" i="34" s="1"/>
  <c r="AX26" i="29"/>
  <c r="Z52" i="29" s="1"/>
  <c r="E109" i="17"/>
  <c r="E111" i="17" s="1"/>
  <c r="AO51" i="1"/>
  <c r="AO64" i="1" s="1"/>
  <c r="AO70" i="1" s="1"/>
  <c r="AB37" i="29" s="1"/>
  <c r="AO47" i="1"/>
  <c r="AO48" i="1"/>
  <c r="AO61" i="1" s="1"/>
  <c r="AO67" i="1" s="1"/>
  <c r="AB34" i="29" s="1"/>
  <c r="AO49" i="1"/>
  <c r="AO62" i="1" s="1"/>
  <c r="AO68" i="1" s="1"/>
  <c r="AB35" i="29" s="1"/>
  <c r="AO50" i="1"/>
  <c r="AO63" i="1" s="1"/>
  <c r="AO69" i="1" s="1"/>
  <c r="AB36" i="29" s="1"/>
  <c r="L38" i="29"/>
  <c r="L38" i="34" s="1"/>
  <c r="L25" i="34"/>
  <c r="AX25" i="29"/>
  <c r="Y52" i="29" s="1"/>
  <c r="BR34" i="8"/>
  <c r="AT47" i="1" s="1"/>
  <c r="BT34" i="8"/>
  <c r="AL54" i="1" s="1"/>
  <c r="BQ39" i="8"/>
  <c r="T127" i="17"/>
  <c r="S16" i="29" s="1"/>
  <c r="S16" i="34" s="1"/>
  <c r="T129" i="17"/>
  <c r="S18" i="29" s="1"/>
  <c r="S18" i="34" s="1"/>
  <c r="C57" i="29"/>
  <c r="B62" i="29" s="1"/>
  <c r="C21" i="19" s="1"/>
  <c r="C87" i="29"/>
  <c r="W6" i="22"/>
  <c r="V16" i="22" s="1"/>
  <c r="K4" i="25"/>
  <c r="W7" i="22"/>
  <c r="V17" i="22" s="1"/>
  <c r="C19" i="8"/>
  <c r="C5" i="8" s="1"/>
  <c r="D19" i="8"/>
  <c r="D5" i="8" s="1"/>
  <c r="E19" i="8"/>
  <c r="E5" i="8" s="1"/>
  <c r="F19" i="8"/>
  <c r="G19" i="8"/>
  <c r="G5" i="8" s="1"/>
  <c r="H19" i="8"/>
  <c r="H5" i="8" s="1"/>
  <c r="I19" i="8"/>
  <c r="I5" i="8" s="1"/>
  <c r="J19" i="8"/>
  <c r="K19" i="8"/>
  <c r="K29" i="8" s="1"/>
  <c r="L19" i="8"/>
  <c r="M19" i="8"/>
  <c r="N19" i="8"/>
  <c r="O19" i="8"/>
  <c r="O29" i="8" s="1"/>
  <c r="P19" i="8"/>
  <c r="Q19" i="8"/>
  <c r="R19" i="8"/>
  <c r="S19" i="8"/>
  <c r="S29" i="8" s="1"/>
  <c r="C20" i="8"/>
  <c r="C6" i="8" s="1"/>
  <c r="D20" i="8"/>
  <c r="D6" i="8" s="1"/>
  <c r="E20" i="8"/>
  <c r="E6" i="8" s="1"/>
  <c r="F20" i="8"/>
  <c r="F6" i="8" s="1"/>
  <c r="G20" i="8"/>
  <c r="G6" i="8" s="1"/>
  <c r="H20" i="8"/>
  <c r="H6" i="8" s="1"/>
  <c r="I20" i="8"/>
  <c r="I6" i="8" s="1"/>
  <c r="J20" i="8"/>
  <c r="J6" i="8" s="1"/>
  <c r="K20" i="8"/>
  <c r="L20" i="8"/>
  <c r="M20" i="8"/>
  <c r="N20" i="8"/>
  <c r="O20" i="8"/>
  <c r="P20" i="8"/>
  <c r="Q20" i="8"/>
  <c r="R20" i="8"/>
  <c r="S20" i="8"/>
  <c r="C21" i="8"/>
  <c r="C7" i="8" s="1"/>
  <c r="D21" i="8"/>
  <c r="D7" i="8" s="1"/>
  <c r="E21" i="8"/>
  <c r="E7" i="8" s="1"/>
  <c r="F21" i="8"/>
  <c r="F7" i="8" s="1"/>
  <c r="G21" i="8"/>
  <c r="G7" i="8" s="1"/>
  <c r="H21" i="8"/>
  <c r="H7" i="8" s="1"/>
  <c r="I21" i="8"/>
  <c r="I7" i="8" s="1"/>
  <c r="J21" i="8"/>
  <c r="J7" i="8" s="1"/>
  <c r="K21" i="8"/>
  <c r="L21" i="8"/>
  <c r="M21" i="8"/>
  <c r="N21" i="8"/>
  <c r="O21" i="8"/>
  <c r="P21" i="8"/>
  <c r="Q21" i="8"/>
  <c r="R21" i="8"/>
  <c r="S21" i="8"/>
  <c r="C22" i="8"/>
  <c r="C8" i="8" s="1"/>
  <c r="D22" i="8"/>
  <c r="D8" i="8" s="1"/>
  <c r="E22" i="8"/>
  <c r="E8" i="8" s="1"/>
  <c r="F22" i="8"/>
  <c r="F8" i="8" s="1"/>
  <c r="G22" i="8"/>
  <c r="G8" i="8" s="1"/>
  <c r="H22" i="8"/>
  <c r="H8" i="8" s="1"/>
  <c r="I22" i="8"/>
  <c r="I8" i="8" s="1"/>
  <c r="J22" i="8"/>
  <c r="J8" i="8" s="1"/>
  <c r="K22" i="8"/>
  <c r="L22" i="8"/>
  <c r="M22" i="8"/>
  <c r="N22" i="8"/>
  <c r="O22" i="8"/>
  <c r="P22" i="8"/>
  <c r="Q22" i="8"/>
  <c r="R22" i="8"/>
  <c r="S22" i="8"/>
  <c r="C23" i="8"/>
  <c r="C9" i="8" s="1"/>
  <c r="D23" i="8"/>
  <c r="D9" i="8" s="1"/>
  <c r="E23" i="8"/>
  <c r="E9" i="8" s="1"/>
  <c r="F23" i="8"/>
  <c r="F9" i="8" s="1"/>
  <c r="G23" i="8"/>
  <c r="G9" i="8" s="1"/>
  <c r="H23" i="8"/>
  <c r="H9" i="8" s="1"/>
  <c r="I23" i="8"/>
  <c r="I9" i="8" s="1"/>
  <c r="J23" i="8"/>
  <c r="J9" i="8" s="1"/>
  <c r="K23" i="8"/>
  <c r="L23" i="8"/>
  <c r="M23" i="8"/>
  <c r="N23" i="8"/>
  <c r="O23" i="8"/>
  <c r="P23" i="8"/>
  <c r="Q23" i="8"/>
  <c r="R23" i="8"/>
  <c r="S23" i="8"/>
  <c r="C24" i="8"/>
  <c r="C10" i="8" s="1"/>
  <c r="D24" i="8"/>
  <c r="D10" i="8" s="1"/>
  <c r="E24" i="8"/>
  <c r="F24" i="8"/>
  <c r="F10" i="8" s="1"/>
  <c r="G24" i="8"/>
  <c r="G10" i="8" s="1"/>
  <c r="H24" i="8"/>
  <c r="H10" i="8" s="1"/>
  <c r="I24" i="8"/>
  <c r="J24" i="8"/>
  <c r="J10" i="8" s="1"/>
  <c r="K24" i="8"/>
  <c r="L24" i="8"/>
  <c r="M24" i="8"/>
  <c r="N24" i="8"/>
  <c r="O24" i="8"/>
  <c r="P24" i="8"/>
  <c r="Q24" i="8"/>
  <c r="R24" i="8"/>
  <c r="S24" i="8"/>
  <c r="C25" i="8"/>
  <c r="C11" i="8" s="1"/>
  <c r="D25" i="8"/>
  <c r="E25" i="8"/>
  <c r="E11" i="8" s="1"/>
  <c r="F25" i="8"/>
  <c r="F11" i="8" s="1"/>
  <c r="G25" i="8"/>
  <c r="G11" i="8" s="1"/>
  <c r="H25" i="8"/>
  <c r="I25" i="8"/>
  <c r="I11" i="8" s="1"/>
  <c r="J25" i="8"/>
  <c r="J11" i="8" s="1"/>
  <c r="K25" i="8"/>
  <c r="L25" i="8"/>
  <c r="M25" i="8"/>
  <c r="N25" i="8"/>
  <c r="O25" i="8"/>
  <c r="P25" i="8"/>
  <c r="Q25" i="8"/>
  <c r="R25" i="8"/>
  <c r="S25" i="8"/>
  <c r="C26" i="8"/>
  <c r="C13" i="8" s="1"/>
  <c r="D26" i="8"/>
  <c r="D13" i="8" s="1"/>
  <c r="E26" i="8"/>
  <c r="E13" i="8" s="1"/>
  <c r="F26" i="8"/>
  <c r="F13" i="8" s="1"/>
  <c r="G26" i="8"/>
  <c r="G13" i="8" s="1"/>
  <c r="H26" i="8"/>
  <c r="H13" i="8" s="1"/>
  <c r="I26" i="8"/>
  <c r="I13" i="8" s="1"/>
  <c r="J26" i="8"/>
  <c r="J13" i="8" s="1"/>
  <c r="K26" i="8"/>
  <c r="L26" i="8"/>
  <c r="M26" i="8"/>
  <c r="N26" i="8"/>
  <c r="O26" i="8"/>
  <c r="P26" i="8"/>
  <c r="Q26" i="8"/>
  <c r="R26" i="8"/>
  <c r="S26" i="8"/>
  <c r="C27" i="8"/>
  <c r="C12" i="8" s="1"/>
  <c r="D27" i="8"/>
  <c r="D12" i="8" s="1"/>
  <c r="E27" i="8"/>
  <c r="E12" i="8" s="1"/>
  <c r="F27" i="8"/>
  <c r="F12" i="8" s="1"/>
  <c r="G27" i="8"/>
  <c r="G12" i="8" s="1"/>
  <c r="H27" i="8"/>
  <c r="H12" i="8" s="1"/>
  <c r="I27" i="8"/>
  <c r="I12" i="8" s="1"/>
  <c r="J27" i="8"/>
  <c r="J12" i="8" s="1"/>
  <c r="K27" i="8"/>
  <c r="L27" i="8"/>
  <c r="M27" i="8"/>
  <c r="N27" i="8"/>
  <c r="O27" i="8"/>
  <c r="P27" i="8"/>
  <c r="Q27" i="8"/>
  <c r="R27" i="8"/>
  <c r="S27" i="8"/>
  <c r="C28" i="8"/>
  <c r="C14" i="8" s="1"/>
  <c r="D28" i="8"/>
  <c r="D14" i="8" s="1"/>
  <c r="E28" i="8"/>
  <c r="E14" i="8" s="1"/>
  <c r="F28" i="8"/>
  <c r="F14" i="8" s="1"/>
  <c r="G28" i="8"/>
  <c r="G14" i="8" s="1"/>
  <c r="H28" i="8"/>
  <c r="H14" i="8" s="1"/>
  <c r="I28" i="8"/>
  <c r="I14" i="8" s="1"/>
  <c r="J28" i="8"/>
  <c r="J14" i="8" s="1"/>
  <c r="K28" i="8"/>
  <c r="L28" i="8"/>
  <c r="M28" i="8"/>
  <c r="N28" i="8"/>
  <c r="O28" i="8"/>
  <c r="P28" i="8"/>
  <c r="Q28" i="8"/>
  <c r="R28" i="8"/>
  <c r="S28" i="8"/>
  <c r="B24" i="8"/>
  <c r="G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B30" i="8"/>
  <c r="B27" i="8"/>
  <c r="B12" i="8" s="1"/>
  <c r="P87" i="29" l="1"/>
  <c r="P57" i="29"/>
  <c r="B75" i="29" s="1"/>
  <c r="C34" i="19" s="1"/>
  <c r="N2" i="34"/>
  <c r="N87" i="29"/>
  <c r="N57" i="29"/>
  <c r="B73" i="29" s="1"/>
  <c r="C32" i="19" s="1"/>
  <c r="H47" i="23" s="1"/>
  <c r="I117" i="17"/>
  <c r="H6" i="29" s="1"/>
  <c r="H6" i="34" s="1"/>
  <c r="I116" i="17"/>
  <c r="H5" i="29" s="1"/>
  <c r="H5" i="34" s="1"/>
  <c r="I114" i="17"/>
  <c r="H3" i="29" s="1"/>
  <c r="H3" i="34" s="1"/>
  <c r="I115" i="17"/>
  <c r="H4" i="29" s="1"/>
  <c r="H4" i="34" s="1"/>
  <c r="I120" i="17"/>
  <c r="H9" i="29" s="1"/>
  <c r="H9" i="34" s="1"/>
  <c r="I132" i="17"/>
  <c r="H21" i="29" s="1"/>
  <c r="H21" i="34" s="1"/>
  <c r="I123" i="17"/>
  <c r="H12" i="29" s="1"/>
  <c r="H12" i="34" s="1"/>
  <c r="I128" i="17"/>
  <c r="H17" i="29" s="1"/>
  <c r="H17" i="34" s="1"/>
  <c r="I130" i="17"/>
  <c r="H19" i="29" s="1"/>
  <c r="H19" i="34" s="1"/>
  <c r="I119" i="17"/>
  <c r="H8" i="29" s="1"/>
  <c r="H8" i="34" s="1"/>
  <c r="I131" i="17"/>
  <c r="H20" i="29" s="1"/>
  <c r="H20" i="34" s="1"/>
  <c r="I121" i="17"/>
  <c r="H10" i="29" s="1"/>
  <c r="H10" i="34" s="1"/>
  <c r="I127" i="17"/>
  <c r="H16" i="29" s="1"/>
  <c r="H16" i="34" s="1"/>
  <c r="I122" i="17"/>
  <c r="H11" i="29" s="1"/>
  <c r="H11" i="34" s="1"/>
  <c r="I125" i="17"/>
  <c r="H14" i="29" s="1"/>
  <c r="H14" i="34" s="1"/>
  <c r="I126" i="17"/>
  <c r="H15" i="29" s="1"/>
  <c r="H15" i="34" s="1"/>
  <c r="I113" i="17"/>
  <c r="H2" i="29" s="1"/>
  <c r="I129" i="17"/>
  <c r="H18" i="29" s="1"/>
  <c r="H18" i="34" s="1"/>
  <c r="I118" i="17"/>
  <c r="H7" i="29" s="1"/>
  <c r="H7" i="34" s="1"/>
  <c r="I124" i="17"/>
  <c r="H13" i="29" s="1"/>
  <c r="H13" i="34" s="1"/>
  <c r="E87" i="29"/>
  <c r="E57" i="29"/>
  <c r="B64" i="29" s="1"/>
  <c r="C23" i="19" s="1"/>
  <c r="E2" i="34"/>
  <c r="F104" i="30"/>
  <c r="M2" i="34"/>
  <c r="M57" i="29"/>
  <c r="B72" i="29" s="1"/>
  <c r="C31" i="19" s="1"/>
  <c r="M87" i="29"/>
  <c r="AB14" i="30"/>
  <c r="S87" i="29"/>
  <c r="E103" i="30"/>
  <c r="AB34" i="34"/>
  <c r="AA13" i="30"/>
  <c r="AC34" i="34"/>
  <c r="F103" i="30"/>
  <c r="AB13" i="30"/>
  <c r="AA35" i="34"/>
  <c r="Z14" i="30"/>
  <c r="D104" i="30"/>
  <c r="AL48" i="1"/>
  <c r="AL61" i="1" s="1"/>
  <c r="AL67" i="1" s="1"/>
  <c r="Y34" i="29" s="1"/>
  <c r="AL50" i="1"/>
  <c r="AL63" i="1" s="1"/>
  <c r="AL69" i="1" s="1"/>
  <c r="Y36" i="29" s="1"/>
  <c r="AL51" i="1"/>
  <c r="AL64" i="1" s="1"/>
  <c r="AL70" i="1" s="1"/>
  <c r="Y37" i="29" s="1"/>
  <c r="AL49" i="1"/>
  <c r="AL62" i="1" s="1"/>
  <c r="AL68" i="1" s="1"/>
  <c r="Y35" i="29" s="1"/>
  <c r="AL47" i="1"/>
  <c r="AO52" i="1"/>
  <c r="AO56" i="1" s="1"/>
  <c r="AO60" i="1"/>
  <c r="AO65" i="1" s="1"/>
  <c r="AB41" i="29" s="1"/>
  <c r="AC37" i="34"/>
  <c r="AB16" i="30"/>
  <c r="F106" i="30"/>
  <c r="AA36" i="34"/>
  <c r="Z15" i="30"/>
  <c r="D105" i="30"/>
  <c r="E106" i="30"/>
  <c r="AB37" i="34"/>
  <c r="AA16" i="30"/>
  <c r="AP60" i="1"/>
  <c r="AP52" i="1"/>
  <c r="AP56" i="1" s="1"/>
  <c r="S57" i="29"/>
  <c r="B78" i="29" s="1"/>
  <c r="C37" i="19" s="1"/>
  <c r="M109" i="17"/>
  <c r="M111" i="17" s="1"/>
  <c r="E116" i="17"/>
  <c r="D5" i="29" s="1"/>
  <c r="D5" i="34" s="1"/>
  <c r="E117" i="17"/>
  <c r="D6" i="29" s="1"/>
  <c r="D6" i="34" s="1"/>
  <c r="E130" i="17"/>
  <c r="D19" i="29" s="1"/>
  <c r="D19" i="34" s="1"/>
  <c r="E128" i="17"/>
  <c r="D17" i="29" s="1"/>
  <c r="D17" i="34" s="1"/>
  <c r="E129" i="17"/>
  <c r="D18" i="29" s="1"/>
  <c r="D18" i="34" s="1"/>
  <c r="E119" i="17"/>
  <c r="D8" i="29" s="1"/>
  <c r="D8" i="34" s="1"/>
  <c r="E115" i="17"/>
  <c r="D4" i="29" s="1"/>
  <c r="D4" i="34" s="1"/>
  <c r="E127" i="17"/>
  <c r="D16" i="29" s="1"/>
  <c r="D16" i="34" s="1"/>
  <c r="E114" i="17"/>
  <c r="D3" i="29" s="1"/>
  <c r="D3" i="34" s="1"/>
  <c r="E132" i="17"/>
  <c r="D21" i="29" s="1"/>
  <c r="D21" i="34" s="1"/>
  <c r="E118" i="17"/>
  <c r="D7" i="29" s="1"/>
  <c r="D7" i="34" s="1"/>
  <c r="E120" i="17"/>
  <c r="D9" i="29" s="1"/>
  <c r="D9" i="34" s="1"/>
  <c r="E131" i="17"/>
  <c r="D20" i="29" s="1"/>
  <c r="D20" i="34" s="1"/>
  <c r="E113" i="17"/>
  <c r="D2" i="29" s="1"/>
  <c r="E123" i="17"/>
  <c r="D12" i="29" s="1"/>
  <c r="D12" i="34" s="1"/>
  <c r="E124" i="17"/>
  <c r="D13" i="29" s="1"/>
  <c r="D13" i="34" s="1"/>
  <c r="E122" i="17"/>
  <c r="D11" i="29" s="1"/>
  <c r="D11" i="34" s="1"/>
  <c r="E126" i="17"/>
  <c r="D15" i="29" s="1"/>
  <c r="D15" i="34" s="1"/>
  <c r="E125" i="17"/>
  <c r="D14" i="29" s="1"/>
  <c r="D14" i="34" s="1"/>
  <c r="E121" i="17"/>
  <c r="D10" i="29" s="1"/>
  <c r="D10" i="34" s="1"/>
  <c r="AM48" i="1"/>
  <c r="AM61" i="1" s="1"/>
  <c r="AM67" i="1" s="1"/>
  <c r="Z34" i="29" s="1"/>
  <c r="AM47" i="1"/>
  <c r="AM50" i="1"/>
  <c r="AM63" i="1" s="1"/>
  <c r="AM69" i="1" s="1"/>
  <c r="Z36" i="29" s="1"/>
  <c r="AM49" i="1"/>
  <c r="AM62" i="1" s="1"/>
  <c r="AM68" i="1" s="1"/>
  <c r="Z35" i="29" s="1"/>
  <c r="AM51" i="1"/>
  <c r="AM64" i="1" s="1"/>
  <c r="AM70" i="1" s="1"/>
  <c r="Z37" i="29" s="1"/>
  <c r="AA34" i="34"/>
  <c r="D103" i="30"/>
  <c r="Z13" i="30"/>
  <c r="E105" i="30"/>
  <c r="AB36" i="34"/>
  <c r="AA15" i="30"/>
  <c r="T2" i="34"/>
  <c r="T87" i="29"/>
  <c r="T57" i="29"/>
  <c r="B79" i="29" s="1"/>
  <c r="C38" i="19" s="1"/>
  <c r="AN52" i="1"/>
  <c r="AN56" i="1" s="1"/>
  <c r="AN60" i="1"/>
  <c r="AN65" i="1" s="1"/>
  <c r="AA40" i="29" s="1"/>
  <c r="AA14" i="30"/>
  <c r="AB35" i="34"/>
  <c r="E104" i="30"/>
  <c r="AC36" i="34"/>
  <c r="AB15" i="30"/>
  <c r="F105" i="30"/>
  <c r="AA37" i="34"/>
  <c r="D106" i="30"/>
  <c r="Z16" i="30"/>
  <c r="S29" i="22"/>
  <c r="L22" i="7"/>
  <c r="S28" i="22"/>
  <c r="L21" i="7"/>
  <c r="C29" i="8"/>
  <c r="P29" i="8"/>
  <c r="L29" i="8"/>
  <c r="H29" i="8"/>
  <c r="H11" i="8"/>
  <c r="D29" i="8"/>
  <c r="D11" i="8"/>
  <c r="Q29" i="8"/>
  <c r="M29" i="8"/>
  <c r="I29" i="8"/>
  <c r="I10" i="8"/>
  <c r="E29" i="8"/>
  <c r="E10" i="8"/>
  <c r="R29" i="8"/>
  <c r="N29" i="8"/>
  <c r="J29" i="8"/>
  <c r="J5" i="8"/>
  <c r="F29" i="8"/>
  <c r="F5" i="8"/>
  <c r="B10" i="8"/>
  <c r="C54" i="1"/>
  <c r="N24" i="7" s="1"/>
  <c r="D54" i="1"/>
  <c r="O24" i="7" s="1"/>
  <c r="E54" i="1"/>
  <c r="P24" i="7" s="1"/>
  <c r="F54" i="1"/>
  <c r="Q24" i="7" s="1"/>
  <c r="G54" i="1"/>
  <c r="R24" i="7" s="1"/>
  <c r="H54" i="1"/>
  <c r="S24" i="7" s="1"/>
  <c r="I54" i="1"/>
  <c r="T24" i="7" s="1"/>
  <c r="J54" i="1"/>
  <c r="U24" i="7" s="1"/>
  <c r="C55" i="1"/>
  <c r="N25" i="7" s="1"/>
  <c r="M25" i="25" s="1"/>
  <c r="D55" i="1"/>
  <c r="O25" i="7" s="1"/>
  <c r="N25" i="25" s="1"/>
  <c r="E55" i="1"/>
  <c r="P25" i="7" s="1"/>
  <c r="O25" i="25" s="1"/>
  <c r="F55" i="1"/>
  <c r="Q25" i="7" s="1"/>
  <c r="P25" i="25" s="1"/>
  <c r="G55" i="1"/>
  <c r="R25" i="7" s="1"/>
  <c r="Q25" i="25" s="1"/>
  <c r="H55" i="1"/>
  <c r="S25" i="7" s="1"/>
  <c r="R25" i="25" s="1"/>
  <c r="I55" i="1"/>
  <c r="T25" i="7" s="1"/>
  <c r="S25" i="25" s="1"/>
  <c r="J55" i="1"/>
  <c r="U25" i="7" s="1"/>
  <c r="T25" i="25" s="1"/>
  <c r="C56" i="1"/>
  <c r="N26" i="7" s="1"/>
  <c r="M26" i="25" s="1"/>
  <c r="D56" i="1"/>
  <c r="O26" i="7" s="1"/>
  <c r="N26" i="25" s="1"/>
  <c r="E56" i="1"/>
  <c r="P26" i="7" s="1"/>
  <c r="O26" i="25" s="1"/>
  <c r="F56" i="1"/>
  <c r="Q26" i="7" s="1"/>
  <c r="P26" i="25" s="1"/>
  <c r="G56" i="1"/>
  <c r="R26" i="7" s="1"/>
  <c r="Q26" i="25" s="1"/>
  <c r="H56" i="1"/>
  <c r="S26" i="7" s="1"/>
  <c r="R26" i="25" s="1"/>
  <c r="I56" i="1"/>
  <c r="T26" i="7" s="1"/>
  <c r="S26" i="25" s="1"/>
  <c r="J56" i="1"/>
  <c r="U26" i="7" s="1"/>
  <c r="T26" i="25" s="1"/>
  <c r="C57" i="1"/>
  <c r="N27" i="7" s="1"/>
  <c r="M27" i="25" s="1"/>
  <c r="D57" i="1"/>
  <c r="O27" i="7" s="1"/>
  <c r="N27" i="25" s="1"/>
  <c r="E57" i="1"/>
  <c r="P27" i="7" s="1"/>
  <c r="O27" i="25" s="1"/>
  <c r="F57" i="1"/>
  <c r="Q27" i="7" s="1"/>
  <c r="P27" i="25" s="1"/>
  <c r="G57" i="1"/>
  <c r="R27" i="7" s="1"/>
  <c r="Q27" i="25" s="1"/>
  <c r="H57" i="1"/>
  <c r="S27" i="7" s="1"/>
  <c r="R27" i="25" s="1"/>
  <c r="I57" i="1"/>
  <c r="T27" i="7" s="1"/>
  <c r="S27" i="25" s="1"/>
  <c r="J57" i="1"/>
  <c r="U27" i="7" s="1"/>
  <c r="T27" i="25" s="1"/>
  <c r="C58" i="1"/>
  <c r="N28" i="7" s="1"/>
  <c r="M28" i="25" s="1"/>
  <c r="D58" i="1"/>
  <c r="O28" i="7" s="1"/>
  <c r="N28" i="25" s="1"/>
  <c r="E58" i="1"/>
  <c r="P28" i="7" s="1"/>
  <c r="O28" i="25" s="1"/>
  <c r="F58" i="1"/>
  <c r="Q28" i="7" s="1"/>
  <c r="P28" i="25" s="1"/>
  <c r="G58" i="1"/>
  <c r="R28" i="7" s="1"/>
  <c r="Q28" i="25" s="1"/>
  <c r="H58" i="1"/>
  <c r="S28" i="7" s="1"/>
  <c r="R28" i="25" s="1"/>
  <c r="I58" i="1"/>
  <c r="T28" i="7" s="1"/>
  <c r="S28" i="25" s="1"/>
  <c r="J58" i="1"/>
  <c r="U28" i="7" s="1"/>
  <c r="T28" i="25" s="1"/>
  <c r="C59" i="1"/>
  <c r="N29" i="7" s="1"/>
  <c r="M29" i="25" s="1"/>
  <c r="D59" i="1"/>
  <c r="O29" i="7" s="1"/>
  <c r="N29" i="25" s="1"/>
  <c r="E59" i="1"/>
  <c r="P29" i="7" s="1"/>
  <c r="O29" i="25" s="1"/>
  <c r="F59" i="1"/>
  <c r="Q29" i="7" s="1"/>
  <c r="P29" i="25" s="1"/>
  <c r="G59" i="1"/>
  <c r="R29" i="7" s="1"/>
  <c r="Q29" i="25" s="1"/>
  <c r="H59" i="1"/>
  <c r="S29" i="7" s="1"/>
  <c r="R29" i="25" s="1"/>
  <c r="I59" i="1"/>
  <c r="T29" i="7" s="1"/>
  <c r="S29" i="25" s="1"/>
  <c r="J59" i="1"/>
  <c r="U29" i="7" s="1"/>
  <c r="T29" i="25" s="1"/>
  <c r="C60" i="1"/>
  <c r="N30" i="7" s="1"/>
  <c r="M30" i="25" s="1"/>
  <c r="D60" i="1"/>
  <c r="O30" i="7" s="1"/>
  <c r="N30" i="25" s="1"/>
  <c r="E60" i="1"/>
  <c r="P30" i="7" s="1"/>
  <c r="O30" i="25" s="1"/>
  <c r="F60" i="1"/>
  <c r="Q30" i="7" s="1"/>
  <c r="P30" i="25" s="1"/>
  <c r="G60" i="1"/>
  <c r="R30" i="7" s="1"/>
  <c r="Q30" i="25" s="1"/>
  <c r="H60" i="1"/>
  <c r="S30" i="7" s="1"/>
  <c r="R30" i="25" s="1"/>
  <c r="I60" i="1"/>
  <c r="T30" i="7" s="1"/>
  <c r="S30" i="25" s="1"/>
  <c r="J60" i="1"/>
  <c r="U30" i="7" s="1"/>
  <c r="T30" i="25" s="1"/>
  <c r="C61" i="1"/>
  <c r="N31" i="7" s="1"/>
  <c r="M31" i="25" s="1"/>
  <c r="D61" i="1"/>
  <c r="O31" i="7" s="1"/>
  <c r="N31" i="25" s="1"/>
  <c r="E61" i="1"/>
  <c r="P31" i="7" s="1"/>
  <c r="O31" i="25" s="1"/>
  <c r="F61" i="1"/>
  <c r="Q31" i="7" s="1"/>
  <c r="P31" i="25" s="1"/>
  <c r="G61" i="1"/>
  <c r="R31" i="7" s="1"/>
  <c r="Q31" i="25" s="1"/>
  <c r="H61" i="1"/>
  <c r="S31" i="7" s="1"/>
  <c r="R31" i="25" s="1"/>
  <c r="I61" i="1"/>
  <c r="T31" i="7" s="1"/>
  <c r="S31" i="25" s="1"/>
  <c r="J61" i="1"/>
  <c r="U31" i="7" s="1"/>
  <c r="T31" i="25" s="1"/>
  <c r="C62" i="1"/>
  <c r="N32" i="7" s="1"/>
  <c r="M32" i="25" s="1"/>
  <c r="D62" i="1"/>
  <c r="O32" i="7" s="1"/>
  <c r="N32" i="25" s="1"/>
  <c r="E62" i="1"/>
  <c r="P32" i="7" s="1"/>
  <c r="O32" i="25" s="1"/>
  <c r="F62" i="1"/>
  <c r="Q32" i="7" s="1"/>
  <c r="P32" i="25" s="1"/>
  <c r="G62" i="1"/>
  <c r="R32" i="7" s="1"/>
  <c r="Q32" i="25" s="1"/>
  <c r="H62" i="1"/>
  <c r="S32" i="7" s="1"/>
  <c r="R32" i="25" s="1"/>
  <c r="I62" i="1"/>
  <c r="T32" i="7" s="1"/>
  <c r="S32" i="25" s="1"/>
  <c r="J62" i="1"/>
  <c r="U32" i="7" s="1"/>
  <c r="T32" i="25" s="1"/>
  <c r="B55" i="1"/>
  <c r="M25" i="7" s="1"/>
  <c r="B56" i="1"/>
  <c r="M26" i="7" s="1"/>
  <c r="B57" i="1"/>
  <c r="M27" i="7" s="1"/>
  <c r="B58" i="1"/>
  <c r="M28" i="7" s="1"/>
  <c r="B59" i="1"/>
  <c r="M29" i="7" s="1"/>
  <c r="B60" i="1"/>
  <c r="M30" i="7" s="1"/>
  <c r="B61" i="1"/>
  <c r="M31" i="7" s="1"/>
  <c r="B62" i="1"/>
  <c r="M32" i="7" s="1"/>
  <c r="B54" i="1"/>
  <c r="M24" i="7" s="1"/>
  <c r="M62" i="1"/>
  <c r="N62" i="1"/>
  <c r="O62" i="1"/>
  <c r="P62" i="1"/>
  <c r="Q62" i="1"/>
  <c r="R62" i="1"/>
  <c r="S62" i="1"/>
  <c r="T62" i="1"/>
  <c r="L62" i="1"/>
  <c r="B66" i="1" s="1"/>
  <c r="I14" i="10"/>
  <c r="H14" i="10"/>
  <c r="I12" i="10"/>
  <c r="H12" i="10"/>
  <c r="H2" i="34" l="1"/>
  <c r="H87" i="29"/>
  <c r="H57" i="29"/>
  <c r="B67" i="29" s="1"/>
  <c r="C26" i="19" s="1"/>
  <c r="AO66" i="1"/>
  <c r="AB33" i="29" s="1"/>
  <c r="AB33" i="34" s="1"/>
  <c r="Z36" i="34"/>
  <c r="Y15" i="30"/>
  <c r="C105" i="30"/>
  <c r="X14" i="30"/>
  <c r="Y35" i="34"/>
  <c r="B104" i="30"/>
  <c r="AM52" i="1"/>
  <c r="AM56" i="1" s="1"/>
  <c r="AM60" i="1"/>
  <c r="AM65" i="1" s="1"/>
  <c r="Z39" i="29" s="1"/>
  <c r="D2" i="34"/>
  <c r="D57" i="29"/>
  <c r="B63" i="29" s="1"/>
  <c r="C22" i="19" s="1"/>
  <c r="D87" i="29"/>
  <c r="X16" i="30"/>
  <c r="Y37" i="34"/>
  <c r="B106" i="30"/>
  <c r="Z34" i="34"/>
  <c r="Y13" i="30"/>
  <c r="C103" i="30"/>
  <c r="X15" i="30"/>
  <c r="Y36" i="34"/>
  <c r="B105" i="30"/>
  <c r="AX40" i="29"/>
  <c r="AN52" i="29" s="1"/>
  <c r="AN54" i="29" s="1"/>
  <c r="AA40" i="34"/>
  <c r="AP66" i="1"/>
  <c r="AC33" i="29" s="1"/>
  <c r="AP65" i="1"/>
  <c r="AC42" i="29" s="1"/>
  <c r="X13" i="30"/>
  <c r="Y34" i="34"/>
  <c r="B103" i="30"/>
  <c r="AX41" i="29"/>
  <c r="AO52" i="29" s="1"/>
  <c r="AO54" i="29" s="1"/>
  <c r="AB41" i="34"/>
  <c r="Z37" i="34"/>
  <c r="C106" i="30"/>
  <c r="Y16" i="30"/>
  <c r="Z35" i="34"/>
  <c r="C104" i="30"/>
  <c r="Y14" i="30"/>
  <c r="M131" i="17"/>
  <c r="L20" i="29" s="1"/>
  <c r="L20" i="34" s="1"/>
  <c r="M117" i="17"/>
  <c r="L6" i="29" s="1"/>
  <c r="L6" i="34" s="1"/>
  <c r="M125" i="17"/>
  <c r="L14" i="29" s="1"/>
  <c r="L14" i="34" s="1"/>
  <c r="M132" i="17"/>
  <c r="L21" i="29" s="1"/>
  <c r="L21" i="34" s="1"/>
  <c r="M122" i="17"/>
  <c r="L11" i="29" s="1"/>
  <c r="L11" i="34" s="1"/>
  <c r="M121" i="17"/>
  <c r="L10" i="29" s="1"/>
  <c r="L10" i="34" s="1"/>
  <c r="M119" i="17"/>
  <c r="L8" i="29" s="1"/>
  <c r="L8" i="34" s="1"/>
  <c r="M126" i="17"/>
  <c r="L15" i="29" s="1"/>
  <c r="L15" i="34" s="1"/>
  <c r="M123" i="17"/>
  <c r="L12" i="29" s="1"/>
  <c r="L12" i="34" s="1"/>
  <c r="M120" i="17"/>
  <c r="L9" i="29" s="1"/>
  <c r="L9" i="34" s="1"/>
  <c r="M118" i="17"/>
  <c r="L7" i="29" s="1"/>
  <c r="L7" i="34" s="1"/>
  <c r="M127" i="17"/>
  <c r="L16" i="29" s="1"/>
  <c r="L16" i="34" s="1"/>
  <c r="M128" i="17"/>
  <c r="L17" i="29" s="1"/>
  <c r="L17" i="34" s="1"/>
  <c r="M129" i="17"/>
  <c r="L18" i="29" s="1"/>
  <c r="L18" i="34" s="1"/>
  <c r="M113" i="17"/>
  <c r="L2" i="29" s="1"/>
  <c r="M130" i="17"/>
  <c r="L19" i="29" s="1"/>
  <c r="L19" i="34" s="1"/>
  <c r="M116" i="17"/>
  <c r="L5" i="29" s="1"/>
  <c r="L5" i="34" s="1"/>
  <c r="M115" i="17"/>
  <c r="L4" i="29" s="1"/>
  <c r="L4" i="34" s="1"/>
  <c r="M114" i="17"/>
  <c r="L3" i="29" s="1"/>
  <c r="L3" i="34" s="1"/>
  <c r="M124" i="17"/>
  <c r="L13" i="29" s="1"/>
  <c r="L13" i="34" s="1"/>
  <c r="AL52" i="1"/>
  <c r="AL56" i="1" s="1"/>
  <c r="AL60" i="1"/>
  <c r="AN66" i="1"/>
  <c r="AA33" i="29" s="1"/>
  <c r="B58" i="14"/>
  <c r="C49" i="14" s="1" a="1"/>
  <c r="O3" i="23"/>
  <c r="K21" i="25"/>
  <c r="AY21" i="7"/>
  <c r="L50" i="7"/>
  <c r="K22" i="25"/>
  <c r="AY22" i="7"/>
  <c r="L24" i="25"/>
  <c r="AY24" i="7"/>
  <c r="L29" i="25"/>
  <c r="AY29" i="7"/>
  <c r="L25" i="25"/>
  <c r="AY25" i="7"/>
  <c r="Q24" i="25"/>
  <c r="M24" i="25"/>
  <c r="L32" i="25"/>
  <c r="AY32" i="7"/>
  <c r="L28" i="25"/>
  <c r="AY28" i="7"/>
  <c r="T24" i="25"/>
  <c r="P24" i="25"/>
  <c r="L31" i="25"/>
  <c r="AY31" i="7"/>
  <c r="L27" i="25"/>
  <c r="AY27" i="7"/>
  <c r="S24" i="25"/>
  <c r="O24" i="25"/>
  <c r="AY30" i="7"/>
  <c r="AY26" i="7"/>
  <c r="R24" i="25"/>
  <c r="N24" i="25"/>
  <c r="I11" i="23"/>
  <c r="I12" i="23" s="1"/>
  <c r="L30" i="25"/>
  <c r="E11" i="23"/>
  <c r="E12" i="23" s="1"/>
  <c r="L26" i="25"/>
  <c r="C11" i="23"/>
  <c r="C12" i="23" s="1"/>
  <c r="H11" i="23"/>
  <c r="H12" i="23" s="1"/>
  <c r="D11" i="23"/>
  <c r="D12" i="23" s="1"/>
  <c r="K11" i="23"/>
  <c r="K12" i="23" s="1"/>
  <c r="G11" i="23"/>
  <c r="G12" i="23" s="1"/>
  <c r="J11" i="23"/>
  <c r="J12" i="23" s="1"/>
  <c r="F11" i="23"/>
  <c r="F12" i="23" s="1"/>
  <c r="F70" i="1"/>
  <c r="I73" i="1"/>
  <c r="E69" i="1"/>
  <c r="J74" i="1"/>
  <c r="H72" i="1"/>
  <c r="D68" i="1"/>
  <c r="M33" i="7"/>
  <c r="L33" i="25" s="1"/>
  <c r="G71" i="1"/>
  <c r="C67" i="1"/>
  <c r="AC15" i="30" l="1"/>
  <c r="E102" i="30"/>
  <c r="AA12" i="30"/>
  <c r="AB50" i="29"/>
  <c r="AB54" i="29" s="1"/>
  <c r="G105" i="30"/>
  <c r="E110" i="30" s="1"/>
  <c r="E111" i="30" s="1"/>
  <c r="AC14" i="30"/>
  <c r="G103" i="30"/>
  <c r="C110" i="30" s="1"/>
  <c r="C111" i="30" s="1"/>
  <c r="AC16" i="30"/>
  <c r="AC33" i="34"/>
  <c r="AB12" i="30"/>
  <c r="AC50" i="29"/>
  <c r="AC54" i="29" s="1"/>
  <c r="F102" i="30"/>
  <c r="AX39" i="29"/>
  <c r="AM52" i="29" s="1"/>
  <c r="AM54" i="29" s="1"/>
  <c r="Z39" i="34"/>
  <c r="G106" i="30"/>
  <c r="F110" i="30" s="1"/>
  <c r="F111" i="30" s="1"/>
  <c r="G104" i="30"/>
  <c r="D110" i="30" s="1"/>
  <c r="D111" i="30" s="1"/>
  <c r="AA33" i="34"/>
  <c r="Z12" i="30"/>
  <c r="D102" i="30"/>
  <c r="AA50" i="29"/>
  <c r="AA54" i="29" s="1"/>
  <c r="L2" i="34"/>
  <c r="L57" i="29"/>
  <c r="B71" i="29" s="1"/>
  <c r="C30" i="19" s="1"/>
  <c r="L87" i="29"/>
  <c r="AL66" i="1"/>
  <c r="Y33" i="29" s="1"/>
  <c r="AL65" i="1"/>
  <c r="Y38" i="29" s="1"/>
  <c r="AX42" i="29"/>
  <c r="AP52" i="29" s="1"/>
  <c r="AP54" i="29" s="1"/>
  <c r="AC42" i="34"/>
  <c r="AC13" i="30"/>
  <c r="AM66" i="1"/>
  <c r="Z33" i="29" s="1"/>
  <c r="P3" i="23"/>
  <c r="O4" i="23"/>
  <c r="O5" i="23" s="1"/>
  <c r="C49" i="14"/>
  <c r="X2" i="7" s="1"/>
  <c r="C52" i="14"/>
  <c r="X5" i="7" s="1"/>
  <c r="W5" i="25" s="1"/>
  <c r="C57" i="14"/>
  <c r="X10" i="7" s="1"/>
  <c r="W10" i="25" s="1"/>
  <c r="C55" i="14"/>
  <c r="X8" i="7" s="1"/>
  <c r="W8" i="25" s="1"/>
  <c r="C58" i="14"/>
  <c r="X11" i="7" s="1"/>
  <c r="C53" i="14"/>
  <c r="X6" i="7" s="1"/>
  <c r="W6" i="25" s="1"/>
  <c r="C56" i="14"/>
  <c r="X9" i="7" s="1"/>
  <c r="W9" i="25" s="1"/>
  <c r="C51" i="14"/>
  <c r="X4" i="7" s="1"/>
  <c r="W4" i="25" s="1"/>
  <c r="C54" i="14"/>
  <c r="X7" i="7" s="1"/>
  <c r="W7" i="25" s="1"/>
  <c r="C50" i="14"/>
  <c r="X3" i="7" s="1"/>
  <c r="W3" i="25" s="1"/>
  <c r="M50" i="7"/>
  <c r="L12" i="23"/>
  <c r="H14" i="23" s="1"/>
  <c r="B75" i="1"/>
  <c r="X51" i="7"/>
  <c r="W51" i="7"/>
  <c r="Y33" i="34" l="1"/>
  <c r="X12" i="30"/>
  <c r="B102" i="30"/>
  <c r="Y50" i="29"/>
  <c r="Y54" i="29" s="1"/>
  <c r="Y12" i="30"/>
  <c r="Z33" i="34"/>
  <c r="C102" i="30"/>
  <c r="Z50" i="29"/>
  <c r="Z54" i="29" s="1"/>
  <c r="AX38" i="29"/>
  <c r="AL52" i="29" s="1"/>
  <c r="AL54" i="29" s="1"/>
  <c r="Y38" i="34"/>
  <c r="W11" i="25"/>
  <c r="AY11" i="7"/>
  <c r="L51" i="7"/>
  <c r="W2" i="25"/>
  <c r="X50" i="7"/>
  <c r="L4" i="23"/>
  <c r="L5" i="23" s="1"/>
  <c r="H28" i="23" s="1"/>
  <c r="I45" i="7" s="1"/>
  <c r="H45" i="25" s="1"/>
  <c r="J4" i="23"/>
  <c r="J5" i="23" s="1"/>
  <c r="F28" i="23" s="1"/>
  <c r="G45" i="7" s="1"/>
  <c r="F45" i="25" s="1"/>
  <c r="N4" i="23"/>
  <c r="N5" i="23" s="1"/>
  <c r="J28" i="23" s="1"/>
  <c r="K45" i="7" s="1"/>
  <c r="J45" i="25" s="1"/>
  <c r="I4" i="23"/>
  <c r="I5" i="23" s="1"/>
  <c r="E28" i="23" s="1"/>
  <c r="F45" i="7" s="1"/>
  <c r="E45" i="25" s="1"/>
  <c r="K4" i="23"/>
  <c r="K5" i="23" s="1"/>
  <c r="G28" i="23" s="1"/>
  <c r="H45" i="7" s="1"/>
  <c r="G45" i="25" s="1"/>
  <c r="G4" i="23"/>
  <c r="G5" i="23" s="1"/>
  <c r="C28" i="23" s="1"/>
  <c r="D45" i="7" s="1"/>
  <c r="C45" i="25" s="1"/>
  <c r="H4" i="23"/>
  <c r="H5" i="23" s="1"/>
  <c r="D28" i="23" s="1"/>
  <c r="E45" i="7" s="1"/>
  <c r="D45" i="25" s="1"/>
  <c r="F4" i="23"/>
  <c r="F5" i="23" s="1"/>
  <c r="B28" i="23" s="1"/>
  <c r="C45" i="7" s="1"/>
  <c r="M4" i="23"/>
  <c r="M5" i="23" s="1"/>
  <c r="I28" i="23" s="1"/>
  <c r="J45" i="7" s="1"/>
  <c r="I45" i="25" s="1"/>
  <c r="AD44" i="7"/>
  <c r="AC44" i="25" s="1"/>
  <c r="D14" i="23"/>
  <c r="G14" i="23"/>
  <c r="F14" i="23"/>
  <c r="I14" i="23"/>
  <c r="E14" i="23"/>
  <c r="C14" i="23"/>
  <c r="Y44" i="7" s="1"/>
  <c r="D13" i="23"/>
  <c r="Z42" i="7" s="1"/>
  <c r="K14" i="23"/>
  <c r="J14" i="23"/>
  <c r="E13" i="23"/>
  <c r="AA42" i="7" s="1"/>
  <c r="I13" i="23"/>
  <c r="AE42" i="7" s="1"/>
  <c r="F13" i="23"/>
  <c r="AB42" i="7" s="1"/>
  <c r="G13" i="23"/>
  <c r="AC42" i="7" s="1"/>
  <c r="K13" i="23"/>
  <c r="AG42" i="7" s="1"/>
  <c r="H13" i="23"/>
  <c r="AD42" i="7" s="1"/>
  <c r="C13" i="23"/>
  <c r="J13" i="23"/>
  <c r="AF42" i="7" s="1"/>
  <c r="W53" i="7"/>
  <c r="W54" i="7" s="1"/>
  <c r="X53" i="7"/>
  <c r="X54" i="7" s="1"/>
  <c r="AC12" i="30" l="1"/>
  <c r="G102" i="30"/>
  <c r="AD50" i="7"/>
  <c r="B45" i="25"/>
  <c r="AT51" i="7"/>
  <c r="AT53" i="7" s="1"/>
  <c r="AT54" i="7" s="1"/>
  <c r="AY45" i="7"/>
  <c r="AF42" i="25"/>
  <c r="AC44" i="7"/>
  <c r="AB44" i="25" s="1"/>
  <c r="AB42" i="25"/>
  <c r="AF44" i="7"/>
  <c r="AF50" i="7" s="1"/>
  <c r="AA44" i="7"/>
  <c r="AA50" i="7" s="1"/>
  <c r="Z44" i="7"/>
  <c r="Y44" i="25" s="1"/>
  <c r="Y42" i="7"/>
  <c r="L13" i="23"/>
  <c r="AQ47" i="7" s="1"/>
  <c r="AG44" i="7"/>
  <c r="AF44" i="25" s="1"/>
  <c r="AE44" i="7"/>
  <c r="AE50" i="7" s="1"/>
  <c r="AD42" i="25"/>
  <c r="AB44" i="7"/>
  <c r="AB50" i="7" s="1"/>
  <c r="AC42" i="25"/>
  <c r="Y42" i="25"/>
  <c r="Z42" i="25"/>
  <c r="AE42" i="25"/>
  <c r="AA42" i="25"/>
  <c r="L14" i="23"/>
  <c r="L25" i="1"/>
  <c r="M25" i="1"/>
  <c r="N25" i="1"/>
  <c r="O25" i="1"/>
  <c r="P25" i="1"/>
  <c r="Q25" i="1"/>
  <c r="R25" i="1"/>
  <c r="S25" i="1"/>
  <c r="K25" i="1"/>
  <c r="L11" i="1"/>
  <c r="M11" i="1"/>
  <c r="N11" i="1"/>
  <c r="O11" i="1"/>
  <c r="P11" i="1"/>
  <c r="Q11" i="1"/>
  <c r="R11" i="1"/>
  <c r="S11" i="1"/>
  <c r="K11" i="1"/>
  <c r="C11" i="1"/>
  <c r="D11" i="1"/>
  <c r="E11" i="1"/>
  <c r="F11" i="1"/>
  <c r="G11" i="1"/>
  <c r="H11" i="1"/>
  <c r="I11" i="1"/>
  <c r="J11" i="1"/>
  <c r="B11" i="1"/>
  <c r="I9" i="10"/>
  <c r="I10" i="10"/>
  <c r="I11" i="10"/>
  <c r="I13" i="10"/>
  <c r="I15" i="10"/>
  <c r="I16" i="10"/>
  <c r="H16" i="10"/>
  <c r="H15" i="10"/>
  <c r="H13" i="10"/>
  <c r="H11" i="10"/>
  <c r="H10" i="10"/>
  <c r="H9" i="10"/>
  <c r="B58" i="10"/>
  <c r="AC18" i="30" l="1"/>
  <c r="AD12" i="30" s="1"/>
  <c r="G108" i="30"/>
  <c r="H102" i="30" s="1"/>
  <c r="B110" i="30"/>
  <c r="B111" i="30" s="1"/>
  <c r="Z50" i="7"/>
  <c r="H17" i="10"/>
  <c r="AE44" i="25"/>
  <c r="AG50" i="7"/>
  <c r="AA44" i="25"/>
  <c r="AD44" i="25"/>
  <c r="AC50" i="7"/>
  <c r="AQ50" i="7"/>
  <c r="AP47" i="25"/>
  <c r="X42" i="25"/>
  <c r="Y50" i="7"/>
  <c r="AY42" i="7"/>
  <c r="AQ51" i="7"/>
  <c r="Z44" i="25"/>
  <c r="X44" i="25"/>
  <c r="S12" i="1"/>
  <c r="J12" i="1"/>
  <c r="I17" i="10"/>
  <c r="C25" i="14"/>
  <c r="C24" i="14"/>
  <c r="C23" i="14"/>
  <c r="I52" i="17"/>
  <c r="I56" i="17"/>
  <c r="D38" i="17"/>
  <c r="E38" i="17"/>
  <c r="D51" i="17" s="1"/>
  <c r="F38" i="17"/>
  <c r="E51" i="17" s="1"/>
  <c r="G38" i="17"/>
  <c r="H38" i="17"/>
  <c r="I38" i="17"/>
  <c r="J38" i="17"/>
  <c r="K38" i="17"/>
  <c r="L38" i="17"/>
  <c r="M38" i="17"/>
  <c r="N38" i="17"/>
  <c r="I51" i="17" s="1"/>
  <c r="O38" i="17"/>
  <c r="P38" i="17"/>
  <c r="Q38" i="17"/>
  <c r="D39" i="17"/>
  <c r="E39" i="17"/>
  <c r="D52" i="17" s="1"/>
  <c r="F39" i="17"/>
  <c r="E52" i="17" s="1"/>
  <c r="G39" i="17"/>
  <c r="F52" i="17" s="1"/>
  <c r="H39" i="17"/>
  <c r="G52" i="17" s="1"/>
  <c r="I39" i="17"/>
  <c r="J39" i="17"/>
  <c r="K39" i="17"/>
  <c r="L39" i="17"/>
  <c r="M39" i="17"/>
  <c r="N39" i="17"/>
  <c r="O39" i="17"/>
  <c r="P39" i="17"/>
  <c r="Q39" i="17"/>
  <c r="D40" i="17"/>
  <c r="E40" i="17"/>
  <c r="D53" i="17" s="1"/>
  <c r="F40" i="17"/>
  <c r="E53" i="17" s="1"/>
  <c r="G40" i="17"/>
  <c r="H40" i="17"/>
  <c r="I40" i="17"/>
  <c r="J40" i="17"/>
  <c r="F53" i="17" s="1"/>
  <c r="K40" i="17"/>
  <c r="H53" i="17" s="1"/>
  <c r="L40" i="17"/>
  <c r="M40" i="17"/>
  <c r="N40" i="17"/>
  <c r="I53" i="17" s="1"/>
  <c r="O40" i="17"/>
  <c r="P40" i="17"/>
  <c r="Q40" i="17"/>
  <c r="D41" i="17"/>
  <c r="E41" i="17"/>
  <c r="D54" i="17" s="1"/>
  <c r="F41" i="17"/>
  <c r="E54" i="17" s="1"/>
  <c r="G41" i="17"/>
  <c r="F54" i="17" s="1"/>
  <c r="H41" i="17"/>
  <c r="G54" i="17" s="1"/>
  <c r="I41" i="17"/>
  <c r="J41" i="17"/>
  <c r="K41" i="17"/>
  <c r="L41" i="17"/>
  <c r="M41" i="17"/>
  <c r="N41" i="17"/>
  <c r="I54" i="17" s="1"/>
  <c r="O41" i="17"/>
  <c r="P41" i="17"/>
  <c r="Q41" i="17"/>
  <c r="D42" i="17"/>
  <c r="E42" i="17"/>
  <c r="D55" i="17" s="1"/>
  <c r="F42" i="17"/>
  <c r="E55" i="17" s="1"/>
  <c r="G42" i="17"/>
  <c r="H42" i="17"/>
  <c r="I42" i="17"/>
  <c r="J42" i="17"/>
  <c r="K42" i="17"/>
  <c r="L42" i="17"/>
  <c r="M42" i="17"/>
  <c r="N42" i="17"/>
  <c r="I55" i="17" s="1"/>
  <c r="O42" i="17"/>
  <c r="P42" i="17"/>
  <c r="Q42" i="17"/>
  <c r="D43" i="17"/>
  <c r="E43" i="17"/>
  <c r="D56" i="17" s="1"/>
  <c r="F43" i="17"/>
  <c r="E56" i="17" s="1"/>
  <c r="G43" i="17"/>
  <c r="F56" i="17" s="1"/>
  <c r="H43" i="17"/>
  <c r="G56" i="17" s="1"/>
  <c r="I43" i="17"/>
  <c r="J43" i="17"/>
  <c r="K43" i="17"/>
  <c r="L43" i="17"/>
  <c r="M43" i="17"/>
  <c r="N43" i="17"/>
  <c r="O43" i="17"/>
  <c r="P43" i="17"/>
  <c r="Q43" i="17"/>
  <c r="D44" i="17"/>
  <c r="E44" i="17"/>
  <c r="D57" i="17" s="1"/>
  <c r="F44" i="17"/>
  <c r="E57" i="17" s="1"/>
  <c r="G44" i="17"/>
  <c r="H44" i="17"/>
  <c r="I44" i="17"/>
  <c r="J44" i="17"/>
  <c r="F57" i="17" s="1"/>
  <c r="K44" i="17"/>
  <c r="H57" i="17" s="1"/>
  <c r="L44" i="17"/>
  <c r="M44" i="17"/>
  <c r="N44" i="17"/>
  <c r="I57" i="17" s="1"/>
  <c r="O44" i="17"/>
  <c r="P44" i="17"/>
  <c r="Q44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W40" i="17"/>
  <c r="G46" i="17" s="1"/>
  <c r="W39" i="17"/>
  <c r="J52" i="17" s="1"/>
  <c r="AF12" i="30" l="1"/>
  <c r="AE12" i="30"/>
  <c r="AD13" i="30"/>
  <c r="AD15" i="30"/>
  <c r="AD16" i="30"/>
  <c r="AD14" i="30"/>
  <c r="B113" i="30"/>
  <c r="H106" i="30"/>
  <c r="F113" i="30" s="1"/>
  <c r="H104" i="30"/>
  <c r="D113" i="30" s="1"/>
  <c r="H105" i="30"/>
  <c r="E113" i="30" s="1"/>
  <c r="H103" i="30"/>
  <c r="C113" i="30" s="1"/>
  <c r="AQ53" i="7"/>
  <c r="AQ54" i="7" s="1"/>
  <c r="H56" i="17"/>
  <c r="H55" i="17"/>
  <c r="H54" i="17"/>
  <c r="H52" i="17"/>
  <c r="H51" i="17"/>
  <c r="G57" i="17"/>
  <c r="G55" i="17"/>
  <c r="G53" i="17"/>
  <c r="G51" i="17"/>
  <c r="F55" i="17"/>
  <c r="F51" i="17"/>
  <c r="P45" i="17"/>
  <c r="L45" i="17"/>
  <c r="H45" i="17"/>
  <c r="D45" i="17"/>
  <c r="N46" i="17"/>
  <c r="I59" i="17" s="1"/>
  <c r="F46" i="17"/>
  <c r="E59" i="17" s="1"/>
  <c r="K55" i="17"/>
  <c r="K53" i="17"/>
  <c r="C45" i="17"/>
  <c r="Q46" i="17"/>
  <c r="M46" i="17"/>
  <c r="I46" i="17"/>
  <c r="E46" i="17"/>
  <c r="D59" i="17" s="1"/>
  <c r="O45" i="17"/>
  <c r="K45" i="17"/>
  <c r="G45" i="17"/>
  <c r="J51" i="17"/>
  <c r="J57" i="17"/>
  <c r="J55" i="17"/>
  <c r="J53" i="17"/>
  <c r="J46" i="17"/>
  <c r="F59" i="17" s="1"/>
  <c r="C46" i="17"/>
  <c r="P46" i="17"/>
  <c r="L46" i="17"/>
  <c r="H46" i="17"/>
  <c r="D46" i="17"/>
  <c r="N45" i="17"/>
  <c r="I58" i="17" s="1"/>
  <c r="I69" i="17" s="1"/>
  <c r="J45" i="17"/>
  <c r="F45" i="17"/>
  <c r="E58" i="17" s="1"/>
  <c r="K51" i="17"/>
  <c r="K56" i="17"/>
  <c r="K54" i="17"/>
  <c r="K52" i="17"/>
  <c r="K57" i="17"/>
  <c r="O46" i="17"/>
  <c r="K46" i="17"/>
  <c r="Q45" i="17"/>
  <c r="M45" i="17"/>
  <c r="I45" i="17"/>
  <c r="G58" i="17" s="1"/>
  <c r="E45" i="17"/>
  <c r="D58" i="17" s="1"/>
  <c r="D69" i="17" s="1"/>
  <c r="J56" i="17"/>
  <c r="J54" i="17"/>
  <c r="C47" i="17"/>
  <c r="C44" i="17"/>
  <c r="C57" i="17" s="1"/>
  <c r="C43" i="17"/>
  <c r="C56" i="17" s="1"/>
  <c r="C42" i="17"/>
  <c r="C41" i="17"/>
  <c r="C54" i="17" s="1"/>
  <c r="C40" i="17"/>
  <c r="C53" i="17" s="1"/>
  <c r="C39" i="17"/>
  <c r="C52" i="17" s="1"/>
  <c r="C38" i="17"/>
  <c r="C51" i="17" s="1"/>
  <c r="H107" i="30" l="1"/>
  <c r="AF14" i="30"/>
  <c r="AE35" i="29" s="1"/>
  <c r="AE35" i="34" s="1"/>
  <c r="AE14" i="30"/>
  <c r="AD35" i="29" s="1"/>
  <c r="AE16" i="30"/>
  <c r="AD37" i="29" s="1"/>
  <c r="AF16" i="30"/>
  <c r="AE37" i="29" s="1"/>
  <c r="AE37" i="34" s="1"/>
  <c r="AD33" i="29"/>
  <c r="AF15" i="30"/>
  <c r="AE36" i="29" s="1"/>
  <c r="AE36" i="34" s="1"/>
  <c r="AE15" i="30"/>
  <c r="AD36" i="29" s="1"/>
  <c r="AF13" i="30"/>
  <c r="AE34" i="29" s="1"/>
  <c r="AE34" i="34" s="1"/>
  <c r="AE13" i="30"/>
  <c r="AD34" i="29" s="1"/>
  <c r="AE33" i="29"/>
  <c r="E114" i="30"/>
  <c r="E118" i="30" s="1"/>
  <c r="E115" i="30"/>
  <c r="E119" i="30" s="1"/>
  <c r="AJ23" i="29" s="1"/>
  <c r="AJ23" i="34" s="1"/>
  <c r="E116" i="30"/>
  <c r="E120" i="30" s="1"/>
  <c r="AJ24" i="29" s="1"/>
  <c r="AJ24" i="34" s="1"/>
  <c r="C116" i="30"/>
  <c r="C120" i="30" s="1"/>
  <c r="AH24" i="29" s="1"/>
  <c r="AH24" i="34" s="1"/>
  <c r="C114" i="30"/>
  <c r="C118" i="30" s="1"/>
  <c r="C115" i="30"/>
  <c r="C119" i="30" s="1"/>
  <c r="AH23" i="29" s="1"/>
  <c r="AH23" i="34" s="1"/>
  <c r="F115" i="30"/>
  <c r="F119" i="30" s="1"/>
  <c r="AK23" i="29" s="1"/>
  <c r="AK23" i="34" s="1"/>
  <c r="F114" i="30"/>
  <c r="F118" i="30" s="1"/>
  <c r="F116" i="30"/>
  <c r="F120" i="30" s="1"/>
  <c r="AK24" i="29" s="1"/>
  <c r="AK24" i="34" s="1"/>
  <c r="D115" i="30"/>
  <c r="D119" i="30" s="1"/>
  <c r="AI23" i="29" s="1"/>
  <c r="AI23" i="34" s="1"/>
  <c r="D116" i="30"/>
  <c r="D120" i="30" s="1"/>
  <c r="AI24" i="29" s="1"/>
  <c r="AI24" i="34" s="1"/>
  <c r="D114" i="30"/>
  <c r="D118" i="30" s="1"/>
  <c r="B114" i="30"/>
  <c r="B115" i="30"/>
  <c r="B116" i="30"/>
  <c r="G59" i="17"/>
  <c r="G69" i="17" s="1"/>
  <c r="C58" i="17"/>
  <c r="H59" i="17"/>
  <c r="C59" i="17"/>
  <c r="J58" i="17"/>
  <c r="J69" i="17" s="1"/>
  <c r="K58" i="17"/>
  <c r="E69" i="17"/>
  <c r="F58" i="17"/>
  <c r="K59" i="17"/>
  <c r="J59" i="17"/>
  <c r="H58" i="17"/>
  <c r="V51" i="7"/>
  <c r="V53" i="7" s="1"/>
  <c r="V54" i="7" s="1"/>
  <c r="B26" i="8"/>
  <c r="B13" i="8" s="1"/>
  <c r="B21" i="8"/>
  <c r="B7" i="8" s="1"/>
  <c r="B20" i="8"/>
  <c r="B6" i="8" s="1"/>
  <c r="F66" i="10"/>
  <c r="AD33" i="34" l="1"/>
  <c r="AD50" i="29"/>
  <c r="AD54" i="29" s="1"/>
  <c r="AX33" i="29"/>
  <c r="AG52" i="29" s="1"/>
  <c r="AD36" i="34"/>
  <c r="AX36" i="29"/>
  <c r="AJ52" i="29" s="1"/>
  <c r="AD37" i="34"/>
  <c r="AX37" i="29"/>
  <c r="AK52" i="29" s="1"/>
  <c r="AE50" i="29"/>
  <c r="AE54" i="29" s="1"/>
  <c r="AE33" i="34"/>
  <c r="AD34" i="34"/>
  <c r="AX34" i="29"/>
  <c r="AH52" i="29" s="1"/>
  <c r="AX35" i="29"/>
  <c r="AI52" i="29" s="1"/>
  <c r="AD35" i="34"/>
  <c r="AE17" i="30"/>
  <c r="AF17" i="30"/>
  <c r="AK22" i="29"/>
  <c r="AK22" i="34" s="1"/>
  <c r="F121" i="30"/>
  <c r="B118" i="30"/>
  <c r="G114" i="30"/>
  <c r="AH22" i="29"/>
  <c r="AH22" i="34" s="1"/>
  <c r="C121" i="30"/>
  <c r="E121" i="30"/>
  <c r="AJ22" i="29"/>
  <c r="AJ22" i="34" s="1"/>
  <c r="G115" i="30"/>
  <c r="B119" i="30"/>
  <c r="AG23" i="29" s="1"/>
  <c r="AI22" i="29"/>
  <c r="AI22" i="34" s="1"/>
  <c r="D121" i="30"/>
  <c r="B120" i="30"/>
  <c r="AG24" i="29" s="1"/>
  <c r="G116" i="30"/>
  <c r="K69" i="17"/>
  <c r="T28" i="8"/>
  <c r="T24" i="8"/>
  <c r="R31" i="8"/>
  <c r="N31" i="8"/>
  <c r="T27" i="8"/>
  <c r="T23" i="8"/>
  <c r="Q31" i="8"/>
  <c r="M31" i="8"/>
  <c r="T26" i="8"/>
  <c r="T22" i="8"/>
  <c r="P31" i="8"/>
  <c r="L31" i="8"/>
  <c r="T25" i="8"/>
  <c r="S31" i="8"/>
  <c r="O31" i="8"/>
  <c r="T21" i="8"/>
  <c r="K31" i="8"/>
  <c r="L53" i="7"/>
  <c r="L54" i="7" s="1"/>
  <c r="H69" i="17"/>
  <c r="F69" i="17"/>
  <c r="C69" i="17"/>
  <c r="AG24" i="34" l="1"/>
  <c r="AX24" i="29"/>
  <c r="X52" i="29" s="1"/>
  <c r="X54" i="29" s="1"/>
  <c r="AG22" i="29"/>
  <c r="B121" i="30"/>
  <c r="G121" i="30" s="1"/>
  <c r="E122" i="30" s="1"/>
  <c r="E123" i="30" s="1"/>
  <c r="AJ45" i="29" s="1"/>
  <c r="AG23" i="34"/>
  <c r="AX23" i="29"/>
  <c r="W52" i="29" s="1"/>
  <c r="W54" i="29" s="1"/>
  <c r="T31" i="8"/>
  <c r="T182" i="2"/>
  <c r="B122" i="30" l="1"/>
  <c r="B123" i="30" s="1"/>
  <c r="C122" i="30"/>
  <c r="C123" i="30" s="1"/>
  <c r="AH45" i="29" s="1"/>
  <c r="AH50" i="29" s="1"/>
  <c r="AH54" i="29" s="1"/>
  <c r="AJ50" i="29"/>
  <c r="AJ54" i="29" s="1"/>
  <c r="W58" i="29"/>
  <c r="W56" i="29"/>
  <c r="X56" i="29"/>
  <c r="X58" i="29"/>
  <c r="AX22" i="29"/>
  <c r="V52" i="29" s="1"/>
  <c r="AG22" i="34"/>
  <c r="D122" i="30"/>
  <c r="D123" i="30" s="1"/>
  <c r="AI45" i="29" s="1"/>
  <c r="F122" i="30"/>
  <c r="F123" i="30" s="1"/>
  <c r="AK45" i="29" s="1"/>
  <c r="B60" i="10"/>
  <c r="G122" i="30" l="1"/>
  <c r="AI50" i="29"/>
  <c r="AI54" i="29" s="1"/>
  <c r="AK50" i="29"/>
  <c r="AK54" i="29" s="1"/>
  <c r="AG45" i="29"/>
  <c r="G123" i="30"/>
  <c r="P5" i="8"/>
  <c r="AA5" i="8" s="1"/>
  <c r="O6" i="8"/>
  <c r="Z6" i="8" s="1"/>
  <c r="N7" i="8"/>
  <c r="Y7" i="8" s="1"/>
  <c r="M8" i="8"/>
  <c r="X8" i="8" s="1"/>
  <c r="L9" i="8"/>
  <c r="W9" i="8" s="1"/>
  <c r="K10" i="8"/>
  <c r="V10" i="8" s="1"/>
  <c r="S10" i="8"/>
  <c r="AD10" i="8" s="1"/>
  <c r="R11" i="8"/>
  <c r="AC11" i="8" s="1"/>
  <c r="Q13" i="8"/>
  <c r="AB13" i="8" s="1"/>
  <c r="P12" i="8"/>
  <c r="AA12" i="8" s="1"/>
  <c r="O14" i="8"/>
  <c r="Z15" i="8" s="1"/>
  <c r="Q5" i="8"/>
  <c r="AB5" i="8" s="1"/>
  <c r="P6" i="8"/>
  <c r="AA6" i="8" s="1"/>
  <c r="O7" i="8"/>
  <c r="Z7" i="8" s="1"/>
  <c r="N8" i="8"/>
  <c r="Y8" i="8" s="1"/>
  <c r="M9" i="8"/>
  <c r="X9" i="8" s="1"/>
  <c r="L10" i="8"/>
  <c r="W10" i="8" s="1"/>
  <c r="K11" i="8"/>
  <c r="V11" i="8" s="1"/>
  <c r="S11" i="8"/>
  <c r="AD11" i="8" s="1"/>
  <c r="R13" i="8"/>
  <c r="AC13" i="8" s="1"/>
  <c r="Q12" i="8"/>
  <c r="AB12" i="8" s="1"/>
  <c r="P14" i="8"/>
  <c r="AA15" i="8" s="1"/>
  <c r="M5" i="8"/>
  <c r="X5" i="8" s="1"/>
  <c r="L6" i="8"/>
  <c r="W6" i="8" s="1"/>
  <c r="K7" i="8"/>
  <c r="M12" i="8"/>
  <c r="X12" i="8" s="1"/>
  <c r="L14" i="8"/>
  <c r="W15" i="8" s="1"/>
  <c r="L5" i="8"/>
  <c r="W5" i="8" s="1"/>
  <c r="K6" i="8"/>
  <c r="V6" i="8" s="1"/>
  <c r="S6" i="8"/>
  <c r="AD6" i="8" s="1"/>
  <c r="R7" i="8"/>
  <c r="AC7" i="8" s="1"/>
  <c r="Q8" i="8"/>
  <c r="AB8" i="8" s="1"/>
  <c r="P9" i="8"/>
  <c r="AA9" i="8" s="1"/>
  <c r="O10" i="8"/>
  <c r="Z10" i="8" s="1"/>
  <c r="N11" i="8"/>
  <c r="Y11" i="8" s="1"/>
  <c r="M13" i="8"/>
  <c r="X13" i="8" s="1"/>
  <c r="L12" i="8"/>
  <c r="W12" i="8" s="1"/>
  <c r="K14" i="8"/>
  <c r="V15" i="8" s="1"/>
  <c r="S14" i="8"/>
  <c r="AD15" i="8" s="1"/>
  <c r="S7" i="8"/>
  <c r="AD7" i="8" s="1"/>
  <c r="R8" i="8"/>
  <c r="AC8" i="8" s="1"/>
  <c r="Q9" i="8"/>
  <c r="AB9" i="8" s="1"/>
  <c r="P10" i="8"/>
  <c r="AA10" i="8" s="1"/>
  <c r="O11" i="8"/>
  <c r="Z11" i="8" s="1"/>
  <c r="N13" i="8"/>
  <c r="Y13" i="8" s="1"/>
  <c r="Q14" i="8"/>
  <c r="AB15" i="8" s="1"/>
  <c r="P11" i="8"/>
  <c r="AA11" i="8" s="1"/>
  <c r="R12" i="8"/>
  <c r="AC12" i="8" s="1"/>
  <c r="L11" i="8"/>
  <c r="W11" i="8" s="1"/>
  <c r="S13" i="8"/>
  <c r="AD13" i="8" s="1"/>
  <c r="R9" i="8"/>
  <c r="AC9" i="8" s="1"/>
  <c r="N14" i="8"/>
  <c r="Y15" i="8" s="1"/>
  <c r="O12" i="8"/>
  <c r="Z12" i="8" s="1"/>
  <c r="P13" i="8"/>
  <c r="AA13" i="8" s="1"/>
  <c r="Q11" i="8"/>
  <c r="AB11" i="8" s="1"/>
  <c r="R10" i="8"/>
  <c r="AC10" i="8" s="1"/>
  <c r="S9" i="8"/>
  <c r="AD9" i="8" s="1"/>
  <c r="R5" i="8"/>
  <c r="AC5" i="8" s="1"/>
  <c r="K5" i="8"/>
  <c r="V5" i="8" s="1"/>
  <c r="O8" i="8"/>
  <c r="Z8" i="8" s="1"/>
  <c r="L7" i="8"/>
  <c r="W7" i="8" s="1"/>
  <c r="Q10" i="8"/>
  <c r="AB10" i="8" s="1"/>
  <c r="P7" i="8"/>
  <c r="AA7" i="8" s="1"/>
  <c r="K12" i="8"/>
  <c r="V12" i="8" s="1"/>
  <c r="L13" i="8"/>
  <c r="W13" i="8" s="1"/>
  <c r="M11" i="8"/>
  <c r="X11" i="8" s="1"/>
  <c r="N10" i="8"/>
  <c r="Y10" i="8" s="1"/>
  <c r="O9" i="8"/>
  <c r="Z9" i="8" s="1"/>
  <c r="P8" i="8"/>
  <c r="AA8" i="8" s="1"/>
  <c r="Q7" i="8"/>
  <c r="AB7" i="8" s="1"/>
  <c r="R6" i="8"/>
  <c r="AC6" i="8" s="1"/>
  <c r="S5" i="8"/>
  <c r="AD5" i="8" s="1"/>
  <c r="S8" i="8"/>
  <c r="AD8" i="8" s="1"/>
  <c r="K8" i="8"/>
  <c r="V8" i="8" s="1"/>
  <c r="Q6" i="8"/>
  <c r="AB6" i="8" s="1"/>
  <c r="M6" i="8"/>
  <c r="X6" i="8" s="1"/>
  <c r="K13" i="8"/>
  <c r="V13" i="8" s="1"/>
  <c r="K9" i="8"/>
  <c r="V9" i="8" s="1"/>
  <c r="L8" i="8"/>
  <c r="W8" i="8" s="1"/>
  <c r="M7" i="8"/>
  <c r="X7" i="8" s="1"/>
  <c r="N6" i="8"/>
  <c r="Y6" i="8" s="1"/>
  <c r="O5" i="8"/>
  <c r="Z5" i="8" s="1"/>
  <c r="O13" i="8"/>
  <c r="Z13" i="8" s="1"/>
  <c r="N9" i="8"/>
  <c r="Y9" i="8" s="1"/>
  <c r="M14" i="8"/>
  <c r="X15" i="8" s="1"/>
  <c r="N12" i="8"/>
  <c r="Y12" i="8" s="1"/>
  <c r="M10" i="8"/>
  <c r="X10" i="8" s="1"/>
  <c r="R14" i="8"/>
  <c r="AC15" i="8" s="1"/>
  <c r="S12" i="8"/>
  <c r="AD12" i="8" s="1"/>
  <c r="N5" i="8"/>
  <c r="Y5" i="8" s="1"/>
  <c r="B22" i="8"/>
  <c r="B8" i="8" s="1"/>
  <c r="B23" i="8"/>
  <c r="B9" i="8" s="1"/>
  <c r="B28" i="8"/>
  <c r="B14" i="8" s="1"/>
  <c r="B25" i="8"/>
  <c r="B11" i="8" s="1"/>
  <c r="B19" i="8"/>
  <c r="AX45" i="29" l="1"/>
  <c r="AS52" i="29" s="1"/>
  <c r="AS54" i="29" s="1"/>
  <c r="AG50" i="29"/>
  <c r="AG54" i="29" s="1"/>
  <c r="B5" i="8"/>
  <c r="B15" i="8" s="1"/>
  <c r="L63" i="1" s="1"/>
  <c r="B29" i="8"/>
  <c r="AH6" i="8" a="1"/>
  <c r="O15" i="8"/>
  <c r="G15" i="8"/>
  <c r="Q63" i="1" s="1"/>
  <c r="C15" i="8"/>
  <c r="M63" i="1" s="1"/>
  <c r="S15" i="8"/>
  <c r="K15" i="8"/>
  <c r="V16" i="8"/>
  <c r="J15" i="8"/>
  <c r="T63" i="1" s="1"/>
  <c r="F15" i="8"/>
  <c r="P63" i="1" s="1"/>
  <c r="Q15" i="8"/>
  <c r="M15" i="8"/>
  <c r="I15" i="8"/>
  <c r="S63" i="1" s="1"/>
  <c r="E15" i="8"/>
  <c r="O63" i="1" s="1"/>
  <c r="R15" i="8"/>
  <c r="N15" i="8"/>
  <c r="Y16" i="8"/>
  <c r="P15" i="8"/>
  <c r="L15" i="8"/>
  <c r="H15" i="8"/>
  <c r="R63" i="1" s="1"/>
  <c r="D15" i="8"/>
  <c r="N63" i="1" s="1"/>
  <c r="X16" i="8"/>
  <c r="AA16" i="8"/>
  <c r="W16" i="8"/>
  <c r="AD16" i="8"/>
  <c r="Z16" i="8"/>
  <c r="AB16" i="8"/>
  <c r="AC16" i="8"/>
  <c r="K26" i="1" l="1"/>
  <c r="AE16" i="8"/>
  <c r="N64" i="1"/>
  <c r="O68" i="1" s="1"/>
  <c r="P64" i="1"/>
  <c r="Q68" i="1" s="1"/>
  <c r="T64" i="1"/>
  <c r="U68" i="1" s="1"/>
  <c r="M64" i="1"/>
  <c r="N68" i="1" s="1"/>
  <c r="O64" i="1"/>
  <c r="P68" i="1" s="1"/>
  <c r="R64" i="1"/>
  <c r="S68" i="1" s="1"/>
  <c r="S64" i="1"/>
  <c r="T68" i="1" s="1"/>
  <c r="Q64" i="1"/>
  <c r="R68" i="1" s="1"/>
  <c r="L64" i="1"/>
  <c r="M68" i="1" s="1"/>
  <c r="AH6" i="8"/>
  <c r="C12" i="7" s="1"/>
  <c r="AL13" i="8"/>
  <c r="G19" i="7" s="1"/>
  <c r="AP11" i="8"/>
  <c r="K17" i="7" s="1"/>
  <c r="AJ10" i="8"/>
  <c r="E16" i="7" s="1"/>
  <c r="AN8" i="8"/>
  <c r="I14" i="7" s="1"/>
  <c r="AH7" i="8"/>
  <c r="C13" i="7" s="1"/>
  <c r="AM13" i="8"/>
  <c r="H19" i="7" s="1"/>
  <c r="AO10" i="8"/>
  <c r="J16" i="7" s="1"/>
  <c r="AO8" i="8"/>
  <c r="J14" i="7" s="1"/>
  <c r="AI7" i="8"/>
  <c r="D13" i="7" s="1"/>
  <c r="AQ12" i="8"/>
  <c r="AU18" i="7" s="1"/>
  <c r="AS18" i="25" s="1"/>
  <c r="AM10" i="8"/>
  <c r="H16" i="7" s="1"/>
  <c r="AQ8" i="8"/>
  <c r="AU14" i="7" s="1"/>
  <c r="AK7" i="8"/>
  <c r="F13" i="7" s="1"/>
  <c r="AQ13" i="8"/>
  <c r="AU19" i="7" s="1"/>
  <c r="AS19" i="25" s="1"/>
  <c r="AQ9" i="8"/>
  <c r="AU15" i="7" s="1"/>
  <c r="AK13" i="8"/>
  <c r="F19" i="7" s="1"/>
  <c r="AP14" i="8"/>
  <c r="K20" i="7" s="1"/>
  <c r="AJ13" i="8"/>
  <c r="E19" i="7" s="1"/>
  <c r="AN11" i="8"/>
  <c r="I17" i="7" s="1"/>
  <c r="AH10" i="8"/>
  <c r="C16" i="7" s="1"/>
  <c r="AL8" i="8"/>
  <c r="G14" i="7" s="1"/>
  <c r="AP6" i="8"/>
  <c r="K12" i="7" s="1"/>
  <c r="AH13" i="8"/>
  <c r="C19" i="7" s="1"/>
  <c r="AL11" i="8"/>
  <c r="G17" i="7" s="1"/>
  <c r="AJ8" i="8"/>
  <c r="E14" i="7" s="1"/>
  <c r="AN6" i="8"/>
  <c r="I12" i="7" s="1"/>
  <c r="AK10" i="8"/>
  <c r="F16" i="7" s="1"/>
  <c r="AK8" i="8"/>
  <c r="F14" i="7" s="1"/>
  <c r="AI12" i="8"/>
  <c r="D18" i="7" s="1"/>
  <c r="AM8" i="8"/>
  <c r="H14" i="7" s="1"/>
  <c r="AI13" i="8"/>
  <c r="D19" i="7" s="1"/>
  <c r="AM12" i="8"/>
  <c r="H18" i="7" s="1"/>
  <c r="AP12" i="8"/>
  <c r="K18" i="7" s="1"/>
  <c r="AN9" i="8"/>
  <c r="I15" i="7" s="1"/>
  <c r="AL6" i="8"/>
  <c r="G12" i="7" s="1"/>
  <c r="AH11" i="8"/>
  <c r="C17" i="7" s="1"/>
  <c r="AP7" i="8"/>
  <c r="K13" i="7" s="1"/>
  <c r="AQ11" i="8"/>
  <c r="AU17" i="7" s="1"/>
  <c r="AM9" i="8"/>
  <c r="H15" i="7" s="1"/>
  <c r="AM14" i="8"/>
  <c r="H20" i="7" s="1"/>
  <c r="AO9" i="8"/>
  <c r="J15" i="7" s="1"/>
  <c r="AI6" i="8"/>
  <c r="D12" i="7" s="1"/>
  <c r="AQ14" i="8"/>
  <c r="AU20" i="7" s="1"/>
  <c r="AS20" i="25" s="1"/>
  <c r="AH14" i="8"/>
  <c r="C20" i="7" s="1"/>
  <c r="AP10" i="8"/>
  <c r="K16" i="7" s="1"/>
  <c r="AN7" i="8"/>
  <c r="I13" i="7" s="1"/>
  <c r="AN14" i="8"/>
  <c r="I20" i="7" s="1"/>
  <c r="AJ14" i="8"/>
  <c r="E20" i="7" s="1"/>
  <c r="AP13" i="8"/>
  <c r="K19" i="7" s="1"/>
  <c r="AJ12" i="8"/>
  <c r="E18" i="7" s="1"/>
  <c r="AN10" i="8"/>
  <c r="I16" i="7" s="1"/>
  <c r="AH9" i="8"/>
  <c r="C15" i="7" s="1"/>
  <c r="AL7" i="8"/>
  <c r="G13" i="7" s="1"/>
  <c r="AK14" i="8"/>
  <c r="F20" i="7" s="1"/>
  <c r="AM11" i="8"/>
  <c r="H17" i="7" s="1"/>
  <c r="AI9" i="8"/>
  <c r="D15" i="7" s="1"/>
  <c r="AM7" i="8"/>
  <c r="H13" i="7" s="1"/>
  <c r="AO13" i="8"/>
  <c r="J19" i="7" s="1"/>
  <c r="AQ10" i="8"/>
  <c r="AU16" i="7" s="1"/>
  <c r="AK9" i="8"/>
  <c r="F15" i="7" s="1"/>
  <c r="AO7" i="8"/>
  <c r="J13" i="7" s="1"/>
  <c r="AO14" i="8"/>
  <c r="J20" i="7" s="1"/>
  <c r="AI11" i="8"/>
  <c r="D17" i="7" s="1"/>
  <c r="AI14" i="8"/>
  <c r="D20" i="7" s="1"/>
  <c r="AM6" i="8"/>
  <c r="H12" i="7" s="1"/>
  <c r="AN13" i="8"/>
  <c r="I19" i="7" s="1"/>
  <c r="AH12" i="8"/>
  <c r="C18" i="7" s="1"/>
  <c r="AL10" i="8"/>
  <c r="G16" i="7" s="1"/>
  <c r="AP8" i="8"/>
  <c r="K14" i="7" s="1"/>
  <c r="AJ7" i="8"/>
  <c r="E13" i="7" s="1"/>
  <c r="AP9" i="8"/>
  <c r="K15" i="7" s="1"/>
  <c r="AO12" i="8"/>
  <c r="J18" i="7" s="1"/>
  <c r="AO6" i="8"/>
  <c r="J12" i="7" s="1"/>
  <c r="AI10" i="8"/>
  <c r="D16" i="7" s="1"/>
  <c r="AQ6" i="8"/>
  <c r="AU12" i="7" s="1"/>
  <c r="AK6" i="8"/>
  <c r="F12" i="7" s="1"/>
  <c r="AL14" i="8"/>
  <c r="G20" i="7" s="1"/>
  <c r="AJ11" i="8"/>
  <c r="E17" i="7" s="1"/>
  <c r="AH8" i="8"/>
  <c r="C14" i="7" s="1"/>
  <c r="AN12" i="8"/>
  <c r="I18" i="7" s="1"/>
  <c r="AL9" i="8"/>
  <c r="G15" i="7" s="1"/>
  <c r="AJ6" i="8"/>
  <c r="E12" i="7" s="1"/>
  <c r="AQ7" i="8"/>
  <c r="AU13" i="7" s="1"/>
  <c r="AO11" i="8"/>
  <c r="J17" i="7" s="1"/>
  <c r="AI8" i="8"/>
  <c r="D14" i="7" s="1"/>
  <c r="AK12" i="8"/>
  <c r="F18" i="7" s="1"/>
  <c r="AK11" i="8"/>
  <c r="F17" i="7" s="1"/>
  <c r="AL12" i="8"/>
  <c r="G18" i="7" s="1"/>
  <c r="AJ9" i="8"/>
  <c r="E15" i="7" s="1"/>
  <c r="K16" i="8"/>
  <c r="O16" i="8"/>
  <c r="R16" i="8"/>
  <c r="S16" i="8"/>
  <c r="L16" i="8"/>
  <c r="P16" i="8"/>
  <c r="Q16" i="8"/>
  <c r="R26" i="1"/>
  <c r="P26" i="1"/>
  <c r="L26" i="1"/>
  <c r="Q26" i="1"/>
  <c r="M26" i="1"/>
  <c r="S26" i="1"/>
  <c r="M16" i="8"/>
  <c r="N26" i="1"/>
  <c r="O26" i="1"/>
  <c r="N16" i="8"/>
  <c r="L16" i="1"/>
  <c r="AC11" i="1" s="1"/>
  <c r="AM11" i="1" s="1"/>
  <c r="M16" i="1"/>
  <c r="AD11" i="1" s="1"/>
  <c r="AN11" i="1" s="1"/>
  <c r="N16" i="1"/>
  <c r="AE11" i="1" s="1"/>
  <c r="O16" i="1"/>
  <c r="AF11" i="1" s="1"/>
  <c r="P16" i="1"/>
  <c r="AG11" i="1" s="1"/>
  <c r="Q16" i="1"/>
  <c r="AH11" i="1" s="1"/>
  <c r="R16" i="1"/>
  <c r="AI11" i="1" s="1"/>
  <c r="S16" i="1"/>
  <c r="AJ11" i="1" s="1"/>
  <c r="T16" i="1"/>
  <c r="U16" i="1"/>
  <c r="V16" i="1"/>
  <c r="L17" i="1"/>
  <c r="AC12" i="1" s="1"/>
  <c r="M17" i="1"/>
  <c r="AD12" i="1" s="1"/>
  <c r="N17" i="1"/>
  <c r="AE12" i="1" s="1"/>
  <c r="O17" i="1"/>
  <c r="AF12" i="1" s="1"/>
  <c r="P17" i="1"/>
  <c r="AG12" i="1" s="1"/>
  <c r="Q17" i="1"/>
  <c r="AH12" i="1" s="1"/>
  <c r="R17" i="1"/>
  <c r="AI12" i="1" s="1"/>
  <c r="S17" i="1"/>
  <c r="AJ12" i="1" s="1"/>
  <c r="T17" i="1"/>
  <c r="U17" i="1"/>
  <c r="V17" i="1"/>
  <c r="L18" i="1"/>
  <c r="AC13" i="1" s="1"/>
  <c r="M18" i="1"/>
  <c r="AD13" i="1" s="1"/>
  <c r="N18" i="1"/>
  <c r="AE13" i="1" s="1"/>
  <c r="AO12" i="1" s="1"/>
  <c r="O18" i="1"/>
  <c r="AF13" i="1" s="1"/>
  <c r="AP12" i="1" s="1"/>
  <c r="P18" i="1"/>
  <c r="AG13" i="1" s="1"/>
  <c r="Q18" i="1"/>
  <c r="AH13" i="1" s="1"/>
  <c r="R18" i="1"/>
  <c r="AI13" i="1" s="1"/>
  <c r="S18" i="1"/>
  <c r="AJ13" i="1" s="1"/>
  <c r="T18" i="1"/>
  <c r="U18" i="1"/>
  <c r="V18" i="1"/>
  <c r="AV26" i="1" s="1"/>
  <c r="L19" i="1"/>
  <c r="AC14" i="1" s="1"/>
  <c r="M19" i="1"/>
  <c r="AD14" i="1" s="1"/>
  <c r="N19" i="1"/>
  <c r="AE14" i="1" s="1"/>
  <c r="O19" i="1"/>
  <c r="AF14" i="1" s="1"/>
  <c r="P19" i="1"/>
  <c r="AG14" i="1" s="1"/>
  <c r="Q19" i="1"/>
  <c r="AH14" i="1" s="1"/>
  <c r="R19" i="1"/>
  <c r="AI14" i="1" s="1"/>
  <c r="S19" i="1"/>
  <c r="AJ14" i="1" s="1"/>
  <c r="T19" i="1"/>
  <c r="U19" i="1"/>
  <c r="V19" i="1"/>
  <c r="L20" i="1"/>
  <c r="AC15" i="1" s="1"/>
  <c r="M20" i="1"/>
  <c r="AD15" i="1" s="1"/>
  <c r="N20" i="1"/>
  <c r="AE15" i="1" s="1"/>
  <c r="O20" i="1"/>
  <c r="AF15" i="1" s="1"/>
  <c r="P20" i="1"/>
  <c r="AG15" i="1" s="1"/>
  <c r="AQ13" i="1" s="1"/>
  <c r="Q20" i="1"/>
  <c r="AH15" i="1" s="1"/>
  <c r="AR13" i="1" s="1"/>
  <c r="AO19" i="1" s="1"/>
  <c r="R20" i="1"/>
  <c r="AI15" i="1" s="1"/>
  <c r="S20" i="1"/>
  <c r="AJ15" i="1" s="1"/>
  <c r="T20" i="1"/>
  <c r="U20" i="1"/>
  <c r="V20" i="1"/>
  <c r="L21" i="1"/>
  <c r="AC16" i="1" s="1"/>
  <c r="M21" i="1"/>
  <c r="AD16" i="1" s="1"/>
  <c r="N21" i="1"/>
  <c r="AE16" i="1" s="1"/>
  <c r="O21" i="1"/>
  <c r="AF16" i="1" s="1"/>
  <c r="P21" i="1"/>
  <c r="AG16" i="1" s="1"/>
  <c r="Q21" i="1"/>
  <c r="AH16" i="1" s="1"/>
  <c r="R21" i="1"/>
  <c r="AI16" i="1" s="1"/>
  <c r="S21" i="1"/>
  <c r="AJ16" i="1" s="1"/>
  <c r="T21" i="1"/>
  <c r="U21" i="1"/>
  <c r="V21" i="1"/>
  <c r="L22" i="1"/>
  <c r="AC17" i="1" s="1"/>
  <c r="AM14" i="1" s="1"/>
  <c r="M22" i="1"/>
  <c r="AD17" i="1" s="1"/>
  <c r="AN14" i="1" s="1"/>
  <c r="AM20" i="1" s="1"/>
  <c r="N22" i="1"/>
  <c r="AE17" i="1" s="1"/>
  <c r="AO14" i="1" s="1"/>
  <c r="O22" i="1"/>
  <c r="AF17" i="1" s="1"/>
  <c r="AP14" i="1" s="1"/>
  <c r="P22" i="1"/>
  <c r="AG17" i="1" s="1"/>
  <c r="AQ14" i="1" s="1"/>
  <c r="Q22" i="1"/>
  <c r="AH17" i="1" s="1"/>
  <c r="AR14" i="1" s="1"/>
  <c r="AO20" i="1" s="1"/>
  <c r="R22" i="1"/>
  <c r="AI17" i="1" s="1"/>
  <c r="AS14" i="1" s="1"/>
  <c r="S22" i="1"/>
  <c r="AJ17" i="1" s="1"/>
  <c r="AT14" i="1" s="1"/>
  <c r="T22" i="1"/>
  <c r="AT28" i="1" s="1"/>
  <c r="U22" i="1"/>
  <c r="AU28" i="1" s="1"/>
  <c r="V22" i="1"/>
  <c r="AV28" i="1" s="1"/>
  <c r="L23" i="1"/>
  <c r="AC18" i="1" s="1"/>
  <c r="M23" i="1"/>
  <c r="AD18" i="1" s="1"/>
  <c r="N23" i="1"/>
  <c r="AE18" i="1" s="1"/>
  <c r="O23" i="1"/>
  <c r="AF18" i="1" s="1"/>
  <c r="P23" i="1"/>
  <c r="AG18" i="1" s="1"/>
  <c r="AQ15" i="1" s="1"/>
  <c r="Q23" i="1"/>
  <c r="AH18" i="1" s="1"/>
  <c r="R23" i="1"/>
  <c r="AI18" i="1" s="1"/>
  <c r="S23" i="1"/>
  <c r="AJ18" i="1" s="1"/>
  <c r="T23" i="1"/>
  <c r="U23" i="1"/>
  <c r="V23" i="1"/>
  <c r="L24" i="1"/>
  <c r="AC19" i="1" s="1"/>
  <c r="M24" i="1"/>
  <c r="AD19" i="1" s="1"/>
  <c r="N24" i="1"/>
  <c r="AE19" i="1" s="1"/>
  <c r="O24" i="1"/>
  <c r="AF19" i="1" s="1"/>
  <c r="P24" i="1"/>
  <c r="AG19" i="1" s="1"/>
  <c r="Q24" i="1"/>
  <c r="AH19" i="1" s="1"/>
  <c r="R24" i="1"/>
  <c r="AI19" i="1" s="1"/>
  <c r="S24" i="1"/>
  <c r="AJ19" i="1" s="1"/>
  <c r="T24" i="1"/>
  <c r="U24" i="1"/>
  <c r="V24" i="1"/>
  <c r="K17" i="1"/>
  <c r="AB12" i="1" s="1"/>
  <c r="K18" i="1"/>
  <c r="AB13" i="1" s="1"/>
  <c r="K19" i="1"/>
  <c r="AB14" i="1" s="1"/>
  <c r="K20" i="1"/>
  <c r="AB15" i="1" s="1"/>
  <c r="AL13" i="1" s="1"/>
  <c r="K21" i="1"/>
  <c r="AB16" i="1" s="1"/>
  <c r="K22" i="1"/>
  <c r="AB17" i="1" s="1"/>
  <c r="AL14" i="1" s="1"/>
  <c r="AL20" i="1" s="1"/>
  <c r="K23" i="1"/>
  <c r="AB18" i="1" s="1"/>
  <c r="AL15" i="1" s="1"/>
  <c r="K24" i="1"/>
  <c r="AB19" i="1" s="1"/>
  <c r="K16" i="1"/>
  <c r="AB11" i="1" s="1"/>
  <c r="AL11" i="1" s="1"/>
  <c r="AL17" i="1" s="1"/>
  <c r="AI24" i="7"/>
  <c r="AH24" i="25" s="1"/>
  <c r="AJ24" i="7"/>
  <c r="AI24" i="25" s="1"/>
  <c r="AK24" i="7"/>
  <c r="AJ24" i="25" s="1"/>
  <c r="AL24" i="7"/>
  <c r="AK24" i="25" s="1"/>
  <c r="AM24" i="7"/>
  <c r="AL24" i="25" s="1"/>
  <c r="AN24" i="7"/>
  <c r="AM24" i="25" s="1"/>
  <c r="AO24" i="7"/>
  <c r="AN24" i="25" s="1"/>
  <c r="AP24" i="7"/>
  <c r="AO24" i="25" s="1"/>
  <c r="AI25" i="7"/>
  <c r="AH25" i="25" s="1"/>
  <c r="AJ25" i="7"/>
  <c r="AI25" i="25" s="1"/>
  <c r="AK25" i="7"/>
  <c r="AJ25" i="25" s="1"/>
  <c r="AL25" i="7"/>
  <c r="AK25" i="25" s="1"/>
  <c r="AM25" i="7"/>
  <c r="AL25" i="25" s="1"/>
  <c r="AN25" i="7"/>
  <c r="AM25" i="25" s="1"/>
  <c r="AO25" i="7"/>
  <c r="AN25" i="25" s="1"/>
  <c r="AP25" i="7"/>
  <c r="AO25" i="25" s="1"/>
  <c r="AI26" i="7"/>
  <c r="AH26" i="25" s="1"/>
  <c r="AJ26" i="7"/>
  <c r="AI26" i="25" s="1"/>
  <c r="AK26" i="7"/>
  <c r="AJ26" i="25" s="1"/>
  <c r="AL26" i="7"/>
  <c r="AK26" i="25" s="1"/>
  <c r="AM26" i="7"/>
  <c r="AL26" i="25" s="1"/>
  <c r="AN26" i="7"/>
  <c r="AM26" i="25" s="1"/>
  <c r="AO26" i="7"/>
  <c r="AN26" i="25" s="1"/>
  <c r="AP26" i="7"/>
  <c r="AO26" i="25" s="1"/>
  <c r="AI27" i="7"/>
  <c r="AH27" i="25" s="1"/>
  <c r="AJ27" i="7"/>
  <c r="AI27" i="25" s="1"/>
  <c r="AK27" i="7"/>
  <c r="AJ27" i="25" s="1"/>
  <c r="AL27" i="7"/>
  <c r="AK27" i="25" s="1"/>
  <c r="AM27" i="7"/>
  <c r="AL27" i="25" s="1"/>
  <c r="AN27" i="7"/>
  <c r="AM27" i="25" s="1"/>
  <c r="AO27" i="7"/>
  <c r="AN27" i="25" s="1"/>
  <c r="AP27" i="7"/>
  <c r="AO27" i="25" s="1"/>
  <c r="AI28" i="7"/>
  <c r="AH28" i="25" s="1"/>
  <c r="AJ28" i="7"/>
  <c r="AI28" i="25" s="1"/>
  <c r="AK28" i="7"/>
  <c r="AJ28" i="25" s="1"/>
  <c r="AL28" i="7"/>
  <c r="AK28" i="25" s="1"/>
  <c r="AM28" i="7"/>
  <c r="AL28" i="25" s="1"/>
  <c r="AN28" i="7"/>
  <c r="AM28" i="25" s="1"/>
  <c r="AO28" i="7"/>
  <c r="AN28" i="25" s="1"/>
  <c r="AP28" i="7"/>
  <c r="AO28" i="25" s="1"/>
  <c r="AI29" i="7"/>
  <c r="AH29" i="25" s="1"/>
  <c r="AJ29" i="7"/>
  <c r="AI29" i="25" s="1"/>
  <c r="AK29" i="7"/>
  <c r="AJ29" i="25" s="1"/>
  <c r="AL29" i="7"/>
  <c r="AK29" i="25" s="1"/>
  <c r="AM29" i="7"/>
  <c r="AL29" i="25" s="1"/>
  <c r="AN29" i="7"/>
  <c r="AM29" i="25" s="1"/>
  <c r="AO29" i="7"/>
  <c r="AN29" i="25" s="1"/>
  <c r="AP29" i="7"/>
  <c r="AO29" i="25" s="1"/>
  <c r="AI30" i="7"/>
  <c r="AH30" i="25" s="1"/>
  <c r="AJ30" i="7"/>
  <c r="AI30" i="25" s="1"/>
  <c r="AK30" i="7"/>
  <c r="AJ30" i="25" s="1"/>
  <c r="AL30" i="7"/>
  <c r="AK30" i="25" s="1"/>
  <c r="AM30" i="7"/>
  <c r="AL30" i="25" s="1"/>
  <c r="AN30" i="7"/>
  <c r="AM30" i="25" s="1"/>
  <c r="AO30" i="7"/>
  <c r="AN30" i="25" s="1"/>
  <c r="AP30" i="7"/>
  <c r="AO30" i="25" s="1"/>
  <c r="AI31" i="7"/>
  <c r="AH31" i="25" s="1"/>
  <c r="AJ31" i="7"/>
  <c r="AI31" i="25" s="1"/>
  <c r="AK31" i="7"/>
  <c r="AJ31" i="25" s="1"/>
  <c r="AL31" i="7"/>
  <c r="AK31" i="25" s="1"/>
  <c r="AM31" i="7"/>
  <c r="AL31" i="25" s="1"/>
  <c r="AN31" i="7"/>
  <c r="AM31" i="25" s="1"/>
  <c r="AO31" i="7"/>
  <c r="AN31" i="25" s="1"/>
  <c r="AP31" i="7"/>
  <c r="AO31" i="25" s="1"/>
  <c r="AI32" i="7"/>
  <c r="AH32" i="25" s="1"/>
  <c r="AJ32" i="7"/>
  <c r="AI32" i="25" s="1"/>
  <c r="AK32" i="7"/>
  <c r="AJ32" i="25" s="1"/>
  <c r="AL32" i="7"/>
  <c r="AK32" i="25" s="1"/>
  <c r="AM32" i="7"/>
  <c r="AL32" i="25" s="1"/>
  <c r="AN32" i="7"/>
  <c r="AM32" i="25" s="1"/>
  <c r="AO32" i="7"/>
  <c r="AN32" i="25" s="1"/>
  <c r="AP32" i="7"/>
  <c r="AO32" i="25" s="1"/>
  <c r="AH25" i="7"/>
  <c r="AG25" i="25" s="1"/>
  <c r="AH26" i="7"/>
  <c r="AG26" i="25" s="1"/>
  <c r="AH27" i="7"/>
  <c r="AG27" i="25" s="1"/>
  <c r="AH28" i="7"/>
  <c r="AG28" i="25" s="1"/>
  <c r="AH29" i="7"/>
  <c r="AG29" i="25" s="1"/>
  <c r="AH30" i="7"/>
  <c r="AG30" i="25" s="1"/>
  <c r="AH31" i="7"/>
  <c r="AG31" i="25" s="1"/>
  <c r="AH32" i="7"/>
  <c r="AG32" i="25" s="1"/>
  <c r="AH24" i="7"/>
  <c r="AG24" i="25" s="1"/>
  <c r="AP15" i="1" l="1"/>
  <c r="AN21" i="1" s="1"/>
  <c r="AP20" i="1"/>
  <c r="T25" i="1"/>
  <c r="AT25" i="1"/>
  <c r="U25" i="1"/>
  <c r="AU25" i="1"/>
  <c r="AV29" i="1"/>
  <c r="AO15" i="1"/>
  <c r="AP13" i="1"/>
  <c r="AN19" i="1" s="1"/>
  <c r="AU26" i="1"/>
  <c r="AN12" i="1"/>
  <c r="AM18" i="1" s="1"/>
  <c r="AT11" i="1"/>
  <c r="AU29" i="1"/>
  <c r="AN15" i="1"/>
  <c r="AV27" i="1"/>
  <c r="AO13" i="1"/>
  <c r="AT26" i="1"/>
  <c r="AM12" i="1"/>
  <c r="AS11" i="1"/>
  <c r="AP17" i="1" s="1"/>
  <c r="AT29" i="1"/>
  <c r="AM15" i="1"/>
  <c r="AL21" i="1" s="1"/>
  <c r="AN20" i="1"/>
  <c r="AU27" i="1"/>
  <c r="AN13" i="1"/>
  <c r="AM19" i="1" s="1"/>
  <c r="AT12" i="1"/>
  <c r="AR11" i="1"/>
  <c r="AO17" i="1" s="1"/>
  <c r="AL12" i="1"/>
  <c r="AL18" i="1" s="1"/>
  <c r="AT15" i="1"/>
  <c r="AT27" i="1"/>
  <c r="AM13" i="1"/>
  <c r="AL19" i="1" s="1"/>
  <c r="AS12" i="1"/>
  <c r="AQ11" i="1"/>
  <c r="AN18" i="1"/>
  <c r="AS15" i="1"/>
  <c r="Z50" i="1"/>
  <c r="AT13" i="1"/>
  <c r="AR12" i="1"/>
  <c r="AO18" i="1" s="1"/>
  <c r="AP11" i="1"/>
  <c r="AN17" i="1" s="1"/>
  <c r="AM17" i="1"/>
  <c r="AR15" i="1"/>
  <c r="AO21" i="1" s="1"/>
  <c r="AS13" i="1"/>
  <c r="AP19" i="1" s="1"/>
  <c r="AQ12" i="1"/>
  <c r="V25" i="1"/>
  <c r="AV25" i="1"/>
  <c r="AO11" i="1"/>
  <c r="AY13" i="7"/>
  <c r="AY15" i="7"/>
  <c r="AY20" i="7"/>
  <c r="AY17" i="7"/>
  <c r="AY16" i="7"/>
  <c r="AY12" i="7"/>
  <c r="AY14" i="7"/>
  <c r="AY18" i="7"/>
  <c r="AY19" i="7"/>
  <c r="E33" i="7"/>
  <c r="D33" i="25" s="1"/>
  <c r="D12" i="25"/>
  <c r="D32" i="23"/>
  <c r="D37" i="7"/>
  <c r="C37" i="25" s="1"/>
  <c r="C16" i="25"/>
  <c r="I40" i="7"/>
  <c r="H40" i="25" s="1"/>
  <c r="H19" i="25"/>
  <c r="J40" i="7"/>
  <c r="I40" i="25" s="1"/>
  <c r="I19" i="25"/>
  <c r="I34" i="7"/>
  <c r="H34" i="25" s="1"/>
  <c r="H13" i="25"/>
  <c r="AU38" i="7"/>
  <c r="AS38" i="25" s="1"/>
  <c r="AS17" i="25"/>
  <c r="H35" i="7"/>
  <c r="G35" i="25" s="1"/>
  <c r="G14" i="25"/>
  <c r="K33" i="7"/>
  <c r="J33" i="25" s="1"/>
  <c r="J12" i="25"/>
  <c r="J32" i="23"/>
  <c r="K38" i="7"/>
  <c r="J38" i="25" s="1"/>
  <c r="J17" i="25"/>
  <c r="D35" i="7"/>
  <c r="C35" i="25" s="1"/>
  <c r="C14" i="25"/>
  <c r="G41" i="7"/>
  <c r="F41" i="25" s="1"/>
  <c r="F20" i="25"/>
  <c r="K35" i="7"/>
  <c r="J35" i="25" s="1"/>
  <c r="J14" i="25"/>
  <c r="H33" i="7"/>
  <c r="G33" i="25" s="1"/>
  <c r="G12" i="25"/>
  <c r="G32" i="23"/>
  <c r="H34" i="7"/>
  <c r="G34" i="25" s="1"/>
  <c r="G13" i="25"/>
  <c r="K40" i="7"/>
  <c r="J40" i="25" s="1"/>
  <c r="J19" i="25"/>
  <c r="J36" i="7"/>
  <c r="I36" i="25" s="1"/>
  <c r="I15" i="25"/>
  <c r="K39" i="7"/>
  <c r="J39" i="25" s="1"/>
  <c r="J18" i="25"/>
  <c r="E35" i="7"/>
  <c r="D35" i="25" s="1"/>
  <c r="D14" i="25"/>
  <c r="K41" i="7"/>
  <c r="J41" i="25" s="1"/>
  <c r="J20" i="25"/>
  <c r="F34" i="7"/>
  <c r="E34" i="25" s="1"/>
  <c r="E13" i="25"/>
  <c r="C34" i="7"/>
  <c r="B13" i="25"/>
  <c r="G39" i="7"/>
  <c r="F39" i="25" s="1"/>
  <c r="F18" i="25"/>
  <c r="J38" i="7"/>
  <c r="I38" i="25" s="1"/>
  <c r="I17" i="25"/>
  <c r="I39" i="7"/>
  <c r="H39" i="25" s="1"/>
  <c r="H18" i="25"/>
  <c r="F33" i="7"/>
  <c r="E33" i="25" s="1"/>
  <c r="E12" i="25"/>
  <c r="E32" i="23"/>
  <c r="J39" i="7"/>
  <c r="I39" i="25" s="1"/>
  <c r="I18" i="25"/>
  <c r="G37" i="7"/>
  <c r="F37" i="25" s="1"/>
  <c r="F16" i="25"/>
  <c r="D41" i="7"/>
  <c r="C41" i="25" s="1"/>
  <c r="C20" i="25"/>
  <c r="F36" i="7"/>
  <c r="E36" i="25" s="1"/>
  <c r="E15" i="25"/>
  <c r="D36" i="7"/>
  <c r="C36" i="25" s="1"/>
  <c r="C15" i="25"/>
  <c r="C36" i="7"/>
  <c r="B15" i="25"/>
  <c r="E41" i="7"/>
  <c r="D41" i="25" s="1"/>
  <c r="D20" i="25"/>
  <c r="C41" i="7"/>
  <c r="B20" i="25"/>
  <c r="H41" i="7"/>
  <c r="G41" i="25" s="1"/>
  <c r="G20" i="25"/>
  <c r="C38" i="7"/>
  <c r="B17" i="25"/>
  <c r="H39" i="7"/>
  <c r="G39" i="25" s="1"/>
  <c r="G18" i="25"/>
  <c r="F35" i="7"/>
  <c r="E35" i="25" s="1"/>
  <c r="E14" i="25"/>
  <c r="G38" i="7"/>
  <c r="F38" i="25" s="1"/>
  <c r="F17" i="25"/>
  <c r="C37" i="7"/>
  <c r="B16" i="25"/>
  <c r="F40" i="7"/>
  <c r="E40" i="25" s="1"/>
  <c r="E19" i="25"/>
  <c r="AU35" i="7"/>
  <c r="AS35" i="25" s="1"/>
  <c r="AS14" i="25"/>
  <c r="J35" i="7"/>
  <c r="I35" i="25" s="1"/>
  <c r="I14" i="25"/>
  <c r="I35" i="7"/>
  <c r="H35" i="25" s="1"/>
  <c r="H14" i="25"/>
  <c r="C33" i="7"/>
  <c r="B12" i="25"/>
  <c r="B32" i="23"/>
  <c r="F39" i="7"/>
  <c r="E39" i="25" s="1"/>
  <c r="E18" i="25"/>
  <c r="E38" i="7"/>
  <c r="D38" i="25" s="1"/>
  <c r="D17" i="25"/>
  <c r="E34" i="7"/>
  <c r="D34" i="25" s="1"/>
  <c r="D13" i="25"/>
  <c r="J41" i="7"/>
  <c r="I41" i="25" s="1"/>
  <c r="I20" i="25"/>
  <c r="F41" i="7"/>
  <c r="E41" i="25" s="1"/>
  <c r="E20" i="25"/>
  <c r="E39" i="7"/>
  <c r="D39" i="25" s="1"/>
  <c r="D18" i="25"/>
  <c r="D33" i="7"/>
  <c r="C33" i="25" s="1"/>
  <c r="C12" i="25"/>
  <c r="C32" i="23"/>
  <c r="I36" i="7"/>
  <c r="H36" i="25" s="1"/>
  <c r="H15" i="25"/>
  <c r="I33" i="7"/>
  <c r="H33" i="25" s="1"/>
  <c r="H12" i="25"/>
  <c r="H32" i="23"/>
  <c r="E40" i="7"/>
  <c r="D40" i="25" s="1"/>
  <c r="D19" i="25"/>
  <c r="H40" i="7"/>
  <c r="G40" i="25" s="1"/>
  <c r="G19" i="25"/>
  <c r="E36" i="7"/>
  <c r="D36" i="25" s="1"/>
  <c r="D15" i="25"/>
  <c r="G36" i="7"/>
  <c r="F36" i="25" s="1"/>
  <c r="F15" i="25"/>
  <c r="J33" i="7"/>
  <c r="I33" i="25" s="1"/>
  <c r="I12" i="25"/>
  <c r="I32" i="23"/>
  <c r="J34" i="7"/>
  <c r="I34" i="25" s="1"/>
  <c r="I13" i="25"/>
  <c r="G34" i="7"/>
  <c r="F34" i="25" s="1"/>
  <c r="F13" i="25"/>
  <c r="K37" i="7"/>
  <c r="J37" i="25" s="1"/>
  <c r="J16" i="25"/>
  <c r="K34" i="7"/>
  <c r="J34" i="25" s="1"/>
  <c r="J13" i="25"/>
  <c r="D39" i="7"/>
  <c r="C39" i="25" s="1"/>
  <c r="C18" i="25"/>
  <c r="G35" i="7"/>
  <c r="F35" i="25" s="1"/>
  <c r="F14" i="25"/>
  <c r="D34" i="7"/>
  <c r="C34" i="25" s="1"/>
  <c r="C13" i="25"/>
  <c r="G40" i="7"/>
  <c r="F40" i="25" s="1"/>
  <c r="F19" i="25"/>
  <c r="F38" i="7"/>
  <c r="E38" i="25" s="1"/>
  <c r="E17" i="25"/>
  <c r="AU34" i="7"/>
  <c r="AS34" i="25" s="1"/>
  <c r="AS13" i="25"/>
  <c r="C35" i="7"/>
  <c r="B14" i="25"/>
  <c r="AU33" i="7"/>
  <c r="AS33" i="25" s="1"/>
  <c r="AS12" i="25"/>
  <c r="K36" i="7"/>
  <c r="J36" i="25" s="1"/>
  <c r="J15" i="25"/>
  <c r="C39" i="7"/>
  <c r="B18" i="25"/>
  <c r="D38" i="7"/>
  <c r="C38" i="25" s="1"/>
  <c r="C17" i="25"/>
  <c r="AU37" i="7"/>
  <c r="AS37" i="25" s="1"/>
  <c r="AS16" i="25"/>
  <c r="H38" i="7"/>
  <c r="G38" i="25" s="1"/>
  <c r="G17" i="25"/>
  <c r="I37" i="7"/>
  <c r="H37" i="25" s="1"/>
  <c r="H16" i="25"/>
  <c r="I41" i="7"/>
  <c r="H41" i="25" s="1"/>
  <c r="H20" i="25"/>
  <c r="H36" i="7"/>
  <c r="G36" i="25" s="1"/>
  <c r="G15" i="25"/>
  <c r="G33" i="7"/>
  <c r="F33" i="25" s="1"/>
  <c r="F12" i="25"/>
  <c r="F32" i="23"/>
  <c r="D40" i="7"/>
  <c r="C40" i="25" s="1"/>
  <c r="C19" i="25"/>
  <c r="F37" i="7"/>
  <c r="E37" i="25" s="1"/>
  <c r="E16" i="25"/>
  <c r="C40" i="7"/>
  <c r="B19" i="25"/>
  <c r="I38" i="7"/>
  <c r="H38" i="25" s="1"/>
  <c r="H17" i="25"/>
  <c r="AU36" i="7"/>
  <c r="AS36" i="25" s="1"/>
  <c r="AS15" i="25"/>
  <c r="H37" i="7"/>
  <c r="G37" i="25" s="1"/>
  <c r="G16" i="25"/>
  <c r="J37" i="7"/>
  <c r="I37" i="25" s="1"/>
  <c r="I16" i="25"/>
  <c r="E37" i="7"/>
  <c r="D37" i="25" s="1"/>
  <c r="D16" i="25"/>
  <c r="E41" i="1"/>
  <c r="E42" i="1"/>
  <c r="E43" i="1"/>
  <c r="E44" i="1"/>
  <c r="E45" i="1"/>
  <c r="E46" i="1"/>
  <c r="E47" i="1"/>
  <c r="E48" i="1"/>
  <c r="E49" i="1"/>
  <c r="J41" i="1"/>
  <c r="J42" i="1"/>
  <c r="J43" i="1"/>
  <c r="J44" i="1"/>
  <c r="J45" i="1"/>
  <c r="J46" i="1"/>
  <c r="J47" i="1"/>
  <c r="J48" i="1"/>
  <c r="J49" i="1"/>
  <c r="H45" i="1"/>
  <c r="H49" i="1"/>
  <c r="H42" i="1"/>
  <c r="H43" i="1"/>
  <c r="H47" i="1"/>
  <c r="H41" i="1"/>
  <c r="H44" i="1"/>
  <c r="H46" i="1"/>
  <c r="H48" i="1"/>
  <c r="I41" i="1"/>
  <c r="I42" i="1"/>
  <c r="I43" i="1"/>
  <c r="I44" i="1"/>
  <c r="I45" i="1"/>
  <c r="I46" i="1"/>
  <c r="I47" i="1"/>
  <c r="I48" i="1"/>
  <c r="I49" i="1"/>
  <c r="C41" i="1"/>
  <c r="C42" i="1"/>
  <c r="C43" i="1"/>
  <c r="C44" i="1"/>
  <c r="C45" i="1"/>
  <c r="C46" i="1"/>
  <c r="C47" i="1"/>
  <c r="C48" i="1"/>
  <c r="C49" i="1"/>
  <c r="D42" i="1"/>
  <c r="D44" i="1"/>
  <c r="D47" i="1"/>
  <c r="D48" i="1"/>
  <c r="D45" i="1"/>
  <c r="D46" i="1"/>
  <c r="D49" i="1"/>
  <c r="D41" i="1"/>
  <c r="D43" i="1"/>
  <c r="G41" i="1"/>
  <c r="G42" i="1"/>
  <c r="G43" i="1"/>
  <c r="G44" i="1"/>
  <c r="G45" i="1"/>
  <c r="G46" i="1"/>
  <c r="G47" i="1"/>
  <c r="G48" i="1"/>
  <c r="G49" i="1"/>
  <c r="F41" i="1"/>
  <c r="F42" i="1"/>
  <c r="F43" i="1"/>
  <c r="F44" i="1"/>
  <c r="F45" i="1"/>
  <c r="F46" i="1"/>
  <c r="F47" i="1"/>
  <c r="F48" i="1"/>
  <c r="F49" i="1"/>
  <c r="B45" i="1"/>
  <c r="B49" i="1"/>
  <c r="B42" i="1"/>
  <c r="B46" i="1"/>
  <c r="B41" i="1"/>
  <c r="B48" i="1"/>
  <c r="B43" i="1"/>
  <c r="B47" i="1"/>
  <c r="B44" i="1"/>
  <c r="R65" i="1"/>
  <c r="S65" i="1"/>
  <c r="N65" i="1"/>
  <c r="Q65" i="1"/>
  <c r="T65" i="1"/>
  <c r="P65" i="1"/>
  <c r="U65" i="1"/>
  <c r="O65" i="1"/>
  <c r="M65" i="1"/>
  <c r="L46" i="1"/>
  <c r="W33" i="1" s="1"/>
  <c r="P46" i="1"/>
  <c r="AA33" i="1" s="1"/>
  <c r="K46" i="1"/>
  <c r="R46" i="1"/>
  <c r="AC33" i="1" s="1"/>
  <c r="O46" i="1"/>
  <c r="Z33" i="1" s="1"/>
  <c r="M46" i="1"/>
  <c r="X33" i="1" s="1"/>
  <c r="Q46" i="1"/>
  <c r="AB33" i="1" s="1"/>
  <c r="N46" i="1"/>
  <c r="Y33" i="1" s="1"/>
  <c r="S46" i="1"/>
  <c r="AD33" i="1" s="1"/>
  <c r="L47" i="1"/>
  <c r="W34" i="1" s="1"/>
  <c r="P47" i="1"/>
  <c r="AA34" i="1" s="1"/>
  <c r="R47" i="1"/>
  <c r="AC34" i="1" s="1"/>
  <c r="O47" i="1"/>
  <c r="S47" i="1"/>
  <c r="AD34" i="1" s="1"/>
  <c r="M47" i="1"/>
  <c r="Q47" i="1"/>
  <c r="K47" i="1"/>
  <c r="N47" i="1"/>
  <c r="Y34" i="1" s="1"/>
  <c r="L48" i="1"/>
  <c r="W35" i="1" s="1"/>
  <c r="P48" i="1"/>
  <c r="AA35" i="1" s="1"/>
  <c r="R48" i="1"/>
  <c r="K48" i="1"/>
  <c r="S48" i="1"/>
  <c r="AD35" i="1" s="1"/>
  <c r="M48" i="1"/>
  <c r="Q48" i="1"/>
  <c r="N48" i="1"/>
  <c r="Y35" i="1" s="1"/>
  <c r="O48" i="1"/>
  <c r="L44" i="1"/>
  <c r="W31" i="1" s="1"/>
  <c r="P44" i="1"/>
  <c r="AA31" i="1" s="1"/>
  <c r="N44" i="1"/>
  <c r="Y31" i="1" s="1"/>
  <c r="O44" i="1"/>
  <c r="Z31" i="1" s="1"/>
  <c r="M44" i="1"/>
  <c r="X31" i="1" s="1"/>
  <c r="Q44" i="1"/>
  <c r="AB31" i="1" s="1"/>
  <c r="R44" i="1"/>
  <c r="AC31" i="1" s="1"/>
  <c r="K44" i="1"/>
  <c r="S44" i="1"/>
  <c r="AD31" i="1" s="1"/>
  <c r="L42" i="1"/>
  <c r="P42" i="1"/>
  <c r="K42" i="1"/>
  <c r="N42" i="1"/>
  <c r="M42" i="1"/>
  <c r="Q42" i="1"/>
  <c r="R42" i="1"/>
  <c r="O42" i="1"/>
  <c r="S42" i="1"/>
  <c r="L43" i="1"/>
  <c r="W30" i="1" s="1"/>
  <c r="P43" i="1"/>
  <c r="AA30" i="1" s="1"/>
  <c r="N43" i="1"/>
  <c r="Y30" i="1" s="1"/>
  <c r="O43" i="1"/>
  <c r="M43" i="1"/>
  <c r="Q43" i="1"/>
  <c r="AB30" i="1" s="1"/>
  <c r="K43" i="1"/>
  <c r="R43" i="1"/>
  <c r="AC30" i="1" s="1"/>
  <c r="S43" i="1"/>
  <c r="AD30" i="1" s="1"/>
  <c r="L49" i="1"/>
  <c r="W36" i="1" s="1"/>
  <c r="P49" i="1"/>
  <c r="AA36" i="1" s="1"/>
  <c r="R49" i="1"/>
  <c r="AC36" i="1" s="1"/>
  <c r="M49" i="1"/>
  <c r="X36" i="1" s="1"/>
  <c r="Q49" i="1"/>
  <c r="AB36" i="1" s="1"/>
  <c r="N49" i="1"/>
  <c r="Y36" i="1" s="1"/>
  <c r="O49" i="1"/>
  <c r="Z36" i="1" s="1"/>
  <c r="S49" i="1"/>
  <c r="AD36" i="1" s="1"/>
  <c r="K49" i="1"/>
  <c r="L45" i="1"/>
  <c r="W32" i="1" s="1"/>
  <c r="P45" i="1"/>
  <c r="AA32" i="1" s="1"/>
  <c r="N45" i="1"/>
  <c r="Y32" i="1" s="1"/>
  <c r="O45" i="1"/>
  <c r="K45" i="1"/>
  <c r="M45" i="1"/>
  <c r="Q45" i="1"/>
  <c r="AB32" i="1" s="1"/>
  <c r="R45" i="1"/>
  <c r="AC32" i="1" s="1"/>
  <c r="S45" i="1"/>
  <c r="AD32" i="1" s="1"/>
  <c r="L41" i="1"/>
  <c r="W28" i="1" s="1"/>
  <c r="P41" i="1"/>
  <c r="AA28" i="1" s="1"/>
  <c r="K41" i="1"/>
  <c r="R41" i="1"/>
  <c r="AC28" i="1" s="1"/>
  <c r="S41" i="1"/>
  <c r="AD28" i="1" s="1"/>
  <c r="M41" i="1"/>
  <c r="Q41" i="1"/>
  <c r="AB28" i="1" s="1"/>
  <c r="N41" i="1"/>
  <c r="Y28" i="1" s="1"/>
  <c r="O41" i="1"/>
  <c r="X41" i="1" l="1"/>
  <c r="X48" i="1" s="1"/>
  <c r="Z30" i="1"/>
  <c r="X29" i="1"/>
  <c r="M50" i="1"/>
  <c r="Y44" i="1"/>
  <c r="Y51" i="1" s="1"/>
  <c r="AB35" i="1"/>
  <c r="T47" i="1"/>
  <c r="V43" i="1"/>
  <c r="V50" i="1" s="1"/>
  <c r="V34" i="1"/>
  <c r="AM21" i="1"/>
  <c r="W44" i="1"/>
  <c r="W51" i="1" s="1"/>
  <c r="X35" i="1"/>
  <c r="Y47" i="1"/>
  <c r="Z47" i="1"/>
  <c r="AU30" i="1"/>
  <c r="Q50" i="1"/>
  <c r="AB29" i="1"/>
  <c r="AB38" i="1" s="1"/>
  <c r="X40" i="1"/>
  <c r="Z28" i="1"/>
  <c r="Y29" i="1"/>
  <c r="N50" i="1"/>
  <c r="Y43" i="1"/>
  <c r="AB34" i="1"/>
  <c r="T49" i="1"/>
  <c r="V44" i="1"/>
  <c r="V51" i="1" s="1"/>
  <c r="V36" i="1"/>
  <c r="V29" i="1"/>
  <c r="T42" i="1"/>
  <c r="X34" i="1"/>
  <c r="W43" i="1"/>
  <c r="W50" i="1" s="1"/>
  <c r="AA38" i="1"/>
  <c r="T48" i="1"/>
  <c r="V35" i="1"/>
  <c r="AP21" i="1"/>
  <c r="AT30" i="1"/>
  <c r="AD29" i="1"/>
  <c r="AD38" i="1" s="1"/>
  <c r="S50" i="1"/>
  <c r="W29" i="1"/>
  <c r="L50" i="1"/>
  <c r="Z44" i="1"/>
  <c r="AC35" i="1"/>
  <c r="X43" i="1"/>
  <c r="X50" i="1" s="1"/>
  <c r="Z34" i="1"/>
  <c r="AV30" i="1"/>
  <c r="X30" i="1"/>
  <c r="W41" i="1"/>
  <c r="W48" i="1" s="1"/>
  <c r="Y38" i="1"/>
  <c r="P50" i="1"/>
  <c r="AA29" i="1"/>
  <c r="X32" i="1"/>
  <c r="W42" i="1"/>
  <c r="W49" i="1" s="1"/>
  <c r="T45" i="1"/>
  <c r="V32" i="1"/>
  <c r="V42" i="1"/>
  <c r="V49" i="1" s="1"/>
  <c r="V30" i="1"/>
  <c r="T43" i="1"/>
  <c r="V41" i="1"/>
  <c r="V48" i="1" s="1"/>
  <c r="Z29" i="1"/>
  <c r="O50" i="1"/>
  <c r="Z48" i="1"/>
  <c r="Y48" i="1"/>
  <c r="W38" i="1"/>
  <c r="X28" i="1"/>
  <c r="W40" i="1"/>
  <c r="K50" i="1"/>
  <c r="V28" i="1"/>
  <c r="T41" i="1"/>
  <c r="V40" i="1"/>
  <c r="X42" i="1"/>
  <c r="X49" i="1" s="1"/>
  <c r="Z32" i="1"/>
  <c r="R50" i="1"/>
  <c r="AC29" i="1"/>
  <c r="AC38" i="1" s="1"/>
  <c r="V31" i="1"/>
  <c r="T44" i="1"/>
  <c r="X44" i="1"/>
  <c r="X51" i="1" s="1"/>
  <c r="Z35" i="1"/>
  <c r="V33" i="1"/>
  <c r="T46" i="1"/>
  <c r="AP18" i="1"/>
  <c r="Y49" i="1"/>
  <c r="Z49" i="1"/>
  <c r="AU50" i="7"/>
  <c r="AU53" i="7" s="1"/>
  <c r="AU54" i="7" s="1"/>
  <c r="B35" i="25"/>
  <c r="B37" i="25"/>
  <c r="B38" i="25"/>
  <c r="B41" i="25"/>
  <c r="B36" i="25"/>
  <c r="B40" i="25"/>
  <c r="B34" i="25"/>
  <c r="B39" i="25"/>
  <c r="B33" i="25"/>
  <c r="AY33" i="7"/>
  <c r="N51" i="7"/>
  <c r="M51" i="7"/>
  <c r="S51" i="7"/>
  <c r="T51" i="7"/>
  <c r="U51" i="7"/>
  <c r="AB51" i="7"/>
  <c r="AB53" i="7" s="1"/>
  <c r="AB54" i="7" s="1"/>
  <c r="P51" i="7"/>
  <c r="O51" i="7"/>
  <c r="R51" i="7"/>
  <c r="Z51" i="7"/>
  <c r="Z53" i="7" s="1"/>
  <c r="Z54" i="7" s="1"/>
  <c r="AG51" i="7"/>
  <c r="AG53" i="7" s="1"/>
  <c r="AG54" i="7" s="1"/>
  <c r="AA51" i="7"/>
  <c r="AA53" i="7" s="1"/>
  <c r="AA54" i="7" s="1"/>
  <c r="AF51" i="7"/>
  <c r="AF53" i="7" s="1"/>
  <c r="AF54" i="7" s="1"/>
  <c r="AC51" i="7"/>
  <c r="AC53" i="7" s="1"/>
  <c r="AC54" i="7" s="1"/>
  <c r="AD51" i="7"/>
  <c r="AD53" i="7" s="1"/>
  <c r="AD54" i="7" s="1"/>
  <c r="AE51" i="7"/>
  <c r="AE53" i="7" s="1"/>
  <c r="AE54" i="7" s="1"/>
  <c r="AC17" i="8"/>
  <c r="AC18" i="8" s="1"/>
  <c r="R27" i="1"/>
  <c r="AB17" i="8"/>
  <c r="AB18" i="8" s="1"/>
  <c r="Q27" i="1"/>
  <c r="AD17" i="8"/>
  <c r="AD18" i="8" s="1"/>
  <c r="S27" i="1"/>
  <c r="AA17" i="8"/>
  <c r="AA18" i="8" s="1"/>
  <c r="P27" i="1"/>
  <c r="Y17" i="8"/>
  <c r="Y18" i="8" s="1"/>
  <c r="N27" i="1"/>
  <c r="X17" i="8"/>
  <c r="X18" i="8" s="1"/>
  <c r="M27" i="1"/>
  <c r="Z17" i="8"/>
  <c r="Z18" i="8" s="1"/>
  <c r="O27" i="1"/>
  <c r="W17" i="8"/>
  <c r="W18" i="8" s="1"/>
  <c r="L27" i="1"/>
  <c r="V17" i="8"/>
  <c r="K27" i="1"/>
  <c r="O35" i="7"/>
  <c r="O50" i="7" s="1"/>
  <c r="Q37" i="7"/>
  <c r="Q50" i="7" s="1"/>
  <c r="T40" i="7"/>
  <c r="T50" i="7" s="1"/>
  <c r="R38" i="7"/>
  <c r="R50" i="7" s="1"/>
  <c r="S39" i="7"/>
  <c r="S50" i="7" s="1"/>
  <c r="U41" i="7"/>
  <c r="U50" i="7" s="1"/>
  <c r="P36" i="7"/>
  <c r="AY36" i="7" s="1"/>
  <c r="N34" i="7"/>
  <c r="N50" i="7" s="1"/>
  <c r="V47" i="1" l="1"/>
  <c r="V52" i="1" s="1"/>
  <c r="V45" i="1"/>
  <c r="Z51" i="1"/>
  <c r="Z52" i="1" s="1"/>
  <c r="Z45" i="1"/>
  <c r="V38" i="1"/>
  <c r="Y50" i="1"/>
  <c r="Y52" i="1" s="1"/>
  <c r="Y45" i="1"/>
  <c r="X47" i="1"/>
  <c r="X52" i="1" s="1"/>
  <c r="X45" i="1"/>
  <c r="W47" i="1"/>
  <c r="W52" i="1" s="1"/>
  <c r="W45" i="1"/>
  <c r="X38" i="1"/>
  <c r="Z38" i="1"/>
  <c r="AY41" i="7"/>
  <c r="AY39" i="7"/>
  <c r="AY37" i="7"/>
  <c r="V18" i="8"/>
  <c r="AE17" i="8"/>
  <c r="AY40" i="7"/>
  <c r="AY34" i="7"/>
  <c r="AY38" i="7"/>
  <c r="AY35" i="7"/>
  <c r="O36" i="25"/>
  <c r="P50" i="7"/>
  <c r="P53" i="7" s="1"/>
  <c r="P54" i="7" s="1"/>
  <c r="R39" i="25"/>
  <c r="AI51" i="7"/>
  <c r="AI53" i="7" s="1"/>
  <c r="AI55" i="7" s="1"/>
  <c r="M34" i="25"/>
  <c r="S40" i="25"/>
  <c r="N35" i="25"/>
  <c r="Q38" i="25"/>
  <c r="T41" i="25"/>
  <c r="P37" i="25"/>
  <c r="O53" i="7"/>
  <c r="O54" i="7" s="1"/>
  <c r="T53" i="7"/>
  <c r="T54" i="7" s="1"/>
  <c r="AH51" i="7"/>
  <c r="AH53" i="7" s="1"/>
  <c r="AP51" i="7"/>
  <c r="AP53" i="7" s="1"/>
  <c r="AP55" i="7" s="1"/>
  <c r="S53" i="7"/>
  <c r="S54" i="7" s="1"/>
  <c r="AL51" i="7"/>
  <c r="AL53" i="7" s="1"/>
  <c r="AL55" i="7" s="1"/>
  <c r="N53" i="7"/>
  <c r="N54" i="7" s="1"/>
  <c r="AJ51" i="7"/>
  <c r="AJ53" i="7" s="1"/>
  <c r="AJ55" i="7" s="1"/>
  <c r="AN51" i="7"/>
  <c r="AN53" i="7" s="1"/>
  <c r="AN55" i="7" s="1"/>
  <c r="AK51" i="7"/>
  <c r="AK53" i="7" s="1"/>
  <c r="AK55" i="7" s="1"/>
  <c r="R53" i="7"/>
  <c r="R54" i="7" s="1"/>
  <c r="U53" i="7"/>
  <c r="U54" i="7" s="1"/>
  <c r="AO51" i="7"/>
  <c r="AO53" i="7" s="1"/>
  <c r="AO55" i="7" s="1"/>
  <c r="AM51" i="7"/>
  <c r="AM53" i="7" s="1"/>
  <c r="AM55" i="7" s="1"/>
  <c r="AE38" i="1" l="1"/>
  <c r="AA52" i="1"/>
  <c r="AI54" i="7"/>
  <c r="AH55" i="7"/>
  <c r="AN54" i="7"/>
  <c r="AK54" i="7"/>
  <c r="AM54" i="7"/>
  <c r="AH54" i="7"/>
  <c r="AO54" i="7"/>
  <c r="Q51" i="7"/>
  <c r="Q53" i="7" s="1"/>
  <c r="Q54" i="7" s="1"/>
  <c r="M53" i="7"/>
  <c r="M54" i="7" s="1"/>
  <c r="Y51" i="7"/>
  <c r="Y53" i="7" s="1"/>
  <c r="Y54" i="7" s="1"/>
  <c r="AL54" i="7" l="1"/>
  <c r="AP54" i="7"/>
  <c r="AJ54" i="7"/>
  <c r="K32" i="23" l="1"/>
  <c r="B33" i="23" l="1"/>
  <c r="D35" i="23"/>
  <c r="I35" i="23"/>
  <c r="G35" i="23"/>
  <c r="F35" i="23"/>
  <c r="H35" i="23"/>
  <c r="B35" i="23"/>
  <c r="C44" i="7" s="1"/>
  <c r="J35" i="23"/>
  <c r="E35" i="23"/>
  <c r="C35" i="23"/>
  <c r="J33" i="23"/>
  <c r="K43" i="7" s="1"/>
  <c r="J43" i="25" s="1"/>
  <c r="F33" i="23"/>
  <c r="G43" i="7" s="1"/>
  <c r="G33" i="23"/>
  <c r="H43" i="7" s="1"/>
  <c r="G43" i="25" s="1"/>
  <c r="I33" i="23"/>
  <c r="J43" i="7" s="1"/>
  <c r="I43" i="25" s="1"/>
  <c r="H33" i="23"/>
  <c r="I43" i="7" s="1"/>
  <c r="E33" i="23"/>
  <c r="F43" i="7" s="1"/>
  <c r="D33" i="23"/>
  <c r="E43" i="7" s="1"/>
  <c r="C33" i="23"/>
  <c r="D43" i="7" s="1"/>
  <c r="J44" i="7" l="1"/>
  <c r="I44" i="25" s="1"/>
  <c r="K44" i="7"/>
  <c r="K70" i="17" s="1"/>
  <c r="K71" i="17" s="1"/>
  <c r="D44" i="7"/>
  <c r="C44" i="25" s="1"/>
  <c r="I44" i="7"/>
  <c r="H44" i="25" s="1"/>
  <c r="E44" i="7"/>
  <c r="D44" i="25" s="1"/>
  <c r="H44" i="7"/>
  <c r="G44" i="25" s="1"/>
  <c r="F44" i="7"/>
  <c r="E44" i="25" s="1"/>
  <c r="G44" i="7"/>
  <c r="G70" i="17" s="1"/>
  <c r="G71" i="17" s="1"/>
  <c r="E43" i="25"/>
  <c r="C43" i="25"/>
  <c r="F43" i="25"/>
  <c r="H43" i="25"/>
  <c r="D43" i="25"/>
  <c r="B44" i="25"/>
  <c r="K35" i="23"/>
  <c r="L35" i="23" s="1"/>
  <c r="K33" i="23"/>
  <c r="C43" i="7"/>
  <c r="J70" i="17" l="1"/>
  <c r="J71" i="17" s="1"/>
  <c r="J82" i="17" s="1"/>
  <c r="J10" i="7" s="1"/>
  <c r="I10" i="25" s="1"/>
  <c r="D70" i="17"/>
  <c r="D71" i="17" s="1"/>
  <c r="D81" i="17" s="1"/>
  <c r="D9" i="7" s="1"/>
  <c r="C9" i="25" s="1"/>
  <c r="J78" i="17"/>
  <c r="J6" i="7" s="1"/>
  <c r="I6" i="25" s="1"/>
  <c r="J75" i="17"/>
  <c r="J3" i="7" s="1"/>
  <c r="I3" i="25" s="1"/>
  <c r="G79" i="17"/>
  <c r="G7" i="7" s="1"/>
  <c r="F7" i="25" s="1"/>
  <c r="G80" i="17"/>
  <c r="G8" i="7" s="1"/>
  <c r="F8" i="25" s="1"/>
  <c r="G77" i="17"/>
  <c r="G5" i="7" s="1"/>
  <c r="F5" i="25" s="1"/>
  <c r="G74" i="17"/>
  <c r="G2" i="7" s="1"/>
  <c r="G76" i="17"/>
  <c r="G4" i="7" s="1"/>
  <c r="F4" i="25" s="1"/>
  <c r="G75" i="17"/>
  <c r="G3" i="7" s="1"/>
  <c r="F3" i="25" s="1"/>
  <c r="G78" i="17"/>
  <c r="G6" i="7" s="1"/>
  <c r="F6" i="25" s="1"/>
  <c r="G82" i="17"/>
  <c r="G10" i="7" s="1"/>
  <c r="F10" i="25" s="1"/>
  <c r="L33" i="23"/>
  <c r="AR47" i="7"/>
  <c r="AY44" i="7"/>
  <c r="H70" i="17"/>
  <c r="H71" i="17" s="1"/>
  <c r="H79" i="17" s="1"/>
  <c r="H7" i="7" s="1"/>
  <c r="G7" i="25" s="1"/>
  <c r="I70" i="17"/>
  <c r="I71" i="17" s="1"/>
  <c r="I79" i="17" s="1"/>
  <c r="I7" i="7" s="1"/>
  <c r="H7" i="25" s="1"/>
  <c r="F44" i="25"/>
  <c r="J44" i="25"/>
  <c r="AS51" i="7"/>
  <c r="AS53" i="7" s="1"/>
  <c r="AS54" i="7" s="1"/>
  <c r="J77" i="17"/>
  <c r="J5" i="7" s="1"/>
  <c r="I5" i="25" s="1"/>
  <c r="B43" i="25"/>
  <c r="AY43" i="7"/>
  <c r="J81" i="17"/>
  <c r="J9" i="7" s="1"/>
  <c r="I9" i="25" s="1"/>
  <c r="E70" i="17"/>
  <c r="E71" i="17" s="1"/>
  <c r="F70" i="17"/>
  <c r="F71" i="17" s="1"/>
  <c r="J74" i="17"/>
  <c r="J2" i="7" s="1"/>
  <c r="I2" i="25" s="1"/>
  <c r="G81" i="17"/>
  <c r="G9" i="7" s="1"/>
  <c r="F9" i="25" s="1"/>
  <c r="J79" i="17"/>
  <c r="J7" i="7" s="1"/>
  <c r="I7" i="25" s="1"/>
  <c r="J76" i="17"/>
  <c r="J4" i="7" s="1"/>
  <c r="I4" i="25" s="1"/>
  <c r="J80" i="17"/>
  <c r="J8" i="7" s="1"/>
  <c r="I8" i="25" s="1"/>
  <c r="AR51" i="7"/>
  <c r="C70" i="17"/>
  <c r="C71" i="17" s="1"/>
  <c r="K78" i="17"/>
  <c r="K6" i="7" s="1"/>
  <c r="J6" i="25" s="1"/>
  <c r="K80" i="17"/>
  <c r="K8" i="7" s="1"/>
  <c r="J8" i="25" s="1"/>
  <c r="K82" i="17"/>
  <c r="K10" i="7" s="1"/>
  <c r="J10" i="25" s="1"/>
  <c r="K74" i="17"/>
  <c r="K2" i="7" s="1"/>
  <c r="K77" i="17"/>
  <c r="K5" i="7" s="1"/>
  <c r="J5" i="25" s="1"/>
  <c r="K76" i="17"/>
  <c r="K4" i="7" s="1"/>
  <c r="J4" i="25" s="1"/>
  <c r="K81" i="17"/>
  <c r="K9" i="7" s="1"/>
  <c r="J9" i="25" s="1"/>
  <c r="K79" i="17"/>
  <c r="K7" i="7" s="1"/>
  <c r="J7" i="25" s="1"/>
  <c r="K75" i="17"/>
  <c r="K3" i="7" s="1"/>
  <c r="J3" i="25" s="1"/>
  <c r="D79" i="17" l="1"/>
  <c r="D7" i="7" s="1"/>
  <c r="C7" i="25" s="1"/>
  <c r="D80" i="17"/>
  <c r="D8" i="7" s="1"/>
  <c r="C8" i="25" s="1"/>
  <c r="D75" i="17"/>
  <c r="D3" i="7" s="1"/>
  <c r="C3" i="25" s="1"/>
  <c r="D78" i="17"/>
  <c r="D6" i="7" s="1"/>
  <c r="C6" i="25" s="1"/>
  <c r="D77" i="17"/>
  <c r="D5" i="7" s="1"/>
  <c r="C5" i="25" s="1"/>
  <c r="D82" i="17"/>
  <c r="D10" i="7" s="1"/>
  <c r="C10" i="25" s="1"/>
  <c r="D76" i="17"/>
  <c r="D4" i="7" s="1"/>
  <c r="C4" i="25" s="1"/>
  <c r="D74" i="17"/>
  <c r="D2" i="7" s="1"/>
  <c r="I80" i="17"/>
  <c r="I8" i="7" s="1"/>
  <c r="H8" i="25" s="1"/>
  <c r="I77" i="17"/>
  <c r="I5" i="7" s="1"/>
  <c r="H5" i="25" s="1"/>
  <c r="I74" i="17"/>
  <c r="I2" i="7" s="1"/>
  <c r="H2" i="25" s="1"/>
  <c r="I75" i="17"/>
  <c r="I3" i="7" s="1"/>
  <c r="H3" i="25" s="1"/>
  <c r="H77" i="17"/>
  <c r="H5" i="7" s="1"/>
  <c r="G5" i="25" s="1"/>
  <c r="H74" i="17"/>
  <c r="H2" i="7" s="1"/>
  <c r="G2" i="25" s="1"/>
  <c r="F82" i="17"/>
  <c r="F10" i="7" s="1"/>
  <c r="E10" i="25" s="1"/>
  <c r="F78" i="17"/>
  <c r="F6" i="7" s="1"/>
  <c r="E6" i="25" s="1"/>
  <c r="F79" i="17"/>
  <c r="F7" i="7" s="1"/>
  <c r="E7" i="25" s="1"/>
  <c r="F77" i="17"/>
  <c r="F5" i="7" s="1"/>
  <c r="E5" i="25" s="1"/>
  <c r="F75" i="17"/>
  <c r="F3" i="7" s="1"/>
  <c r="E3" i="25" s="1"/>
  <c r="F74" i="17"/>
  <c r="F2" i="7" s="1"/>
  <c r="F81" i="17"/>
  <c r="F9" i="7" s="1"/>
  <c r="E9" i="25" s="1"/>
  <c r="H80" i="17"/>
  <c r="H8" i="7" s="1"/>
  <c r="G8" i="25" s="1"/>
  <c r="H78" i="17"/>
  <c r="H6" i="7" s="1"/>
  <c r="G6" i="25" s="1"/>
  <c r="E77" i="17"/>
  <c r="E5" i="7" s="1"/>
  <c r="D5" i="25" s="1"/>
  <c r="E76" i="17"/>
  <c r="E4" i="7" s="1"/>
  <c r="D4" i="25" s="1"/>
  <c r="E79" i="17"/>
  <c r="E7" i="7" s="1"/>
  <c r="D7" i="25" s="1"/>
  <c r="E74" i="17"/>
  <c r="E2" i="7" s="1"/>
  <c r="E75" i="17"/>
  <c r="E3" i="7" s="1"/>
  <c r="D3" i="25" s="1"/>
  <c r="E78" i="17"/>
  <c r="E6" i="7" s="1"/>
  <c r="D6" i="25" s="1"/>
  <c r="E81" i="17"/>
  <c r="E9" i="7" s="1"/>
  <c r="D9" i="25" s="1"/>
  <c r="E80" i="17"/>
  <c r="E8" i="7" s="1"/>
  <c r="D8" i="25" s="1"/>
  <c r="E82" i="17"/>
  <c r="E10" i="7" s="1"/>
  <c r="D10" i="25" s="1"/>
  <c r="H82" i="17"/>
  <c r="H10" i="7" s="1"/>
  <c r="G10" i="25" s="1"/>
  <c r="H76" i="17"/>
  <c r="H4" i="7" s="1"/>
  <c r="G4" i="25" s="1"/>
  <c r="F2" i="25"/>
  <c r="AR50" i="7"/>
  <c r="AR53" i="7" s="1"/>
  <c r="AR54" i="7" s="1"/>
  <c r="AQ47" i="25"/>
  <c r="AV51" i="7"/>
  <c r="AV53" i="7" s="1"/>
  <c r="AV54" i="7" s="1"/>
  <c r="AY47" i="7"/>
  <c r="F76" i="17"/>
  <c r="F4" i="7" s="1"/>
  <c r="E4" i="25" s="1"/>
  <c r="H81" i="17"/>
  <c r="H9" i="7" s="1"/>
  <c r="G9" i="25" s="1"/>
  <c r="H75" i="17"/>
  <c r="H3" i="7" s="1"/>
  <c r="G3" i="25" s="1"/>
  <c r="F80" i="17"/>
  <c r="F8" i="7" s="1"/>
  <c r="E8" i="25" s="1"/>
  <c r="I82" i="17"/>
  <c r="I10" i="7" s="1"/>
  <c r="H10" i="25" s="1"/>
  <c r="I78" i="17"/>
  <c r="I6" i="7" s="1"/>
  <c r="H6" i="25" s="1"/>
  <c r="I76" i="17"/>
  <c r="I4" i="7" s="1"/>
  <c r="H4" i="25" s="1"/>
  <c r="I81" i="17"/>
  <c r="I9" i="7" s="1"/>
  <c r="H9" i="25" s="1"/>
  <c r="C6" i="19"/>
  <c r="J2" i="25"/>
  <c r="C10" i="19"/>
  <c r="C9" i="19"/>
  <c r="C80" i="17"/>
  <c r="C8" i="7" s="1"/>
  <c r="C79" i="17"/>
  <c r="C7" i="7" s="1"/>
  <c r="C74" i="17"/>
  <c r="C2" i="7" s="1"/>
  <c r="C75" i="17"/>
  <c r="C3" i="7" s="1"/>
  <c r="C82" i="17"/>
  <c r="C10" i="7" s="1"/>
  <c r="C77" i="17"/>
  <c r="C5" i="7" s="1"/>
  <c r="C78" i="17"/>
  <c r="C6" i="7" s="1"/>
  <c r="C76" i="17"/>
  <c r="C4" i="7" s="1"/>
  <c r="C81" i="17"/>
  <c r="C9" i="7" s="1"/>
  <c r="C3" i="19" l="1"/>
  <c r="C2" i="25"/>
  <c r="C8" i="19"/>
  <c r="C7" i="19"/>
  <c r="D2" i="25"/>
  <c r="C4" i="19"/>
  <c r="C5" i="19"/>
  <c r="E2" i="25"/>
  <c r="B10" i="25"/>
  <c r="B10" i="19"/>
  <c r="D10" i="19" s="1"/>
  <c r="J16" i="19" s="1"/>
  <c r="K49" i="7" s="1"/>
  <c r="K50" i="7" s="1"/>
  <c r="B4" i="25"/>
  <c r="B4" i="19"/>
  <c r="D4" i="19" s="1"/>
  <c r="B2" i="25"/>
  <c r="C2" i="19"/>
  <c r="B2" i="19"/>
  <c r="D2" i="19" s="1"/>
  <c r="B16" i="19" s="1"/>
  <c r="C49" i="7" s="1"/>
  <c r="C50" i="7" s="1"/>
  <c r="B9" i="25"/>
  <c r="B9" i="19"/>
  <c r="D9" i="19" s="1"/>
  <c r="I16" i="19" s="1"/>
  <c r="J49" i="7" s="1"/>
  <c r="J50" i="7" s="1"/>
  <c r="B8" i="25"/>
  <c r="B8" i="19"/>
  <c r="D8" i="19" s="1"/>
  <c r="H16" i="19" s="1"/>
  <c r="I49" i="7" s="1"/>
  <c r="I50" i="7" s="1"/>
  <c r="B3" i="25"/>
  <c r="B3" i="19"/>
  <c r="D3" i="19" s="1"/>
  <c r="C16" i="19" s="1"/>
  <c r="D49" i="7" s="1"/>
  <c r="D50" i="7" s="1"/>
  <c r="B6" i="25"/>
  <c r="B6" i="19"/>
  <c r="D6" i="19" s="1"/>
  <c r="B5" i="25"/>
  <c r="B5" i="19"/>
  <c r="D5" i="19" s="1"/>
  <c r="B7" i="25"/>
  <c r="B7" i="19"/>
  <c r="D7" i="19" s="1"/>
  <c r="G16" i="19" s="1"/>
  <c r="H49" i="7" s="1"/>
  <c r="H50" i="7" s="1"/>
  <c r="E8" i="19" l="1"/>
  <c r="AX8" i="7" s="1"/>
  <c r="AV8" i="25" s="1"/>
  <c r="E2" i="19"/>
  <c r="AX2" i="7" s="1"/>
  <c r="AY2" i="7" s="1"/>
  <c r="E10" i="19"/>
  <c r="AX10" i="7" s="1"/>
  <c r="F16" i="19"/>
  <c r="G49" i="7" s="1"/>
  <c r="G50" i="7" s="1"/>
  <c r="E6" i="19"/>
  <c r="AX6" i="7" s="1"/>
  <c r="E3" i="19"/>
  <c r="AX3" i="7" s="1"/>
  <c r="E7" i="19"/>
  <c r="AX7" i="7" s="1"/>
  <c r="E9" i="19"/>
  <c r="AX9" i="7" s="1"/>
  <c r="AY9" i="7" s="1"/>
  <c r="E16" i="19"/>
  <c r="F49" i="7" s="1"/>
  <c r="F50" i="7" s="1"/>
  <c r="E5" i="19"/>
  <c r="AX5" i="7" s="1"/>
  <c r="D16" i="19"/>
  <c r="E49" i="7" s="1"/>
  <c r="E50" i="7" s="1"/>
  <c r="E4" i="19"/>
  <c r="AX4" i="7" s="1"/>
  <c r="K51" i="7"/>
  <c r="K53" i="7" s="1"/>
  <c r="K54" i="7" s="1"/>
  <c r="AY8" i="7" l="1"/>
  <c r="I51" i="7"/>
  <c r="I53" i="7" s="1"/>
  <c r="I54" i="7" s="1"/>
  <c r="AV2" i="25"/>
  <c r="AV10" i="25"/>
  <c r="AY10" i="7"/>
  <c r="C51" i="7"/>
  <c r="C53" i="7" s="1"/>
  <c r="C54" i="7" s="1"/>
  <c r="AX50" i="7"/>
  <c r="AY49" i="7"/>
  <c r="AX51" i="7"/>
  <c r="AV6" i="25"/>
  <c r="AY6" i="7"/>
  <c r="G51" i="7"/>
  <c r="G53" i="7" s="1"/>
  <c r="G54" i="7" s="1"/>
  <c r="AV9" i="25"/>
  <c r="J51" i="7"/>
  <c r="J53" i="7" s="1"/>
  <c r="J54" i="7" s="1"/>
  <c r="AV7" i="25"/>
  <c r="H51" i="7"/>
  <c r="H53" i="7" s="1"/>
  <c r="H54" i="7" s="1"/>
  <c r="AY7" i="7"/>
  <c r="AV3" i="25"/>
  <c r="D51" i="7"/>
  <c r="D53" i="7" s="1"/>
  <c r="D54" i="7" s="1"/>
  <c r="AY3" i="7"/>
  <c r="AV4" i="25"/>
  <c r="E51" i="7"/>
  <c r="E53" i="7" s="1"/>
  <c r="E54" i="7" s="1"/>
  <c r="AY4" i="7"/>
  <c r="AV5" i="25"/>
  <c r="AY5" i="7"/>
  <c r="F51" i="7"/>
  <c r="F53" i="7" s="1"/>
  <c r="F54" i="7" s="1"/>
  <c r="AX53" i="7" l="1"/>
  <c r="AX54" i="7" s="1"/>
  <c r="V50" i="29" l="1"/>
  <c r="V54" i="29" s="1"/>
  <c r="V56" i="29" l="1"/>
  <c r="V58" i="29"/>
  <c r="G109" i="17"/>
  <c r="G111" i="17" s="1"/>
  <c r="G123" i="17" l="1"/>
  <c r="F12" i="29" s="1"/>
  <c r="F12" i="34" s="1"/>
  <c r="G125" i="17"/>
  <c r="F14" i="29" s="1"/>
  <c r="F14" i="34" s="1"/>
  <c r="G122" i="17"/>
  <c r="F11" i="29" s="1"/>
  <c r="F11" i="34" s="1"/>
  <c r="G113" i="17"/>
  <c r="F2" i="29" s="1"/>
  <c r="F2" i="34" s="1"/>
  <c r="G131" i="17"/>
  <c r="F20" i="29" s="1"/>
  <c r="F20" i="34" s="1"/>
  <c r="G118" i="17"/>
  <c r="F7" i="29" s="1"/>
  <c r="F7" i="34" s="1"/>
  <c r="G120" i="17"/>
  <c r="F9" i="29" s="1"/>
  <c r="F9" i="34" s="1"/>
  <c r="G119" i="17"/>
  <c r="F8" i="29" s="1"/>
  <c r="F8" i="34" s="1"/>
  <c r="G114" i="17"/>
  <c r="F3" i="29" s="1"/>
  <c r="F3" i="34" s="1"/>
  <c r="G130" i="17"/>
  <c r="F19" i="29" s="1"/>
  <c r="F19" i="34" s="1"/>
  <c r="G115" i="17"/>
  <c r="F4" i="29" s="1"/>
  <c r="F4" i="34" s="1"/>
  <c r="G124" i="17"/>
  <c r="F13" i="29" s="1"/>
  <c r="F13" i="34" s="1"/>
  <c r="G121" i="17"/>
  <c r="F10" i="29" s="1"/>
  <c r="F10" i="34" s="1"/>
  <c r="G116" i="17"/>
  <c r="F5" i="29" s="1"/>
  <c r="F5" i="34" s="1"/>
  <c r="G127" i="17"/>
  <c r="F16" i="29" s="1"/>
  <c r="F16" i="34" s="1"/>
  <c r="G128" i="17"/>
  <c r="F17" i="29" s="1"/>
  <c r="F17" i="34" s="1"/>
  <c r="G126" i="17"/>
  <c r="F15" i="29" s="1"/>
  <c r="F15" i="34" s="1"/>
  <c r="G132" i="17"/>
  <c r="F21" i="29" s="1"/>
  <c r="F21" i="34" s="1"/>
  <c r="G129" i="17"/>
  <c r="F18" i="29" s="1"/>
  <c r="F18" i="34" s="1"/>
  <c r="G117" i="17"/>
  <c r="F6" i="29" s="1"/>
  <c r="F6" i="34" s="1"/>
  <c r="F87" i="29" l="1"/>
  <c r="B25" i="19"/>
  <c r="D25" i="19" s="1"/>
  <c r="B26" i="19"/>
  <c r="D26" i="19" s="1"/>
  <c r="B31" i="19"/>
  <c r="D31" i="19" s="1"/>
  <c r="B24" i="19"/>
  <c r="D24" i="19" s="1"/>
  <c r="O20" i="19" s="1"/>
  <c r="F49" i="29" s="1"/>
  <c r="B22" i="19"/>
  <c r="D22" i="19" s="1"/>
  <c r="B29" i="19"/>
  <c r="D29" i="19" s="1"/>
  <c r="B34" i="19"/>
  <c r="D34" i="19" s="1"/>
  <c r="B23" i="19"/>
  <c r="D23" i="19" s="1"/>
  <c r="B38" i="19"/>
  <c r="D38" i="19" s="1"/>
  <c r="B36" i="19"/>
  <c r="D36" i="19" s="1"/>
  <c r="B39" i="19"/>
  <c r="D39" i="19" s="1"/>
  <c r="B37" i="19"/>
  <c r="D37" i="19" s="1"/>
  <c r="B32" i="19"/>
  <c r="D32" i="19" s="1"/>
  <c r="B35" i="19"/>
  <c r="D35" i="19" s="1"/>
  <c r="B27" i="19"/>
  <c r="D27" i="19" s="1"/>
  <c r="B28" i="19"/>
  <c r="D28" i="19" s="1"/>
  <c r="B20" i="19"/>
  <c r="D20" i="19" s="1"/>
  <c r="F57" i="29"/>
  <c r="B65" i="29" s="1"/>
  <c r="C24" i="19" s="1"/>
  <c r="B33" i="19"/>
  <c r="D33" i="19" s="1"/>
  <c r="B21" i="19"/>
  <c r="D21" i="19" s="1"/>
  <c r="B30" i="19"/>
  <c r="D30" i="19" s="1"/>
  <c r="F50" i="29" l="1"/>
  <c r="F49" i="34"/>
  <c r="V87" i="29"/>
  <c r="E37" i="19"/>
  <c r="AW19" i="29" s="1"/>
  <c r="AB20" i="19"/>
  <c r="S49" i="29" s="1"/>
  <c r="V20" i="19"/>
  <c r="M49" i="29" s="1"/>
  <c r="E31" i="19"/>
  <c r="AW13" i="29" s="1"/>
  <c r="E28" i="19"/>
  <c r="AW10" i="29" s="1"/>
  <c r="S20" i="19"/>
  <c r="J49" i="29" s="1"/>
  <c r="X20" i="19"/>
  <c r="O49" i="29" s="1"/>
  <c r="E33" i="19"/>
  <c r="AW15" i="29" s="1"/>
  <c r="E34" i="19"/>
  <c r="AW16" i="29" s="1"/>
  <c r="Y20" i="19"/>
  <c r="P49" i="29" s="1"/>
  <c r="L20" i="19"/>
  <c r="C49" i="29" s="1"/>
  <c r="E21" i="19"/>
  <c r="AW3" i="29" s="1"/>
  <c r="E27" i="19"/>
  <c r="AW9" i="29" s="1"/>
  <c r="R20" i="19"/>
  <c r="I49" i="29" s="1"/>
  <c r="E35" i="19"/>
  <c r="AW17" i="29" s="1"/>
  <c r="Z20" i="19"/>
  <c r="Q49" i="29" s="1"/>
  <c r="T20" i="19"/>
  <c r="K49" i="29" s="1"/>
  <c r="E29" i="19"/>
  <c r="AW11" i="29" s="1"/>
  <c r="Q20" i="19"/>
  <c r="H49" i="29" s="1"/>
  <c r="E26" i="19"/>
  <c r="AW8" i="29" s="1"/>
  <c r="E23" i="19"/>
  <c r="AW5" i="29" s="1"/>
  <c r="N20" i="19"/>
  <c r="E49" i="29" s="1"/>
  <c r="E39" i="19"/>
  <c r="AW21" i="29" s="1"/>
  <c r="AD20" i="19"/>
  <c r="U49" i="29" s="1"/>
  <c r="E36" i="19"/>
  <c r="AW18" i="29" s="1"/>
  <c r="AA20" i="19"/>
  <c r="R49" i="29" s="1"/>
  <c r="E20" i="19"/>
  <c r="AW2" i="29" s="1"/>
  <c r="AW2" i="34" s="1"/>
  <c r="K20" i="19"/>
  <c r="B49" i="29" s="1"/>
  <c r="B49" i="34" s="1"/>
  <c r="E24" i="19"/>
  <c r="AW6" i="29" s="1"/>
  <c r="G47" i="23"/>
  <c r="E32" i="19"/>
  <c r="AW14" i="29" s="1"/>
  <c r="W20" i="19"/>
  <c r="N49" i="29" s="1"/>
  <c r="P20" i="19"/>
  <c r="G49" i="29" s="1"/>
  <c r="E25" i="19"/>
  <c r="AW7" i="29" s="1"/>
  <c r="E30" i="19"/>
  <c r="AW12" i="29" s="1"/>
  <c r="U20" i="19"/>
  <c r="L49" i="29" s="1"/>
  <c r="E38" i="19"/>
  <c r="AW20" i="29" s="1"/>
  <c r="AC20" i="19"/>
  <c r="T49" i="29" s="1"/>
  <c r="M20" i="19"/>
  <c r="D49" i="29" s="1"/>
  <c r="E22" i="19"/>
  <c r="AW4" i="29" s="1"/>
  <c r="AX20" i="29" l="1"/>
  <c r="T52" i="29" s="1"/>
  <c r="AW20" i="34"/>
  <c r="AX3" i="29"/>
  <c r="C52" i="29" s="1"/>
  <c r="AW3" i="34"/>
  <c r="AX13" i="29"/>
  <c r="M52" i="29" s="1"/>
  <c r="AW13" i="34"/>
  <c r="AX5" i="29"/>
  <c r="E52" i="29" s="1"/>
  <c r="AW5" i="34"/>
  <c r="AX8" i="29"/>
  <c r="H52" i="29" s="1"/>
  <c r="AW8" i="34"/>
  <c r="M50" i="29"/>
  <c r="M49" i="34"/>
  <c r="S50" i="29"/>
  <c r="S49" i="34"/>
  <c r="AX10" i="29"/>
  <c r="J52" i="29" s="1"/>
  <c r="AW10" i="34"/>
  <c r="AX12" i="29"/>
  <c r="L52" i="29" s="1"/>
  <c r="AW12" i="34"/>
  <c r="R50" i="29"/>
  <c r="R49" i="34"/>
  <c r="AX9" i="29"/>
  <c r="I52" i="29" s="1"/>
  <c r="AW9" i="34"/>
  <c r="L50" i="29"/>
  <c r="L49" i="34"/>
  <c r="H50" i="29"/>
  <c r="H49" i="34"/>
  <c r="AX7" i="29"/>
  <c r="G52" i="29" s="1"/>
  <c r="AW7" i="34"/>
  <c r="P50" i="29"/>
  <c r="P49" i="34"/>
  <c r="AX18" i="29"/>
  <c r="R52" i="29" s="1"/>
  <c r="AW18" i="34"/>
  <c r="AX16" i="29"/>
  <c r="P52" i="29" s="1"/>
  <c r="AW16" i="34"/>
  <c r="AX19" i="29"/>
  <c r="S52" i="29" s="1"/>
  <c r="AW19" i="34"/>
  <c r="N50" i="29"/>
  <c r="N49" i="34"/>
  <c r="AX15" i="29"/>
  <c r="O52" i="29" s="1"/>
  <c r="AW15" i="34"/>
  <c r="AX14" i="29"/>
  <c r="N52" i="29" s="1"/>
  <c r="AW14" i="34"/>
  <c r="AX17" i="29"/>
  <c r="Q52" i="29" s="1"/>
  <c r="AW17" i="34"/>
  <c r="O50" i="29"/>
  <c r="O49" i="34"/>
  <c r="AX6" i="29"/>
  <c r="F52" i="29" s="1"/>
  <c r="F54" i="29" s="1"/>
  <c r="AW6" i="34"/>
  <c r="C50" i="29"/>
  <c r="C49" i="34"/>
  <c r="AX11" i="29"/>
  <c r="K52" i="29" s="1"/>
  <c r="AW11" i="34"/>
  <c r="G50" i="29"/>
  <c r="G49" i="34"/>
  <c r="K50" i="29"/>
  <c r="K49" i="34"/>
  <c r="AX4" i="29"/>
  <c r="D52" i="29" s="1"/>
  <c r="AW4" i="34"/>
  <c r="U50" i="29"/>
  <c r="U49" i="34"/>
  <c r="Q50" i="29"/>
  <c r="Q49" i="34"/>
  <c r="D50" i="29"/>
  <c r="D49" i="34"/>
  <c r="AX21" i="29"/>
  <c r="U52" i="29" s="1"/>
  <c r="AW21" i="34"/>
  <c r="T50" i="29"/>
  <c r="T49" i="34"/>
  <c r="E50" i="29"/>
  <c r="E49" i="34"/>
  <c r="I50" i="29"/>
  <c r="I54" i="29" s="1"/>
  <c r="I49" i="34"/>
  <c r="J50" i="29"/>
  <c r="J49" i="34"/>
  <c r="N88" i="29"/>
  <c r="H88" i="29"/>
  <c r="I88" i="29"/>
  <c r="K88" i="29"/>
  <c r="P88" i="29"/>
  <c r="L88" i="29"/>
  <c r="Q88" i="29"/>
  <c r="B88" i="29"/>
  <c r="E88" i="29"/>
  <c r="M88" i="29"/>
  <c r="G88" i="29"/>
  <c r="J88" i="29"/>
  <c r="U88" i="29"/>
  <c r="D88" i="29"/>
  <c r="O88" i="29"/>
  <c r="R88" i="29"/>
  <c r="T88" i="29"/>
  <c r="C88" i="29"/>
  <c r="S88" i="29"/>
  <c r="F88" i="29"/>
  <c r="S54" i="29"/>
  <c r="I47" i="23"/>
  <c r="H48" i="23" s="1"/>
  <c r="H49" i="23" s="1"/>
  <c r="H54" i="29"/>
  <c r="AW50" i="29"/>
  <c r="AX2" i="29"/>
  <c r="B50" i="29"/>
  <c r="AX49" i="29"/>
  <c r="AW52" i="29" s="1"/>
  <c r="R54" i="29" l="1"/>
  <c r="K54" i="29"/>
  <c r="G54" i="29"/>
  <c r="Q54" i="29"/>
  <c r="E54" i="29"/>
  <c r="U54" i="29"/>
  <c r="D54" i="29"/>
  <c r="L54" i="29"/>
  <c r="N54" i="29"/>
  <c r="P54" i="29"/>
  <c r="T54" i="29"/>
  <c r="M54" i="29"/>
  <c r="J54" i="29"/>
  <c r="C54" i="29"/>
  <c r="O54" i="29"/>
  <c r="G48" i="23"/>
  <c r="G49" i="23" s="1"/>
  <c r="I49" i="23" s="1"/>
  <c r="AW54" i="29"/>
  <c r="B52" i="29"/>
  <c r="B54" i="29" s="1"/>
  <c r="AX50" i="29"/>
  <c r="AX52" i="29" l="1"/>
  <c r="AX54" i="29" s="1"/>
</calcChain>
</file>

<file path=xl/sharedStrings.xml><?xml version="1.0" encoding="utf-8"?>
<sst xmlns="http://schemas.openxmlformats.org/spreadsheetml/2006/main" count="2898" uniqueCount="1347">
  <si>
    <t>HHgroup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</si>
  <si>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</si>
  <si>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</si>
  <si>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</si>
  <si>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</si>
  <si>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</si>
  <si>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</si>
  <si>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</si>
  <si>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</si>
  <si>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</si>
  <si>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L1inc</t>
  </si>
  <si>
    <t>L2inc</t>
  </si>
  <si>
    <t>L3inc</t>
  </si>
  <si>
    <t>L4inc</t>
  </si>
  <si>
    <t>L5inc</t>
  </si>
  <si>
    <t>L6inc</t>
  </si>
  <si>
    <t>L7inc</t>
  </si>
  <si>
    <t>L8inc</t>
  </si>
  <si>
    <t>L9inc</t>
  </si>
  <si>
    <t>L1w</t>
  </si>
  <si>
    <t>L2w</t>
  </si>
  <si>
    <t>L3w</t>
  </si>
  <si>
    <t>L4w</t>
  </si>
  <si>
    <t>L5w</t>
  </si>
  <si>
    <t>L6w</t>
  </si>
  <si>
    <t>L7w</t>
  </si>
  <si>
    <t>L8w</t>
  </si>
  <si>
    <t>L9w</t>
  </si>
  <si>
    <t>HHcount</t>
  </si>
  <si>
    <t>HHWcount</t>
  </si>
  <si>
    <t>HHNcount</t>
  </si>
  <si>
    <t>NAICS</t>
  </si>
  <si>
    <t>111</t>
  </si>
  <si>
    <t>112</t>
  </si>
  <si>
    <t>1133</t>
  </si>
  <si>
    <t>113M</t>
  </si>
  <si>
    <t>114</t>
  </si>
  <si>
    <t>115</t>
  </si>
  <si>
    <t>2123</t>
  </si>
  <si>
    <t>213</t>
  </si>
  <si>
    <t>2211P</t>
  </si>
  <si>
    <t>22132</t>
  </si>
  <si>
    <t>2213M</t>
  </si>
  <si>
    <t>23</t>
  </si>
  <si>
    <t>3114</t>
  </si>
  <si>
    <t>3115</t>
  </si>
  <si>
    <t>3116</t>
  </si>
  <si>
    <t>311811</t>
  </si>
  <si>
    <t>3118Z</t>
  </si>
  <si>
    <t>311M1</t>
  </si>
  <si>
    <t>311M2</t>
  </si>
  <si>
    <t>3121</t>
  </si>
  <si>
    <t>314Z</t>
  </si>
  <si>
    <t>3152</t>
  </si>
  <si>
    <t>3162</t>
  </si>
  <si>
    <t>3211</t>
  </si>
  <si>
    <t>3219ZM</t>
  </si>
  <si>
    <t>3221</t>
  </si>
  <si>
    <t>3231</t>
  </si>
  <si>
    <t>3241M</t>
  </si>
  <si>
    <t>3256</t>
  </si>
  <si>
    <t>325M</t>
  </si>
  <si>
    <t>3261</t>
  </si>
  <si>
    <t>32711</t>
  </si>
  <si>
    <t>3279</t>
  </si>
  <si>
    <t>327M</t>
  </si>
  <si>
    <t>3315</t>
  </si>
  <si>
    <t>331M</t>
  </si>
  <si>
    <t>3321</t>
  </si>
  <si>
    <t>3322</t>
  </si>
  <si>
    <t>3327</t>
  </si>
  <si>
    <t>33299M</t>
  </si>
  <si>
    <t>332M</t>
  </si>
  <si>
    <t>332MZ</t>
  </si>
  <si>
    <t>3331M</t>
  </si>
  <si>
    <t>333MS</t>
  </si>
  <si>
    <t>3345</t>
  </si>
  <si>
    <t>334M2</t>
  </si>
  <si>
    <t>335M</t>
  </si>
  <si>
    <t>33641M1</t>
  </si>
  <si>
    <t>3366</t>
  </si>
  <si>
    <t>336M</t>
  </si>
  <si>
    <t>337</t>
  </si>
  <si>
    <t>3399ZM</t>
  </si>
  <si>
    <t>3MS</t>
  </si>
  <si>
    <t>4233</t>
  </si>
  <si>
    <t>4234</t>
  </si>
  <si>
    <t>4238</t>
  </si>
  <si>
    <t>42393</t>
  </si>
  <si>
    <t>4239Z</t>
  </si>
  <si>
    <t>4241</t>
  </si>
  <si>
    <t>4243</t>
  </si>
  <si>
    <t>4244</t>
  </si>
  <si>
    <t>4245</t>
  </si>
  <si>
    <t>42491</t>
  </si>
  <si>
    <t>4249Z</t>
  </si>
  <si>
    <t>424M</t>
  </si>
  <si>
    <t>4411</t>
  </si>
  <si>
    <t>4412</t>
  </si>
  <si>
    <t>4413</t>
  </si>
  <si>
    <t>442</t>
  </si>
  <si>
    <t>443142</t>
  </si>
  <si>
    <t>44413</t>
  </si>
  <si>
    <t>4441Z</t>
  </si>
  <si>
    <t>4442</t>
  </si>
  <si>
    <t>4451</t>
  </si>
  <si>
    <t>4452</t>
  </si>
  <si>
    <t>44611</t>
  </si>
  <si>
    <t>446Z</t>
  </si>
  <si>
    <t>447</t>
  </si>
  <si>
    <t>4481</t>
  </si>
  <si>
    <t>44821</t>
  </si>
  <si>
    <t>4483</t>
  </si>
  <si>
    <t>45113</t>
  </si>
  <si>
    <t>4511M</t>
  </si>
  <si>
    <t>45121</t>
  </si>
  <si>
    <t>45211</t>
  </si>
  <si>
    <t>4529</t>
  </si>
  <si>
    <t>45321</t>
  </si>
  <si>
    <t>45322</t>
  </si>
  <si>
    <t>4533</t>
  </si>
  <si>
    <t>4539</t>
  </si>
  <si>
    <t>454111</t>
  </si>
  <si>
    <t>454112</t>
  </si>
  <si>
    <t>45439</t>
  </si>
  <si>
    <t>481</t>
  </si>
  <si>
    <t>482</t>
  </si>
  <si>
    <t>483</t>
  </si>
  <si>
    <t>484</t>
  </si>
  <si>
    <t>4853</t>
  </si>
  <si>
    <t>485M</t>
  </si>
  <si>
    <t>487</t>
  </si>
  <si>
    <t>488</t>
  </si>
  <si>
    <t>491</t>
  </si>
  <si>
    <t>492</t>
  </si>
  <si>
    <t>493</t>
  </si>
  <si>
    <t>4MS</t>
  </si>
  <si>
    <t>51111</t>
  </si>
  <si>
    <t>5121</t>
  </si>
  <si>
    <t>515</t>
  </si>
  <si>
    <t>5171</t>
  </si>
  <si>
    <t>5182</t>
  </si>
  <si>
    <t>51912</t>
  </si>
  <si>
    <t>51913</t>
  </si>
  <si>
    <t>524</t>
  </si>
  <si>
    <t>52M1</t>
  </si>
  <si>
    <t>52M2</t>
  </si>
  <si>
    <t>531</t>
  </si>
  <si>
    <t>53M</t>
  </si>
  <si>
    <t>5411</t>
  </si>
  <si>
    <t>5412</t>
  </si>
  <si>
    <t>5413</t>
  </si>
  <si>
    <t>5414</t>
  </si>
  <si>
    <t>5415</t>
  </si>
  <si>
    <t>5416</t>
  </si>
  <si>
    <t>5417</t>
  </si>
  <si>
    <t>54194</t>
  </si>
  <si>
    <t>5419Z</t>
  </si>
  <si>
    <t>5613</t>
  </si>
  <si>
    <t>5614</t>
  </si>
  <si>
    <t>5616</t>
  </si>
  <si>
    <t>56173</t>
  </si>
  <si>
    <t>5617Z</t>
  </si>
  <si>
    <t>561M</t>
  </si>
  <si>
    <t>562</t>
  </si>
  <si>
    <t>6111</t>
  </si>
  <si>
    <t>611M1</t>
  </si>
  <si>
    <t>611M3</t>
  </si>
  <si>
    <t>6211</t>
  </si>
  <si>
    <t>6212</t>
  </si>
  <si>
    <t>62131</t>
  </si>
  <si>
    <t>6213ZM</t>
  </si>
  <si>
    <t>6214</t>
  </si>
  <si>
    <t>6216</t>
  </si>
  <si>
    <t>621M</t>
  </si>
  <si>
    <t>622</t>
  </si>
  <si>
    <t>6231</t>
  </si>
  <si>
    <t>623M</t>
  </si>
  <si>
    <t>6241</t>
  </si>
  <si>
    <t>6242</t>
  </si>
  <si>
    <t>6243</t>
  </si>
  <si>
    <t>6244</t>
  </si>
  <si>
    <t>711</t>
  </si>
  <si>
    <t>712</t>
  </si>
  <si>
    <t>71395</t>
  </si>
  <si>
    <t>713Z</t>
  </si>
  <si>
    <t>7211</t>
  </si>
  <si>
    <t>721M</t>
  </si>
  <si>
    <t>7224</t>
  </si>
  <si>
    <t>722Z</t>
  </si>
  <si>
    <t>8111Z</t>
  </si>
  <si>
    <t>8113</t>
  </si>
  <si>
    <t>812112</t>
  </si>
  <si>
    <t>8121M</t>
  </si>
  <si>
    <t>8123</t>
  </si>
  <si>
    <t>8129</t>
  </si>
  <si>
    <t>8131</t>
  </si>
  <si>
    <t>81393</t>
  </si>
  <si>
    <t>8139Z</t>
  </si>
  <si>
    <t>813M</t>
  </si>
  <si>
    <t>814</t>
  </si>
  <si>
    <t>92113</t>
  </si>
  <si>
    <t>9211MP</t>
  </si>
  <si>
    <t>923</t>
  </si>
  <si>
    <t>928110P3</t>
  </si>
  <si>
    <t>928110P4</t>
  </si>
  <si>
    <t>928110P5</t>
  </si>
  <si>
    <t>928P</t>
  </si>
  <si>
    <t>92M1</t>
  </si>
  <si>
    <t>92M2</t>
  </si>
  <si>
    <t>92MP</t>
  </si>
  <si>
    <t>9920</t>
  </si>
  <si>
    <t>Total</t>
  </si>
  <si>
    <t>USSOC1</t>
  </si>
  <si>
    <t>USSOC2</t>
  </si>
  <si>
    <t>USSOC3</t>
  </si>
  <si>
    <t>USSOC4</t>
  </si>
  <si>
    <t>USSOC5</t>
  </si>
  <si>
    <t>USSOC6</t>
  </si>
  <si>
    <t>USSOC7</t>
  </si>
  <si>
    <t>USSOC8</t>
  </si>
  <si>
    <t>USSOC9</t>
  </si>
  <si>
    <t>SEASIDE</t>
  </si>
  <si>
    <t>wages (in thousands)</t>
  </si>
  <si>
    <t>security payments (in thousands)</t>
  </si>
  <si>
    <t>LS</t>
  </si>
  <si>
    <t>Share of population</t>
  </si>
  <si>
    <t>Oregon</t>
  </si>
  <si>
    <t>From US Census Bureau (https://www.census.gov/quickfacts/seasidecityoregon)</t>
  </si>
  <si>
    <t>Tillamook County, Oregon</t>
  </si>
  <si>
    <t>Lincoln County, Oregon</t>
  </si>
  <si>
    <t>Columbia County, Oregon</t>
  </si>
  <si>
    <t>Clatsop County, Oregon</t>
  </si>
  <si>
    <t>Population estimates, July 1, 2018, (V2018)</t>
  </si>
  <si>
    <t>State00</t>
  </si>
  <si>
    <t>PUMA00</t>
  </si>
  <si>
    <t>GEOID00</t>
  </si>
  <si>
    <t>GISJOIN00</t>
  </si>
  <si>
    <t>State10</t>
  </si>
  <si>
    <t>PUMA10</t>
  </si>
  <si>
    <t>GEOID10</t>
  </si>
  <si>
    <t>GISJOIN10</t>
  </si>
  <si>
    <t>State10_Name</t>
  </si>
  <si>
    <t>PUMA10_Name</t>
  </si>
  <si>
    <t>G41000500</t>
  </si>
  <si>
    <t>Columbia, Lincoln, Clatsop &amp; Tillamook Counties</t>
  </si>
  <si>
    <t>HS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</si>
  <si>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</si>
  <si>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</si>
  <si>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</si>
  <si>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</si>
  <si>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</si>
  <si>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</si>
  <si>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</si>
  <si>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</si>
  <si>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</si>
  <si>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Kap</t>
  </si>
  <si>
    <t>Invest</t>
  </si>
  <si>
    <t>USSOCL1</t>
  </si>
  <si>
    <t>USSOCL2</t>
  </si>
  <si>
    <t>USSOCL3</t>
  </si>
  <si>
    <t>USSOCL4</t>
  </si>
  <si>
    <t>USSOCL5</t>
  </si>
  <si>
    <t>USSOCL6</t>
  </si>
  <si>
    <t>USPIT</t>
  </si>
  <si>
    <t>FED</t>
  </si>
  <si>
    <t>ROW</t>
  </si>
  <si>
    <t>LD</t>
  </si>
  <si>
    <t>service</t>
  </si>
  <si>
    <t>health</t>
  </si>
  <si>
    <t>public</t>
  </si>
  <si>
    <t>nature</t>
  </si>
  <si>
    <t>NAICS3</t>
  </si>
  <si>
    <t>AVGEMP</t>
  </si>
  <si>
    <t>TOTPAY</t>
  </si>
  <si>
    <t>Utilities</t>
  </si>
  <si>
    <t>Construction</t>
  </si>
  <si>
    <t>Wholesale Trade</t>
  </si>
  <si>
    <t>Manufacturing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</si>
  <si>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</si>
  <si>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</si>
  <si>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</si>
  <si>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</si>
  <si>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</si>
  <si>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</si>
  <si>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</si>
  <si>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</si>
  <si>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Arts, Entertainment, and Recreation</t>
  </si>
  <si>
    <t>Other Services</t>
  </si>
  <si>
    <t>Accommodation</t>
  </si>
  <si>
    <t>util</t>
  </si>
  <si>
    <t>manu</t>
  </si>
  <si>
    <t>trans</t>
  </si>
  <si>
    <t>services</t>
  </si>
  <si>
    <t>accommo</t>
  </si>
  <si>
    <t>trade</t>
  </si>
  <si>
    <t>manutrans</t>
  </si>
  <si>
    <t>Diff</t>
  </si>
  <si>
    <t>Ave. income</t>
  </si>
  <si>
    <t>USSOCL7</t>
  </si>
  <si>
    <t>USSOCL8</t>
  </si>
  <si>
    <t>USSOCL9</t>
  </si>
  <si>
    <t>0400000US41</t>
  </si>
  <si>
    <t>share of total value</t>
  </si>
  <si>
    <t>const</t>
  </si>
  <si>
    <t>insurance</t>
  </si>
  <si>
    <t>Seaside</t>
  </si>
  <si>
    <t>STATE</t>
  </si>
  <si>
    <t>LOCAL</t>
  </si>
  <si>
    <t>PROTX</t>
  </si>
  <si>
    <t>FRTX</t>
  </si>
  <si>
    <t>cons</t>
  </si>
  <si>
    <t>restau</t>
  </si>
  <si>
    <t>capcom</t>
  </si>
  <si>
    <t>hs</t>
  </si>
  <si>
    <t>agir</t>
  </si>
  <si>
    <t>agn</t>
  </si>
  <si>
    <t>livestock</t>
  </si>
  <si>
    <t>fishing</t>
  </si>
  <si>
    <t>mining</t>
  </si>
  <si>
    <t>electricity</t>
  </si>
  <si>
    <t>solar</t>
  </si>
  <si>
    <t>wind</t>
  </si>
  <si>
    <t>utilother</t>
  </si>
  <si>
    <t>durable</t>
  </si>
  <si>
    <t>wholesale</t>
  </si>
  <si>
    <t>retailtravel</t>
  </si>
  <si>
    <t>Total (4 counties)</t>
  </si>
  <si>
    <t>Share of employment</t>
  </si>
  <si>
    <t>Public Finance Activities</t>
  </si>
  <si>
    <t>Executive, Legislative, and Other General Government Support</t>
  </si>
  <si>
    <t>Administration of Human Resource Programs</t>
  </si>
  <si>
    <t>National Security and International Affairs</t>
  </si>
  <si>
    <t>capcom from NOAA</t>
  </si>
  <si>
    <t>QCEW (2017) - From Brad</t>
  </si>
  <si>
    <t>Food Services and Drinking Places</t>
  </si>
  <si>
    <t>Hospitals</t>
  </si>
  <si>
    <t>Nursing and Residential Care Facilities</t>
  </si>
  <si>
    <t>Social Assistance</t>
  </si>
  <si>
    <t>Ambulatory Health Care Services</t>
  </si>
  <si>
    <t>Agriculture, Forestry, Fishing and Hunting</t>
  </si>
  <si>
    <t>Management of Companies and Enterprises</t>
  </si>
  <si>
    <t>Share of pop.</t>
  </si>
  <si>
    <t>Real wage</t>
  </si>
  <si>
    <t>SSP</t>
  </si>
  <si>
    <t xml:space="preserve">Population </t>
  </si>
  <si>
    <t>Mining</t>
  </si>
  <si>
    <t>Value Added</t>
  </si>
  <si>
    <t>Total Output</t>
  </si>
  <si>
    <t>https://apps.bea.gov/iTable/index_industry_io.cfm</t>
  </si>
  <si>
    <t>Commodity-by-Industry Direct Requirements, After Redefinitions</t>
  </si>
  <si>
    <t xml:space="preserve">(in producers' prices) </t>
  </si>
  <si>
    <t xml:space="preserve">Bureau of Economic Analysis </t>
  </si>
  <si>
    <t>Commodities/Industries</t>
  </si>
  <si>
    <t>31G</t>
  </si>
  <si>
    <t>44RT</t>
  </si>
  <si>
    <t>48TW</t>
  </si>
  <si>
    <t>FIRE</t>
  </si>
  <si>
    <t>PROF</t>
  </si>
  <si>
    <t>G</t>
  </si>
  <si>
    <t>IOCode</t>
  </si>
  <si>
    <t>Name</t>
  </si>
  <si>
    <t>Agriculture, forestry, fishing, and hunting</t>
  </si>
  <si>
    <t>Wholesale trade</t>
  </si>
  <si>
    <t>Retail trade</t>
  </si>
  <si>
    <t>Transportation and warehousing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</si>
  <si>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</si>
  <si>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</si>
  <si>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</si>
  <si>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</si>
  <si>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</si>
  <si>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</si>
  <si>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Â 11</t>
  </si>
  <si>
    <t>Â 21</t>
  </si>
  <si>
    <t>Â 22</t>
  </si>
  <si>
    <t>Â 23</t>
  </si>
  <si>
    <t>Â 31G</t>
  </si>
  <si>
    <t>Â 42</t>
  </si>
  <si>
    <t>Â 44RT</t>
  </si>
  <si>
    <t>Â 48TW</t>
  </si>
  <si>
    <t>Â 51</t>
  </si>
  <si>
    <t>Â FIRE</t>
  </si>
  <si>
    <t>Â PROF</t>
  </si>
  <si>
    <t>Â 6</t>
  </si>
  <si>
    <t>Â 7</t>
  </si>
  <si>
    <t>Â 81</t>
  </si>
  <si>
    <t>Â G</t>
  </si>
  <si>
    <t>Â Used</t>
  </si>
  <si>
    <t>Scrap, used and secondhand goods</t>
  </si>
  <si>
    <t>Â Other</t>
  </si>
  <si>
    <t>Noncomparable imports and rest-of-the-world adjustment</t>
  </si>
  <si>
    <t>Â V001</t>
  </si>
  <si>
    <t>Compensation of employees</t>
  </si>
  <si>
    <t>Â V002</t>
  </si>
  <si>
    <t>Taxes on production and imports, less subsidies</t>
  </si>
  <si>
    <t>Â V003</t>
  </si>
  <si>
    <t>Gross operating surplus</t>
  </si>
  <si>
    <t>Legend / Footnotes:</t>
  </si>
  <si>
    <t>Note. Detail may not add to total due to rounding.</t>
  </si>
  <si>
    <t>Clatsop, OR</t>
  </si>
  <si>
    <t xml:space="preserve">      Accommodation and food services</t>
  </si>
  <si>
    <t xml:space="preserve">        Accommodation</t>
  </si>
  <si>
    <t xml:space="preserve">        Food services and drinking places</t>
  </si>
  <si>
    <t>From CAINC5N Personal Income by Major Component and Earnings by NAICS Industry 1/</t>
  </si>
  <si>
    <t>http://www.cityofseaside.us/sites/default/files/docs/city_of_seaside_budget_2017-2018_page_1-68.pdf</t>
  </si>
  <si>
    <t>Land</t>
  </si>
  <si>
    <t>Local property tax</t>
  </si>
  <si>
    <t>State income tax</t>
  </si>
  <si>
    <t>State corporation tax</t>
  </si>
  <si>
    <t>Paid Tax amount</t>
  </si>
  <si>
    <t xml:space="preserve">L property </t>
  </si>
  <si>
    <t>State Corp</t>
  </si>
  <si>
    <t>Total Payment</t>
  </si>
  <si>
    <t>Employment</t>
  </si>
  <si>
    <t>STPIT</t>
  </si>
  <si>
    <t>STCORT</t>
  </si>
  <si>
    <t>&lt;MISC&gt;</t>
  </si>
  <si>
    <t>fed</t>
  </si>
  <si>
    <t>LPROTX</t>
  </si>
  <si>
    <t>Total earning</t>
  </si>
  <si>
    <t>Total paid by sectors</t>
  </si>
  <si>
    <t>diff</t>
  </si>
  <si>
    <t>According to the share of employment (0.057)</t>
  </si>
  <si>
    <t>AV</t>
  </si>
  <si>
    <t>AV_IMPROVE</t>
  </si>
  <si>
    <t>AV_LAND</t>
  </si>
  <si>
    <t>RMV</t>
  </si>
  <si>
    <t>RMV_IMPROV</t>
  </si>
  <si>
    <t>RMV_LAND</t>
  </si>
  <si>
    <t>(in thousands)</t>
  </si>
  <si>
    <t>KAP</t>
  </si>
  <si>
    <t>LAND</t>
  </si>
  <si>
    <t>in thousands</t>
  </si>
  <si>
    <t>Proportion of capital stock</t>
  </si>
  <si>
    <t>Oregon State Tax revenues</t>
  </si>
  <si>
    <t>(in dollars)</t>
  </si>
  <si>
    <t>(in millions)</t>
  </si>
  <si>
    <t>L Prop TX</t>
  </si>
  <si>
    <t>Tot Emp in Oregon</t>
  </si>
  <si>
    <t>share of employment</t>
  </si>
  <si>
    <t>proportion</t>
  </si>
  <si>
    <t>total</t>
  </si>
  <si>
    <t>INVEST</t>
  </si>
  <si>
    <t>DD</t>
  </si>
  <si>
    <t>DS</t>
  </si>
  <si>
    <t>Import</t>
  </si>
  <si>
    <t>export</t>
  </si>
  <si>
    <t>Fraction</t>
  </si>
  <si>
    <t>All other tax</t>
  </si>
  <si>
    <t>L AOT</t>
  </si>
  <si>
    <t>AOT</t>
  </si>
  <si>
    <t>dummy</t>
  </si>
  <si>
    <t>Accommodation and Food Services</t>
  </si>
  <si>
    <t>from NOAA</t>
  </si>
  <si>
    <t>from KAP</t>
  </si>
  <si>
    <t xml:space="preserve"> Food Services</t>
  </si>
  <si>
    <t>gov</t>
  </si>
  <si>
    <t>region</t>
  </si>
  <si>
    <t>Livestock</t>
  </si>
  <si>
    <t>Fishing</t>
  </si>
  <si>
    <t>Electricity</t>
  </si>
  <si>
    <t>Wind</t>
  </si>
  <si>
    <t>Durable</t>
  </si>
  <si>
    <t>Wholesale</t>
  </si>
  <si>
    <t>Retail</t>
  </si>
  <si>
    <t>Transportation</t>
  </si>
  <si>
    <t>Prof Services (12)</t>
  </si>
  <si>
    <t>Health</t>
  </si>
  <si>
    <t>Public (what does this mean??)</t>
  </si>
  <si>
    <t>investment(captial)</t>
  </si>
  <si>
    <t>For C3 to S20, copy cells from "SAM EDIT" file (sheet SAM), look column labels</t>
  </si>
  <si>
    <t>For investment (C21 to K21), copy cells for row label 14001for columns 10001 to 1009 from "SAM EDIT" file (sheet SAM).</t>
  </si>
  <si>
    <t>Export</t>
  </si>
  <si>
    <t>&lt;Matched values&gt;</t>
  </si>
  <si>
    <t>Housing Value for NOAA from Brad</t>
  </si>
  <si>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</si>
  <si>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</si>
  <si>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</si>
  <si>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</si>
  <si>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</si>
  <si>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</si>
  <si>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</si>
  <si>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</si>
  <si>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</si>
  <si>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</si>
  <si>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</si>
  <si>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</si>
  <si>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</si>
  <si>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</si>
  <si>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</si>
  <si>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</si>
  <si>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</si>
  <si>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</si>
  <si>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</si>
  <si>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Id</t>
  </si>
  <si>
    <t>Id2</t>
  </si>
  <si>
    <t>Geography</t>
  </si>
  <si>
    <t>Estimate; Aggregate value (dollars):</t>
  </si>
  <si>
    <t>Rescaled Number</t>
  </si>
  <si>
    <t>Margin of Error; Aggregate value (dollars):</t>
  </si>
  <si>
    <t>Estimate; Aggregate value (dollars): - 1, detached (dollars)</t>
  </si>
  <si>
    <t>Margin of Error; Aggregate value (dollars): - 1, detached (dollars)</t>
  </si>
  <si>
    <t>Estimate; Aggregate value (dollars): - 1, attached (dollars)</t>
  </si>
  <si>
    <t>Margin of Error; Aggregate value (dollars): - 1, attached (dollars)</t>
  </si>
  <si>
    <t>Estimate; Aggregate value (dollars): - 2 (dollars)</t>
  </si>
  <si>
    <t>Margin of Error; Aggregate value (dollars): - 2 (dollars)</t>
  </si>
  <si>
    <t>Estimate; Aggregate value (dollars): - 3 or 4 (dollars)</t>
  </si>
  <si>
    <t>Margin of Error; Aggregate value (dollars): - 3 or 4 (dollars)</t>
  </si>
  <si>
    <t>Estimate; Aggregate value (dollars): - 5 or more (dollars)</t>
  </si>
  <si>
    <t>Margin of Error; Aggregate value (dollars): - 5 or more (dollars)</t>
  </si>
  <si>
    <t>Estimate; Aggregate value (dollars): - Mobile home (dollars)</t>
  </si>
  <si>
    <t>Margin of Error; Aggregate value (dollars): - Mobile home (dollars)</t>
  </si>
  <si>
    <t>Estimate; Aggregate value (dollars): - Boat, RV, van, etc. (dollars)</t>
  </si>
  <si>
    <t>Margin of Error; Aggregate value (dollars): - Boat, RV, van, etc. (dollars)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</si>
  <si>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</si>
  <si>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</si>
  <si>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</si>
  <si>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</si>
  <si>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</si>
  <si>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</si>
  <si>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</si>
  <si>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</si>
  <si>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</si>
  <si>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</si>
  <si>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</si>
  <si>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</si>
  <si>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</si>
  <si>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</si>
  <si>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</si>
  <si>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</si>
  <si>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</si>
  <si>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</si>
  <si>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</si>
  <si>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</si>
  <si>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</si>
  <si>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</si>
  <si>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</si>
  <si>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</si>
  <si>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</si>
  <si>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</si>
  <si>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</si>
  <si>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</si>
  <si>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</si>
  <si>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</si>
  <si>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</si>
  <si>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</si>
  <si>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</si>
  <si>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</si>
  <si>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</si>
  <si>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</si>
  <si>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</si>
  <si>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</si>
  <si>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</si>
  <si>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</si>
  <si>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</si>
  <si>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</si>
  <si>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</si>
  <si>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</si>
  <si>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</si>
  <si>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</si>
  <si>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</si>
  <si>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</si>
  <si>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</si>
  <si>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</si>
  <si>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</si>
  <si>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</si>
  <si>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</si>
  <si>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</si>
  <si>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</si>
  <si>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</si>
  <si>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</si>
  <si>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</si>
  <si>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</si>
  <si>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</si>
  <si>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</si>
  <si>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</si>
  <si>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</si>
  <si>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</si>
  <si>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</si>
  <si>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</si>
  <si>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</si>
  <si>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</si>
  <si>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</si>
  <si>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</si>
  <si>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</si>
  <si>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</si>
  <si>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</si>
  <si>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</si>
  <si>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</si>
  <si>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</si>
  <si>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</si>
  <si>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</si>
  <si>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</si>
  <si>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</si>
  <si>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</si>
  <si>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</si>
  <si>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</si>
  <si>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</si>
  <si>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</si>
  <si>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</si>
  <si>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</si>
  <si>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</si>
  <si>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</si>
  <si>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</si>
  <si>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</si>
  <si>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</si>
  <si>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</si>
  <si>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</si>
  <si>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</si>
  <si>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</si>
  <si>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</si>
  <si>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</si>
  <si>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</si>
  <si>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</si>
  <si>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-</t>
  </si>
  <si>
    <t>**</t>
  </si>
  <si>
    <t>KAP/LAND values from Brad</t>
  </si>
  <si>
    <t>&lt;It will be changed based on the data from Tao&gt;</t>
  </si>
  <si>
    <t>Zone</t>
  </si>
  <si>
    <t>Agriculture</t>
  </si>
  <si>
    <t>ag1</t>
  </si>
  <si>
    <t>const1</t>
  </si>
  <si>
    <t>manuf1</t>
  </si>
  <si>
    <t>Retail1</t>
  </si>
  <si>
    <t>Serv1</t>
  </si>
  <si>
    <t>HC1</t>
  </si>
  <si>
    <t>Accom1</t>
  </si>
  <si>
    <t>Rest1</t>
  </si>
  <si>
    <t>31-33</t>
  </si>
  <si>
    <t>44-45</t>
  </si>
  <si>
    <t>48-49</t>
  </si>
  <si>
    <t>Transp</t>
  </si>
  <si>
    <t>Real Estate Rental and Leasing</t>
  </si>
  <si>
    <t>PBS</t>
  </si>
  <si>
    <t>Managements</t>
  </si>
  <si>
    <t xml:space="preserve">Administrative </t>
  </si>
  <si>
    <t xml:space="preserve">Health Care </t>
  </si>
  <si>
    <t>Public Administration</t>
  </si>
  <si>
    <t>AG</t>
  </si>
  <si>
    <t>ag2</t>
  </si>
  <si>
    <t>const2</t>
  </si>
  <si>
    <t>manuf2</t>
  </si>
  <si>
    <t>Retail2</t>
  </si>
  <si>
    <t>Serv2</t>
  </si>
  <si>
    <t>HC2</t>
  </si>
  <si>
    <t>Accom2</t>
  </si>
  <si>
    <t>Rest2</t>
  </si>
  <si>
    <t>land</t>
  </si>
  <si>
    <t>ag3</t>
  </si>
  <si>
    <t>const3</t>
  </si>
  <si>
    <t>manuf3</t>
  </si>
  <si>
    <t>Retail3</t>
  </si>
  <si>
    <t>Serv3</t>
  </si>
  <si>
    <t>HC3</t>
  </si>
  <si>
    <t>Accom3</t>
  </si>
  <si>
    <t>Rest3</t>
  </si>
  <si>
    <t>Inves</t>
  </si>
  <si>
    <t>PROPTX</t>
  </si>
  <si>
    <t>LOCTAX</t>
  </si>
  <si>
    <t>retail</t>
  </si>
  <si>
    <t>serv</t>
  </si>
  <si>
    <t>HC</t>
  </si>
  <si>
    <t>accom</t>
  </si>
  <si>
    <t>rest</t>
  </si>
  <si>
    <t>ag</t>
  </si>
  <si>
    <t>manuf</t>
  </si>
  <si>
    <t>HH</t>
  </si>
  <si>
    <t>HHW</t>
  </si>
  <si>
    <t>HN</t>
  </si>
  <si>
    <t>new jobcor</t>
  </si>
  <si>
    <t>HH Payments</t>
  </si>
  <si>
    <t>aver</t>
  </si>
  <si>
    <t>ave wage</t>
  </si>
  <si>
    <t xml:space="preserve">FDpayments </t>
  </si>
  <si>
    <t>minus SS</t>
  </si>
  <si>
    <t>I-O</t>
  </si>
  <si>
    <t>EPelec</t>
  </si>
  <si>
    <t>EPutil</t>
  </si>
  <si>
    <t>EPretail</t>
  </si>
  <si>
    <t>EPserv</t>
  </si>
  <si>
    <t>EPreal</t>
  </si>
  <si>
    <t>EPcon</t>
  </si>
  <si>
    <t>EPhealth</t>
  </si>
  <si>
    <t>EPaccom</t>
  </si>
  <si>
    <t>EPelse</t>
  </si>
  <si>
    <t>EPINDH</t>
  </si>
  <si>
    <t>EPINDM</t>
  </si>
  <si>
    <t>EPINDL</t>
  </si>
  <si>
    <t>EPHSA</t>
  </si>
  <si>
    <t>EPHSB</t>
  </si>
  <si>
    <t>Estes Park</t>
  </si>
  <si>
    <t>HW</t>
  </si>
  <si>
    <t>HS1</t>
  </si>
  <si>
    <t>HS2</t>
  </si>
  <si>
    <t>HS3</t>
  </si>
  <si>
    <t>kap</t>
  </si>
  <si>
    <t>labor income</t>
  </si>
  <si>
    <t>#D20</t>
  </si>
  <si>
    <t>#D21</t>
  </si>
  <si>
    <t>#D22</t>
  </si>
  <si>
    <t>#D23</t>
  </si>
  <si>
    <t>#D24</t>
  </si>
  <si>
    <t>#D25</t>
  </si>
  <si>
    <t>#D26</t>
  </si>
  <si>
    <t>#D27</t>
  </si>
  <si>
    <t>#D28</t>
  </si>
  <si>
    <t>#D29</t>
  </si>
  <si>
    <t>#D30</t>
  </si>
  <si>
    <t>#D31</t>
  </si>
  <si>
    <t>#D32</t>
  </si>
  <si>
    <t>#D33</t>
  </si>
  <si>
    <t>#D34</t>
  </si>
  <si>
    <t>#D35</t>
  </si>
  <si>
    <t>#D36</t>
  </si>
  <si>
    <t>#D37</t>
  </si>
  <si>
    <t>#D38</t>
  </si>
  <si>
    <t>#D39</t>
  </si>
  <si>
    <t>Shields Taxes</t>
  </si>
  <si>
    <t>property tax</t>
  </si>
  <si>
    <t>otax</t>
  </si>
  <si>
    <t>total resources</t>
  </si>
  <si>
    <t>carryover</t>
  </si>
  <si>
    <t>losing</t>
  </si>
  <si>
    <t>GIS_ACRES</t>
  </si>
  <si>
    <t>platteriver</t>
  </si>
  <si>
    <t>LGelec</t>
  </si>
  <si>
    <t>LGutil</t>
  </si>
  <si>
    <t>LGretail</t>
  </si>
  <si>
    <t>LGserv</t>
  </si>
  <si>
    <t>LGreal</t>
  </si>
  <si>
    <t>LGcon</t>
  </si>
  <si>
    <t>LGhealth</t>
  </si>
  <si>
    <t>LGaccom</t>
  </si>
  <si>
    <t>LGelse</t>
  </si>
  <si>
    <t>LGINDH</t>
  </si>
  <si>
    <t>LGINDM</t>
  </si>
  <si>
    <t>LGINDL</t>
  </si>
  <si>
    <t>LGhsa</t>
  </si>
  <si>
    <t>LGhsb</t>
  </si>
  <si>
    <t>#B31</t>
  </si>
  <si>
    <t>#C31</t>
  </si>
  <si>
    <t>#E31</t>
  </si>
  <si>
    <t>#F31</t>
  </si>
  <si>
    <t>#G31</t>
  </si>
  <si>
    <t>#H31</t>
  </si>
  <si>
    <t>#I31</t>
  </si>
  <si>
    <t>#J31</t>
  </si>
  <si>
    <t>#K31</t>
  </si>
  <si>
    <t>#L31</t>
  </si>
  <si>
    <t>#M31</t>
  </si>
  <si>
    <t>#N31</t>
  </si>
  <si>
    <t>#O31</t>
  </si>
  <si>
    <t>#P31</t>
  </si>
  <si>
    <t>#Q31</t>
  </si>
  <si>
    <t>#R31</t>
  </si>
  <si>
    <t>#S31</t>
  </si>
  <si>
    <t>#T31</t>
  </si>
  <si>
    <t>#U31</t>
  </si>
  <si>
    <t>#V31</t>
  </si>
  <si>
    <t>#W31</t>
  </si>
  <si>
    <t>#X31</t>
  </si>
  <si>
    <t>#G89</t>
  </si>
  <si>
    <t>#H89</t>
  </si>
  <si>
    <t>#I89</t>
  </si>
  <si>
    <t>#J89</t>
  </si>
  <si>
    <t>#K89</t>
  </si>
  <si>
    <t>#L89</t>
  </si>
  <si>
    <t>#M89</t>
  </si>
  <si>
    <t>#N89</t>
  </si>
  <si>
    <t>#O89</t>
  </si>
  <si>
    <t>#P89</t>
  </si>
  <si>
    <t>#Q89</t>
  </si>
  <si>
    <t>#R89</t>
  </si>
  <si>
    <t>#S89</t>
  </si>
  <si>
    <t>#T89</t>
  </si>
  <si>
    <t>#U89</t>
  </si>
  <si>
    <t>#V89</t>
  </si>
  <si>
    <t>#W89</t>
  </si>
  <si>
    <t>#X89</t>
  </si>
  <si>
    <t>#Y89</t>
  </si>
  <si>
    <t>#Z89</t>
  </si>
  <si>
    <t>inv</t>
  </si>
  <si>
    <t>acctax</t>
  </si>
  <si>
    <t>savings</t>
  </si>
  <si>
    <t>savings per HH</t>
  </si>
  <si>
    <t>no of HH</t>
  </si>
  <si>
    <t>prop tax</t>
  </si>
  <si>
    <t>acc1 ds</t>
  </si>
  <si>
    <t>acc2ds</t>
  </si>
  <si>
    <t>acc3ds</t>
  </si>
  <si>
    <t>CYGF</t>
  </si>
  <si>
    <t>cygf</t>
  </si>
  <si>
    <t>#B17</t>
  </si>
  <si>
    <t>#C17</t>
  </si>
  <si>
    <t>#D17</t>
  </si>
  <si>
    <t>#E17</t>
  </si>
  <si>
    <t>#F17</t>
  </si>
  <si>
    <t>#G17</t>
  </si>
  <si>
    <t>#H17</t>
  </si>
  <si>
    <t>#I17</t>
  </si>
  <si>
    <t>#J17</t>
  </si>
  <si>
    <t>#K17</t>
  </si>
  <si>
    <t>#L17</t>
  </si>
  <si>
    <t>#M17</t>
  </si>
  <si>
    <t>#N17</t>
  </si>
  <si>
    <t>#O17</t>
  </si>
  <si>
    <t>#P17</t>
  </si>
  <si>
    <t>#Q17</t>
  </si>
  <si>
    <t>#R17</t>
  </si>
  <si>
    <t>#S17</t>
  </si>
  <si>
    <t>#T17</t>
  </si>
  <si>
    <t>#U17</t>
  </si>
  <si>
    <t>#V17</t>
  </si>
  <si>
    <t>#W17</t>
  </si>
  <si>
    <t>#X17</t>
  </si>
  <si>
    <t>#B18</t>
  </si>
  <si>
    <t>#C18</t>
  </si>
  <si>
    <t>#D18</t>
  </si>
  <si>
    <t>#E18</t>
  </si>
  <si>
    <t>#F18</t>
  </si>
  <si>
    <t>#G18</t>
  </si>
  <si>
    <t>#H18</t>
  </si>
  <si>
    <t>#I18</t>
  </si>
  <si>
    <t>#J18</t>
  </si>
  <si>
    <t>#K18</t>
  </si>
  <si>
    <t>#L18</t>
  </si>
  <si>
    <t>#M18</t>
  </si>
  <si>
    <t>#N18</t>
  </si>
  <si>
    <t>#O18</t>
  </si>
  <si>
    <t>#P18</t>
  </si>
  <si>
    <t>#Q18</t>
  </si>
  <si>
    <t>#R18</t>
  </si>
  <si>
    <t>#S18</t>
  </si>
  <si>
    <t>#T18</t>
  </si>
  <si>
    <t>#U18</t>
  </si>
  <si>
    <t>#V18</t>
  </si>
  <si>
    <t>#W18</t>
  </si>
  <si>
    <t>#X18</t>
  </si>
  <si>
    <t>#B19</t>
  </si>
  <si>
    <t>#C19</t>
  </si>
  <si>
    <t>#D19</t>
  </si>
  <si>
    <t>#E19</t>
  </si>
  <si>
    <t>#F19</t>
  </si>
  <si>
    <t>#G19</t>
  </si>
  <si>
    <t>#H19</t>
  </si>
  <si>
    <t>#I19</t>
  </si>
  <si>
    <t>#J19</t>
  </si>
  <si>
    <t>#K19</t>
  </si>
  <si>
    <t>#L19</t>
  </si>
  <si>
    <t>#M19</t>
  </si>
  <si>
    <t>#N19</t>
  </si>
  <si>
    <t>#O19</t>
  </si>
  <si>
    <t>#P19</t>
  </si>
  <si>
    <t>#Q19</t>
  </si>
  <si>
    <t>#R19</t>
  </si>
  <si>
    <t>#S19</t>
  </si>
  <si>
    <t>#T19</t>
  </si>
  <si>
    <t>#U19</t>
  </si>
  <si>
    <t>#V19</t>
  </si>
  <si>
    <t>#W19</t>
  </si>
  <si>
    <t>#X19</t>
  </si>
  <si>
    <t>#B20</t>
  </si>
  <si>
    <t>#C20</t>
  </si>
  <si>
    <t>#E20</t>
  </si>
  <si>
    <t>#F20</t>
  </si>
  <si>
    <t>#G20</t>
  </si>
  <si>
    <t>#H20</t>
  </si>
  <si>
    <t>#I20</t>
  </si>
  <si>
    <t>#J20</t>
  </si>
  <si>
    <t>#K20</t>
  </si>
  <si>
    <t>#L20</t>
  </si>
  <si>
    <t>#M20</t>
  </si>
  <si>
    <t>#N20</t>
  </si>
  <si>
    <t>#O20</t>
  </si>
  <si>
    <t>#P20</t>
  </si>
  <si>
    <t>#Q20</t>
  </si>
  <si>
    <t>#R20</t>
  </si>
  <si>
    <t>#S20</t>
  </si>
  <si>
    <t>#T20</t>
  </si>
  <si>
    <t>#U20</t>
  </si>
  <si>
    <t>#V20</t>
  </si>
  <si>
    <t>#W20</t>
  </si>
  <si>
    <t>#X20</t>
  </si>
  <si>
    <t>#B21</t>
  </si>
  <si>
    <t>#C21</t>
  </si>
  <si>
    <t>#E21</t>
  </si>
  <si>
    <t>#F21</t>
  </si>
  <si>
    <t>#G21</t>
  </si>
  <si>
    <t>#H21</t>
  </si>
  <si>
    <t>#I21</t>
  </si>
  <si>
    <t>#J21</t>
  </si>
  <si>
    <t>#K21</t>
  </si>
  <si>
    <t>#L21</t>
  </si>
  <si>
    <t>#M21</t>
  </si>
  <si>
    <t>#N21</t>
  </si>
  <si>
    <t>#O21</t>
  </si>
  <si>
    <t>#P21</t>
  </si>
  <si>
    <t>#Q21</t>
  </si>
  <si>
    <t>#R21</t>
  </si>
  <si>
    <t>#S21</t>
  </si>
  <si>
    <t>#T21</t>
  </si>
  <si>
    <t>#U21</t>
  </si>
  <si>
    <t>#V21</t>
  </si>
  <si>
    <t>#W21</t>
  </si>
  <si>
    <t>#X21</t>
  </si>
  <si>
    <t>#B22</t>
  </si>
  <si>
    <t>#C22</t>
  </si>
  <si>
    <t>#E22</t>
  </si>
  <si>
    <t>#F22</t>
  </si>
  <si>
    <t>#G22</t>
  </si>
  <si>
    <t>#H22</t>
  </si>
  <si>
    <t>#I22</t>
  </si>
  <si>
    <t>#J22</t>
  </si>
  <si>
    <t>#K22</t>
  </si>
  <si>
    <t>#L22</t>
  </si>
  <si>
    <t>#M22</t>
  </si>
  <si>
    <t>#N22</t>
  </si>
  <si>
    <t>#O22</t>
  </si>
  <si>
    <t>#P22</t>
  </si>
  <si>
    <t>#Q22</t>
  </si>
  <si>
    <t>#R22</t>
  </si>
  <si>
    <t>#S22</t>
  </si>
  <si>
    <t>#T22</t>
  </si>
  <si>
    <t>#U22</t>
  </si>
  <si>
    <t>#V22</t>
  </si>
  <si>
    <t>#W22</t>
  </si>
  <si>
    <t>#X22</t>
  </si>
  <si>
    <t>#B23</t>
  </si>
  <si>
    <t>#C23</t>
  </si>
  <si>
    <t>#E23</t>
  </si>
  <si>
    <t>#F23</t>
  </si>
  <si>
    <t>#G23</t>
  </si>
  <si>
    <t>#H23</t>
  </si>
  <si>
    <t>#I23</t>
  </si>
  <si>
    <t>#J23</t>
  </si>
  <si>
    <t>#K23</t>
  </si>
  <si>
    <t>#L23</t>
  </si>
  <si>
    <t>#M23</t>
  </si>
  <si>
    <t>#N23</t>
  </si>
  <si>
    <t>#O23</t>
  </si>
  <si>
    <t>#P23</t>
  </si>
  <si>
    <t>#Q23</t>
  </si>
  <si>
    <t>#R23</t>
  </si>
  <si>
    <t>#S23</t>
  </si>
  <si>
    <t>#T23</t>
  </si>
  <si>
    <t>#U23</t>
  </si>
  <si>
    <t>#V23</t>
  </si>
  <si>
    <t>#W23</t>
  </si>
  <si>
    <t>#X23</t>
  </si>
  <si>
    <t>#B24</t>
  </si>
  <si>
    <t>#C24</t>
  </si>
  <si>
    <t>#E24</t>
  </si>
  <si>
    <t>#F24</t>
  </si>
  <si>
    <t>#G24</t>
  </si>
  <si>
    <t>#H24</t>
  </si>
  <si>
    <t>#I24</t>
  </si>
  <si>
    <t>#J24</t>
  </si>
  <si>
    <t>#K24</t>
  </si>
  <si>
    <t>#L24</t>
  </si>
  <si>
    <t>#M24</t>
  </si>
  <si>
    <t>#N24</t>
  </si>
  <si>
    <t>#O24</t>
  </si>
  <si>
    <t>#P24</t>
  </si>
  <si>
    <t>#Q24</t>
  </si>
  <si>
    <t>#R24</t>
  </si>
  <si>
    <t>#S24</t>
  </si>
  <si>
    <t>#T24</t>
  </si>
  <si>
    <t>#U24</t>
  </si>
  <si>
    <t>#V24</t>
  </si>
  <si>
    <t>#W24</t>
  </si>
  <si>
    <t>#X24</t>
  </si>
  <si>
    <t>#B25</t>
  </si>
  <si>
    <t>#C25</t>
  </si>
  <si>
    <t>#E25</t>
  </si>
  <si>
    <t>#F25</t>
  </si>
  <si>
    <t>#G25</t>
  </si>
  <si>
    <t>#H25</t>
  </si>
  <si>
    <t>#I25</t>
  </si>
  <si>
    <t>#J25</t>
  </si>
  <si>
    <t>#K25</t>
  </si>
  <si>
    <t>#L25</t>
  </si>
  <si>
    <t>#M25</t>
  </si>
  <si>
    <t>#N25</t>
  </si>
  <si>
    <t>#O25</t>
  </si>
  <si>
    <t>#P25</t>
  </si>
  <si>
    <t>#Q25</t>
  </si>
  <si>
    <t>#R25</t>
  </si>
  <si>
    <t>#S25</t>
  </si>
  <si>
    <t>#T25</t>
  </si>
  <si>
    <t>#U25</t>
  </si>
  <si>
    <t>#V25</t>
  </si>
  <si>
    <t>#W25</t>
  </si>
  <si>
    <t>#X25</t>
  </si>
  <si>
    <t>#B26</t>
  </si>
  <si>
    <t>#C26</t>
  </si>
  <si>
    <t>#E26</t>
  </si>
  <si>
    <t>#F26</t>
  </si>
  <si>
    <t>#G26</t>
  </si>
  <si>
    <t>#H26</t>
  </si>
  <si>
    <t>#I26</t>
  </si>
  <si>
    <t>#J26</t>
  </si>
  <si>
    <t>#K26</t>
  </si>
  <si>
    <t>#L26</t>
  </si>
  <si>
    <t>#M26</t>
  </si>
  <si>
    <t>#N26</t>
  </si>
  <si>
    <t>#O26</t>
  </si>
  <si>
    <t>#P26</t>
  </si>
  <si>
    <t>#Q26</t>
  </si>
  <si>
    <t>#R26</t>
  </si>
  <si>
    <t>#S26</t>
  </si>
  <si>
    <t>#T26</t>
  </si>
  <si>
    <t>#U26</t>
  </si>
  <si>
    <t>#V26</t>
  </si>
  <si>
    <t>#W26</t>
  </si>
  <si>
    <t>#X26</t>
  </si>
  <si>
    <t>#B27</t>
  </si>
  <si>
    <t>#C27</t>
  </si>
  <si>
    <t>#E27</t>
  </si>
  <si>
    <t>#F27</t>
  </si>
  <si>
    <t>#G27</t>
  </si>
  <si>
    <t>#H27</t>
  </si>
  <si>
    <t>#I27</t>
  </si>
  <si>
    <t>#J27</t>
  </si>
  <si>
    <t>#K27</t>
  </si>
  <si>
    <t>#L27</t>
  </si>
  <si>
    <t>#M27</t>
  </si>
  <si>
    <t>#N27</t>
  </si>
  <si>
    <t>#O27</t>
  </si>
  <si>
    <t>#P27</t>
  </si>
  <si>
    <t>#Q27</t>
  </si>
  <si>
    <t>#R27</t>
  </si>
  <si>
    <t>#S27</t>
  </si>
  <si>
    <t>#T27</t>
  </si>
  <si>
    <t>#U27</t>
  </si>
  <si>
    <t>#V27</t>
  </si>
  <si>
    <t>#W27</t>
  </si>
  <si>
    <t>#X27</t>
  </si>
  <si>
    <t>#B28</t>
  </si>
  <si>
    <t>#C28</t>
  </si>
  <si>
    <t>#E28</t>
  </si>
  <si>
    <t>#F28</t>
  </si>
  <si>
    <t>#G28</t>
  </si>
  <si>
    <t>#H28</t>
  </si>
  <si>
    <t>#I28</t>
  </si>
  <si>
    <t>#J28</t>
  </si>
  <si>
    <t>#K28</t>
  </si>
  <si>
    <t>#L28</t>
  </si>
  <si>
    <t>#M28</t>
  </si>
  <si>
    <t>#N28</t>
  </si>
  <si>
    <t>#O28</t>
  </si>
  <si>
    <t>#P28</t>
  </si>
  <si>
    <t>#Q28</t>
  </si>
  <si>
    <t>#R28</t>
  </si>
  <si>
    <t>#S28</t>
  </si>
  <si>
    <t>#T28</t>
  </si>
  <si>
    <t>#U28</t>
  </si>
  <si>
    <t>#V28</t>
  </si>
  <si>
    <t>#W28</t>
  </si>
  <si>
    <t>#X28</t>
  </si>
  <si>
    <t>#B29</t>
  </si>
  <si>
    <t>#C29</t>
  </si>
  <si>
    <t>#E29</t>
  </si>
  <si>
    <t>#F29</t>
  </si>
  <si>
    <t>#G29</t>
  </si>
  <si>
    <t>#H29</t>
  </si>
  <si>
    <t>#I29</t>
  </si>
  <si>
    <t>#J29</t>
  </si>
  <si>
    <t>#K29</t>
  </si>
  <si>
    <t>#L29</t>
  </si>
  <si>
    <t>#M29</t>
  </si>
  <si>
    <t>#N29</t>
  </si>
  <si>
    <t>#O29</t>
  </si>
  <si>
    <t>#P29</t>
  </si>
  <si>
    <t>#Q29</t>
  </si>
  <si>
    <t>#R29</t>
  </si>
  <si>
    <t>#S29</t>
  </si>
  <si>
    <t>#T29</t>
  </si>
  <si>
    <t>#U29</t>
  </si>
  <si>
    <t>#V29</t>
  </si>
  <si>
    <t>#W29</t>
  </si>
  <si>
    <t>#X29</t>
  </si>
  <si>
    <t>#B30</t>
  </si>
  <si>
    <t>#C30</t>
  </si>
  <si>
    <t>#E30</t>
  </si>
  <si>
    <t>#F30</t>
  </si>
  <si>
    <t>#G30</t>
  </si>
  <si>
    <t>#H30</t>
  </si>
  <si>
    <t>#I30</t>
  </si>
  <si>
    <t>#J30</t>
  </si>
  <si>
    <t>#K30</t>
  </si>
  <si>
    <t>#L30</t>
  </si>
  <si>
    <t>#M30</t>
  </si>
  <si>
    <t>#N30</t>
  </si>
  <si>
    <t>#O30</t>
  </si>
  <si>
    <t>#P30</t>
  </si>
  <si>
    <t>#Q30</t>
  </si>
  <si>
    <t>#R30</t>
  </si>
  <si>
    <t>#S30</t>
  </si>
  <si>
    <t>#T30</t>
  </si>
  <si>
    <t>#U30</t>
  </si>
  <si>
    <t>#V30</t>
  </si>
  <si>
    <t>#W30</t>
  </si>
  <si>
    <t>#X30</t>
  </si>
  <si>
    <t>#B32</t>
  </si>
  <si>
    <t>#C32</t>
  </si>
  <si>
    <t>#E32</t>
  </si>
  <si>
    <t>#F32</t>
  </si>
  <si>
    <t>#G32</t>
  </si>
  <si>
    <t>#H32</t>
  </si>
  <si>
    <t>#I32</t>
  </si>
  <si>
    <t>#J32</t>
  </si>
  <si>
    <t>#K32</t>
  </si>
  <si>
    <t>#L32</t>
  </si>
  <si>
    <t>#M32</t>
  </si>
  <si>
    <t>#N32</t>
  </si>
  <si>
    <t>#O32</t>
  </si>
  <si>
    <t>#P32</t>
  </si>
  <si>
    <t>#Q32</t>
  </si>
  <si>
    <t>#R32</t>
  </si>
  <si>
    <t>#S32</t>
  </si>
  <si>
    <t>#T32</t>
  </si>
  <si>
    <t>#U32</t>
  </si>
  <si>
    <t>#V32</t>
  </si>
  <si>
    <t>#W32</t>
  </si>
  <si>
    <t>#X32</t>
  </si>
  <si>
    <t>#B33</t>
  </si>
  <si>
    <t>#C33</t>
  </si>
  <si>
    <t>#E33</t>
  </si>
  <si>
    <t>#F33</t>
  </si>
  <si>
    <t>#G33</t>
  </si>
  <si>
    <t>#H33</t>
  </si>
  <si>
    <t>#I33</t>
  </si>
  <si>
    <t>#J33</t>
  </si>
  <si>
    <t>#K33</t>
  </si>
  <si>
    <t>#L33</t>
  </si>
  <si>
    <t>#M33</t>
  </si>
  <si>
    <t>#N33</t>
  </si>
  <si>
    <t>#O33</t>
  </si>
  <si>
    <t>#P33</t>
  </si>
  <si>
    <t>#Q33</t>
  </si>
  <si>
    <t>#R33</t>
  </si>
  <si>
    <t>#S33</t>
  </si>
  <si>
    <t>#T33</t>
  </si>
  <si>
    <t>#U33</t>
  </si>
  <si>
    <t>#V33</t>
  </si>
  <si>
    <t>#W33</t>
  </si>
  <si>
    <t>#X33</t>
  </si>
  <si>
    <t>#B34</t>
  </si>
  <si>
    <t>#C34</t>
  </si>
  <si>
    <t>#E34</t>
  </si>
  <si>
    <t>#F34</t>
  </si>
  <si>
    <t>#G34</t>
  </si>
  <si>
    <t>#H34</t>
  </si>
  <si>
    <t>#I34</t>
  </si>
  <si>
    <t>#J34</t>
  </si>
  <si>
    <t>#K34</t>
  </si>
  <si>
    <t>#L34</t>
  </si>
  <si>
    <t>#M34</t>
  </si>
  <si>
    <t>#N34</t>
  </si>
  <si>
    <t>#O34</t>
  </si>
  <si>
    <t>#P34</t>
  </si>
  <si>
    <t>#Q34</t>
  </si>
  <si>
    <t>#R34</t>
  </si>
  <si>
    <t>#S34</t>
  </si>
  <si>
    <t>#T34</t>
  </si>
  <si>
    <t>#U34</t>
  </si>
  <si>
    <t>#V34</t>
  </si>
  <si>
    <t>#W34</t>
  </si>
  <si>
    <t>#X34</t>
  </si>
  <si>
    <t>#B35</t>
  </si>
  <si>
    <t>#C35</t>
  </si>
  <si>
    <t>#E35</t>
  </si>
  <si>
    <t>#F35</t>
  </si>
  <si>
    <t>#G35</t>
  </si>
  <si>
    <t>#H35</t>
  </si>
  <si>
    <t>#I35</t>
  </si>
  <si>
    <t>#J35</t>
  </si>
  <si>
    <t>#K35</t>
  </si>
  <si>
    <t>#L35</t>
  </si>
  <si>
    <t>#M35</t>
  </si>
  <si>
    <t>#N35</t>
  </si>
  <si>
    <t>#O35</t>
  </si>
  <si>
    <t>#P35</t>
  </si>
  <si>
    <t>#Q35</t>
  </si>
  <si>
    <t>#R35</t>
  </si>
  <si>
    <t>#S35</t>
  </si>
  <si>
    <t>#T35</t>
  </si>
  <si>
    <t>#U35</t>
  </si>
  <si>
    <t>#V35</t>
  </si>
  <si>
    <t>#W35</t>
  </si>
  <si>
    <t>#X35</t>
  </si>
  <si>
    <t>#B36</t>
  </si>
  <si>
    <t>#C36</t>
  </si>
  <si>
    <t>#E36</t>
  </si>
  <si>
    <t>#F36</t>
  </si>
  <si>
    <t>#G36</t>
  </si>
  <si>
    <t>#H36</t>
  </si>
  <si>
    <t>#I36</t>
  </si>
  <si>
    <t>#J36</t>
  </si>
  <si>
    <t>#K36</t>
  </si>
  <si>
    <t>#L36</t>
  </si>
  <si>
    <t>#M36</t>
  </si>
  <si>
    <t>#N36</t>
  </si>
  <si>
    <t>#O36</t>
  </si>
  <si>
    <t>#P36</t>
  </si>
  <si>
    <t>#Q36</t>
  </si>
  <si>
    <t>#R36</t>
  </si>
  <si>
    <t>#S36</t>
  </si>
  <si>
    <t>#T36</t>
  </si>
  <si>
    <t>#U36</t>
  </si>
  <si>
    <t>#V36</t>
  </si>
  <si>
    <t>#W36</t>
  </si>
  <si>
    <t>#X36</t>
  </si>
  <si>
    <t>#AU26</t>
  </si>
  <si>
    <t>#AV26</t>
  </si>
  <si>
    <t>#AW26</t>
  </si>
  <si>
    <t>#AX26</t>
  </si>
  <si>
    <t>#AY26</t>
  </si>
  <si>
    <t>#AZ26</t>
  </si>
  <si>
    <t>#BA26</t>
  </si>
  <si>
    <t>#BB26</t>
  </si>
  <si>
    <t>#BC26</t>
  </si>
  <si>
    <t>#BD26</t>
  </si>
  <si>
    <t>#BE26</t>
  </si>
  <si>
    <t>#BF26</t>
  </si>
  <si>
    <t>#BG26</t>
  </si>
  <si>
    <t>#BH26</t>
  </si>
  <si>
    <t>#BI26</t>
  </si>
  <si>
    <t>#BJ26</t>
  </si>
  <si>
    <t>#BK26</t>
  </si>
  <si>
    <t>#BL26</t>
  </si>
  <si>
    <t>#BM26</t>
  </si>
  <si>
    <t>#BN26</t>
  </si>
  <si>
    <t>#BO26</t>
  </si>
  <si>
    <t>#BP26</t>
  </si>
  <si>
    <t>#AU27</t>
  </si>
  <si>
    <t>#AV27</t>
  </si>
  <si>
    <t>#AW27</t>
  </si>
  <si>
    <t>#AX27</t>
  </si>
  <si>
    <t>#AY27</t>
  </si>
  <si>
    <t>#AZ27</t>
  </si>
  <si>
    <t>#BA27</t>
  </si>
  <si>
    <t>#BB27</t>
  </si>
  <si>
    <t>#BC27</t>
  </si>
  <si>
    <t>#BD27</t>
  </si>
  <si>
    <t>#BE27</t>
  </si>
  <si>
    <t>#BF27</t>
  </si>
  <si>
    <t>#BG27</t>
  </si>
  <si>
    <t>#BH27</t>
  </si>
  <si>
    <t>#BI27</t>
  </si>
  <si>
    <t>#BJ27</t>
  </si>
  <si>
    <t>#BK27</t>
  </si>
  <si>
    <t>#BL27</t>
  </si>
  <si>
    <t>#BM27</t>
  </si>
  <si>
    <t>#BN27</t>
  </si>
  <si>
    <t>#BO27</t>
  </si>
  <si>
    <t>#BP27</t>
  </si>
  <si>
    <t>#AU28</t>
  </si>
  <si>
    <t>#AV28</t>
  </si>
  <si>
    <t>#AW28</t>
  </si>
  <si>
    <t>#AX28</t>
  </si>
  <si>
    <t>#AY28</t>
  </si>
  <si>
    <t>#AZ28</t>
  </si>
  <si>
    <t>#BA28</t>
  </si>
  <si>
    <t>#BB28</t>
  </si>
  <si>
    <t>#BC28</t>
  </si>
  <si>
    <t>#BD28</t>
  </si>
  <si>
    <t>#BE28</t>
  </si>
  <si>
    <t>#BF28</t>
  </si>
  <si>
    <t>#BG28</t>
  </si>
  <si>
    <t>#BH28</t>
  </si>
  <si>
    <t>#BI28</t>
  </si>
  <si>
    <t>#BJ28</t>
  </si>
  <si>
    <t>#BK28</t>
  </si>
  <si>
    <t>#BL28</t>
  </si>
  <si>
    <t>#BM28</t>
  </si>
  <si>
    <t>#BN28</t>
  </si>
  <si>
    <t>#BO28</t>
  </si>
  <si>
    <t>#BP28</t>
  </si>
  <si>
    <t>#AU29</t>
  </si>
  <si>
    <t>#AV29</t>
  </si>
  <si>
    <t>#AW29</t>
  </si>
  <si>
    <t>#AX29</t>
  </si>
  <si>
    <t>#AY29</t>
  </si>
  <si>
    <t>#AZ29</t>
  </si>
  <si>
    <t>#BA29</t>
  </si>
  <si>
    <t>#BB29</t>
  </si>
  <si>
    <t>#BC29</t>
  </si>
  <si>
    <t>#BD29</t>
  </si>
  <si>
    <t>#BE29</t>
  </si>
  <si>
    <t>#BF29</t>
  </si>
  <si>
    <t>#BG29</t>
  </si>
  <si>
    <t>#BH29</t>
  </si>
  <si>
    <t>#BI29</t>
  </si>
  <si>
    <t>#BJ29</t>
  </si>
  <si>
    <t>#BK29</t>
  </si>
  <si>
    <t>#BL29</t>
  </si>
  <si>
    <t>#BM29</t>
  </si>
  <si>
    <t>#BN29</t>
  </si>
  <si>
    <t>#BO29</t>
  </si>
  <si>
    <t>#BP29</t>
  </si>
  <si>
    <t>#AU30</t>
  </si>
  <si>
    <t>#AV30</t>
  </si>
  <si>
    <t>#AW30</t>
  </si>
  <si>
    <t>#AX30</t>
  </si>
  <si>
    <t>#AY30</t>
  </si>
  <si>
    <t>#AZ30</t>
  </si>
  <si>
    <t>#BA30</t>
  </si>
  <si>
    <t>#BB30</t>
  </si>
  <si>
    <t>#BC30</t>
  </si>
  <si>
    <t>#BD30</t>
  </si>
  <si>
    <t>#BE30</t>
  </si>
  <si>
    <t>#BF30</t>
  </si>
  <si>
    <t>#BG30</t>
  </si>
  <si>
    <t>#BH30</t>
  </si>
  <si>
    <t>#BI30</t>
  </si>
  <si>
    <t>#BJ30</t>
  </si>
  <si>
    <t>#BK30</t>
  </si>
  <si>
    <t>#BL30</t>
  </si>
  <si>
    <t>#BM30</t>
  </si>
  <si>
    <t>#BN30</t>
  </si>
  <si>
    <t>#BO30</t>
  </si>
  <si>
    <t>#BP30</t>
  </si>
  <si>
    <t>#AU31</t>
  </si>
  <si>
    <t>#AV31</t>
  </si>
  <si>
    <t>#AW31</t>
  </si>
  <si>
    <t>#AX31</t>
  </si>
  <si>
    <t>#AY31</t>
  </si>
  <si>
    <t>#AZ31</t>
  </si>
  <si>
    <t>#BA31</t>
  </si>
  <si>
    <t>#BB31</t>
  </si>
  <si>
    <t>#BC31</t>
  </si>
  <si>
    <t>#BD31</t>
  </si>
  <si>
    <t>#BE31</t>
  </si>
  <si>
    <t>#BF31</t>
  </si>
  <si>
    <t>#BG31</t>
  </si>
  <si>
    <t>#BH31</t>
  </si>
  <si>
    <t>#BI31</t>
  </si>
  <si>
    <t>#BJ31</t>
  </si>
  <si>
    <t>#BK31</t>
  </si>
  <si>
    <t>#BL31</t>
  </si>
  <si>
    <t>#BM31</t>
  </si>
  <si>
    <t>#BN31</t>
  </si>
  <si>
    <t>#BO31</t>
  </si>
  <si>
    <t>#BP31</t>
  </si>
  <si>
    <t>acres</t>
  </si>
  <si>
    <t>jobcore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</si>
</sst>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0.00000"/>
    <numFmt numFmtId="166" formatCode="0.0000"/>
    <numFmt numFmtId="167" formatCode="0.000"/>
    <numFmt numFmtId="168" formatCode="0.0"/>
  </numFmts>
  <fonts count="3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B050"/>
      <name val="Calibri"/>
      <family val="2"/>
    </font>
    <font>
      <sz val="15"/>
      <name val="Calibri"/>
      <family val="2"/>
    </font>
    <font>
      <sz val="16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</font>
    <font>
      <b/>
      <sz val="12"/>
      <color theme="5"/>
      <name val="Calibri"/>
      <family val="2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rgb="FF4B636E"/>
      <name val="Arial"/>
      <family val="2"/>
    </font>
    <font>
      <b/>
      <sz val="12"/>
      <color rgb="FF000000"/>
      <name val="Arial"/>
      <family val="2"/>
    </font>
    <font>
      <u/>
      <sz val="12"/>
      <color rgb="FFFF0000"/>
      <name val="Calibri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  <font>
      <sz val="10"/>
      <name val="Tw Cen MT"/>
      <family val="2"/>
    </font>
    <font>
      <sz val="10"/>
      <color rgb="FF00B0F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6">
    <xf numFmtId="0" fontId="0" fillId="0" borderId="0"/>
    <xf numFmtId="0" fontId="10" fillId="0" borderId="0"/>
    <xf numFmtId="0" fontId="14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10" fillId="0" borderId="0"/>
    <xf numFmtId="0" fontId="5" fillId="0" borderId="0"/>
    <xf numFmtId="0" fontId="29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34" fillId="0" borderId="0" applyFont="0" applyFill="0" applyBorder="0" applyAlignment="0" applyProtection="0"/>
  </cellStyleXfs>
  <cellXfs count="199">
    <xf numFmtId="0" fontId="0" fillId="0" borderId="0" xfId="0"/>
    <xf numFmtId="0" fontId="1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0" fillId="0" borderId="0" xfId="0" applyFont="1"/>
    <xf numFmtId="0" fontId="12" fillId="0" borderId="0" xfId="1" applyFont="1"/>
    <xf numFmtId="0" fontId="10" fillId="0" borderId="0" xfId="1"/>
    <xf numFmtId="0" fontId="15" fillId="2" borderId="0" xfId="1" applyFont="1" applyFill="1"/>
    <xf numFmtId="0" fontId="10" fillId="0" borderId="0" xfId="1" applyFont="1"/>
    <xf numFmtId="0" fontId="10" fillId="0" borderId="0" xfId="1" applyFill="1"/>
    <xf numFmtId="0" fontId="15" fillId="0" borderId="0" xfId="1" applyFont="1" applyFill="1"/>
    <xf numFmtId="0" fontId="16" fillId="0" borderId="0" xfId="0" applyFont="1"/>
    <xf numFmtId="0" fontId="8" fillId="0" borderId="0" xfId="4"/>
    <xf numFmtId="0" fontId="8" fillId="2" borderId="0" xfId="4" applyFill="1"/>
    <xf numFmtId="0" fontId="8" fillId="0" borderId="4" xfId="4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5" fillId="0" borderId="0" xfId="0" applyFont="1"/>
    <xf numFmtId="0" fontId="15" fillId="0" borderId="0" xfId="0" applyFont="1" applyFill="1" applyBorder="1"/>
    <xf numFmtId="0" fontId="10" fillId="0" borderId="4" xfId="0" applyFont="1" applyBorder="1"/>
    <xf numFmtId="0" fontId="10" fillId="0" borderId="0" xfId="1" applyFont="1" applyFill="1"/>
    <xf numFmtId="0" fontId="10" fillId="4" borderId="0" xfId="1" applyFont="1" applyFill="1"/>
    <xf numFmtId="0" fontId="10" fillId="6" borderId="0" xfId="1" applyFont="1" applyFill="1"/>
    <xf numFmtId="0" fontId="10" fillId="5" borderId="0" xfId="1" applyFont="1" applyFill="1"/>
    <xf numFmtId="0" fontId="10" fillId="8" borderId="0" xfId="1" applyFont="1" applyFill="1"/>
    <xf numFmtId="0" fontId="10" fillId="10" borderId="0" xfId="1" applyFont="1" applyFill="1"/>
    <xf numFmtId="0" fontId="10" fillId="7" borderId="0" xfId="1" applyFont="1" applyFill="1"/>
    <xf numFmtId="0" fontId="10" fillId="13" borderId="0" xfId="1" applyFont="1" applyFill="1"/>
    <xf numFmtId="0" fontId="8" fillId="0" borderId="0" xfId="4" applyFill="1"/>
    <xf numFmtId="0" fontId="17" fillId="0" borderId="0" xfId="4" applyFont="1" applyFill="1"/>
    <xf numFmtId="0" fontId="6" fillId="0" borderId="0" xfId="4" applyFont="1"/>
    <xf numFmtId="0" fontId="19" fillId="0" borderId="0" xfId="4" applyFont="1"/>
    <xf numFmtId="0" fontId="6" fillId="0" borderId="4" xfId="4" applyFont="1" applyBorder="1"/>
    <xf numFmtId="0" fontId="20" fillId="0" borderId="0" xfId="0" applyFont="1"/>
    <xf numFmtId="0" fontId="21" fillId="0" borderId="0" xfId="0" applyFont="1"/>
    <xf numFmtId="0" fontId="22" fillId="0" borderId="0" xfId="4" applyFont="1"/>
    <xf numFmtId="0" fontId="8" fillId="14" borderId="0" xfId="4" applyFill="1"/>
    <xf numFmtId="0" fontId="8" fillId="12" borderId="0" xfId="4" applyFill="1"/>
    <xf numFmtId="0" fontId="8" fillId="13" borderId="0" xfId="4" applyFill="1"/>
    <xf numFmtId="0" fontId="8" fillId="15" borderId="0" xfId="4" applyFill="1"/>
    <xf numFmtId="0" fontId="8" fillId="16" borderId="0" xfId="4" applyFill="1"/>
    <xf numFmtId="0" fontId="23" fillId="16" borderId="0" xfId="4" applyFont="1" applyFill="1"/>
    <xf numFmtId="0" fontId="8" fillId="17" borderId="0" xfId="4" applyFill="1"/>
    <xf numFmtId="0" fontId="8" fillId="18" borderId="0" xfId="4" applyFill="1"/>
    <xf numFmtId="0" fontId="8" fillId="9" borderId="0" xfId="4" applyFill="1"/>
    <xf numFmtId="0" fontId="8" fillId="0" borderId="0" xfId="4" applyFill="1" applyBorder="1"/>
    <xf numFmtId="0" fontId="17" fillId="0" borderId="0" xfId="4" applyFont="1" applyFill="1" applyBorder="1"/>
    <xf numFmtId="0" fontId="10" fillId="0" borderId="0" xfId="1" applyFill="1" applyBorder="1"/>
    <xf numFmtId="0" fontId="12" fillId="0" borderId="0" xfId="1" applyFont="1" applyFill="1" applyBorder="1"/>
    <xf numFmtId="0" fontId="24" fillId="0" borderId="0" xfId="1" applyFont="1"/>
    <xf numFmtId="0" fontId="25" fillId="0" borderId="0" xfId="1" applyFont="1" applyFill="1" applyBorder="1" applyAlignment="1">
      <alignment horizontal="center" vertical="center" wrapText="1"/>
    </xf>
    <xf numFmtId="3" fontId="26" fillId="0" borderId="0" xfId="1" applyNumberFormat="1" applyFont="1" applyFill="1" applyBorder="1" applyAlignment="1">
      <alignment horizontal="right" vertical="center" wrapText="1"/>
    </xf>
    <xf numFmtId="3" fontId="28" fillId="0" borderId="0" xfId="1" applyNumberFormat="1" applyFont="1" applyFill="1" applyBorder="1" applyAlignment="1">
      <alignment horizontal="right" vertical="center" wrapText="1"/>
    </xf>
    <xf numFmtId="0" fontId="27" fillId="0" borderId="0" xfId="2" applyFont="1" applyFill="1" applyBorder="1" applyAlignment="1">
      <alignment vertical="center" wrapText="1"/>
    </xf>
    <xf numFmtId="0" fontId="13" fillId="0" borderId="0" xfId="1" applyFont="1" applyFill="1" applyBorder="1"/>
    <xf numFmtId="0" fontId="24" fillId="0" borderId="0" xfId="1" applyFont="1" applyFill="1" applyBorder="1"/>
    <xf numFmtId="164" fontId="28" fillId="0" borderId="0" xfId="1" applyNumberFormat="1" applyFont="1" applyFill="1" applyBorder="1" applyAlignment="1">
      <alignment horizontal="right" vertical="center" wrapText="1"/>
    </xf>
    <xf numFmtId="0" fontId="0" fillId="14" borderId="0" xfId="0" applyFill="1"/>
    <xf numFmtId="0" fontId="10" fillId="0" borderId="12" xfId="0" applyFont="1" applyBorder="1"/>
    <xf numFmtId="0" fontId="10" fillId="0" borderId="1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1" xfId="0" applyFont="1" applyBorder="1"/>
    <xf numFmtId="0" fontId="15" fillId="0" borderId="4" xfId="0" applyFont="1" applyBorder="1"/>
    <xf numFmtId="0" fontId="18" fillId="0" borderId="4" xfId="4" applyFont="1" applyBorder="1"/>
    <xf numFmtId="0" fontId="15" fillId="0" borderId="6" xfId="0" applyFont="1" applyBorder="1"/>
    <xf numFmtId="0" fontId="5" fillId="0" borderId="0" xfId="7"/>
    <xf numFmtId="0" fontId="29" fillId="0" borderId="0" xfId="8"/>
    <xf numFmtId="0" fontId="17" fillId="0" borderId="0" xfId="7" applyFont="1"/>
    <xf numFmtId="0" fontId="14" fillId="0" borderId="0" xfId="2"/>
    <xf numFmtId="0" fontId="11" fillId="0" borderId="0" xfId="0" applyFont="1" applyFill="1"/>
    <xf numFmtId="0" fontId="4" fillId="0" borderId="0" xfId="4" applyFont="1" applyFill="1"/>
    <xf numFmtId="0" fontId="19" fillId="0" borderId="0" xfId="4" applyFont="1" applyFill="1"/>
    <xf numFmtId="0" fontId="30" fillId="0" borderId="0" xfId="0" applyFont="1" applyBorder="1"/>
    <xf numFmtId="0" fontId="0" fillId="11" borderId="1" xfId="0" applyFill="1" applyBorder="1"/>
    <xf numFmtId="0" fontId="10" fillId="11" borderId="2" xfId="0" applyFont="1" applyFill="1" applyBorder="1"/>
    <xf numFmtId="0" fontId="6" fillId="11" borderId="2" xfId="4" applyFont="1" applyFill="1" applyBorder="1"/>
    <xf numFmtId="0" fontId="8" fillId="11" borderId="2" xfId="4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5" fillId="11" borderId="1" xfId="7" applyFill="1" applyBorder="1"/>
    <xf numFmtId="0" fontId="10" fillId="11" borderId="2" xfId="1" applyFont="1" applyFill="1" applyBorder="1"/>
    <xf numFmtId="0" fontId="5" fillId="11" borderId="2" xfId="7" applyFill="1" applyBorder="1"/>
    <xf numFmtId="0" fontId="10" fillId="11" borderId="3" xfId="1" applyFont="1" applyFill="1" applyBorder="1"/>
    <xf numFmtId="0" fontId="10" fillId="11" borderId="4" xfId="1" applyFont="1" applyFill="1" applyBorder="1"/>
    <xf numFmtId="0" fontId="5" fillId="11" borderId="0" xfId="7" applyFill="1" applyBorder="1"/>
    <xf numFmtId="0" fontId="5" fillId="11" borderId="5" xfId="7" applyFill="1" applyBorder="1"/>
    <xf numFmtId="0" fontId="10" fillId="11" borderId="6" xfId="1" applyFont="1" applyFill="1" applyBorder="1"/>
    <xf numFmtId="0" fontId="5" fillId="11" borderId="7" xfId="7" applyFill="1" applyBorder="1"/>
    <xf numFmtId="0" fontId="5" fillId="11" borderId="8" xfId="7" applyFill="1" applyBorder="1"/>
    <xf numFmtId="0" fontId="10" fillId="19" borderId="0" xfId="1" applyFont="1" applyFill="1"/>
    <xf numFmtId="0" fontId="15" fillId="0" borderId="3" xfId="0" applyFont="1" applyFill="1" applyBorder="1"/>
    <xf numFmtId="0" fontId="8" fillId="19" borderId="0" xfId="4" applyFill="1"/>
    <xf numFmtId="0" fontId="31" fillId="0" borderId="0" xfId="7" applyFont="1"/>
    <xf numFmtId="0" fontId="30" fillId="0" borderId="7" xfId="0" applyFont="1" applyBorder="1"/>
    <xf numFmtId="0" fontId="30" fillId="0" borderId="8" xfId="0" applyFont="1" applyBorder="1"/>
    <xf numFmtId="0" fontId="0" fillId="0" borderId="0" xfId="0" applyFont="1" applyFill="1" applyBorder="1"/>
    <xf numFmtId="0" fontId="0" fillId="13" borderId="0" xfId="0" applyFill="1"/>
    <xf numFmtId="165" fontId="10" fillId="0" borderId="0" xfId="1" applyNumberFormat="1" applyFont="1"/>
    <xf numFmtId="2" fontId="10" fillId="0" borderId="0" xfId="1" applyNumberFormat="1" applyFont="1"/>
    <xf numFmtId="0" fontId="10" fillId="0" borderId="0" xfId="0" applyFont="1" applyBorder="1"/>
    <xf numFmtId="0" fontId="3" fillId="0" borderId="0" xfId="11"/>
    <xf numFmtId="0" fontId="20" fillId="0" borderId="0" xfId="1" applyFont="1"/>
    <xf numFmtId="0" fontId="3" fillId="11" borderId="0" xfId="11" applyFill="1"/>
    <xf numFmtId="0" fontId="3" fillId="0" borderId="0" xfId="12"/>
    <xf numFmtId="0" fontId="18" fillId="14" borderId="0" xfId="12" applyFont="1" applyFill="1"/>
    <xf numFmtId="0" fontId="3" fillId="0" borderId="0" xfId="13"/>
    <xf numFmtId="0" fontId="3" fillId="0" borderId="0" xfId="12" applyFont="1"/>
    <xf numFmtId="2" fontId="3" fillId="0" borderId="0" xfId="12" applyNumberFormat="1" applyFill="1"/>
    <xf numFmtId="2" fontId="10" fillId="0" borderId="0" xfId="1" applyNumberFormat="1"/>
    <xf numFmtId="165" fontId="15" fillId="14" borderId="0" xfId="1" applyNumberFormat="1" applyFont="1" applyFill="1"/>
    <xf numFmtId="0" fontId="3" fillId="5" borderId="1" xfId="12" applyFill="1" applyBorder="1"/>
    <xf numFmtId="0" fontId="10" fillId="5" borderId="3" xfId="1" applyFill="1" applyBorder="1"/>
    <xf numFmtId="0" fontId="3" fillId="5" borderId="4" xfId="12" applyFill="1" applyBorder="1"/>
    <xf numFmtId="0" fontId="10" fillId="5" borderId="5" xfId="1" applyFill="1" applyBorder="1"/>
    <xf numFmtId="0" fontId="3" fillId="5" borderId="4" xfId="12" applyFont="1" applyFill="1" applyBorder="1"/>
    <xf numFmtId="0" fontId="3" fillId="5" borderId="6" xfId="12" applyFont="1" applyFill="1" applyBorder="1"/>
    <xf numFmtId="0" fontId="10" fillId="5" borderId="8" xfId="1" applyFill="1" applyBorder="1"/>
    <xf numFmtId="0" fontId="3" fillId="5" borderId="1" xfId="11" applyFill="1" applyBorder="1"/>
    <xf numFmtId="0" fontId="3" fillId="5" borderId="2" xfId="13" applyFill="1" applyBorder="1"/>
    <xf numFmtId="0" fontId="3" fillId="5" borderId="3" xfId="13" applyFill="1" applyBorder="1"/>
    <xf numFmtId="0" fontId="3" fillId="5" borderId="4" xfId="11" applyFill="1" applyBorder="1"/>
    <xf numFmtId="0" fontId="3" fillId="5" borderId="0" xfId="11" applyFill="1" applyBorder="1"/>
    <xf numFmtId="0" fontId="3" fillId="5" borderId="5" xfId="11" applyFill="1" applyBorder="1"/>
    <xf numFmtId="0" fontId="3" fillId="5" borderId="6" xfId="11" applyFill="1" applyBorder="1"/>
    <xf numFmtId="0" fontId="3" fillId="5" borderId="7" xfId="11" applyFill="1" applyBorder="1"/>
    <xf numFmtId="0" fontId="3" fillId="5" borderId="8" xfId="11" applyFill="1" applyBorder="1"/>
    <xf numFmtId="0" fontId="16" fillId="0" borderId="0" xfId="1" applyFont="1"/>
    <xf numFmtId="4" fontId="10" fillId="0" borderId="0" xfId="1" applyNumberFormat="1"/>
    <xf numFmtId="0" fontId="10" fillId="0" borderId="0" xfId="1" applyBorder="1"/>
    <xf numFmtId="0" fontId="10" fillId="5" borderId="15" xfId="1" applyFill="1" applyBorder="1"/>
    <xf numFmtId="0" fontId="10" fillId="5" borderId="16" xfId="1" applyFill="1" applyBorder="1"/>
    <xf numFmtId="0" fontId="10" fillId="5" borderId="17" xfId="1" applyFill="1" applyBorder="1"/>
    <xf numFmtId="0" fontId="10" fillId="5" borderId="15" xfId="1" applyFont="1" applyFill="1" applyBorder="1"/>
    <xf numFmtId="2" fontId="16" fillId="0" borderId="0" xfId="1" applyNumberFormat="1" applyFont="1"/>
    <xf numFmtId="0" fontId="10" fillId="20" borderId="0" xfId="1" applyFill="1"/>
    <xf numFmtId="0" fontId="10" fillId="20" borderId="0" xfId="1" applyFont="1" applyFill="1"/>
    <xf numFmtId="0" fontId="30" fillId="0" borderId="0" xfId="1" applyFont="1"/>
    <xf numFmtId="0" fontId="10" fillId="20" borderId="14" xfId="1" applyFill="1" applyBorder="1"/>
    <xf numFmtId="0" fontId="16" fillId="0" borderId="0" xfId="1" applyFont="1" applyFill="1"/>
    <xf numFmtId="0" fontId="10" fillId="2" borderId="0" xfId="1" applyFill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1" xfId="0" applyFill="1" applyBorder="1"/>
    <xf numFmtId="0" fontId="0" fillId="5" borderId="8" xfId="0" applyFill="1" applyBorder="1"/>
    <xf numFmtId="0" fontId="10" fillId="5" borderId="2" xfId="1" applyFont="1" applyFill="1" applyBorder="1"/>
    <xf numFmtId="0" fontId="10" fillId="5" borderId="3" xfId="1" applyFont="1" applyFill="1" applyBorder="1"/>
    <xf numFmtId="0" fontId="0" fillId="5" borderId="7" xfId="0" applyFill="1" applyBorder="1"/>
    <xf numFmtId="0" fontId="10" fillId="5" borderId="6" xfId="0" applyFont="1" applyFill="1" applyBorder="1"/>
    <xf numFmtId="0" fontId="10" fillId="5" borderId="1" xfId="1" applyFill="1" applyBorder="1"/>
    <xf numFmtId="0" fontId="10" fillId="5" borderId="2" xfId="1" applyFill="1" applyBorder="1"/>
    <xf numFmtId="0" fontId="10" fillId="5" borderId="4" xfId="1" applyFill="1" applyBorder="1"/>
    <xf numFmtId="0" fontId="10" fillId="5" borderId="0" xfId="1" applyFill="1" applyBorder="1"/>
    <xf numFmtId="0" fontId="10" fillId="5" borderId="5" xfId="1" applyFont="1" applyFill="1" applyBorder="1"/>
    <xf numFmtId="0" fontId="16" fillId="5" borderId="0" xfId="1" applyFont="1" applyFill="1" applyBorder="1"/>
    <xf numFmtId="0" fontId="10" fillId="5" borderId="6" xfId="1" applyFont="1" applyFill="1" applyBorder="1"/>
    <xf numFmtId="0" fontId="10" fillId="5" borderId="7" xfId="1" applyFill="1" applyBorder="1"/>
    <xf numFmtId="4" fontId="16" fillId="5" borderId="7" xfId="1" applyNumberFormat="1" applyFont="1" applyFill="1" applyBorder="1"/>
    <xf numFmtId="0" fontId="10" fillId="5" borderId="8" xfId="1" applyFont="1" applyFill="1" applyBorder="1"/>
    <xf numFmtId="0" fontId="2" fillId="0" borderId="0" xfId="14"/>
    <xf numFmtId="0" fontId="2" fillId="2" borderId="0" xfId="14" applyFill="1"/>
    <xf numFmtId="0" fontId="32" fillId="0" borderId="0" xfId="11" applyFont="1"/>
    <xf numFmtId="0" fontId="33" fillId="0" borderId="0" xfId="0" applyFont="1"/>
    <xf numFmtId="0" fontId="29" fillId="21" borderId="21" xfId="8" applyFill="1" applyBorder="1" applyAlignment="1">
      <alignment horizontal="left" vertical="top"/>
    </xf>
    <xf numFmtId="0" fontId="29" fillId="22" borderId="21" xfId="8" applyFill="1" applyBorder="1" applyAlignment="1">
      <alignment horizontal="left" vertical="top"/>
    </xf>
    <xf numFmtId="0" fontId="29" fillId="22" borderId="22" xfId="8" applyFill="1" applyBorder="1" applyAlignment="1">
      <alignment horizontal="left" vertical="top"/>
    </xf>
    <xf numFmtId="166" fontId="0" fillId="0" borderId="0" xfId="0" applyNumberFormat="1" applyBorder="1"/>
    <xf numFmtId="167" fontId="0" fillId="0" borderId="0" xfId="0" applyNumberFormat="1"/>
    <xf numFmtId="0" fontId="15" fillId="0" borderId="4" xfId="0" applyFont="1" applyFill="1" applyBorder="1"/>
    <xf numFmtId="0" fontId="15" fillId="0" borderId="5" xfId="0" applyFont="1" applyFill="1" applyBorder="1"/>
    <xf numFmtId="0" fontId="1" fillId="0" borderId="0" xfId="7" applyFont="1"/>
    <xf numFmtId="4" fontId="0" fillId="0" borderId="0" xfId="0" applyNumberFormat="1"/>
    <xf numFmtId="2" fontId="0" fillId="0" borderId="0" xfId="0" applyNumberFormat="1"/>
    <xf numFmtId="168" fontId="10" fillId="0" borderId="0" xfId="0" applyNumberFormat="1" applyFont="1"/>
    <xf numFmtId="0" fontId="35" fillId="0" borderId="0" xfId="0" applyFont="1" applyFill="1" applyBorder="1" applyAlignment="1">
      <alignment horizontal="center"/>
    </xf>
    <xf numFmtId="2" fontId="36" fillId="0" borderId="0" xfId="15" applyNumberFormat="1" applyFont="1" applyBorder="1" applyAlignment="1">
      <alignment horizontal="left" vertical="top" wrapText="1" shrinkToFit="1"/>
    </xf>
    <xf numFmtId="2" fontId="36" fillId="0" borderId="0" xfId="0" applyNumberFormat="1" applyFont="1" applyBorder="1"/>
    <xf numFmtId="168" fontId="0" fillId="0" borderId="0" xfId="0" applyNumberFormat="1"/>
    <xf numFmtId="0" fontId="10" fillId="20" borderId="0" xfId="1" applyFill="1" applyBorder="1"/>
  </cellXfs>
  <cellStyles count="16">
    <cellStyle name="Hyperlink" xfId="2" builtinId="8"/>
    <cellStyle name="Hyperlink 2" xfId="8"/>
    <cellStyle name="Normal" xfId="0" builtinId="0"/>
    <cellStyle name="Normal 2" xfId="1"/>
    <cellStyle name="Normal 3" xfId="3"/>
    <cellStyle name="Normal 3 2" xfId="9"/>
    <cellStyle name="Normal 3 3" xfId="10"/>
    <cellStyle name="Normal 4" xfId="4"/>
    <cellStyle name="Normal 4 2" xfId="13"/>
    <cellStyle name="Normal 5" xfId="5"/>
    <cellStyle name="Normal 5 2" xfId="12"/>
    <cellStyle name="Normal 5 3" xfId="14"/>
    <cellStyle name="Normal 6" xfId="6"/>
    <cellStyle name="Normal 7" xfId="7"/>
    <cellStyle name="Normal 8" xfId="11"/>
    <cellStyle name="Percent" xfId="1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622448</xdr:colOff>
      <xdr:row>17</xdr:row>
      <xdr:rowOff>23606</xdr:rowOff>
    </xdr:from>
    <xdr:to>
      <xdr:col>9</xdr:col>
      <xdr:colOff>803605</xdr:colOff>
      <xdr:row>21</xdr:row>
      <xdr:rowOff>41162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5E0123-6CB5-4DAF-BB8A-223C7BC4A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19" y="2791459"/>
          <a:ext cx="3134654" cy="758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94995</xdr:colOff>
      <xdr:row>1</xdr:row>
      <xdr:rowOff>175559</xdr:rowOff>
    </xdr:from>
    <xdr:to>
      <xdr:col>31</xdr:col>
      <xdr:colOff>301588</xdr:colOff>
      <xdr:row>38</xdr:row>
      <xdr:rowOff>64472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5908CC-82A5-4BEE-9FAF-4346BD25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4515" y="358439"/>
          <a:ext cx="4473792" cy="6777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ung%20and%20Vic/Desktop/9.%20NOAA/SAM/US%20SAMHC%20Far%20W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 core"/>
      <sheetName val="security payments"/>
      <sheetName val="sector employment"/>
      <sheetName val="employ"/>
      <sheetName val="SAM"/>
      <sheetName val="I-O "/>
      <sheetName val="outsam"/>
      <sheetName val="consumption"/>
      <sheetName val="Kap"/>
      <sheetName val="tax"/>
      <sheetName val="capcom"/>
      <sheetName val="Sheet1"/>
      <sheetName val="Sheet3"/>
      <sheetName val="import-export"/>
    </sheetNames>
    <sheetDataSet>
      <sheetData sheetId="0">
        <row r="2">
          <cell r="V2">
            <v>973462</v>
          </cell>
        </row>
        <row r="3">
          <cell r="V3">
            <v>769967</v>
          </cell>
        </row>
        <row r="4">
          <cell r="V4">
            <v>1490748</v>
          </cell>
        </row>
        <row r="5">
          <cell r="V5">
            <v>1462568</v>
          </cell>
        </row>
        <row r="6">
          <cell r="V6">
            <v>2108300</v>
          </cell>
        </row>
        <row r="7">
          <cell r="V7">
            <v>3099712</v>
          </cell>
        </row>
        <row r="8">
          <cell r="V8">
            <v>2355213</v>
          </cell>
        </row>
        <row r="9">
          <cell r="V9">
            <v>2974789</v>
          </cell>
        </row>
        <row r="10">
          <cell r="V10">
            <v>3308944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ics.com/six-digit-naics/?code=48-49" TargetMode="External"/><Relationship Id="rId13" Type="http://schemas.openxmlformats.org/officeDocument/2006/relationships/hyperlink" Target="https://www.naics.com/six-digit-naics/?code=55" TargetMode="External"/><Relationship Id="rId18" Type="http://schemas.openxmlformats.org/officeDocument/2006/relationships/hyperlink" Target="https://www.naics.com/six-digit-naics/?code=72" TargetMode="External"/><Relationship Id="rId3" Type="http://schemas.openxmlformats.org/officeDocument/2006/relationships/hyperlink" Target="https://www.naics.com/six-digit-naics/?code=22" TargetMode="External"/><Relationship Id="rId7" Type="http://schemas.openxmlformats.org/officeDocument/2006/relationships/hyperlink" Target="https://www.naics.com/six-digit-naics/?code=44-45" TargetMode="External"/><Relationship Id="rId12" Type="http://schemas.openxmlformats.org/officeDocument/2006/relationships/hyperlink" Target="https://www.naics.com/six-digit-naics/?code=54" TargetMode="External"/><Relationship Id="rId17" Type="http://schemas.openxmlformats.org/officeDocument/2006/relationships/hyperlink" Target="https://www.naics.com/six-digit-naics/?code=71" TargetMode="External"/><Relationship Id="rId2" Type="http://schemas.openxmlformats.org/officeDocument/2006/relationships/hyperlink" Target="https://www.naics.com/six-digit-naics/?code=21" TargetMode="External"/><Relationship Id="rId16" Type="http://schemas.openxmlformats.org/officeDocument/2006/relationships/hyperlink" Target="https://www.naics.com/six-digit-naics/?code=62" TargetMode="External"/><Relationship Id="rId20" Type="http://schemas.openxmlformats.org/officeDocument/2006/relationships/hyperlink" Target="https://www.naics.com/six-digit-naics/?code=92" TargetMode="External"/><Relationship Id="rId1" Type="http://schemas.openxmlformats.org/officeDocument/2006/relationships/hyperlink" Target="https://www.naics.com/six-digit-naics/?code=11" TargetMode="External"/><Relationship Id="rId6" Type="http://schemas.openxmlformats.org/officeDocument/2006/relationships/hyperlink" Target="https://www.naics.com/six-digit-naics/?code=42" TargetMode="External"/><Relationship Id="rId11" Type="http://schemas.openxmlformats.org/officeDocument/2006/relationships/hyperlink" Target="https://www.naics.com/six-digit-naics/?code=53" TargetMode="External"/><Relationship Id="rId5" Type="http://schemas.openxmlformats.org/officeDocument/2006/relationships/hyperlink" Target="https://www.naics.com/six-digit-naics/?code=31-33" TargetMode="External"/><Relationship Id="rId15" Type="http://schemas.openxmlformats.org/officeDocument/2006/relationships/hyperlink" Target="https://www.naics.com/six-digit-naics/?code=61" TargetMode="External"/><Relationship Id="rId10" Type="http://schemas.openxmlformats.org/officeDocument/2006/relationships/hyperlink" Target="https://www.naics.com/six-digit-naics/?code=52" TargetMode="External"/><Relationship Id="rId19" Type="http://schemas.openxmlformats.org/officeDocument/2006/relationships/hyperlink" Target="https://www.naics.com/six-digit-naics/?code=81" TargetMode="External"/><Relationship Id="rId4" Type="http://schemas.openxmlformats.org/officeDocument/2006/relationships/hyperlink" Target="https://www.naics.com/six-digit-naics/?code=23" TargetMode="External"/><Relationship Id="rId9" Type="http://schemas.openxmlformats.org/officeDocument/2006/relationships/hyperlink" Target="https://www.naics.com/six-digit-naics/?code=51" TargetMode="External"/><Relationship Id="rId14" Type="http://schemas.openxmlformats.org/officeDocument/2006/relationships/hyperlink" Target="https://www.naics.com/six-digit-naics/?code=56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s.bea.gov/iTable/index_industry_io.cf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oregonlegislature.gov/lro/Documents/final%202.pdf" TargetMode="External"/><Relationship Id="rId1" Type="http://schemas.openxmlformats.org/officeDocument/2006/relationships/hyperlink" Target="http://www.cityofseaside.us/sites/default/files/docs/city_of_seaside_budget_2017-2018_page_1-68.pdf" TargetMode="External"/><Relationship Id="rId4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2"/>
  <sheetViews>
    <sheetView topLeftCell="A175" workbookViewId="0">
      <selection activeCell="F190" sqref="F190"/>
    </sheetView>
  </sheetViews>
  <sheetFormatPr defaultRowHeight="14.4"/>
  <sheetData>
    <row r="1" spans="1:20">
      <c r="A1" t="s">
        <v>31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212</v>
      </c>
    </row>
    <row r="2" spans="1:20">
      <c r="A2" s="66" t="s">
        <v>32</v>
      </c>
      <c r="B2">
        <v>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6890</v>
      </c>
      <c r="J2">
        <v>0</v>
      </c>
      <c r="K2">
        <v>107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53</v>
      </c>
      <c r="S2">
        <v>0</v>
      </c>
      <c r="T2">
        <v>160</v>
      </c>
    </row>
    <row r="3" spans="1:20">
      <c r="A3" s="66" t="s">
        <v>33</v>
      </c>
      <c r="B3">
        <v>0</v>
      </c>
      <c r="C3">
        <v>3451</v>
      </c>
      <c r="D3">
        <v>0</v>
      </c>
      <c r="E3">
        <v>204</v>
      </c>
      <c r="F3">
        <v>0</v>
      </c>
      <c r="G3">
        <v>3396</v>
      </c>
      <c r="H3">
        <v>0</v>
      </c>
      <c r="I3">
        <v>0</v>
      </c>
      <c r="J3">
        <v>0</v>
      </c>
      <c r="K3">
        <v>0</v>
      </c>
      <c r="L3">
        <v>238</v>
      </c>
      <c r="M3">
        <v>0</v>
      </c>
      <c r="N3">
        <v>6</v>
      </c>
      <c r="O3">
        <v>0</v>
      </c>
      <c r="P3">
        <v>58</v>
      </c>
      <c r="Q3">
        <v>0</v>
      </c>
      <c r="R3">
        <v>0</v>
      </c>
      <c r="S3">
        <v>0</v>
      </c>
      <c r="T3">
        <v>302</v>
      </c>
    </row>
    <row r="4" spans="1:20">
      <c r="A4" s="66" t="s">
        <v>34</v>
      </c>
      <c r="B4">
        <v>0</v>
      </c>
      <c r="C4">
        <v>0</v>
      </c>
      <c r="D4">
        <v>0</v>
      </c>
      <c r="E4">
        <v>0</v>
      </c>
      <c r="F4">
        <v>3913</v>
      </c>
      <c r="G4">
        <v>10857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91</v>
      </c>
      <c r="P4">
        <v>176</v>
      </c>
      <c r="Q4">
        <v>0</v>
      </c>
      <c r="R4">
        <v>0</v>
      </c>
      <c r="S4">
        <v>0</v>
      </c>
      <c r="T4">
        <v>267</v>
      </c>
    </row>
    <row r="5" spans="1:20">
      <c r="A5" s="66" t="s">
        <v>35</v>
      </c>
      <c r="B5">
        <v>0</v>
      </c>
      <c r="C5">
        <v>0</v>
      </c>
      <c r="D5">
        <v>0</v>
      </c>
      <c r="E5">
        <v>991.79998779296875</v>
      </c>
      <c r="F5">
        <v>825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38</v>
      </c>
      <c r="O5">
        <v>22</v>
      </c>
      <c r="P5">
        <v>0</v>
      </c>
      <c r="Q5">
        <v>0</v>
      </c>
      <c r="R5">
        <v>0</v>
      </c>
      <c r="S5">
        <v>0</v>
      </c>
      <c r="T5">
        <v>60</v>
      </c>
    </row>
    <row r="6" spans="1:20">
      <c r="A6" s="66" t="s">
        <v>36</v>
      </c>
      <c r="B6">
        <v>0</v>
      </c>
      <c r="C6">
        <v>0</v>
      </c>
      <c r="D6">
        <v>0</v>
      </c>
      <c r="E6">
        <v>0</v>
      </c>
      <c r="F6">
        <v>1040</v>
      </c>
      <c r="G6">
        <v>0</v>
      </c>
      <c r="H6">
        <v>0</v>
      </c>
      <c r="I6">
        <v>9715</v>
      </c>
      <c r="J6">
        <v>8550</v>
      </c>
      <c r="K6">
        <v>0</v>
      </c>
      <c r="L6">
        <v>0</v>
      </c>
      <c r="M6">
        <v>0</v>
      </c>
      <c r="N6">
        <v>0</v>
      </c>
      <c r="O6">
        <v>26</v>
      </c>
      <c r="P6">
        <v>0</v>
      </c>
      <c r="Q6">
        <v>0</v>
      </c>
      <c r="R6">
        <v>67</v>
      </c>
      <c r="S6">
        <v>57</v>
      </c>
      <c r="T6">
        <v>150</v>
      </c>
    </row>
    <row r="7" spans="1:20">
      <c r="A7" s="66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66" t="s">
        <v>38</v>
      </c>
      <c r="B8">
        <v>0</v>
      </c>
      <c r="C8">
        <v>0</v>
      </c>
      <c r="D8">
        <v>0</v>
      </c>
      <c r="E8">
        <v>0</v>
      </c>
      <c r="F8">
        <v>8851</v>
      </c>
      <c r="G8">
        <v>0</v>
      </c>
      <c r="H8">
        <v>3920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205</v>
      </c>
      <c r="P8">
        <v>0</v>
      </c>
      <c r="Q8">
        <v>40</v>
      </c>
      <c r="R8">
        <v>0</v>
      </c>
      <c r="S8">
        <v>0</v>
      </c>
      <c r="T8">
        <v>245</v>
      </c>
    </row>
    <row r="9" spans="1:20">
      <c r="A9" s="66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6750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54</v>
      </c>
      <c r="S9">
        <v>0</v>
      </c>
      <c r="T9">
        <v>54</v>
      </c>
    </row>
    <row r="10" spans="1:20">
      <c r="A10" t="s">
        <v>40</v>
      </c>
      <c r="B10">
        <v>0</v>
      </c>
      <c r="C10">
        <v>0</v>
      </c>
      <c r="D10">
        <v>0</v>
      </c>
      <c r="E10">
        <v>0</v>
      </c>
      <c r="F10">
        <v>3827.199951171875</v>
      </c>
      <c r="G10">
        <v>3339</v>
      </c>
      <c r="H10">
        <v>0</v>
      </c>
      <c r="I10">
        <v>9310</v>
      </c>
      <c r="J10">
        <v>0</v>
      </c>
      <c r="K10">
        <v>0</v>
      </c>
      <c r="L10">
        <v>0</v>
      </c>
      <c r="M10">
        <v>0</v>
      </c>
      <c r="N10">
        <v>0</v>
      </c>
      <c r="O10">
        <v>92</v>
      </c>
      <c r="P10">
        <v>63</v>
      </c>
      <c r="Q10">
        <v>0</v>
      </c>
      <c r="R10">
        <v>70</v>
      </c>
      <c r="S10">
        <v>0</v>
      </c>
      <c r="T10">
        <v>225</v>
      </c>
    </row>
    <row r="11" spans="1:20">
      <c r="A11" t="s">
        <v>41</v>
      </c>
      <c r="B11">
        <v>148.80000305175781</v>
      </c>
      <c r="C11">
        <v>0</v>
      </c>
      <c r="D11">
        <v>0</v>
      </c>
      <c r="E11">
        <v>0</v>
      </c>
      <c r="F11">
        <v>8820</v>
      </c>
      <c r="G11">
        <v>1920</v>
      </c>
      <c r="H11">
        <v>0</v>
      </c>
      <c r="I11">
        <v>0</v>
      </c>
      <c r="J11">
        <v>0</v>
      </c>
      <c r="K11">
        <v>124</v>
      </c>
      <c r="L11">
        <v>0</v>
      </c>
      <c r="M11">
        <v>0</v>
      </c>
      <c r="N11">
        <v>0</v>
      </c>
      <c r="O11">
        <v>245</v>
      </c>
      <c r="P11">
        <v>32</v>
      </c>
      <c r="Q11">
        <v>0</v>
      </c>
      <c r="R11">
        <v>0</v>
      </c>
      <c r="S11">
        <v>0</v>
      </c>
      <c r="T11">
        <v>401</v>
      </c>
    </row>
    <row r="12" spans="1:20">
      <c r="A12" t="s">
        <v>42</v>
      </c>
      <c r="B12">
        <v>0</v>
      </c>
      <c r="C12">
        <v>0</v>
      </c>
      <c r="D12">
        <v>1095</v>
      </c>
      <c r="E12">
        <v>0</v>
      </c>
      <c r="F12">
        <v>0</v>
      </c>
      <c r="G12">
        <v>5858</v>
      </c>
      <c r="H12">
        <v>0</v>
      </c>
      <c r="I12">
        <v>0</v>
      </c>
      <c r="J12">
        <v>0</v>
      </c>
      <c r="K12">
        <v>0</v>
      </c>
      <c r="L12">
        <v>0</v>
      </c>
      <c r="M12">
        <v>73</v>
      </c>
      <c r="N12">
        <v>0</v>
      </c>
      <c r="O12">
        <v>0</v>
      </c>
      <c r="P12">
        <v>101</v>
      </c>
      <c r="Q12">
        <v>0</v>
      </c>
      <c r="R12">
        <v>0</v>
      </c>
      <c r="S12">
        <v>0</v>
      </c>
      <c r="T12">
        <v>174</v>
      </c>
    </row>
    <row r="13" spans="1:20">
      <c r="A13" s="66" t="s">
        <v>43</v>
      </c>
      <c r="B13">
        <v>3965.9999618530273</v>
      </c>
      <c r="C13">
        <v>2180.5999755859375</v>
      </c>
      <c r="D13">
        <v>7925.5</v>
      </c>
      <c r="E13">
        <v>7090.800048828125</v>
      </c>
      <c r="F13">
        <v>27832</v>
      </c>
      <c r="G13">
        <v>94891</v>
      </c>
      <c r="H13">
        <v>64251</v>
      </c>
      <c r="I13">
        <v>30750</v>
      </c>
      <c r="J13">
        <v>34977</v>
      </c>
      <c r="K13">
        <v>1121</v>
      </c>
      <c r="L13">
        <v>197</v>
      </c>
      <c r="M13">
        <v>437</v>
      </c>
      <c r="N13">
        <v>234</v>
      </c>
      <c r="O13">
        <v>712</v>
      </c>
      <c r="P13">
        <v>1637</v>
      </c>
      <c r="Q13">
        <v>755</v>
      </c>
      <c r="R13">
        <v>296</v>
      </c>
      <c r="S13">
        <v>89</v>
      </c>
      <c r="T13">
        <v>5478</v>
      </c>
    </row>
    <row r="14" spans="1:20">
      <c r="A14" t="s">
        <v>44</v>
      </c>
      <c r="B14">
        <v>57.75</v>
      </c>
      <c r="C14">
        <v>0</v>
      </c>
      <c r="D14">
        <v>0</v>
      </c>
      <c r="E14">
        <v>0</v>
      </c>
      <c r="F14">
        <v>6210</v>
      </c>
      <c r="G14">
        <v>4235</v>
      </c>
      <c r="H14">
        <v>0</v>
      </c>
      <c r="I14">
        <v>0</v>
      </c>
      <c r="J14">
        <v>0</v>
      </c>
      <c r="K14">
        <v>231</v>
      </c>
      <c r="L14">
        <v>0</v>
      </c>
      <c r="M14">
        <v>0</v>
      </c>
      <c r="N14">
        <v>0</v>
      </c>
      <c r="O14">
        <v>138</v>
      </c>
      <c r="P14">
        <v>77</v>
      </c>
      <c r="Q14">
        <v>0</v>
      </c>
      <c r="R14">
        <v>0</v>
      </c>
      <c r="S14">
        <v>0</v>
      </c>
      <c r="T14">
        <v>446</v>
      </c>
    </row>
    <row r="15" spans="1:20">
      <c r="A15" t="s">
        <v>45</v>
      </c>
      <c r="B15">
        <v>0</v>
      </c>
      <c r="C15">
        <v>0</v>
      </c>
      <c r="D15">
        <v>874.5</v>
      </c>
      <c r="E15">
        <v>0</v>
      </c>
      <c r="F15">
        <v>3111</v>
      </c>
      <c r="G15">
        <v>1350</v>
      </c>
      <c r="H15">
        <v>0</v>
      </c>
      <c r="I15">
        <v>0</v>
      </c>
      <c r="J15">
        <v>0</v>
      </c>
      <c r="K15">
        <v>0</v>
      </c>
      <c r="L15">
        <v>0</v>
      </c>
      <c r="M15">
        <v>55</v>
      </c>
      <c r="N15">
        <v>0</v>
      </c>
      <c r="O15">
        <v>73</v>
      </c>
      <c r="P15">
        <v>25</v>
      </c>
      <c r="Q15">
        <v>0</v>
      </c>
      <c r="R15">
        <v>0</v>
      </c>
      <c r="S15">
        <v>0</v>
      </c>
      <c r="T15">
        <v>153</v>
      </c>
    </row>
    <row r="16" spans="1:20">
      <c r="A16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47</v>
      </c>
      <c r="B17">
        <v>0</v>
      </c>
      <c r="C17">
        <v>0</v>
      </c>
      <c r="D17">
        <v>920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</v>
      </c>
    </row>
    <row r="18" spans="1:20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9434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178</v>
      </c>
      <c r="Q19">
        <v>0</v>
      </c>
      <c r="R19">
        <v>0</v>
      </c>
      <c r="S19">
        <v>0</v>
      </c>
      <c r="T19">
        <v>178</v>
      </c>
    </row>
    <row r="20" spans="1:20">
      <c r="A20" t="s">
        <v>50</v>
      </c>
      <c r="B20">
        <v>188.5</v>
      </c>
      <c r="C20">
        <v>0</v>
      </c>
      <c r="D20">
        <v>2705.199951171875</v>
      </c>
      <c r="E20">
        <v>0</v>
      </c>
      <c r="F20">
        <v>3264</v>
      </c>
      <c r="G20">
        <v>2170</v>
      </c>
      <c r="H20">
        <v>2964</v>
      </c>
      <c r="I20">
        <v>0</v>
      </c>
      <c r="J20">
        <v>0</v>
      </c>
      <c r="K20">
        <v>65</v>
      </c>
      <c r="L20">
        <v>0</v>
      </c>
      <c r="M20">
        <v>148</v>
      </c>
      <c r="N20">
        <v>0</v>
      </c>
      <c r="O20">
        <v>68</v>
      </c>
      <c r="P20">
        <v>31</v>
      </c>
      <c r="Q20">
        <v>38</v>
      </c>
      <c r="R20">
        <v>0</v>
      </c>
      <c r="S20">
        <v>0</v>
      </c>
      <c r="T20">
        <v>350</v>
      </c>
    </row>
    <row r="21" spans="1:20">
      <c r="A21" t="s">
        <v>51</v>
      </c>
      <c r="B21">
        <v>737.0999755859375</v>
      </c>
      <c r="C21">
        <v>0</v>
      </c>
      <c r="D21">
        <v>0</v>
      </c>
      <c r="E21">
        <v>0</v>
      </c>
      <c r="F21">
        <v>0</v>
      </c>
      <c r="G21">
        <v>2912</v>
      </c>
      <c r="H21">
        <v>0</v>
      </c>
      <c r="I21">
        <v>0</v>
      </c>
      <c r="J21">
        <v>0</v>
      </c>
      <c r="K21">
        <v>273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0</v>
      </c>
      <c r="T21">
        <v>329</v>
      </c>
    </row>
    <row r="22" spans="1:20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53</v>
      </c>
      <c r="B23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94</v>
      </c>
    </row>
    <row r="24" spans="1:20">
      <c r="A24" t="s">
        <v>54</v>
      </c>
      <c r="B24">
        <v>0</v>
      </c>
      <c r="C24">
        <v>0</v>
      </c>
      <c r="D24">
        <v>2041.4000244140625</v>
      </c>
      <c r="E24">
        <v>4620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118</v>
      </c>
      <c r="N24">
        <v>154</v>
      </c>
      <c r="O24">
        <v>0</v>
      </c>
      <c r="P24">
        <v>0</v>
      </c>
      <c r="Q24">
        <v>0</v>
      </c>
      <c r="R24">
        <v>0</v>
      </c>
      <c r="S24">
        <v>0</v>
      </c>
      <c r="T24">
        <v>272</v>
      </c>
    </row>
    <row r="25" spans="1:20">
      <c r="A25" t="s">
        <v>55</v>
      </c>
      <c r="B25">
        <v>335</v>
      </c>
      <c r="C25">
        <v>0</v>
      </c>
      <c r="D25">
        <v>150</v>
      </c>
      <c r="E25">
        <v>7896</v>
      </c>
      <c r="F25">
        <v>10492</v>
      </c>
      <c r="G25">
        <v>2744</v>
      </c>
      <c r="H25">
        <v>0</v>
      </c>
      <c r="I25">
        <v>7140</v>
      </c>
      <c r="J25">
        <v>0</v>
      </c>
      <c r="K25">
        <v>67</v>
      </c>
      <c r="L25">
        <v>0</v>
      </c>
      <c r="M25">
        <v>10</v>
      </c>
      <c r="N25">
        <v>282</v>
      </c>
      <c r="O25">
        <v>242</v>
      </c>
      <c r="P25">
        <v>49</v>
      </c>
      <c r="Q25">
        <v>0</v>
      </c>
      <c r="R25">
        <v>51</v>
      </c>
      <c r="S25">
        <v>0</v>
      </c>
      <c r="T25">
        <v>701</v>
      </c>
    </row>
    <row r="26" spans="1:20">
      <c r="A26" t="s">
        <v>56</v>
      </c>
      <c r="B26">
        <v>88.800003051757813</v>
      </c>
      <c r="C26">
        <v>0</v>
      </c>
      <c r="D26">
        <v>1062</v>
      </c>
      <c r="E26">
        <v>0</v>
      </c>
      <c r="F26">
        <v>0</v>
      </c>
      <c r="G26">
        <v>4290</v>
      </c>
      <c r="H26">
        <v>0</v>
      </c>
      <c r="I26">
        <v>0</v>
      </c>
      <c r="J26">
        <v>0</v>
      </c>
      <c r="K26">
        <v>37</v>
      </c>
      <c r="L26">
        <v>0</v>
      </c>
      <c r="M26">
        <v>59</v>
      </c>
      <c r="N26">
        <v>0</v>
      </c>
      <c r="O26">
        <v>0</v>
      </c>
      <c r="P26">
        <v>66</v>
      </c>
      <c r="Q26">
        <v>0</v>
      </c>
      <c r="R26">
        <v>0</v>
      </c>
      <c r="S26">
        <v>0</v>
      </c>
      <c r="T26">
        <v>162</v>
      </c>
    </row>
    <row r="27" spans="1:20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10325</v>
      </c>
      <c r="H27">
        <v>9935</v>
      </c>
      <c r="I27">
        <v>7600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180</v>
      </c>
      <c r="Q27">
        <v>127</v>
      </c>
      <c r="R27">
        <v>76</v>
      </c>
      <c r="S27">
        <v>0</v>
      </c>
      <c r="T27">
        <v>383</v>
      </c>
    </row>
    <row r="28" spans="1:20">
      <c r="A28" t="s">
        <v>58</v>
      </c>
      <c r="B28">
        <v>0</v>
      </c>
      <c r="C28">
        <v>0</v>
      </c>
      <c r="D28">
        <v>645</v>
      </c>
      <c r="E28">
        <v>0</v>
      </c>
      <c r="F28">
        <v>0</v>
      </c>
      <c r="G28">
        <v>7672</v>
      </c>
      <c r="H28">
        <v>7125</v>
      </c>
      <c r="I28">
        <v>0</v>
      </c>
      <c r="J28">
        <v>0</v>
      </c>
      <c r="K28">
        <v>0</v>
      </c>
      <c r="L28">
        <v>0</v>
      </c>
      <c r="M28">
        <v>43</v>
      </c>
      <c r="N28">
        <v>0</v>
      </c>
      <c r="O28">
        <v>0</v>
      </c>
      <c r="P28">
        <v>137</v>
      </c>
      <c r="Q28">
        <v>95</v>
      </c>
      <c r="R28">
        <v>0</v>
      </c>
      <c r="S28">
        <v>0</v>
      </c>
      <c r="T28">
        <v>275</v>
      </c>
    </row>
    <row r="29" spans="1:20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5390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77</v>
      </c>
      <c r="Q29">
        <v>0</v>
      </c>
      <c r="R29">
        <v>0</v>
      </c>
      <c r="S29">
        <v>0</v>
      </c>
      <c r="T29">
        <v>77</v>
      </c>
    </row>
    <row r="30" spans="1:20">
      <c r="A30" t="s">
        <v>60</v>
      </c>
      <c r="B30">
        <v>0</v>
      </c>
      <c r="C30">
        <v>0</v>
      </c>
      <c r="D30">
        <v>0</v>
      </c>
      <c r="E30">
        <v>0</v>
      </c>
      <c r="F30">
        <v>11246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239</v>
      </c>
      <c r="P30">
        <v>0</v>
      </c>
      <c r="Q30">
        <v>0</v>
      </c>
      <c r="R30">
        <v>0</v>
      </c>
      <c r="S30">
        <v>0</v>
      </c>
      <c r="T30">
        <v>239</v>
      </c>
    </row>
    <row r="31" spans="1:20">
      <c r="A31" t="s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63</v>
      </c>
      <c r="B33">
        <v>288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72</v>
      </c>
    </row>
    <row r="34" spans="1:20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10600</v>
      </c>
      <c r="H34">
        <v>26265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161</v>
      </c>
      <c r="Q34">
        <v>309</v>
      </c>
      <c r="R34">
        <v>0</v>
      </c>
      <c r="S34">
        <v>0</v>
      </c>
      <c r="T34">
        <v>470</v>
      </c>
    </row>
    <row r="35" spans="1:20">
      <c r="A35" t="s">
        <v>65</v>
      </c>
      <c r="B35">
        <v>0</v>
      </c>
      <c r="C35">
        <v>0</v>
      </c>
      <c r="D35">
        <v>0</v>
      </c>
      <c r="E35">
        <v>0</v>
      </c>
      <c r="F35">
        <v>3984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83</v>
      </c>
      <c r="P35">
        <v>0</v>
      </c>
      <c r="Q35">
        <v>0</v>
      </c>
      <c r="R35">
        <v>0</v>
      </c>
      <c r="S35">
        <v>0</v>
      </c>
      <c r="T35">
        <v>83</v>
      </c>
    </row>
    <row r="36" spans="1:20">
      <c r="A36" t="s">
        <v>66</v>
      </c>
      <c r="B36">
        <v>0</v>
      </c>
      <c r="C36">
        <v>0</v>
      </c>
      <c r="D36">
        <v>0</v>
      </c>
      <c r="E36">
        <v>3276</v>
      </c>
      <c r="F36">
        <v>6511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117</v>
      </c>
      <c r="O36">
        <v>140</v>
      </c>
      <c r="P36">
        <v>0</v>
      </c>
      <c r="Q36">
        <v>0</v>
      </c>
      <c r="R36">
        <v>0</v>
      </c>
      <c r="S36">
        <v>0</v>
      </c>
      <c r="T36">
        <v>257</v>
      </c>
    </row>
    <row r="37" spans="1:20">
      <c r="A37" t="s">
        <v>67</v>
      </c>
      <c r="B37">
        <v>24.940000534057617</v>
      </c>
      <c r="C37">
        <v>0</v>
      </c>
      <c r="D37">
        <v>0</v>
      </c>
      <c r="E37">
        <v>0</v>
      </c>
      <c r="F37">
        <v>8857.2001953125</v>
      </c>
      <c r="G37">
        <v>14519</v>
      </c>
      <c r="H37">
        <v>0</v>
      </c>
      <c r="I37">
        <v>5830</v>
      </c>
      <c r="J37">
        <v>0</v>
      </c>
      <c r="K37">
        <v>58</v>
      </c>
      <c r="L37">
        <v>0</v>
      </c>
      <c r="M37">
        <v>0</v>
      </c>
      <c r="N37">
        <v>0</v>
      </c>
      <c r="O37">
        <v>183</v>
      </c>
      <c r="P37">
        <v>243</v>
      </c>
      <c r="Q37">
        <v>0</v>
      </c>
      <c r="R37">
        <v>53</v>
      </c>
      <c r="S37">
        <v>0</v>
      </c>
      <c r="T37">
        <v>537</v>
      </c>
    </row>
    <row r="38" spans="1:20">
      <c r="A38" t="s">
        <v>68</v>
      </c>
      <c r="B38">
        <v>0</v>
      </c>
      <c r="C38">
        <v>0</v>
      </c>
      <c r="D38">
        <v>0</v>
      </c>
      <c r="E38">
        <v>4930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179</v>
      </c>
      <c r="O38">
        <v>0</v>
      </c>
      <c r="P38">
        <v>0</v>
      </c>
      <c r="Q38">
        <v>0</v>
      </c>
      <c r="R38">
        <v>0</v>
      </c>
      <c r="S38">
        <v>0</v>
      </c>
      <c r="T38">
        <v>179</v>
      </c>
    </row>
    <row r="39" spans="1:20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4800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</v>
      </c>
      <c r="R39">
        <v>0</v>
      </c>
      <c r="S39">
        <v>0</v>
      </c>
      <c r="T39">
        <v>50</v>
      </c>
    </row>
    <row r="40" spans="1:20">
      <c r="A40" t="s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1872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</v>
      </c>
      <c r="Q40">
        <v>0</v>
      </c>
      <c r="R40">
        <v>0</v>
      </c>
      <c r="S40">
        <v>0</v>
      </c>
      <c r="T40">
        <v>36</v>
      </c>
    </row>
    <row r="41" spans="1:20">
      <c r="A41" t="s">
        <v>71</v>
      </c>
      <c r="B41">
        <v>0</v>
      </c>
      <c r="C41">
        <v>0</v>
      </c>
      <c r="D41">
        <v>0</v>
      </c>
      <c r="E41">
        <v>0</v>
      </c>
      <c r="F41">
        <v>3360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70</v>
      </c>
      <c r="P41">
        <v>0</v>
      </c>
      <c r="Q41">
        <v>0</v>
      </c>
      <c r="R41">
        <v>0</v>
      </c>
      <c r="S41">
        <v>0</v>
      </c>
      <c r="T41">
        <v>70</v>
      </c>
    </row>
    <row r="42" spans="1:20">
      <c r="A42" t="s">
        <v>72</v>
      </c>
      <c r="B42">
        <v>882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198</v>
      </c>
    </row>
    <row r="43" spans="1:20">
      <c r="A43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7150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110</v>
      </c>
      <c r="Q43">
        <v>0</v>
      </c>
      <c r="R43">
        <v>0</v>
      </c>
      <c r="S43">
        <v>0</v>
      </c>
      <c r="T43">
        <v>110</v>
      </c>
    </row>
    <row r="44" spans="1:20">
      <c r="A44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12064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208</v>
      </c>
      <c r="Q44">
        <v>0</v>
      </c>
      <c r="R44">
        <v>0</v>
      </c>
      <c r="S44">
        <v>0</v>
      </c>
      <c r="T44">
        <v>208</v>
      </c>
    </row>
    <row r="45" spans="1:20">
      <c r="A45" t="s">
        <v>75</v>
      </c>
      <c r="B45">
        <v>0</v>
      </c>
      <c r="C45">
        <v>0</v>
      </c>
      <c r="D45">
        <v>0</v>
      </c>
      <c r="E45">
        <v>2040</v>
      </c>
      <c r="F45">
        <v>0</v>
      </c>
      <c r="G45">
        <v>0</v>
      </c>
      <c r="H45">
        <v>0</v>
      </c>
      <c r="I45">
        <v>2800</v>
      </c>
      <c r="J45">
        <v>0</v>
      </c>
      <c r="K45">
        <v>0</v>
      </c>
      <c r="L45">
        <v>0</v>
      </c>
      <c r="M45">
        <v>0</v>
      </c>
      <c r="N45">
        <v>68</v>
      </c>
      <c r="O45">
        <v>0</v>
      </c>
      <c r="P45">
        <v>0</v>
      </c>
      <c r="Q45">
        <v>0</v>
      </c>
      <c r="R45">
        <v>28</v>
      </c>
      <c r="S45">
        <v>0</v>
      </c>
      <c r="T45">
        <v>96</v>
      </c>
    </row>
    <row r="46" spans="1:20">
      <c r="A46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20916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249</v>
      </c>
      <c r="R46">
        <v>0</v>
      </c>
      <c r="S46">
        <v>0</v>
      </c>
      <c r="T46">
        <v>249</v>
      </c>
    </row>
    <row r="47" spans="1:20">
      <c r="A47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16428</v>
      </c>
      <c r="H47">
        <v>31200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300</v>
      </c>
      <c r="Q47">
        <v>390</v>
      </c>
      <c r="R47">
        <v>0</v>
      </c>
      <c r="S47">
        <v>0</v>
      </c>
      <c r="T47">
        <v>690</v>
      </c>
    </row>
    <row r="48" spans="1:20">
      <c r="A48" t="s">
        <v>78</v>
      </c>
      <c r="B48">
        <v>0</v>
      </c>
      <c r="C48">
        <v>0</v>
      </c>
      <c r="D48">
        <v>0</v>
      </c>
      <c r="E48">
        <v>3350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122</v>
      </c>
      <c r="O48">
        <v>0</v>
      </c>
      <c r="P48">
        <v>0</v>
      </c>
      <c r="Q48">
        <v>0</v>
      </c>
      <c r="R48">
        <v>0</v>
      </c>
      <c r="S48">
        <v>0</v>
      </c>
      <c r="T48">
        <v>122</v>
      </c>
    </row>
    <row r="49" spans="1:20">
      <c r="A49" t="s">
        <v>79</v>
      </c>
      <c r="B49">
        <v>0</v>
      </c>
      <c r="C49">
        <v>0</v>
      </c>
      <c r="D49">
        <v>0</v>
      </c>
      <c r="E49">
        <v>0</v>
      </c>
      <c r="F49">
        <v>4040</v>
      </c>
      <c r="G49">
        <v>0</v>
      </c>
      <c r="H49">
        <v>6880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101</v>
      </c>
      <c r="P49">
        <v>0</v>
      </c>
      <c r="Q49">
        <v>86</v>
      </c>
      <c r="R49">
        <v>0</v>
      </c>
      <c r="S49">
        <v>0</v>
      </c>
      <c r="T49">
        <v>187</v>
      </c>
    </row>
    <row r="50" spans="1:20">
      <c r="A50" t="s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81</v>
      </c>
      <c r="B51">
        <v>222</v>
      </c>
      <c r="C51">
        <v>0</v>
      </c>
      <c r="D51">
        <v>0</v>
      </c>
      <c r="E51">
        <v>0</v>
      </c>
      <c r="F51">
        <v>0</v>
      </c>
      <c r="G51">
        <v>4380</v>
      </c>
      <c r="H51">
        <v>0</v>
      </c>
      <c r="I51">
        <v>0</v>
      </c>
      <c r="J51">
        <v>0</v>
      </c>
      <c r="K51">
        <v>37</v>
      </c>
      <c r="L51">
        <v>0</v>
      </c>
      <c r="M51">
        <v>0</v>
      </c>
      <c r="N51">
        <v>0</v>
      </c>
      <c r="O51">
        <v>0</v>
      </c>
      <c r="P51">
        <v>73</v>
      </c>
      <c r="Q51">
        <v>0</v>
      </c>
      <c r="R51">
        <v>0</v>
      </c>
      <c r="S51">
        <v>0</v>
      </c>
      <c r="T51">
        <v>110</v>
      </c>
    </row>
    <row r="52" spans="1:20">
      <c r="A52" t="s">
        <v>82</v>
      </c>
      <c r="B52">
        <v>0</v>
      </c>
      <c r="C52">
        <v>0</v>
      </c>
      <c r="D52">
        <v>600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</v>
      </c>
    </row>
    <row r="53" spans="1:20">
      <c r="A53" t="s">
        <v>83</v>
      </c>
      <c r="B53">
        <v>0</v>
      </c>
      <c r="C53">
        <v>0</v>
      </c>
      <c r="D53">
        <v>0</v>
      </c>
      <c r="E53">
        <v>858</v>
      </c>
      <c r="F53">
        <v>0</v>
      </c>
      <c r="G53">
        <v>0</v>
      </c>
      <c r="H53">
        <v>8918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0</v>
      </c>
      <c r="P53">
        <v>0</v>
      </c>
      <c r="Q53">
        <v>98</v>
      </c>
      <c r="R53">
        <v>0</v>
      </c>
      <c r="S53">
        <v>0</v>
      </c>
      <c r="T53">
        <v>128</v>
      </c>
    </row>
    <row r="54" spans="1:20">
      <c r="A54" t="s">
        <v>84</v>
      </c>
      <c r="B54">
        <v>143.10000610351563</v>
      </c>
      <c r="C54">
        <v>0</v>
      </c>
      <c r="D54">
        <v>680</v>
      </c>
      <c r="E54">
        <v>0</v>
      </c>
      <c r="F54">
        <v>0</v>
      </c>
      <c r="G54">
        <v>2460</v>
      </c>
      <c r="H54">
        <v>0</v>
      </c>
      <c r="I54">
        <v>0</v>
      </c>
      <c r="J54">
        <v>0</v>
      </c>
      <c r="K54">
        <v>53</v>
      </c>
      <c r="L54">
        <v>0</v>
      </c>
      <c r="M54">
        <v>34</v>
      </c>
      <c r="N54">
        <v>0</v>
      </c>
      <c r="O54">
        <v>0</v>
      </c>
      <c r="P54">
        <v>41</v>
      </c>
      <c r="Q54">
        <v>0</v>
      </c>
      <c r="R54">
        <v>0</v>
      </c>
      <c r="S54">
        <v>0</v>
      </c>
      <c r="T54">
        <v>128</v>
      </c>
    </row>
    <row r="55" spans="1:20">
      <c r="A55" s="66" t="s">
        <v>85</v>
      </c>
      <c r="B55">
        <v>0</v>
      </c>
      <c r="C55">
        <v>0</v>
      </c>
      <c r="D55">
        <v>0</v>
      </c>
      <c r="E55">
        <v>2808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108</v>
      </c>
      <c r="O55">
        <v>0</v>
      </c>
      <c r="P55">
        <v>0</v>
      </c>
      <c r="Q55">
        <v>0</v>
      </c>
      <c r="R55">
        <v>0</v>
      </c>
      <c r="S55">
        <v>0</v>
      </c>
      <c r="T55">
        <v>108</v>
      </c>
    </row>
    <row r="56" spans="1:20">
      <c r="A56" s="66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66" t="s">
        <v>87</v>
      </c>
      <c r="B57">
        <v>0</v>
      </c>
      <c r="C57">
        <v>0</v>
      </c>
      <c r="D57">
        <v>0</v>
      </c>
      <c r="E57">
        <v>1716</v>
      </c>
      <c r="F57">
        <v>1637.5999755859375</v>
      </c>
      <c r="G57">
        <v>3888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66</v>
      </c>
      <c r="O57">
        <v>46</v>
      </c>
      <c r="P57">
        <v>54</v>
      </c>
      <c r="Q57">
        <v>0</v>
      </c>
      <c r="R57">
        <v>0</v>
      </c>
      <c r="S57">
        <v>0</v>
      </c>
      <c r="T57">
        <v>166</v>
      </c>
    </row>
    <row r="58" spans="1:20">
      <c r="A58" s="66" t="s">
        <v>88</v>
      </c>
      <c r="B58">
        <v>0</v>
      </c>
      <c r="C58">
        <v>0</v>
      </c>
      <c r="D58">
        <v>0</v>
      </c>
      <c r="E58">
        <v>0</v>
      </c>
      <c r="F58">
        <v>4230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94</v>
      </c>
      <c r="P58">
        <v>0</v>
      </c>
      <c r="Q58">
        <v>0</v>
      </c>
      <c r="R58">
        <v>0</v>
      </c>
      <c r="S58">
        <v>0</v>
      </c>
      <c r="T58">
        <v>94</v>
      </c>
    </row>
    <row r="59" spans="1:20">
      <c r="A59" s="66" t="s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3060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51</v>
      </c>
      <c r="Q59">
        <v>0</v>
      </c>
      <c r="R59">
        <v>0</v>
      </c>
      <c r="S59">
        <v>0</v>
      </c>
      <c r="T59">
        <v>51</v>
      </c>
    </row>
    <row r="60" spans="1:20">
      <c r="A60" s="66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7957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109</v>
      </c>
      <c r="Q60">
        <v>0</v>
      </c>
      <c r="R60">
        <v>0</v>
      </c>
      <c r="S60">
        <v>0</v>
      </c>
      <c r="T60">
        <v>109</v>
      </c>
    </row>
    <row r="61" spans="1:20">
      <c r="A61" s="66" t="s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4160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</v>
      </c>
      <c r="T61">
        <v>26</v>
      </c>
    </row>
    <row r="62" spans="1:20">
      <c r="A62" s="66" t="s">
        <v>92</v>
      </c>
      <c r="B62">
        <v>294</v>
      </c>
      <c r="C62">
        <v>0</v>
      </c>
      <c r="D62">
        <v>2202</v>
      </c>
      <c r="E62">
        <v>10062</v>
      </c>
      <c r="F62">
        <v>3268</v>
      </c>
      <c r="G62">
        <v>4347</v>
      </c>
      <c r="H62">
        <v>0</v>
      </c>
      <c r="I62">
        <v>0</v>
      </c>
      <c r="J62">
        <v>0</v>
      </c>
      <c r="K62">
        <v>49</v>
      </c>
      <c r="L62">
        <v>0</v>
      </c>
      <c r="M62">
        <v>127</v>
      </c>
      <c r="N62">
        <v>323</v>
      </c>
      <c r="O62">
        <v>76</v>
      </c>
      <c r="P62">
        <v>69</v>
      </c>
      <c r="Q62">
        <v>0</v>
      </c>
      <c r="R62">
        <v>0</v>
      </c>
      <c r="S62">
        <v>0</v>
      </c>
      <c r="T62">
        <v>644</v>
      </c>
    </row>
    <row r="63" spans="1:20">
      <c r="A63" s="66" t="s">
        <v>93</v>
      </c>
      <c r="B63">
        <v>0</v>
      </c>
      <c r="C63">
        <v>0</v>
      </c>
      <c r="D63">
        <v>0</v>
      </c>
      <c r="E63">
        <v>2124.300048828125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73</v>
      </c>
      <c r="O63">
        <v>0</v>
      </c>
      <c r="P63">
        <v>0</v>
      </c>
      <c r="Q63">
        <v>0</v>
      </c>
      <c r="R63">
        <v>0</v>
      </c>
      <c r="S63">
        <v>0</v>
      </c>
      <c r="T63">
        <v>73</v>
      </c>
    </row>
    <row r="64" spans="1:20">
      <c r="A64" s="66" t="s">
        <v>94</v>
      </c>
      <c r="B64">
        <v>0</v>
      </c>
      <c r="C64">
        <v>0</v>
      </c>
      <c r="D64">
        <v>10180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509</v>
      </c>
    </row>
    <row r="65" spans="1:20">
      <c r="A65" s="66" t="s">
        <v>95</v>
      </c>
      <c r="B65">
        <v>0</v>
      </c>
      <c r="C65">
        <v>0</v>
      </c>
      <c r="D65">
        <v>0</v>
      </c>
      <c r="E65">
        <v>3300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110</v>
      </c>
      <c r="O65">
        <v>0</v>
      </c>
      <c r="P65">
        <v>0</v>
      </c>
      <c r="Q65">
        <v>0</v>
      </c>
      <c r="R65">
        <v>0</v>
      </c>
      <c r="S65">
        <v>0</v>
      </c>
      <c r="T65">
        <v>110</v>
      </c>
    </row>
    <row r="66" spans="1:20">
      <c r="A66" s="66" t="s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3575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65</v>
      </c>
      <c r="Q66">
        <v>0</v>
      </c>
      <c r="R66">
        <v>0</v>
      </c>
      <c r="S66">
        <v>0</v>
      </c>
      <c r="T66">
        <v>65</v>
      </c>
    </row>
    <row r="67" spans="1:20">
      <c r="A67" s="66" t="s">
        <v>97</v>
      </c>
      <c r="B67">
        <v>0</v>
      </c>
      <c r="C67">
        <v>0</v>
      </c>
      <c r="D67">
        <v>833</v>
      </c>
      <c r="E67">
        <v>0</v>
      </c>
      <c r="F67">
        <v>1440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35</v>
      </c>
      <c r="N67">
        <v>0</v>
      </c>
      <c r="O67">
        <v>40</v>
      </c>
      <c r="P67">
        <v>0</v>
      </c>
      <c r="Q67">
        <v>0</v>
      </c>
      <c r="R67">
        <v>0</v>
      </c>
      <c r="S67">
        <v>0</v>
      </c>
      <c r="T67">
        <v>75</v>
      </c>
    </row>
    <row r="68" spans="1:20">
      <c r="A68" s="66" t="s">
        <v>98</v>
      </c>
      <c r="B68">
        <v>0</v>
      </c>
      <c r="C68">
        <v>0</v>
      </c>
      <c r="D68">
        <v>0</v>
      </c>
      <c r="E68">
        <v>2152.800048828125</v>
      </c>
      <c r="F68">
        <v>1776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69</v>
      </c>
      <c r="O68">
        <v>37</v>
      </c>
      <c r="P68">
        <v>0</v>
      </c>
      <c r="Q68">
        <v>0</v>
      </c>
      <c r="R68">
        <v>0</v>
      </c>
      <c r="S68">
        <v>0</v>
      </c>
      <c r="T68">
        <v>106</v>
      </c>
    </row>
    <row r="69" spans="1:20">
      <c r="A69" s="66" t="s">
        <v>99</v>
      </c>
      <c r="B69">
        <v>0</v>
      </c>
      <c r="C69">
        <v>0</v>
      </c>
      <c r="D69">
        <v>0</v>
      </c>
      <c r="E69">
        <v>0</v>
      </c>
      <c r="F69">
        <v>9312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194</v>
      </c>
      <c r="P69">
        <v>0</v>
      </c>
      <c r="Q69">
        <v>0</v>
      </c>
      <c r="R69">
        <v>0</v>
      </c>
      <c r="S69">
        <v>0</v>
      </c>
      <c r="T69">
        <v>194</v>
      </c>
    </row>
    <row r="70" spans="1:20">
      <c r="A70" s="66" t="s">
        <v>100</v>
      </c>
      <c r="B70">
        <v>0</v>
      </c>
      <c r="C70">
        <v>162.5</v>
      </c>
      <c r="D70">
        <v>0</v>
      </c>
      <c r="E70">
        <v>0</v>
      </c>
      <c r="F70">
        <v>0</v>
      </c>
      <c r="G70">
        <v>14250</v>
      </c>
      <c r="H70">
        <v>0</v>
      </c>
      <c r="I70">
        <v>0</v>
      </c>
      <c r="J70">
        <v>0</v>
      </c>
      <c r="K70">
        <v>0</v>
      </c>
      <c r="L70">
        <v>13</v>
      </c>
      <c r="M70">
        <v>0</v>
      </c>
      <c r="N70">
        <v>0</v>
      </c>
      <c r="O70">
        <v>0</v>
      </c>
      <c r="P70">
        <v>285</v>
      </c>
      <c r="Q70">
        <v>0</v>
      </c>
      <c r="R70">
        <v>0</v>
      </c>
      <c r="S70">
        <v>0</v>
      </c>
      <c r="T70">
        <v>298</v>
      </c>
    </row>
    <row r="71" spans="1:20">
      <c r="A71" s="66" t="s">
        <v>101</v>
      </c>
      <c r="B71">
        <v>0</v>
      </c>
      <c r="C71">
        <v>0</v>
      </c>
      <c r="D71">
        <v>896.4000244140625</v>
      </c>
      <c r="E71">
        <v>0</v>
      </c>
      <c r="F71">
        <v>2280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54</v>
      </c>
      <c r="N71">
        <v>0</v>
      </c>
      <c r="O71">
        <v>57</v>
      </c>
      <c r="P71">
        <v>0</v>
      </c>
      <c r="Q71">
        <v>0</v>
      </c>
      <c r="R71">
        <v>0</v>
      </c>
      <c r="S71">
        <v>0</v>
      </c>
      <c r="T71">
        <v>111</v>
      </c>
    </row>
    <row r="72" spans="1:20">
      <c r="A72" s="66" t="s">
        <v>102</v>
      </c>
      <c r="B72">
        <v>138</v>
      </c>
      <c r="C72">
        <v>0</v>
      </c>
      <c r="D72">
        <v>960</v>
      </c>
      <c r="E72">
        <v>312</v>
      </c>
      <c r="F72">
        <v>0</v>
      </c>
      <c r="G72">
        <v>0</v>
      </c>
      <c r="H72">
        <v>0</v>
      </c>
      <c r="I72">
        <v>0</v>
      </c>
      <c r="J72">
        <v>0</v>
      </c>
      <c r="K72">
        <v>69</v>
      </c>
      <c r="L72">
        <v>0</v>
      </c>
      <c r="M72">
        <v>40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119</v>
      </c>
    </row>
    <row r="73" spans="1:20">
      <c r="A73" s="66" t="s">
        <v>103</v>
      </c>
      <c r="B73">
        <v>382.79998779296875</v>
      </c>
      <c r="C73">
        <v>0</v>
      </c>
      <c r="D73">
        <v>0</v>
      </c>
      <c r="E73">
        <v>858</v>
      </c>
      <c r="F73">
        <v>2565</v>
      </c>
      <c r="G73">
        <v>0</v>
      </c>
      <c r="H73">
        <v>0</v>
      </c>
      <c r="I73">
        <v>0</v>
      </c>
      <c r="J73">
        <v>0</v>
      </c>
      <c r="K73">
        <v>44</v>
      </c>
      <c r="L73">
        <v>0</v>
      </c>
      <c r="M73">
        <v>0</v>
      </c>
      <c r="N73">
        <v>33</v>
      </c>
      <c r="O73">
        <v>57</v>
      </c>
      <c r="P73">
        <v>0</v>
      </c>
      <c r="Q73">
        <v>0</v>
      </c>
      <c r="R73">
        <v>0</v>
      </c>
      <c r="S73">
        <v>0</v>
      </c>
      <c r="T73">
        <v>134</v>
      </c>
    </row>
    <row r="74" spans="1:20">
      <c r="A74" s="66" t="s">
        <v>104</v>
      </c>
      <c r="B74">
        <v>0</v>
      </c>
      <c r="C74">
        <v>0</v>
      </c>
      <c r="D74">
        <v>0</v>
      </c>
      <c r="E74">
        <v>2520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90</v>
      </c>
      <c r="O74">
        <v>0</v>
      </c>
      <c r="P74">
        <v>0</v>
      </c>
      <c r="Q74">
        <v>0</v>
      </c>
      <c r="R74">
        <v>0</v>
      </c>
      <c r="S74">
        <v>0</v>
      </c>
      <c r="T74">
        <v>90</v>
      </c>
    </row>
    <row r="75" spans="1:20">
      <c r="A75" s="66" t="s">
        <v>105</v>
      </c>
      <c r="B75">
        <v>4759.4000244140625</v>
      </c>
      <c r="C75">
        <v>1582.5</v>
      </c>
      <c r="D75">
        <v>7064</v>
      </c>
      <c r="E75">
        <v>22495.699951171875</v>
      </c>
      <c r="F75">
        <v>17242</v>
      </c>
      <c r="G75">
        <v>9900</v>
      </c>
      <c r="H75">
        <v>7905</v>
      </c>
      <c r="I75">
        <v>9990</v>
      </c>
      <c r="J75">
        <v>0</v>
      </c>
      <c r="K75">
        <v>1207</v>
      </c>
      <c r="L75">
        <v>132</v>
      </c>
      <c r="M75">
        <v>322</v>
      </c>
      <c r="N75">
        <v>813</v>
      </c>
      <c r="O75">
        <v>431</v>
      </c>
      <c r="P75">
        <v>198</v>
      </c>
      <c r="Q75">
        <v>93</v>
      </c>
      <c r="R75">
        <v>74</v>
      </c>
      <c r="S75">
        <v>0</v>
      </c>
      <c r="T75">
        <v>3270</v>
      </c>
    </row>
    <row r="76" spans="1:20">
      <c r="A76" s="66" t="s">
        <v>106</v>
      </c>
      <c r="B76">
        <v>3427.1999969482422</v>
      </c>
      <c r="C76">
        <v>870</v>
      </c>
      <c r="D76">
        <v>2856</v>
      </c>
      <c r="E76">
        <v>3570</v>
      </c>
      <c r="F76">
        <v>0</v>
      </c>
      <c r="G76">
        <v>0</v>
      </c>
      <c r="H76">
        <v>0</v>
      </c>
      <c r="I76">
        <v>0</v>
      </c>
      <c r="J76">
        <v>0</v>
      </c>
      <c r="K76">
        <v>452</v>
      </c>
      <c r="L76">
        <v>60</v>
      </c>
      <c r="M76">
        <v>119</v>
      </c>
      <c r="N76">
        <v>105</v>
      </c>
      <c r="O76">
        <v>0</v>
      </c>
      <c r="P76">
        <v>0</v>
      </c>
      <c r="Q76">
        <v>0</v>
      </c>
      <c r="R76">
        <v>0</v>
      </c>
      <c r="S76">
        <v>0</v>
      </c>
      <c r="T76">
        <v>736</v>
      </c>
    </row>
    <row r="77" spans="1:20">
      <c r="A77" s="66" t="s">
        <v>107</v>
      </c>
      <c r="B77">
        <v>513.20001220703125</v>
      </c>
      <c r="C77">
        <v>0</v>
      </c>
      <c r="D77">
        <v>0</v>
      </c>
      <c r="E77">
        <v>1053</v>
      </c>
      <c r="F77">
        <v>0</v>
      </c>
      <c r="G77">
        <v>0</v>
      </c>
      <c r="H77">
        <v>7104</v>
      </c>
      <c r="I77">
        <v>0</v>
      </c>
      <c r="J77">
        <v>15750</v>
      </c>
      <c r="K77">
        <v>95</v>
      </c>
      <c r="L77">
        <v>0</v>
      </c>
      <c r="M77">
        <v>0</v>
      </c>
      <c r="N77">
        <v>39</v>
      </c>
      <c r="O77">
        <v>0</v>
      </c>
      <c r="P77">
        <v>0</v>
      </c>
      <c r="Q77">
        <v>74</v>
      </c>
      <c r="R77">
        <v>0</v>
      </c>
      <c r="S77">
        <v>105</v>
      </c>
      <c r="T77">
        <v>313</v>
      </c>
    </row>
    <row r="78" spans="1:20">
      <c r="A78" s="66" t="s">
        <v>108</v>
      </c>
      <c r="B78">
        <v>0</v>
      </c>
      <c r="C78">
        <v>0</v>
      </c>
      <c r="D78">
        <v>0</v>
      </c>
      <c r="E78">
        <v>0</v>
      </c>
      <c r="F78">
        <v>2944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</v>
      </c>
      <c r="P78">
        <v>0</v>
      </c>
      <c r="Q78">
        <v>0</v>
      </c>
      <c r="R78">
        <v>0</v>
      </c>
      <c r="S78">
        <v>0</v>
      </c>
      <c r="T78">
        <v>64</v>
      </c>
    </row>
    <row r="79" spans="1:20">
      <c r="A79" s="66" t="s">
        <v>109</v>
      </c>
      <c r="B79">
        <v>216</v>
      </c>
      <c r="C79">
        <v>1585.5</v>
      </c>
      <c r="D79">
        <v>11422</v>
      </c>
      <c r="E79">
        <v>0</v>
      </c>
      <c r="F79">
        <v>2814</v>
      </c>
      <c r="G79">
        <v>0</v>
      </c>
      <c r="H79">
        <v>0</v>
      </c>
      <c r="I79">
        <v>0</v>
      </c>
      <c r="J79">
        <v>0</v>
      </c>
      <c r="K79">
        <v>72</v>
      </c>
      <c r="L79">
        <v>151</v>
      </c>
      <c r="M79">
        <v>498</v>
      </c>
      <c r="N79">
        <v>0</v>
      </c>
      <c r="O79">
        <v>67</v>
      </c>
      <c r="P79">
        <v>0</v>
      </c>
      <c r="Q79">
        <v>0</v>
      </c>
      <c r="R79">
        <v>0</v>
      </c>
      <c r="S79">
        <v>0</v>
      </c>
      <c r="T79">
        <v>788</v>
      </c>
    </row>
    <row r="80" spans="1:20">
      <c r="A80" s="66" t="s">
        <v>110</v>
      </c>
      <c r="B80">
        <v>760.60000610351563</v>
      </c>
      <c r="C80">
        <v>0</v>
      </c>
      <c r="D80">
        <v>7750</v>
      </c>
      <c r="E80">
        <v>0</v>
      </c>
      <c r="F80">
        <v>3240</v>
      </c>
      <c r="G80">
        <v>9100</v>
      </c>
      <c r="H80">
        <v>0</v>
      </c>
      <c r="I80">
        <v>0</v>
      </c>
      <c r="J80">
        <v>0</v>
      </c>
      <c r="K80">
        <v>149</v>
      </c>
      <c r="L80">
        <v>0</v>
      </c>
      <c r="M80">
        <v>348</v>
      </c>
      <c r="N80">
        <v>0</v>
      </c>
      <c r="O80">
        <v>81</v>
      </c>
      <c r="P80">
        <v>182</v>
      </c>
      <c r="Q80">
        <v>0</v>
      </c>
      <c r="R80">
        <v>0</v>
      </c>
      <c r="S80">
        <v>0</v>
      </c>
      <c r="T80">
        <v>760</v>
      </c>
    </row>
    <row r="81" spans="1:20">
      <c r="A81" s="66" t="s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19980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111</v>
      </c>
      <c r="T81">
        <v>111</v>
      </c>
    </row>
    <row r="82" spans="1:20">
      <c r="A82" s="66" t="s">
        <v>112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66" t="s">
        <v>113</v>
      </c>
      <c r="B83">
        <v>360.00000762939453</v>
      </c>
      <c r="C83">
        <v>0</v>
      </c>
      <c r="D83">
        <v>822.5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</v>
      </c>
      <c r="L83">
        <v>0</v>
      </c>
      <c r="M83">
        <v>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235</v>
      </c>
    </row>
    <row r="84" spans="1:20">
      <c r="A84" s="66" t="s">
        <v>114</v>
      </c>
      <c r="B84">
        <v>28.090000152587891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53</v>
      </c>
    </row>
    <row r="85" spans="1:20">
      <c r="A85" s="66" t="s">
        <v>115</v>
      </c>
      <c r="B85">
        <v>174</v>
      </c>
      <c r="C85">
        <v>330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29</v>
      </c>
      <c r="L85">
        <v>33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62</v>
      </c>
    </row>
    <row r="86" spans="1:20">
      <c r="A86" s="66" t="s">
        <v>116</v>
      </c>
      <c r="B86">
        <v>5308</v>
      </c>
      <c r="C86">
        <v>0</v>
      </c>
      <c r="D86">
        <v>12132.300048828125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817</v>
      </c>
      <c r="L86">
        <v>0</v>
      </c>
      <c r="M86">
        <v>663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1480</v>
      </c>
    </row>
    <row r="87" spans="1:20">
      <c r="A87" s="66" t="s">
        <v>117</v>
      </c>
      <c r="B87">
        <v>2109.8000030517578</v>
      </c>
      <c r="C87">
        <v>0</v>
      </c>
      <c r="D87">
        <v>0</v>
      </c>
      <c r="E87">
        <v>0</v>
      </c>
      <c r="F87">
        <v>0</v>
      </c>
      <c r="G87">
        <v>15941</v>
      </c>
      <c r="H87">
        <v>0</v>
      </c>
      <c r="I87">
        <v>0</v>
      </c>
      <c r="J87">
        <v>0</v>
      </c>
      <c r="K87">
        <v>484</v>
      </c>
      <c r="L87">
        <v>0</v>
      </c>
      <c r="M87">
        <v>0</v>
      </c>
      <c r="N87">
        <v>0</v>
      </c>
      <c r="O87">
        <v>0</v>
      </c>
      <c r="P87">
        <v>265</v>
      </c>
      <c r="Q87">
        <v>0</v>
      </c>
      <c r="R87">
        <v>0</v>
      </c>
      <c r="S87">
        <v>0</v>
      </c>
      <c r="T87">
        <v>749</v>
      </c>
    </row>
    <row r="88" spans="1:20">
      <c r="A88" s="66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66" t="s">
        <v>119</v>
      </c>
      <c r="B89">
        <v>633.59999084472656</v>
      </c>
      <c r="C89">
        <v>0</v>
      </c>
      <c r="D89">
        <v>1104</v>
      </c>
      <c r="E89">
        <v>2496</v>
      </c>
      <c r="F89">
        <v>0</v>
      </c>
      <c r="G89">
        <v>6360</v>
      </c>
      <c r="H89">
        <v>0</v>
      </c>
      <c r="I89">
        <v>0</v>
      </c>
      <c r="J89">
        <v>0</v>
      </c>
      <c r="K89">
        <v>231</v>
      </c>
      <c r="L89">
        <v>0</v>
      </c>
      <c r="M89">
        <v>46</v>
      </c>
      <c r="N89">
        <v>96</v>
      </c>
      <c r="O89">
        <v>0</v>
      </c>
      <c r="P89">
        <v>106</v>
      </c>
      <c r="Q89">
        <v>0</v>
      </c>
      <c r="R89">
        <v>0</v>
      </c>
      <c r="S89">
        <v>0</v>
      </c>
      <c r="T89">
        <v>479</v>
      </c>
    </row>
    <row r="90" spans="1:20">
      <c r="A90" s="66" t="s">
        <v>120</v>
      </c>
      <c r="B90">
        <v>0</v>
      </c>
      <c r="C90">
        <v>0</v>
      </c>
      <c r="D90">
        <v>3477</v>
      </c>
      <c r="E90">
        <v>3238.199951171875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197</v>
      </c>
      <c r="N90">
        <v>116</v>
      </c>
      <c r="O90">
        <v>0</v>
      </c>
      <c r="P90">
        <v>0</v>
      </c>
      <c r="Q90">
        <v>0</v>
      </c>
      <c r="R90">
        <v>0</v>
      </c>
      <c r="S90">
        <v>0</v>
      </c>
      <c r="T90">
        <v>313</v>
      </c>
    </row>
    <row r="91" spans="1:20">
      <c r="A91" s="66" t="s">
        <v>121</v>
      </c>
      <c r="B91">
        <v>762.89999389648438</v>
      </c>
      <c r="C91">
        <v>0</v>
      </c>
      <c r="D91">
        <v>0</v>
      </c>
      <c r="E91">
        <v>0</v>
      </c>
      <c r="F91">
        <v>0</v>
      </c>
      <c r="G91">
        <v>1000</v>
      </c>
      <c r="H91">
        <v>0</v>
      </c>
      <c r="I91">
        <v>0</v>
      </c>
      <c r="J91">
        <v>0</v>
      </c>
      <c r="K91">
        <v>331</v>
      </c>
      <c r="L91">
        <v>0</v>
      </c>
      <c r="M91">
        <v>0</v>
      </c>
      <c r="N91">
        <v>0</v>
      </c>
      <c r="O91">
        <v>0</v>
      </c>
      <c r="P91">
        <v>20</v>
      </c>
      <c r="Q91">
        <v>0</v>
      </c>
      <c r="R91">
        <v>0</v>
      </c>
      <c r="S91">
        <v>0</v>
      </c>
      <c r="T91">
        <v>351</v>
      </c>
    </row>
    <row r="92" spans="1:20">
      <c r="A92" s="66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66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66" t="s">
        <v>124</v>
      </c>
      <c r="B94">
        <v>122.09999847412109</v>
      </c>
      <c r="C94">
        <v>0</v>
      </c>
      <c r="D94">
        <v>2379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37</v>
      </c>
      <c r="L94">
        <v>0</v>
      </c>
      <c r="M94">
        <v>122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159</v>
      </c>
    </row>
    <row r="95" spans="1:20">
      <c r="A95" t="s">
        <v>125</v>
      </c>
      <c r="B95">
        <v>0</v>
      </c>
      <c r="C95">
        <v>0</v>
      </c>
      <c r="D95">
        <v>0</v>
      </c>
      <c r="E95">
        <v>0</v>
      </c>
      <c r="F95">
        <v>3276</v>
      </c>
      <c r="G95">
        <v>4131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91</v>
      </c>
      <c r="P95">
        <v>69</v>
      </c>
      <c r="Q95">
        <v>0</v>
      </c>
      <c r="R95">
        <v>0</v>
      </c>
      <c r="S95">
        <v>0</v>
      </c>
      <c r="T95">
        <v>160</v>
      </c>
    </row>
    <row r="96" spans="1:20">
      <c r="A96" t="s">
        <v>126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56</v>
      </c>
      <c r="S96">
        <v>0</v>
      </c>
      <c r="T96">
        <v>56</v>
      </c>
    </row>
    <row r="97" spans="1:20">
      <c r="A97" t="s">
        <v>127</v>
      </c>
      <c r="B97">
        <v>0</v>
      </c>
      <c r="C97">
        <v>781.20001220703125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57976</v>
      </c>
      <c r="K97">
        <v>0</v>
      </c>
      <c r="L97">
        <v>63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259</v>
      </c>
      <c r="T97">
        <v>322</v>
      </c>
    </row>
    <row r="98" spans="1:20">
      <c r="A98" t="s">
        <v>128</v>
      </c>
      <c r="B98">
        <v>502.5</v>
      </c>
      <c r="C98">
        <v>0</v>
      </c>
      <c r="D98">
        <v>2572</v>
      </c>
      <c r="E98">
        <v>2661</v>
      </c>
      <c r="F98">
        <v>0</v>
      </c>
      <c r="G98">
        <v>18649</v>
      </c>
      <c r="H98">
        <v>0</v>
      </c>
      <c r="I98">
        <v>0</v>
      </c>
      <c r="J98">
        <v>0</v>
      </c>
      <c r="K98">
        <v>75</v>
      </c>
      <c r="L98">
        <v>0</v>
      </c>
      <c r="M98">
        <v>122</v>
      </c>
      <c r="N98">
        <v>93</v>
      </c>
      <c r="O98">
        <v>0</v>
      </c>
      <c r="P98">
        <v>290</v>
      </c>
      <c r="Q98">
        <v>0</v>
      </c>
      <c r="R98">
        <v>0</v>
      </c>
      <c r="S98">
        <v>0</v>
      </c>
      <c r="T98">
        <v>580</v>
      </c>
    </row>
    <row r="99" spans="1:20">
      <c r="A99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130</v>
      </c>
      <c r="B100">
        <v>81.899999618530273</v>
      </c>
      <c r="C100">
        <v>826</v>
      </c>
      <c r="D100">
        <v>2672</v>
      </c>
      <c r="E100">
        <v>0</v>
      </c>
      <c r="F100">
        <v>0</v>
      </c>
      <c r="G100">
        <v>7408</v>
      </c>
      <c r="H100">
        <v>0</v>
      </c>
      <c r="I100">
        <v>0</v>
      </c>
      <c r="J100">
        <v>0</v>
      </c>
      <c r="K100">
        <v>70</v>
      </c>
      <c r="L100">
        <v>59</v>
      </c>
      <c r="M100">
        <v>167</v>
      </c>
      <c r="N100">
        <v>0</v>
      </c>
      <c r="O100">
        <v>0</v>
      </c>
      <c r="P100">
        <v>113</v>
      </c>
      <c r="Q100">
        <v>0</v>
      </c>
      <c r="R100">
        <v>0</v>
      </c>
      <c r="S100">
        <v>0</v>
      </c>
      <c r="T100">
        <v>409</v>
      </c>
    </row>
    <row r="101" spans="1:20">
      <c r="A101" t="s">
        <v>131</v>
      </c>
      <c r="B101">
        <v>0</v>
      </c>
      <c r="C101">
        <v>0</v>
      </c>
      <c r="D101">
        <v>1166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53</v>
      </c>
    </row>
    <row r="102" spans="1:20">
      <c r="A102" t="s">
        <v>132</v>
      </c>
      <c r="B102">
        <v>686.40000915527344</v>
      </c>
      <c r="C102">
        <v>506</v>
      </c>
      <c r="D102">
        <v>0</v>
      </c>
      <c r="E102">
        <v>0</v>
      </c>
      <c r="F102">
        <v>1800</v>
      </c>
      <c r="G102">
        <v>20086</v>
      </c>
      <c r="H102">
        <v>0</v>
      </c>
      <c r="I102">
        <v>0</v>
      </c>
      <c r="J102">
        <v>0</v>
      </c>
      <c r="K102">
        <v>137</v>
      </c>
      <c r="L102">
        <v>46</v>
      </c>
      <c r="M102">
        <v>0</v>
      </c>
      <c r="N102">
        <v>0</v>
      </c>
      <c r="O102">
        <v>45</v>
      </c>
      <c r="P102">
        <v>286</v>
      </c>
      <c r="Q102">
        <v>0</v>
      </c>
      <c r="R102">
        <v>0</v>
      </c>
      <c r="S102">
        <v>0</v>
      </c>
      <c r="T102">
        <v>514</v>
      </c>
    </row>
    <row r="103" spans="1:20">
      <c r="A103" t="s">
        <v>133</v>
      </c>
      <c r="B103">
        <v>384</v>
      </c>
      <c r="C103">
        <v>0</v>
      </c>
      <c r="D103">
        <v>0</v>
      </c>
      <c r="E103">
        <v>1248</v>
      </c>
      <c r="F103">
        <v>4628.9000244140625</v>
      </c>
      <c r="G103">
        <v>4392</v>
      </c>
      <c r="H103">
        <v>0</v>
      </c>
      <c r="I103">
        <v>0</v>
      </c>
      <c r="J103">
        <v>0</v>
      </c>
      <c r="K103">
        <v>64</v>
      </c>
      <c r="L103">
        <v>0</v>
      </c>
      <c r="M103">
        <v>0</v>
      </c>
      <c r="N103">
        <v>39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276</v>
      </c>
    </row>
    <row r="104" spans="1:20">
      <c r="A104" t="s">
        <v>134</v>
      </c>
      <c r="B104">
        <v>657.80000305175781</v>
      </c>
      <c r="C104">
        <v>0</v>
      </c>
      <c r="D104">
        <v>0</v>
      </c>
      <c r="E104">
        <v>1898</v>
      </c>
      <c r="F104">
        <v>0</v>
      </c>
      <c r="G104">
        <v>5674</v>
      </c>
      <c r="H104">
        <v>0</v>
      </c>
      <c r="I104">
        <v>4945</v>
      </c>
      <c r="J104">
        <v>0</v>
      </c>
      <c r="K104">
        <v>160</v>
      </c>
      <c r="L104">
        <v>0</v>
      </c>
      <c r="M104">
        <v>0</v>
      </c>
      <c r="N104">
        <v>73</v>
      </c>
      <c r="O104">
        <v>0</v>
      </c>
      <c r="P104">
        <v>98</v>
      </c>
      <c r="Q104">
        <v>0</v>
      </c>
      <c r="R104">
        <v>43</v>
      </c>
      <c r="S104">
        <v>0</v>
      </c>
      <c r="T104">
        <v>374</v>
      </c>
    </row>
    <row r="105" spans="1:20">
      <c r="A105" t="s">
        <v>135</v>
      </c>
      <c r="B105">
        <v>64.800003051757813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54</v>
      </c>
    </row>
    <row r="106" spans="1:20">
      <c r="A106" t="s">
        <v>136</v>
      </c>
      <c r="B106">
        <v>0</v>
      </c>
      <c r="C106">
        <v>0</v>
      </c>
      <c r="D106">
        <v>0</v>
      </c>
      <c r="E106">
        <v>896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</v>
      </c>
    </row>
    <row r="107" spans="1:20">
      <c r="A107" s="66" t="s">
        <v>137</v>
      </c>
      <c r="B107">
        <v>0</v>
      </c>
      <c r="C107">
        <v>0</v>
      </c>
      <c r="D107">
        <v>0</v>
      </c>
      <c r="E107">
        <v>0</v>
      </c>
      <c r="F107">
        <v>1155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33</v>
      </c>
      <c r="P107">
        <v>0</v>
      </c>
      <c r="Q107">
        <v>0</v>
      </c>
      <c r="R107">
        <v>0</v>
      </c>
      <c r="S107">
        <v>0</v>
      </c>
      <c r="T107">
        <v>33</v>
      </c>
    </row>
    <row r="108" spans="1:20">
      <c r="A108" s="66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66" t="s">
        <v>139</v>
      </c>
      <c r="B109">
        <v>0</v>
      </c>
      <c r="C109">
        <v>0</v>
      </c>
      <c r="D109">
        <v>0</v>
      </c>
      <c r="E109">
        <v>1705</v>
      </c>
      <c r="F109">
        <v>874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</v>
      </c>
      <c r="O109">
        <v>23</v>
      </c>
      <c r="P109">
        <v>0</v>
      </c>
      <c r="Q109">
        <v>0</v>
      </c>
      <c r="R109">
        <v>0</v>
      </c>
      <c r="S109">
        <v>0</v>
      </c>
      <c r="T109">
        <v>78</v>
      </c>
    </row>
    <row r="110" spans="1:20">
      <c r="A110" s="66" t="s">
        <v>140</v>
      </c>
      <c r="B110">
        <v>0</v>
      </c>
      <c r="C110">
        <v>0</v>
      </c>
      <c r="D110">
        <v>1955</v>
      </c>
      <c r="E110">
        <v>780</v>
      </c>
      <c r="F110">
        <v>0</v>
      </c>
      <c r="G110">
        <v>11275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85</v>
      </c>
      <c r="N110">
        <v>26</v>
      </c>
      <c r="O110">
        <v>0</v>
      </c>
      <c r="P110">
        <v>205</v>
      </c>
      <c r="Q110">
        <v>0</v>
      </c>
      <c r="R110">
        <v>0</v>
      </c>
      <c r="S110">
        <v>0</v>
      </c>
      <c r="T110">
        <v>316</v>
      </c>
    </row>
    <row r="111" spans="1:20">
      <c r="A111" s="66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66" t="s">
        <v>142</v>
      </c>
      <c r="B112">
        <v>33</v>
      </c>
      <c r="C112">
        <v>840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33</v>
      </c>
      <c r="L112">
        <v>70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103</v>
      </c>
    </row>
    <row r="113" spans="1:20">
      <c r="A113" s="66" t="s">
        <v>143</v>
      </c>
      <c r="B113">
        <v>816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102</v>
      </c>
    </row>
    <row r="114" spans="1:20">
      <c r="A114" s="66" t="s">
        <v>144</v>
      </c>
      <c r="B114">
        <v>300</v>
      </c>
      <c r="C114">
        <v>948</v>
      </c>
      <c r="D114">
        <v>0</v>
      </c>
      <c r="E114">
        <v>308</v>
      </c>
      <c r="F114">
        <v>1656</v>
      </c>
      <c r="G114">
        <v>15036</v>
      </c>
      <c r="H114">
        <v>26438</v>
      </c>
      <c r="I114">
        <v>21282</v>
      </c>
      <c r="J114">
        <v>18700</v>
      </c>
      <c r="K114">
        <v>60</v>
      </c>
      <c r="L114">
        <v>79</v>
      </c>
      <c r="M114">
        <v>0</v>
      </c>
      <c r="N114">
        <v>10</v>
      </c>
      <c r="O114">
        <v>46</v>
      </c>
      <c r="P114">
        <v>244</v>
      </c>
      <c r="Q114">
        <v>311</v>
      </c>
      <c r="R114">
        <v>198</v>
      </c>
      <c r="S114">
        <v>110</v>
      </c>
      <c r="T114">
        <v>1058</v>
      </c>
    </row>
    <row r="115" spans="1:20">
      <c r="A115" s="66" t="s">
        <v>145</v>
      </c>
      <c r="B115">
        <v>0</v>
      </c>
      <c r="C115">
        <v>0</v>
      </c>
      <c r="D115">
        <v>0</v>
      </c>
      <c r="E115">
        <v>2384</v>
      </c>
      <c r="F115">
        <v>0</v>
      </c>
      <c r="G115">
        <v>5564</v>
      </c>
      <c r="H115">
        <v>0</v>
      </c>
      <c r="I115">
        <v>0</v>
      </c>
      <c r="J115">
        <v>41265</v>
      </c>
      <c r="K115">
        <v>0</v>
      </c>
      <c r="L115">
        <v>0</v>
      </c>
      <c r="M115">
        <v>0</v>
      </c>
      <c r="N115">
        <v>76</v>
      </c>
      <c r="O115">
        <v>0</v>
      </c>
      <c r="P115">
        <v>105</v>
      </c>
      <c r="Q115">
        <v>0</v>
      </c>
      <c r="R115">
        <v>0</v>
      </c>
      <c r="S115">
        <v>105</v>
      </c>
      <c r="T115">
        <v>286</v>
      </c>
    </row>
    <row r="116" spans="1:20">
      <c r="A116" s="66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5600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56</v>
      </c>
      <c r="S116">
        <v>0</v>
      </c>
      <c r="T116">
        <v>56</v>
      </c>
    </row>
    <row r="117" spans="1:20">
      <c r="A117" s="66" t="s">
        <v>147</v>
      </c>
      <c r="B117">
        <v>844.18998527526855</v>
      </c>
      <c r="C117">
        <v>660</v>
      </c>
      <c r="D117">
        <v>2659.7999877929688</v>
      </c>
      <c r="E117">
        <v>2100</v>
      </c>
      <c r="F117">
        <v>9612.699951171875</v>
      </c>
      <c r="G117">
        <v>0</v>
      </c>
      <c r="H117">
        <v>0</v>
      </c>
      <c r="I117">
        <v>0</v>
      </c>
      <c r="J117">
        <v>0</v>
      </c>
      <c r="K117">
        <v>352</v>
      </c>
      <c r="L117">
        <v>55</v>
      </c>
      <c r="M117">
        <v>138</v>
      </c>
      <c r="N117">
        <v>84</v>
      </c>
      <c r="O117">
        <v>232</v>
      </c>
      <c r="P117">
        <v>0</v>
      </c>
      <c r="Q117">
        <v>0</v>
      </c>
      <c r="R117">
        <v>0</v>
      </c>
      <c r="S117">
        <v>0</v>
      </c>
      <c r="T117">
        <v>861</v>
      </c>
    </row>
    <row r="118" spans="1:20">
      <c r="A118" s="66" t="s">
        <v>148</v>
      </c>
      <c r="B118">
        <v>591.5999755859375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174</v>
      </c>
    </row>
    <row r="119" spans="1:20">
      <c r="A119" s="66" t="s">
        <v>149</v>
      </c>
      <c r="B119">
        <v>135</v>
      </c>
      <c r="C119">
        <v>0</v>
      </c>
      <c r="D119">
        <v>0</v>
      </c>
      <c r="E119">
        <v>0</v>
      </c>
      <c r="F119">
        <v>0</v>
      </c>
      <c r="G119">
        <v>6801</v>
      </c>
      <c r="H119">
        <v>0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120</v>
      </c>
      <c r="Q119">
        <v>0</v>
      </c>
      <c r="R119">
        <v>0</v>
      </c>
      <c r="S119">
        <v>0</v>
      </c>
      <c r="T119">
        <v>170</v>
      </c>
    </row>
    <row r="120" spans="1:20">
      <c r="A120" s="66" t="s">
        <v>150</v>
      </c>
      <c r="B120">
        <v>316.80000305175781</v>
      </c>
      <c r="C120">
        <v>273.70001220703125</v>
      </c>
      <c r="D120">
        <v>811.20001220703125</v>
      </c>
      <c r="E120">
        <v>1625</v>
      </c>
      <c r="F120">
        <v>9571</v>
      </c>
      <c r="G120">
        <v>0</v>
      </c>
      <c r="H120">
        <v>0</v>
      </c>
      <c r="I120">
        <v>0</v>
      </c>
      <c r="J120">
        <v>0</v>
      </c>
      <c r="K120">
        <v>99</v>
      </c>
      <c r="L120">
        <v>23</v>
      </c>
      <c r="M120">
        <v>52</v>
      </c>
      <c r="N120">
        <v>65</v>
      </c>
      <c r="O120">
        <v>253</v>
      </c>
      <c r="P120">
        <v>0</v>
      </c>
      <c r="Q120">
        <v>0</v>
      </c>
      <c r="R120">
        <v>0</v>
      </c>
      <c r="S120">
        <v>0</v>
      </c>
      <c r="T120">
        <v>492</v>
      </c>
    </row>
    <row r="121" spans="1:20">
      <c r="A121" s="66" t="s">
        <v>151</v>
      </c>
      <c r="B121">
        <v>0</v>
      </c>
      <c r="C121">
        <v>0</v>
      </c>
      <c r="D121">
        <v>612.5</v>
      </c>
      <c r="E121">
        <v>0</v>
      </c>
      <c r="F121">
        <v>0</v>
      </c>
      <c r="G121">
        <v>0</v>
      </c>
      <c r="H121">
        <v>10530</v>
      </c>
      <c r="I121">
        <v>0</v>
      </c>
      <c r="J121">
        <v>19650</v>
      </c>
      <c r="K121">
        <v>0</v>
      </c>
      <c r="L121">
        <v>0</v>
      </c>
      <c r="M121">
        <v>35</v>
      </c>
      <c r="N121">
        <v>0</v>
      </c>
      <c r="O121">
        <v>0</v>
      </c>
      <c r="P121">
        <v>0</v>
      </c>
      <c r="Q121">
        <v>117</v>
      </c>
      <c r="R121">
        <v>0</v>
      </c>
      <c r="S121">
        <v>50</v>
      </c>
      <c r="T121">
        <v>202</v>
      </c>
    </row>
    <row r="122" spans="1:20">
      <c r="A122" s="66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16023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180</v>
      </c>
      <c r="R122">
        <v>0</v>
      </c>
      <c r="S122">
        <v>0</v>
      </c>
      <c r="T122">
        <v>180</v>
      </c>
    </row>
    <row r="123" spans="1:20">
      <c r="A123" s="66" t="s">
        <v>153</v>
      </c>
      <c r="B123">
        <v>102</v>
      </c>
      <c r="C123">
        <v>0</v>
      </c>
      <c r="D123">
        <v>0</v>
      </c>
      <c r="E123">
        <v>0</v>
      </c>
      <c r="F123">
        <v>7490</v>
      </c>
      <c r="G123">
        <v>3180</v>
      </c>
      <c r="H123">
        <v>11256</v>
      </c>
      <c r="I123">
        <v>0</v>
      </c>
      <c r="J123">
        <v>3300</v>
      </c>
      <c r="K123">
        <v>85</v>
      </c>
      <c r="L123">
        <v>0</v>
      </c>
      <c r="M123">
        <v>0</v>
      </c>
      <c r="N123">
        <v>0</v>
      </c>
      <c r="O123">
        <v>179</v>
      </c>
      <c r="P123">
        <v>53</v>
      </c>
      <c r="Q123">
        <v>134</v>
      </c>
      <c r="R123">
        <v>0</v>
      </c>
      <c r="S123">
        <v>22</v>
      </c>
      <c r="T123">
        <v>473</v>
      </c>
    </row>
    <row r="124" spans="1:20">
      <c r="A124" s="66" t="s">
        <v>154</v>
      </c>
      <c r="B124">
        <v>682.07999992370605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8730</v>
      </c>
      <c r="I124">
        <v>10290</v>
      </c>
      <c r="J124">
        <v>14934</v>
      </c>
      <c r="K124">
        <v>261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97</v>
      </c>
      <c r="R124">
        <v>98</v>
      </c>
      <c r="S124">
        <v>38</v>
      </c>
      <c r="T124">
        <v>494</v>
      </c>
    </row>
    <row r="125" spans="1:20">
      <c r="A125" s="66" t="s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66" t="s">
        <v>156</v>
      </c>
      <c r="B126">
        <v>0</v>
      </c>
      <c r="C126">
        <v>324</v>
      </c>
      <c r="D126">
        <v>494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27</v>
      </c>
      <c r="M126">
        <v>26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53</v>
      </c>
    </row>
    <row r="127" spans="1:20">
      <c r="A127" s="66" t="s">
        <v>157</v>
      </c>
      <c r="B127">
        <v>47.400001525878906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79</v>
      </c>
    </row>
    <row r="128" spans="1:20">
      <c r="A128" s="66" t="s">
        <v>158</v>
      </c>
      <c r="B128">
        <v>264.30000305175781</v>
      </c>
      <c r="C128">
        <v>0</v>
      </c>
      <c r="D128">
        <v>0</v>
      </c>
      <c r="E128">
        <v>0</v>
      </c>
      <c r="F128">
        <v>6583.199951171875</v>
      </c>
      <c r="G128">
        <v>0</v>
      </c>
      <c r="H128">
        <v>0</v>
      </c>
      <c r="I128">
        <v>0</v>
      </c>
      <c r="J128">
        <v>0</v>
      </c>
      <c r="K128">
        <v>268</v>
      </c>
      <c r="L128">
        <v>0</v>
      </c>
      <c r="M128">
        <v>0</v>
      </c>
      <c r="N128">
        <v>0</v>
      </c>
      <c r="O128">
        <v>137</v>
      </c>
      <c r="P128">
        <v>0</v>
      </c>
      <c r="Q128">
        <v>0</v>
      </c>
      <c r="R128">
        <v>0</v>
      </c>
      <c r="S128">
        <v>0</v>
      </c>
      <c r="T128">
        <v>405</v>
      </c>
    </row>
    <row r="129" spans="1:20">
      <c r="A129" s="66" t="s">
        <v>159</v>
      </c>
      <c r="B129">
        <v>182.5</v>
      </c>
      <c r="C129">
        <v>0</v>
      </c>
      <c r="D129">
        <v>0</v>
      </c>
      <c r="E129">
        <v>0</v>
      </c>
      <c r="F129">
        <v>0</v>
      </c>
      <c r="G129">
        <v>2072</v>
      </c>
      <c r="H129">
        <v>0</v>
      </c>
      <c r="I129">
        <v>0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0</v>
      </c>
      <c r="P129">
        <v>37</v>
      </c>
      <c r="Q129">
        <v>0</v>
      </c>
      <c r="R129">
        <v>0</v>
      </c>
      <c r="S129">
        <v>0</v>
      </c>
      <c r="T129">
        <v>133</v>
      </c>
    </row>
    <row r="130" spans="1:20">
      <c r="A130" s="66" t="s">
        <v>160</v>
      </c>
      <c r="B130">
        <v>0</v>
      </c>
      <c r="C130">
        <v>0</v>
      </c>
      <c r="D130">
        <v>0</v>
      </c>
      <c r="E130">
        <v>0</v>
      </c>
      <c r="F130">
        <v>2275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65</v>
      </c>
      <c r="P130">
        <v>0</v>
      </c>
      <c r="Q130">
        <v>0</v>
      </c>
      <c r="R130">
        <v>0</v>
      </c>
      <c r="S130">
        <v>0</v>
      </c>
      <c r="T130">
        <v>65</v>
      </c>
    </row>
    <row r="131" spans="1:20">
      <c r="A131" s="66" t="s">
        <v>161</v>
      </c>
      <c r="B131">
        <v>480.30000305175781</v>
      </c>
      <c r="C131">
        <v>0</v>
      </c>
      <c r="D131">
        <v>0</v>
      </c>
      <c r="E131">
        <v>0</v>
      </c>
      <c r="F131">
        <v>3914</v>
      </c>
      <c r="G131">
        <v>3480</v>
      </c>
      <c r="H131">
        <v>0</v>
      </c>
      <c r="I131">
        <v>0</v>
      </c>
      <c r="J131">
        <v>0</v>
      </c>
      <c r="K131">
        <v>120</v>
      </c>
      <c r="L131">
        <v>0</v>
      </c>
      <c r="M131">
        <v>0</v>
      </c>
      <c r="N131">
        <v>0</v>
      </c>
      <c r="O131">
        <v>103</v>
      </c>
      <c r="P131">
        <v>58</v>
      </c>
      <c r="Q131">
        <v>0</v>
      </c>
      <c r="R131">
        <v>0</v>
      </c>
      <c r="S131">
        <v>0</v>
      </c>
      <c r="T131">
        <v>281</v>
      </c>
    </row>
    <row r="132" spans="1:20">
      <c r="A132" s="66" t="s">
        <v>162</v>
      </c>
      <c r="B132">
        <v>312.86000347137451</v>
      </c>
      <c r="C132">
        <v>1160</v>
      </c>
      <c r="D132">
        <v>0</v>
      </c>
      <c r="E132">
        <v>2184</v>
      </c>
      <c r="F132">
        <v>14728</v>
      </c>
      <c r="G132">
        <v>0</v>
      </c>
      <c r="H132">
        <v>0</v>
      </c>
      <c r="I132">
        <v>0</v>
      </c>
      <c r="J132">
        <v>0</v>
      </c>
      <c r="K132">
        <v>132</v>
      </c>
      <c r="L132">
        <v>100</v>
      </c>
      <c r="M132">
        <v>0</v>
      </c>
      <c r="N132">
        <v>84</v>
      </c>
      <c r="O132">
        <v>403</v>
      </c>
      <c r="P132">
        <v>0</v>
      </c>
      <c r="Q132">
        <v>0</v>
      </c>
      <c r="R132">
        <v>0</v>
      </c>
      <c r="S132">
        <v>0</v>
      </c>
      <c r="T132">
        <v>719</v>
      </c>
    </row>
    <row r="133" spans="1:20">
      <c r="A133" s="66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66" t="s">
        <v>164</v>
      </c>
      <c r="B134">
        <v>0</v>
      </c>
      <c r="C134">
        <v>0</v>
      </c>
      <c r="D134">
        <v>6668.4000244140625</v>
      </c>
      <c r="E134">
        <v>1248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325</v>
      </c>
      <c r="N134">
        <v>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364</v>
      </c>
    </row>
    <row r="135" spans="1:20">
      <c r="A135" s="66" t="s">
        <v>165</v>
      </c>
      <c r="B135">
        <v>931.20000076293945</v>
      </c>
      <c r="C135">
        <v>8903</v>
      </c>
      <c r="D135">
        <v>9641</v>
      </c>
      <c r="E135">
        <v>3896</v>
      </c>
      <c r="F135">
        <v>23691</v>
      </c>
      <c r="G135">
        <v>58942</v>
      </c>
      <c r="H135">
        <v>28200</v>
      </c>
      <c r="I135">
        <v>26390</v>
      </c>
      <c r="J135">
        <v>0</v>
      </c>
      <c r="K135">
        <v>225</v>
      </c>
      <c r="L135">
        <v>724</v>
      </c>
      <c r="M135">
        <v>510</v>
      </c>
      <c r="N135">
        <v>126</v>
      </c>
      <c r="O135">
        <v>566</v>
      </c>
      <c r="P135">
        <v>956</v>
      </c>
      <c r="Q135">
        <v>328</v>
      </c>
      <c r="R135">
        <v>257</v>
      </c>
      <c r="S135">
        <v>0</v>
      </c>
      <c r="T135">
        <v>3692</v>
      </c>
    </row>
    <row r="136" spans="1:20">
      <c r="A136" s="66" t="s">
        <v>166</v>
      </c>
      <c r="B136">
        <v>855</v>
      </c>
      <c r="C136">
        <v>270</v>
      </c>
      <c r="D136">
        <v>1468.2000122070313</v>
      </c>
      <c r="E136">
        <v>0</v>
      </c>
      <c r="F136">
        <v>3538.5999755859375</v>
      </c>
      <c r="G136">
        <v>14426</v>
      </c>
      <c r="H136">
        <v>12624</v>
      </c>
      <c r="I136">
        <v>0</v>
      </c>
      <c r="J136">
        <v>0</v>
      </c>
      <c r="K136">
        <v>165</v>
      </c>
      <c r="L136">
        <v>27</v>
      </c>
      <c r="M136">
        <v>73</v>
      </c>
      <c r="N136">
        <v>0</v>
      </c>
      <c r="O136">
        <v>89</v>
      </c>
      <c r="P136">
        <v>275</v>
      </c>
      <c r="Q136">
        <v>149</v>
      </c>
      <c r="R136">
        <v>0</v>
      </c>
      <c r="S136">
        <v>0</v>
      </c>
      <c r="T136">
        <v>778</v>
      </c>
    </row>
    <row r="137" spans="1:20">
      <c r="A137" s="66" t="s">
        <v>167</v>
      </c>
      <c r="B137">
        <v>413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3432</v>
      </c>
      <c r="I137">
        <v>0</v>
      </c>
      <c r="J137">
        <v>0</v>
      </c>
      <c r="K137">
        <v>91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39</v>
      </c>
      <c r="R137">
        <v>0</v>
      </c>
      <c r="S137">
        <v>0</v>
      </c>
      <c r="T137">
        <v>130</v>
      </c>
    </row>
    <row r="138" spans="1:20">
      <c r="A138" t="s">
        <v>168</v>
      </c>
      <c r="B138">
        <v>0</v>
      </c>
      <c r="C138">
        <v>0</v>
      </c>
      <c r="D138">
        <v>4152</v>
      </c>
      <c r="E138">
        <v>5149.10009765625</v>
      </c>
      <c r="F138">
        <v>22439</v>
      </c>
      <c r="G138">
        <v>0</v>
      </c>
      <c r="H138">
        <v>0</v>
      </c>
      <c r="I138">
        <v>3108</v>
      </c>
      <c r="J138">
        <v>21840</v>
      </c>
      <c r="K138">
        <v>0</v>
      </c>
      <c r="L138">
        <v>0</v>
      </c>
      <c r="M138">
        <v>218</v>
      </c>
      <c r="N138">
        <v>151</v>
      </c>
      <c r="O138">
        <v>603</v>
      </c>
      <c r="P138">
        <v>0</v>
      </c>
      <c r="Q138">
        <v>0</v>
      </c>
      <c r="R138">
        <v>21</v>
      </c>
      <c r="S138">
        <v>91</v>
      </c>
      <c r="T138">
        <v>1084</v>
      </c>
    </row>
    <row r="139" spans="1:20">
      <c r="A139" t="s">
        <v>169</v>
      </c>
      <c r="B139">
        <v>538</v>
      </c>
      <c r="C139">
        <v>0</v>
      </c>
      <c r="D139">
        <v>6964</v>
      </c>
      <c r="E139">
        <v>3036</v>
      </c>
      <c r="F139">
        <v>1276</v>
      </c>
      <c r="G139">
        <v>3430</v>
      </c>
      <c r="H139">
        <v>0</v>
      </c>
      <c r="I139">
        <v>9360</v>
      </c>
      <c r="J139">
        <v>0</v>
      </c>
      <c r="K139">
        <v>107</v>
      </c>
      <c r="L139">
        <v>0</v>
      </c>
      <c r="M139">
        <v>317</v>
      </c>
      <c r="N139">
        <v>101</v>
      </c>
      <c r="O139">
        <v>29</v>
      </c>
      <c r="P139">
        <v>49</v>
      </c>
      <c r="Q139">
        <v>0</v>
      </c>
      <c r="R139">
        <v>72</v>
      </c>
      <c r="S139">
        <v>0</v>
      </c>
      <c r="T139">
        <v>675</v>
      </c>
    </row>
    <row r="140" spans="1:20">
      <c r="A140" t="s">
        <v>170</v>
      </c>
      <c r="B140">
        <v>0</v>
      </c>
      <c r="C140">
        <v>0</v>
      </c>
      <c r="D140">
        <v>0</v>
      </c>
      <c r="E140">
        <v>1350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54</v>
      </c>
    </row>
    <row r="141" spans="1:20">
      <c r="A141" t="s">
        <v>171</v>
      </c>
      <c r="B141">
        <v>0</v>
      </c>
      <c r="C141">
        <v>0</v>
      </c>
      <c r="D141">
        <v>1152</v>
      </c>
      <c r="E141">
        <v>785.70001220703125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64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91</v>
      </c>
    </row>
    <row r="142" spans="1:20">
      <c r="A142" t="s">
        <v>172</v>
      </c>
      <c r="B142">
        <v>0</v>
      </c>
      <c r="C142">
        <v>0</v>
      </c>
      <c r="D142">
        <v>1930.7999877929688</v>
      </c>
      <c r="E142">
        <v>932.20001220703125</v>
      </c>
      <c r="F142">
        <v>5155</v>
      </c>
      <c r="G142">
        <v>0</v>
      </c>
      <c r="H142">
        <v>17351</v>
      </c>
      <c r="I142">
        <v>0</v>
      </c>
      <c r="J142">
        <v>7350</v>
      </c>
      <c r="K142">
        <v>0</v>
      </c>
      <c r="L142">
        <v>0</v>
      </c>
      <c r="M142">
        <v>103</v>
      </c>
      <c r="N142">
        <v>35</v>
      </c>
      <c r="O142">
        <v>136</v>
      </c>
      <c r="P142">
        <v>0</v>
      </c>
      <c r="Q142">
        <v>205</v>
      </c>
      <c r="R142">
        <v>0</v>
      </c>
      <c r="S142">
        <v>49</v>
      </c>
      <c r="T142">
        <v>528</v>
      </c>
    </row>
    <row r="143" spans="1:20">
      <c r="A143" t="s">
        <v>173</v>
      </c>
      <c r="B143">
        <v>7.4200000762939453</v>
      </c>
      <c r="C143">
        <v>0</v>
      </c>
      <c r="D143">
        <v>3384</v>
      </c>
      <c r="E143">
        <v>0</v>
      </c>
      <c r="F143">
        <v>2736</v>
      </c>
      <c r="G143">
        <v>0</v>
      </c>
      <c r="H143">
        <v>2550</v>
      </c>
      <c r="I143">
        <v>0</v>
      </c>
      <c r="J143">
        <v>0</v>
      </c>
      <c r="K143">
        <v>53</v>
      </c>
      <c r="L143">
        <v>0</v>
      </c>
      <c r="M143">
        <v>141</v>
      </c>
      <c r="N143">
        <v>0</v>
      </c>
      <c r="O143">
        <v>57</v>
      </c>
      <c r="P143">
        <v>0</v>
      </c>
      <c r="Q143">
        <v>30</v>
      </c>
      <c r="R143">
        <v>0</v>
      </c>
      <c r="S143">
        <v>0</v>
      </c>
      <c r="T143">
        <v>281</v>
      </c>
    </row>
    <row r="144" spans="1:20">
      <c r="A144" t="s">
        <v>174</v>
      </c>
      <c r="B144">
        <v>222</v>
      </c>
      <c r="C144">
        <v>0</v>
      </c>
      <c r="D144">
        <v>0</v>
      </c>
      <c r="E144">
        <v>2425</v>
      </c>
      <c r="F144">
        <v>0</v>
      </c>
      <c r="G144">
        <v>20979</v>
      </c>
      <c r="H144">
        <v>16606</v>
      </c>
      <c r="I144">
        <v>0</v>
      </c>
      <c r="J144">
        <v>0</v>
      </c>
      <c r="K144">
        <v>37</v>
      </c>
      <c r="L144">
        <v>0</v>
      </c>
      <c r="M144">
        <v>0</v>
      </c>
      <c r="N144">
        <v>97</v>
      </c>
      <c r="O144">
        <v>0</v>
      </c>
      <c r="P144">
        <v>322</v>
      </c>
      <c r="Q144">
        <v>207</v>
      </c>
      <c r="R144">
        <v>0</v>
      </c>
      <c r="S144">
        <v>0</v>
      </c>
      <c r="T144">
        <v>663</v>
      </c>
    </row>
    <row r="145" spans="1:20">
      <c r="A145" t="s">
        <v>175</v>
      </c>
      <c r="B145">
        <v>324.69999694824219</v>
      </c>
      <c r="C145">
        <v>276</v>
      </c>
      <c r="D145">
        <v>0</v>
      </c>
      <c r="E145">
        <v>20175</v>
      </c>
      <c r="F145">
        <v>12064</v>
      </c>
      <c r="G145">
        <v>69269</v>
      </c>
      <c r="H145">
        <v>58456</v>
      </c>
      <c r="I145">
        <v>54972</v>
      </c>
      <c r="J145">
        <v>47199</v>
      </c>
      <c r="K145">
        <v>135</v>
      </c>
      <c r="L145">
        <v>23</v>
      </c>
      <c r="M145">
        <v>0</v>
      </c>
      <c r="N145">
        <v>647</v>
      </c>
      <c r="O145">
        <v>289</v>
      </c>
      <c r="P145">
        <v>1171</v>
      </c>
      <c r="Q145">
        <v>677</v>
      </c>
      <c r="R145">
        <v>479</v>
      </c>
      <c r="S145">
        <v>178</v>
      </c>
      <c r="T145">
        <v>3599</v>
      </c>
    </row>
    <row r="146" spans="1:20">
      <c r="A146" t="s">
        <v>176</v>
      </c>
      <c r="B146">
        <v>553.19999694824219</v>
      </c>
      <c r="C146">
        <v>0</v>
      </c>
      <c r="D146">
        <v>1392</v>
      </c>
      <c r="E146">
        <v>4338</v>
      </c>
      <c r="F146">
        <v>2090</v>
      </c>
      <c r="G146">
        <v>0</v>
      </c>
      <c r="H146">
        <v>0</v>
      </c>
      <c r="I146">
        <v>0</v>
      </c>
      <c r="J146">
        <v>0</v>
      </c>
      <c r="K146">
        <v>234</v>
      </c>
      <c r="L146">
        <v>0</v>
      </c>
      <c r="M146">
        <v>60</v>
      </c>
      <c r="N146">
        <v>140</v>
      </c>
      <c r="O146">
        <v>55</v>
      </c>
      <c r="P146">
        <v>0</v>
      </c>
      <c r="Q146">
        <v>0</v>
      </c>
      <c r="R146">
        <v>0</v>
      </c>
      <c r="S146">
        <v>0</v>
      </c>
      <c r="T146">
        <v>489</v>
      </c>
    </row>
    <row r="147" spans="1:20">
      <c r="A147" t="s">
        <v>177</v>
      </c>
      <c r="B147">
        <v>0</v>
      </c>
      <c r="C147">
        <v>1476</v>
      </c>
      <c r="D147">
        <v>1855.2000122070313</v>
      </c>
      <c r="E147">
        <v>2059.199951171875</v>
      </c>
      <c r="F147">
        <v>4134</v>
      </c>
      <c r="G147">
        <v>2968</v>
      </c>
      <c r="H147">
        <v>0</v>
      </c>
      <c r="I147">
        <v>6572</v>
      </c>
      <c r="J147">
        <v>0</v>
      </c>
      <c r="K147">
        <v>0</v>
      </c>
      <c r="L147">
        <v>123</v>
      </c>
      <c r="M147">
        <v>82</v>
      </c>
      <c r="N147">
        <v>72</v>
      </c>
      <c r="O147">
        <v>106</v>
      </c>
      <c r="P147">
        <v>56</v>
      </c>
      <c r="Q147">
        <v>0</v>
      </c>
      <c r="R147">
        <v>62</v>
      </c>
      <c r="S147">
        <v>0</v>
      </c>
      <c r="T147">
        <v>501</v>
      </c>
    </row>
    <row r="148" spans="1:20">
      <c r="A148" t="s">
        <v>178</v>
      </c>
      <c r="B148">
        <v>3365.6000061035156</v>
      </c>
      <c r="C148">
        <v>1249.7999877929688</v>
      </c>
      <c r="D148">
        <v>3724</v>
      </c>
      <c r="E148">
        <v>0</v>
      </c>
      <c r="F148">
        <v>0</v>
      </c>
      <c r="G148">
        <v>3192</v>
      </c>
      <c r="H148">
        <v>0</v>
      </c>
      <c r="I148">
        <v>0</v>
      </c>
      <c r="J148">
        <v>0</v>
      </c>
      <c r="K148">
        <v>448</v>
      </c>
      <c r="L148">
        <v>115</v>
      </c>
      <c r="M148">
        <v>190</v>
      </c>
      <c r="N148">
        <v>0</v>
      </c>
      <c r="O148">
        <v>0</v>
      </c>
      <c r="P148">
        <v>57</v>
      </c>
      <c r="Q148">
        <v>0</v>
      </c>
      <c r="R148">
        <v>0</v>
      </c>
      <c r="S148">
        <v>0</v>
      </c>
      <c r="T148">
        <v>810</v>
      </c>
    </row>
    <row r="149" spans="1:20">
      <c r="A149" t="s">
        <v>179</v>
      </c>
      <c r="B149">
        <v>0</v>
      </c>
      <c r="C149">
        <v>0</v>
      </c>
      <c r="D149">
        <v>556.79998779296875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</v>
      </c>
    </row>
    <row r="150" spans="1:20">
      <c r="A150" t="s">
        <v>180</v>
      </c>
      <c r="B150">
        <v>0</v>
      </c>
      <c r="C150">
        <v>2618</v>
      </c>
      <c r="D150">
        <v>1080</v>
      </c>
      <c r="E150">
        <v>1782</v>
      </c>
      <c r="F150">
        <v>2356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187</v>
      </c>
      <c r="M150">
        <v>45</v>
      </c>
      <c r="N150">
        <v>66</v>
      </c>
      <c r="O150">
        <v>62</v>
      </c>
      <c r="P150">
        <v>0</v>
      </c>
      <c r="Q150">
        <v>0</v>
      </c>
      <c r="R150">
        <v>0</v>
      </c>
      <c r="S150">
        <v>0</v>
      </c>
      <c r="T150">
        <v>360</v>
      </c>
    </row>
    <row r="151" spans="1:20">
      <c r="A151" t="s">
        <v>181</v>
      </c>
      <c r="B151">
        <v>203</v>
      </c>
      <c r="C151">
        <v>0</v>
      </c>
      <c r="D151">
        <v>16812</v>
      </c>
      <c r="E151">
        <v>2624</v>
      </c>
      <c r="F151">
        <v>2279</v>
      </c>
      <c r="G151">
        <v>0</v>
      </c>
      <c r="H151">
        <v>0</v>
      </c>
      <c r="I151">
        <v>0</v>
      </c>
      <c r="J151">
        <v>0</v>
      </c>
      <c r="K151">
        <v>58</v>
      </c>
      <c r="L151">
        <v>0</v>
      </c>
      <c r="M151">
        <v>732</v>
      </c>
      <c r="N151">
        <v>82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925</v>
      </c>
    </row>
    <row r="152" spans="1:20">
      <c r="A152" s="66" t="s">
        <v>182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4260</v>
      </c>
      <c r="H152">
        <v>0</v>
      </c>
      <c r="I152">
        <v>12204</v>
      </c>
      <c r="J152">
        <v>0</v>
      </c>
      <c r="K152">
        <v>22</v>
      </c>
      <c r="L152">
        <v>0</v>
      </c>
      <c r="M152">
        <v>0</v>
      </c>
      <c r="N152">
        <v>0</v>
      </c>
      <c r="O152">
        <v>0</v>
      </c>
      <c r="P152">
        <v>60</v>
      </c>
      <c r="Q152">
        <v>0</v>
      </c>
      <c r="R152">
        <v>108</v>
      </c>
      <c r="S152">
        <v>0</v>
      </c>
      <c r="T152">
        <v>190</v>
      </c>
    </row>
    <row r="153" spans="1:20">
      <c r="A153" s="66" t="s">
        <v>183</v>
      </c>
      <c r="B153">
        <v>286.39999389648438</v>
      </c>
      <c r="C153">
        <v>630</v>
      </c>
      <c r="D153">
        <v>1440</v>
      </c>
      <c r="E153">
        <v>5314.0999755859375</v>
      </c>
      <c r="F153">
        <v>4085</v>
      </c>
      <c r="G153">
        <v>1700</v>
      </c>
      <c r="H153">
        <v>0</v>
      </c>
      <c r="I153">
        <v>0</v>
      </c>
      <c r="J153">
        <v>0</v>
      </c>
      <c r="K153">
        <v>104</v>
      </c>
      <c r="L153">
        <v>63</v>
      </c>
      <c r="M153">
        <v>80</v>
      </c>
      <c r="N153">
        <v>200</v>
      </c>
      <c r="O153">
        <v>95</v>
      </c>
      <c r="P153">
        <v>34</v>
      </c>
      <c r="Q153">
        <v>0</v>
      </c>
      <c r="R153">
        <v>0</v>
      </c>
      <c r="S153">
        <v>0</v>
      </c>
      <c r="T153">
        <v>576</v>
      </c>
    </row>
    <row r="154" spans="1:20">
      <c r="A154" s="66" t="s">
        <v>184</v>
      </c>
      <c r="B154">
        <v>382.5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45</v>
      </c>
    </row>
    <row r="155" spans="1:20">
      <c r="A155" s="66" t="s">
        <v>185</v>
      </c>
      <c r="B155">
        <v>781</v>
      </c>
      <c r="C155">
        <v>1435.5</v>
      </c>
      <c r="D155">
        <v>3670</v>
      </c>
      <c r="E155">
        <v>930</v>
      </c>
      <c r="F155">
        <v>2975</v>
      </c>
      <c r="G155">
        <v>4150</v>
      </c>
      <c r="H155">
        <v>0</v>
      </c>
      <c r="I155">
        <v>14300</v>
      </c>
      <c r="J155">
        <v>0</v>
      </c>
      <c r="K155">
        <v>195</v>
      </c>
      <c r="L155">
        <v>99</v>
      </c>
      <c r="M155">
        <v>170</v>
      </c>
      <c r="N155">
        <v>31</v>
      </c>
      <c r="O155">
        <v>71</v>
      </c>
      <c r="P155">
        <v>83</v>
      </c>
      <c r="Q155">
        <v>0</v>
      </c>
      <c r="R155">
        <v>110</v>
      </c>
      <c r="S155">
        <v>0</v>
      </c>
      <c r="T155">
        <v>759</v>
      </c>
    </row>
    <row r="156" spans="1:20">
      <c r="A156" s="116" t="s">
        <v>186</v>
      </c>
      <c r="B156">
        <v>662.89999389648438</v>
      </c>
      <c r="C156">
        <v>5016</v>
      </c>
      <c r="D156">
        <v>13079.300048828125</v>
      </c>
      <c r="E156">
        <v>30246.000244140625</v>
      </c>
      <c r="F156">
        <v>3456</v>
      </c>
      <c r="G156">
        <v>8045</v>
      </c>
      <c r="H156">
        <v>0</v>
      </c>
      <c r="I156">
        <v>0</v>
      </c>
      <c r="J156">
        <v>0</v>
      </c>
      <c r="K156">
        <v>103</v>
      </c>
      <c r="L156">
        <v>376</v>
      </c>
      <c r="M156">
        <v>716</v>
      </c>
      <c r="N156">
        <v>983</v>
      </c>
      <c r="O156">
        <v>96</v>
      </c>
      <c r="P156">
        <v>158</v>
      </c>
      <c r="Q156">
        <v>0</v>
      </c>
      <c r="R156">
        <v>0</v>
      </c>
      <c r="S156">
        <v>0</v>
      </c>
      <c r="T156">
        <v>2432</v>
      </c>
    </row>
    <row r="157" spans="1:20">
      <c r="A157" s="116" t="s">
        <v>187</v>
      </c>
      <c r="B157">
        <v>108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</v>
      </c>
    </row>
    <row r="158" spans="1:20">
      <c r="A158" t="s">
        <v>188</v>
      </c>
      <c r="B158">
        <v>0</v>
      </c>
      <c r="C158">
        <v>0</v>
      </c>
      <c r="D158">
        <v>1300</v>
      </c>
      <c r="E158">
        <v>0</v>
      </c>
      <c r="F158">
        <v>7380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65</v>
      </c>
      <c r="N158">
        <v>0</v>
      </c>
      <c r="O158">
        <v>205</v>
      </c>
      <c r="P158">
        <v>0</v>
      </c>
      <c r="Q158">
        <v>0</v>
      </c>
      <c r="R158">
        <v>0</v>
      </c>
      <c r="S158">
        <v>0</v>
      </c>
      <c r="T158">
        <v>270</v>
      </c>
    </row>
    <row r="159" spans="1:20">
      <c r="A159" t="s">
        <v>189</v>
      </c>
      <c r="B159">
        <v>7127.4999732971191</v>
      </c>
      <c r="C159">
        <v>13838</v>
      </c>
      <c r="D159">
        <v>24495.39990234375</v>
      </c>
      <c r="E159">
        <v>17838</v>
      </c>
      <c r="F159">
        <v>5247</v>
      </c>
      <c r="G159">
        <v>0</v>
      </c>
      <c r="H159">
        <v>0</v>
      </c>
      <c r="I159">
        <v>0</v>
      </c>
      <c r="J159">
        <v>0</v>
      </c>
      <c r="K159">
        <v>2107</v>
      </c>
      <c r="L159">
        <v>1129</v>
      </c>
      <c r="M159">
        <v>1218</v>
      </c>
      <c r="N159">
        <v>620</v>
      </c>
      <c r="O159">
        <v>128</v>
      </c>
      <c r="P159">
        <v>0</v>
      </c>
      <c r="Q159">
        <v>0</v>
      </c>
      <c r="R159">
        <v>0</v>
      </c>
      <c r="S159">
        <v>0</v>
      </c>
      <c r="T159">
        <v>5202</v>
      </c>
    </row>
    <row r="160" spans="1:20">
      <c r="A160" s="66" t="s">
        <v>190</v>
      </c>
      <c r="B160">
        <v>0</v>
      </c>
      <c r="C160">
        <v>0</v>
      </c>
      <c r="D160">
        <v>0</v>
      </c>
      <c r="E160">
        <v>0</v>
      </c>
      <c r="F160">
        <v>7820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192</v>
      </c>
      <c r="P160">
        <v>0</v>
      </c>
      <c r="Q160">
        <v>0</v>
      </c>
      <c r="R160">
        <v>0</v>
      </c>
      <c r="S160">
        <v>0</v>
      </c>
      <c r="T160">
        <v>192</v>
      </c>
    </row>
    <row r="161" spans="1:21">
      <c r="A161" s="66" t="s">
        <v>191</v>
      </c>
      <c r="B161">
        <v>0</v>
      </c>
      <c r="C161">
        <v>0</v>
      </c>
      <c r="D161">
        <v>0</v>
      </c>
      <c r="E161">
        <v>0</v>
      </c>
      <c r="F161">
        <v>18520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463</v>
      </c>
      <c r="P161">
        <v>0</v>
      </c>
      <c r="Q161">
        <v>0</v>
      </c>
      <c r="R161">
        <v>0</v>
      </c>
      <c r="S161">
        <v>0</v>
      </c>
      <c r="T161">
        <v>463</v>
      </c>
    </row>
    <row r="162" spans="1:21">
      <c r="A162" s="66" t="s">
        <v>192</v>
      </c>
      <c r="B162">
        <v>0</v>
      </c>
      <c r="C162">
        <v>0</v>
      </c>
      <c r="D162">
        <v>2156</v>
      </c>
      <c r="E162">
        <v>0</v>
      </c>
      <c r="F162">
        <v>0</v>
      </c>
      <c r="G162">
        <v>4030</v>
      </c>
      <c r="H162">
        <v>4160</v>
      </c>
      <c r="I162">
        <v>0</v>
      </c>
      <c r="J162">
        <v>0</v>
      </c>
      <c r="K162">
        <v>0</v>
      </c>
      <c r="L162">
        <v>0</v>
      </c>
      <c r="M162">
        <v>99</v>
      </c>
      <c r="N162">
        <v>0</v>
      </c>
      <c r="O162">
        <v>0</v>
      </c>
      <c r="P162">
        <v>62</v>
      </c>
      <c r="Q162">
        <v>52</v>
      </c>
      <c r="R162">
        <v>0</v>
      </c>
      <c r="S162">
        <v>0</v>
      </c>
      <c r="T162">
        <v>213</v>
      </c>
    </row>
    <row r="163" spans="1:21">
      <c r="A163" s="66" t="s">
        <v>193</v>
      </c>
      <c r="B163">
        <v>228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76</v>
      </c>
    </row>
    <row r="164" spans="1:21">
      <c r="A164" s="66" t="s">
        <v>194</v>
      </c>
      <c r="B164">
        <v>0</v>
      </c>
      <c r="C164">
        <v>0</v>
      </c>
      <c r="D164">
        <v>0</v>
      </c>
      <c r="E164">
        <v>6090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203</v>
      </c>
    </row>
    <row r="165" spans="1:21">
      <c r="A165" s="66" t="s">
        <v>195</v>
      </c>
      <c r="B165">
        <v>22.959999084472656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41</v>
      </c>
    </row>
    <row r="166" spans="1:21">
      <c r="A166" s="66" t="s">
        <v>196</v>
      </c>
      <c r="B166">
        <v>261.19999694824219</v>
      </c>
      <c r="C166">
        <v>3280.800048828125</v>
      </c>
      <c r="D166">
        <v>0</v>
      </c>
      <c r="E166">
        <v>1774.5</v>
      </c>
      <c r="F166">
        <v>840</v>
      </c>
      <c r="G166">
        <v>0</v>
      </c>
      <c r="H166">
        <v>0</v>
      </c>
      <c r="I166">
        <v>0</v>
      </c>
      <c r="J166">
        <v>0</v>
      </c>
      <c r="K166">
        <v>188</v>
      </c>
      <c r="L166">
        <v>230</v>
      </c>
      <c r="M166">
        <v>0</v>
      </c>
      <c r="N166">
        <v>65</v>
      </c>
      <c r="O166">
        <v>20</v>
      </c>
      <c r="P166">
        <v>0</v>
      </c>
      <c r="Q166">
        <v>0</v>
      </c>
      <c r="R166">
        <v>0</v>
      </c>
      <c r="S166">
        <v>0</v>
      </c>
      <c r="T166">
        <v>503</v>
      </c>
    </row>
    <row r="167" spans="1:21">
      <c r="A167" s="66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4030</v>
      </c>
      <c r="H167">
        <v>0</v>
      </c>
      <c r="I167">
        <v>13520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62</v>
      </c>
      <c r="Q167">
        <v>0</v>
      </c>
      <c r="R167">
        <v>104</v>
      </c>
      <c r="S167">
        <v>0</v>
      </c>
      <c r="T167">
        <v>166</v>
      </c>
    </row>
    <row r="168" spans="1:21">
      <c r="A168" s="66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1855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35</v>
      </c>
      <c r="Q168">
        <v>0</v>
      </c>
      <c r="R168">
        <v>0</v>
      </c>
      <c r="S168">
        <v>0</v>
      </c>
      <c r="T168">
        <v>35</v>
      </c>
    </row>
    <row r="169" spans="1:21">
      <c r="A169" s="66" t="s">
        <v>199</v>
      </c>
      <c r="B169">
        <v>96.599999904632568</v>
      </c>
      <c r="C169">
        <v>0</v>
      </c>
      <c r="D169">
        <v>0</v>
      </c>
      <c r="E169">
        <v>1327.5</v>
      </c>
      <c r="F169">
        <v>0</v>
      </c>
      <c r="G169">
        <v>20532</v>
      </c>
      <c r="H169">
        <v>0</v>
      </c>
      <c r="I169">
        <v>0</v>
      </c>
      <c r="J169">
        <v>0</v>
      </c>
      <c r="K169">
        <v>117</v>
      </c>
      <c r="L169">
        <v>0</v>
      </c>
      <c r="M169">
        <v>0</v>
      </c>
      <c r="N169">
        <v>45</v>
      </c>
      <c r="O169">
        <v>0</v>
      </c>
      <c r="P169">
        <v>350</v>
      </c>
      <c r="Q169">
        <v>0</v>
      </c>
      <c r="R169">
        <v>0</v>
      </c>
      <c r="S169">
        <v>0</v>
      </c>
      <c r="T169">
        <v>512</v>
      </c>
    </row>
    <row r="170" spans="1:21">
      <c r="A170" s="66" t="s">
        <v>200</v>
      </c>
      <c r="B170">
        <v>356.89999389648438</v>
      </c>
      <c r="C170">
        <v>0</v>
      </c>
      <c r="D170">
        <v>987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83</v>
      </c>
      <c r="L170">
        <v>0</v>
      </c>
      <c r="M170">
        <v>47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130</v>
      </c>
    </row>
    <row r="171" spans="1:21">
      <c r="A171" s="42" t="s">
        <v>201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4530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84</v>
      </c>
      <c r="Q171">
        <v>0</v>
      </c>
      <c r="R171">
        <v>0</v>
      </c>
      <c r="S171">
        <v>0</v>
      </c>
      <c r="T171">
        <v>84</v>
      </c>
      <c r="U171" s="12" t="s">
        <v>329</v>
      </c>
    </row>
    <row r="172" spans="1:21">
      <c r="A172" s="42" t="s">
        <v>202</v>
      </c>
      <c r="B172">
        <v>90.599999904632568</v>
      </c>
      <c r="C172">
        <v>924</v>
      </c>
      <c r="D172">
        <v>0</v>
      </c>
      <c r="E172">
        <v>1154.4000244140625</v>
      </c>
      <c r="F172">
        <v>4472.4000244140625</v>
      </c>
      <c r="G172">
        <v>8817</v>
      </c>
      <c r="H172">
        <v>7225</v>
      </c>
      <c r="I172">
        <v>7200</v>
      </c>
      <c r="J172">
        <v>0</v>
      </c>
      <c r="K172">
        <v>45</v>
      </c>
      <c r="L172">
        <v>84</v>
      </c>
      <c r="M172">
        <v>0</v>
      </c>
      <c r="N172">
        <v>34</v>
      </c>
      <c r="O172">
        <v>114</v>
      </c>
      <c r="P172">
        <v>160</v>
      </c>
      <c r="Q172">
        <v>85</v>
      </c>
      <c r="R172">
        <v>72</v>
      </c>
      <c r="S172">
        <v>0</v>
      </c>
      <c r="T172">
        <v>594</v>
      </c>
      <c r="U172" s="12" t="s">
        <v>330</v>
      </c>
    </row>
    <row r="173" spans="1:21">
      <c r="A173" s="42" t="s">
        <v>203</v>
      </c>
      <c r="B173">
        <v>0</v>
      </c>
      <c r="C173">
        <v>204.80000305175781</v>
      </c>
      <c r="D173">
        <v>1419.5999755859375</v>
      </c>
      <c r="E173">
        <v>240</v>
      </c>
      <c r="F173">
        <v>8239.2000732421875</v>
      </c>
      <c r="G173">
        <v>2368</v>
      </c>
      <c r="H173">
        <v>0</v>
      </c>
      <c r="I173">
        <v>0</v>
      </c>
      <c r="J173">
        <v>0</v>
      </c>
      <c r="K173">
        <v>0</v>
      </c>
      <c r="L173">
        <v>16</v>
      </c>
      <c r="M173">
        <v>84</v>
      </c>
      <c r="N173">
        <v>8</v>
      </c>
      <c r="O173">
        <v>203</v>
      </c>
      <c r="P173">
        <v>32</v>
      </c>
      <c r="Q173">
        <v>0</v>
      </c>
      <c r="R173">
        <v>0</v>
      </c>
      <c r="S173">
        <v>0</v>
      </c>
      <c r="T173">
        <v>343</v>
      </c>
      <c r="U173" s="12" t="s">
        <v>331</v>
      </c>
    </row>
    <row r="174" spans="1:21">
      <c r="A174" s="42" t="s">
        <v>204</v>
      </c>
      <c r="B174">
        <v>0</v>
      </c>
      <c r="C174">
        <v>0</v>
      </c>
      <c r="D174">
        <v>2435.39990234375</v>
      </c>
      <c r="E174">
        <v>2958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99</v>
      </c>
      <c r="N174">
        <v>116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215</v>
      </c>
      <c r="U174" s="12" t="s">
        <v>332</v>
      </c>
    </row>
    <row r="175" spans="1:21">
      <c r="A175" s="42" t="s">
        <v>205</v>
      </c>
      <c r="B175">
        <v>0</v>
      </c>
      <c r="C175">
        <v>0</v>
      </c>
      <c r="D175">
        <v>122.5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</row>
    <row r="176" spans="1:21">
      <c r="A176" s="42" t="s">
        <v>206</v>
      </c>
      <c r="B176">
        <v>0</v>
      </c>
      <c r="C176">
        <v>0</v>
      </c>
      <c r="D176">
        <v>0</v>
      </c>
      <c r="E176">
        <v>1793.4000244140625</v>
      </c>
      <c r="F176">
        <v>14347</v>
      </c>
      <c r="G176">
        <v>6330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61</v>
      </c>
      <c r="O176">
        <v>338</v>
      </c>
      <c r="P176">
        <v>115</v>
      </c>
      <c r="Q176">
        <v>0</v>
      </c>
      <c r="R176">
        <v>0</v>
      </c>
      <c r="S176">
        <v>0</v>
      </c>
      <c r="T176">
        <v>514</v>
      </c>
    </row>
    <row r="177" spans="1:20">
      <c r="A177" s="42" t="s">
        <v>207</v>
      </c>
      <c r="B177">
        <v>0</v>
      </c>
      <c r="C177">
        <v>0</v>
      </c>
      <c r="D177">
        <v>0</v>
      </c>
      <c r="E177">
        <v>7710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257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257</v>
      </c>
    </row>
    <row r="178" spans="1:20">
      <c r="A178" s="42" t="s">
        <v>208</v>
      </c>
      <c r="B178">
        <v>0</v>
      </c>
      <c r="C178">
        <v>0</v>
      </c>
      <c r="D178">
        <v>0</v>
      </c>
      <c r="E178">
        <v>1650</v>
      </c>
      <c r="F178">
        <v>12305</v>
      </c>
      <c r="G178">
        <v>24395</v>
      </c>
      <c r="H178">
        <v>20674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</v>
      </c>
      <c r="O178">
        <v>298</v>
      </c>
      <c r="P178">
        <v>412</v>
      </c>
      <c r="Q178">
        <v>246</v>
      </c>
      <c r="R178">
        <v>0</v>
      </c>
      <c r="S178">
        <v>0</v>
      </c>
      <c r="T178">
        <v>1011</v>
      </c>
    </row>
    <row r="179" spans="1:20">
      <c r="A179" s="42" t="s">
        <v>209</v>
      </c>
      <c r="B179">
        <v>0</v>
      </c>
      <c r="C179">
        <v>0</v>
      </c>
      <c r="D179">
        <v>0</v>
      </c>
      <c r="E179">
        <v>0</v>
      </c>
      <c r="F179">
        <v>4176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87</v>
      </c>
      <c r="P179">
        <v>0</v>
      </c>
      <c r="Q179">
        <v>0</v>
      </c>
      <c r="R179">
        <v>0</v>
      </c>
      <c r="S179">
        <v>0</v>
      </c>
      <c r="T179">
        <v>87</v>
      </c>
    </row>
    <row r="180" spans="1:20">
      <c r="A180" s="42" t="s">
        <v>210</v>
      </c>
      <c r="B180">
        <v>2841</v>
      </c>
      <c r="C180">
        <v>0</v>
      </c>
      <c r="D180">
        <v>0</v>
      </c>
      <c r="E180">
        <v>5046</v>
      </c>
      <c r="F180">
        <v>9107</v>
      </c>
      <c r="G180">
        <v>15481</v>
      </c>
      <c r="H180">
        <v>9698</v>
      </c>
      <c r="I180">
        <v>7770</v>
      </c>
      <c r="J180">
        <v>5700</v>
      </c>
      <c r="K180">
        <v>460</v>
      </c>
      <c r="L180">
        <v>0</v>
      </c>
      <c r="M180">
        <v>0</v>
      </c>
      <c r="N180">
        <v>179</v>
      </c>
      <c r="O180">
        <v>211</v>
      </c>
      <c r="P180">
        <v>258</v>
      </c>
      <c r="Q180">
        <v>115</v>
      </c>
      <c r="R180">
        <v>74</v>
      </c>
      <c r="S180">
        <v>38</v>
      </c>
      <c r="T180">
        <v>1335</v>
      </c>
    </row>
    <row r="181" spans="1:20">
      <c r="A181" t="s">
        <v>211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T182">
        <f>SUM(T2:T181)</f>
        <v>69411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52" zoomScale="110" zoomScaleNormal="110" workbookViewId="0">
      <selection activeCell="G12" sqref="G12"/>
    </sheetView>
  </sheetViews>
  <sheetFormatPr defaultRowHeight="14.4"/>
  <cols>
    <col min="1" max="3" width="19.88671875" style="20" customWidth="1"/>
    <col min="4" max="4" width="17.33203125" style="20" customWidth="1"/>
    <col min="5" max="5" width="30.33203125" style="37" customWidth="1"/>
    <col min="6" max="6" width="14.44140625" style="54" customWidth="1"/>
    <col min="7" max="8" width="8.88671875" style="20"/>
    <col min="9" max="9" width="10" style="20" bestFit="1" customWidth="1"/>
    <col min="10" max="11" width="8.88671875" style="20"/>
    <col min="12" max="12" width="12" style="20" bestFit="1" customWidth="1"/>
    <col min="13" max="16384" width="8.88671875" style="20"/>
  </cols>
  <sheetData>
    <row r="1" spans="1:10" s="14" customFormat="1">
      <c r="A1" s="14" t="s">
        <v>234</v>
      </c>
      <c r="B1" s="15" t="s">
        <v>235</v>
      </c>
      <c r="C1" s="14" t="s">
        <v>236</v>
      </c>
      <c r="D1" s="14" t="s">
        <v>237</v>
      </c>
      <c r="E1" s="14" t="s">
        <v>238</v>
      </c>
      <c r="F1" s="15" t="s">
        <v>239</v>
      </c>
      <c r="G1" s="14" t="s">
        <v>240</v>
      </c>
      <c r="H1" s="14" t="s">
        <v>241</v>
      </c>
      <c r="I1" s="14" t="s">
        <v>242</v>
      </c>
      <c r="J1" s="15" t="s">
        <v>243</v>
      </c>
    </row>
    <row r="2" spans="1:10" s="14" customFormat="1">
      <c r="A2" s="14">
        <v>41</v>
      </c>
      <c r="B2" s="15">
        <v>500</v>
      </c>
      <c r="C2" s="14">
        <v>4100500</v>
      </c>
      <c r="D2" s="14" t="s">
        <v>244</v>
      </c>
      <c r="E2" s="14">
        <v>41</v>
      </c>
      <c r="F2" s="15">
        <v>500</v>
      </c>
      <c r="G2" s="14">
        <v>4100500</v>
      </c>
      <c r="H2" s="14" t="s">
        <v>244</v>
      </c>
      <c r="I2" s="14" t="s">
        <v>227</v>
      </c>
      <c r="J2" s="15" t="s">
        <v>245</v>
      </c>
    </row>
    <row r="3" spans="1:10" s="17" customFormat="1">
      <c r="B3" s="18"/>
      <c r="F3" s="18"/>
      <c r="J3" s="18"/>
    </row>
    <row r="4" spans="1:10">
      <c r="A4" s="44" t="s">
        <v>334</v>
      </c>
    </row>
    <row r="5" spans="1:10">
      <c r="A5" s="21" t="s">
        <v>272</v>
      </c>
      <c r="B5" s="21" t="s">
        <v>273</v>
      </c>
      <c r="C5" s="21" t="s">
        <v>274</v>
      </c>
      <c r="E5" s="38"/>
      <c r="F5" s="55"/>
      <c r="H5" s="37"/>
      <c r="I5" s="37"/>
      <c r="J5" s="37"/>
    </row>
    <row r="6" spans="1:10">
      <c r="A6" s="37"/>
      <c r="B6" s="37"/>
      <c r="C6" s="37"/>
      <c r="E6" s="38"/>
      <c r="F6" s="55"/>
      <c r="H6" s="84" t="s">
        <v>413</v>
      </c>
      <c r="I6" s="84" t="s">
        <v>412</v>
      </c>
      <c r="J6" s="37"/>
    </row>
    <row r="7" spans="1:10">
      <c r="A7" s="37">
        <v>114</v>
      </c>
      <c r="B7" s="20">
        <v>0</v>
      </c>
      <c r="C7" s="20">
        <v>0</v>
      </c>
      <c r="E7" s="48" t="s">
        <v>340</v>
      </c>
      <c r="F7" s="54" t="s">
        <v>271</v>
      </c>
      <c r="G7" s="20" t="s">
        <v>271</v>
      </c>
      <c r="H7" s="37">
        <v>0</v>
      </c>
      <c r="I7" s="37">
        <v>0</v>
      </c>
      <c r="J7" s="37"/>
    </row>
    <row r="8" spans="1:10">
      <c r="A8" s="37">
        <v>236</v>
      </c>
      <c r="B8" s="20">
        <v>17</v>
      </c>
      <c r="C8" s="20">
        <v>580210</v>
      </c>
      <c r="E8" s="45" t="s">
        <v>276</v>
      </c>
      <c r="F8" s="54" t="s">
        <v>311</v>
      </c>
      <c r="G8" s="20" t="s">
        <v>290</v>
      </c>
      <c r="H8" s="37">
        <v>0</v>
      </c>
      <c r="I8" s="37">
        <v>0</v>
      </c>
      <c r="J8" s="37"/>
    </row>
    <row r="9" spans="1:10">
      <c r="A9" s="37">
        <v>237</v>
      </c>
      <c r="B9" s="20">
        <v>9</v>
      </c>
      <c r="C9" s="20">
        <v>468356</v>
      </c>
      <c r="E9" s="45" t="s">
        <v>276</v>
      </c>
      <c r="F9" s="54" t="s">
        <v>311</v>
      </c>
      <c r="G9" s="20" t="s">
        <v>311</v>
      </c>
      <c r="H9" s="37">
        <f>SUM(B8:B10)</f>
        <v>150</v>
      </c>
      <c r="I9" s="37">
        <f>SUM(C8:C10)</f>
        <v>5008878</v>
      </c>
      <c r="J9" s="37"/>
    </row>
    <row r="10" spans="1:10">
      <c r="A10" s="37">
        <v>238</v>
      </c>
      <c r="B10" s="20">
        <v>124</v>
      </c>
      <c r="C10" s="20">
        <v>3960312</v>
      </c>
      <c r="E10" s="45" t="s">
        <v>276</v>
      </c>
      <c r="F10" s="54" t="s">
        <v>311</v>
      </c>
      <c r="G10" s="20" t="s">
        <v>296</v>
      </c>
      <c r="H10" s="37">
        <f>SUM(B11:B15,B29:B31)</f>
        <v>42</v>
      </c>
      <c r="I10" s="37">
        <f>SUM(C11:C15,C29:C31)</f>
        <v>1527786</v>
      </c>
      <c r="J10" s="37"/>
    </row>
    <row r="11" spans="1:10">
      <c r="A11" s="37">
        <v>311</v>
      </c>
      <c r="B11" s="20">
        <v>6</v>
      </c>
      <c r="C11" s="20">
        <v>90681</v>
      </c>
      <c r="E11" s="46" t="s">
        <v>278</v>
      </c>
      <c r="F11" s="54" t="s">
        <v>296</v>
      </c>
      <c r="G11" s="20" t="s">
        <v>295</v>
      </c>
      <c r="H11" s="37">
        <f>SUM(B16:B28)</f>
        <v>653</v>
      </c>
      <c r="I11" s="37">
        <f>SUM(C16:C28)</f>
        <v>14715443</v>
      </c>
      <c r="J11" s="37"/>
    </row>
    <row r="12" spans="1:10">
      <c r="A12" s="37">
        <v>312</v>
      </c>
      <c r="B12" s="20">
        <v>3</v>
      </c>
      <c r="C12" s="20">
        <v>131896</v>
      </c>
      <c r="E12" s="46" t="s">
        <v>278</v>
      </c>
      <c r="F12" s="54" t="s">
        <v>296</v>
      </c>
      <c r="G12" s="20" t="s">
        <v>293</v>
      </c>
      <c r="H12" s="37">
        <f>SUM(B32:B44,B49:B50,B53:B56)</f>
        <v>1001</v>
      </c>
      <c r="I12" s="37">
        <f>SUM(C32:C44,C49:C50,C53:C56)</f>
        <v>34402543</v>
      </c>
      <c r="J12" s="37"/>
    </row>
    <row r="13" spans="1:10">
      <c r="A13" s="37">
        <v>315</v>
      </c>
      <c r="B13" s="20">
        <v>0</v>
      </c>
      <c r="C13" s="20">
        <v>2253</v>
      </c>
      <c r="E13" s="46" t="s">
        <v>278</v>
      </c>
      <c r="F13" s="54" t="s">
        <v>296</v>
      </c>
      <c r="G13" s="20" t="s">
        <v>269</v>
      </c>
      <c r="H13" s="37">
        <f>SUM(B45:B48)</f>
        <v>603</v>
      </c>
      <c r="I13" s="37">
        <f>SUM(C45:C48)</f>
        <v>37488144</v>
      </c>
      <c r="J13" s="37"/>
    </row>
    <row r="14" spans="1:10">
      <c r="A14" s="37">
        <v>323</v>
      </c>
      <c r="B14" s="20">
        <v>4</v>
      </c>
      <c r="C14" s="20">
        <v>127418</v>
      </c>
      <c r="E14" s="46" t="s">
        <v>278</v>
      </c>
      <c r="F14" s="54" t="s">
        <v>296</v>
      </c>
      <c r="G14" s="20" t="s">
        <v>294</v>
      </c>
      <c r="H14" s="37">
        <f>B51</f>
        <v>480</v>
      </c>
      <c r="I14" s="37">
        <f>C51</f>
        <v>10284698</v>
      </c>
      <c r="J14" s="37"/>
    </row>
    <row r="15" spans="1:10">
      <c r="A15" s="37">
        <v>339</v>
      </c>
      <c r="B15" s="20">
        <v>1</v>
      </c>
      <c r="C15" s="20">
        <v>46329</v>
      </c>
      <c r="E15" s="46" t="s">
        <v>278</v>
      </c>
      <c r="F15" s="54" t="s">
        <v>296</v>
      </c>
      <c r="G15" s="20" t="s">
        <v>312</v>
      </c>
      <c r="H15" s="37">
        <f>B52</f>
        <v>910</v>
      </c>
      <c r="I15" s="37">
        <f>C52</f>
        <v>18177409</v>
      </c>
      <c r="J15" s="37"/>
    </row>
    <row r="16" spans="1:10">
      <c r="A16" s="37">
        <v>424</v>
      </c>
      <c r="B16" s="20">
        <v>1</v>
      </c>
      <c r="C16" s="20">
        <v>24600</v>
      </c>
      <c r="E16" s="47" t="s">
        <v>277</v>
      </c>
      <c r="F16" s="54" t="s">
        <v>295</v>
      </c>
      <c r="G16" s="20" t="s">
        <v>270</v>
      </c>
      <c r="H16" s="37">
        <f>B57</f>
        <v>101</v>
      </c>
      <c r="I16" s="37">
        <f>C57</f>
        <v>5357573</v>
      </c>
      <c r="J16" s="37"/>
    </row>
    <row r="17" spans="1:10">
      <c r="A17" s="37">
        <v>425</v>
      </c>
      <c r="B17" s="20">
        <v>4</v>
      </c>
      <c r="C17" s="20">
        <v>89613</v>
      </c>
      <c r="E17" s="47" t="s">
        <v>277</v>
      </c>
      <c r="F17" s="54" t="s">
        <v>295</v>
      </c>
      <c r="H17" s="85">
        <f>SUM(H7:H16)</f>
        <v>3940</v>
      </c>
      <c r="I17" s="84">
        <f>SUM(I7:I16)</f>
        <v>126962474</v>
      </c>
      <c r="J17" s="37"/>
    </row>
    <row r="18" spans="1:10">
      <c r="A18" s="37">
        <v>441</v>
      </c>
      <c r="B18" s="20">
        <v>20</v>
      </c>
      <c r="C18" s="20">
        <v>740776</v>
      </c>
      <c r="E18" s="47" t="s">
        <v>279</v>
      </c>
      <c r="F18" s="54" t="s">
        <v>295</v>
      </c>
      <c r="H18" s="37"/>
      <c r="I18" s="37"/>
      <c r="J18" s="37"/>
    </row>
    <row r="19" spans="1:10">
      <c r="A19" s="37">
        <v>442</v>
      </c>
      <c r="B19" s="20">
        <v>25</v>
      </c>
      <c r="C19" s="20">
        <v>569544</v>
      </c>
      <c r="E19" s="47" t="s">
        <v>279</v>
      </c>
      <c r="F19" s="54" t="s">
        <v>295</v>
      </c>
      <c r="H19" s="37"/>
      <c r="I19" s="37"/>
      <c r="J19" s="37"/>
    </row>
    <row r="20" spans="1:10">
      <c r="A20" s="37">
        <v>443</v>
      </c>
      <c r="B20" s="20">
        <v>2</v>
      </c>
      <c r="C20" s="20">
        <v>59835</v>
      </c>
      <c r="E20" s="47" t="s">
        <v>279</v>
      </c>
      <c r="F20" s="54" t="s">
        <v>295</v>
      </c>
      <c r="H20" s="37"/>
      <c r="I20" s="37"/>
      <c r="J20" s="37"/>
    </row>
    <row r="21" spans="1:10">
      <c r="A21" s="37">
        <v>444</v>
      </c>
      <c r="B21" s="20">
        <v>12</v>
      </c>
      <c r="C21" s="20">
        <v>287229</v>
      </c>
      <c r="E21" s="47" t="s">
        <v>279</v>
      </c>
      <c r="F21" s="54" t="s">
        <v>295</v>
      </c>
      <c r="H21" s="37"/>
      <c r="I21" s="37"/>
      <c r="J21" s="37"/>
    </row>
    <row r="22" spans="1:10">
      <c r="A22" s="37">
        <v>445</v>
      </c>
      <c r="B22" s="20">
        <v>175</v>
      </c>
      <c r="C22" s="20">
        <v>4585034</v>
      </c>
      <c r="E22" s="47" t="s">
        <v>279</v>
      </c>
      <c r="F22" s="54" t="s">
        <v>295</v>
      </c>
      <c r="H22" s="37"/>
      <c r="I22" s="37"/>
      <c r="J22" s="37"/>
    </row>
    <row r="23" spans="1:10">
      <c r="A23" s="37">
        <v>446</v>
      </c>
      <c r="B23" s="20">
        <v>45</v>
      </c>
      <c r="C23" s="20">
        <v>1188428</v>
      </c>
      <c r="E23" s="47" t="s">
        <v>279</v>
      </c>
      <c r="F23" s="54" t="s">
        <v>295</v>
      </c>
      <c r="H23" s="37"/>
      <c r="I23" s="37"/>
      <c r="J23" s="37"/>
    </row>
    <row r="24" spans="1:10">
      <c r="A24" s="37">
        <v>447</v>
      </c>
      <c r="B24" s="20">
        <v>47</v>
      </c>
      <c r="C24" s="20">
        <v>890997</v>
      </c>
      <c r="E24" s="47" t="s">
        <v>279</v>
      </c>
      <c r="F24" s="54" t="s">
        <v>295</v>
      </c>
      <c r="H24" s="37"/>
      <c r="I24" s="37"/>
      <c r="J24" s="37"/>
    </row>
    <row r="25" spans="1:10">
      <c r="A25" s="37">
        <v>448</v>
      </c>
      <c r="B25" s="20">
        <v>196</v>
      </c>
      <c r="C25" s="20">
        <v>3487642</v>
      </c>
      <c r="E25" s="47" t="s">
        <v>279</v>
      </c>
      <c r="F25" s="54" t="s">
        <v>295</v>
      </c>
      <c r="H25" s="37"/>
      <c r="I25" s="37"/>
      <c r="J25" s="37"/>
    </row>
    <row r="26" spans="1:10">
      <c r="A26" s="37">
        <v>451</v>
      </c>
      <c r="B26" s="20">
        <v>55</v>
      </c>
      <c r="C26" s="20">
        <v>1290748</v>
      </c>
      <c r="E26" s="47" t="s">
        <v>279</v>
      </c>
      <c r="F26" s="54" t="s">
        <v>295</v>
      </c>
      <c r="H26" s="37"/>
      <c r="I26" s="37"/>
      <c r="J26" s="37"/>
    </row>
    <row r="27" spans="1:10">
      <c r="A27" s="37">
        <v>452</v>
      </c>
      <c r="B27" s="20">
        <v>5</v>
      </c>
      <c r="C27" s="20">
        <v>64670</v>
      </c>
      <c r="E27" s="47" t="s">
        <v>279</v>
      </c>
      <c r="F27" s="54" t="s">
        <v>295</v>
      </c>
      <c r="H27" s="37"/>
      <c r="I27" s="37"/>
      <c r="J27" s="37"/>
    </row>
    <row r="28" spans="1:10">
      <c r="A28" s="37">
        <v>453</v>
      </c>
      <c r="B28" s="20">
        <v>66</v>
      </c>
      <c r="C28" s="20">
        <v>1436327</v>
      </c>
      <c r="E28" s="47" t="s">
        <v>279</v>
      </c>
      <c r="F28" s="54" t="s">
        <v>295</v>
      </c>
      <c r="H28" s="37"/>
      <c r="I28" s="37"/>
      <c r="J28" s="37"/>
    </row>
    <row r="29" spans="1:10">
      <c r="A29" s="37">
        <v>484</v>
      </c>
      <c r="B29" s="20">
        <v>1</v>
      </c>
      <c r="C29" s="20">
        <v>43527</v>
      </c>
      <c r="E29" s="46" t="s">
        <v>280</v>
      </c>
      <c r="F29" s="54" t="s">
        <v>296</v>
      </c>
      <c r="H29" s="37"/>
      <c r="I29" s="37"/>
      <c r="J29" s="37"/>
    </row>
    <row r="30" spans="1:10">
      <c r="A30" s="37">
        <v>485</v>
      </c>
      <c r="B30" s="20">
        <v>17</v>
      </c>
      <c r="C30" s="20">
        <v>421157</v>
      </c>
      <c r="E30" s="46" t="s">
        <v>280</v>
      </c>
      <c r="F30" s="54" t="s">
        <v>296</v>
      </c>
      <c r="H30" s="37"/>
      <c r="I30" s="37"/>
      <c r="J30" s="37"/>
    </row>
    <row r="31" spans="1:10">
      <c r="A31" s="37">
        <v>491</v>
      </c>
      <c r="B31" s="20">
        <v>10</v>
      </c>
      <c r="C31" s="20">
        <v>664525</v>
      </c>
      <c r="E31" s="46" t="s">
        <v>280</v>
      </c>
      <c r="F31" s="54" t="s">
        <v>296</v>
      </c>
      <c r="H31" s="37"/>
      <c r="I31" s="37"/>
      <c r="J31" s="37"/>
    </row>
    <row r="32" spans="1:10">
      <c r="A32" s="37">
        <v>511</v>
      </c>
      <c r="B32" s="20">
        <v>5</v>
      </c>
      <c r="C32" s="20">
        <v>169714</v>
      </c>
      <c r="E32" s="50" t="s">
        <v>281</v>
      </c>
      <c r="F32" s="54" t="s">
        <v>293</v>
      </c>
      <c r="H32" s="37"/>
      <c r="I32" s="37"/>
      <c r="J32" s="37"/>
    </row>
    <row r="33" spans="1:10">
      <c r="A33" s="37">
        <v>512</v>
      </c>
      <c r="B33" s="20">
        <v>10</v>
      </c>
      <c r="C33" s="20">
        <v>146057</v>
      </c>
      <c r="E33" s="50" t="s">
        <v>281</v>
      </c>
      <c r="F33" s="54" t="s">
        <v>293</v>
      </c>
      <c r="H33" s="37"/>
      <c r="I33" s="37"/>
      <c r="J33" s="37"/>
    </row>
    <row r="34" spans="1:10">
      <c r="A34" s="37">
        <v>515</v>
      </c>
      <c r="B34" s="20">
        <v>2</v>
      </c>
      <c r="C34" s="20">
        <v>28462</v>
      </c>
      <c r="E34" s="50" t="s">
        <v>281</v>
      </c>
      <c r="F34" s="54" t="s">
        <v>293</v>
      </c>
      <c r="H34" s="37"/>
      <c r="I34" s="37"/>
      <c r="J34" s="37"/>
    </row>
    <row r="35" spans="1:10">
      <c r="A35" s="37">
        <v>517</v>
      </c>
      <c r="B35" s="20">
        <v>3</v>
      </c>
      <c r="C35" s="20">
        <v>170099</v>
      </c>
      <c r="E35" s="50" t="s">
        <v>281</v>
      </c>
      <c r="F35" s="54" t="s">
        <v>293</v>
      </c>
      <c r="H35" s="37"/>
      <c r="I35" s="37"/>
      <c r="J35" s="37"/>
    </row>
    <row r="36" spans="1:10">
      <c r="A36" s="37">
        <v>519</v>
      </c>
      <c r="B36" s="20">
        <v>3</v>
      </c>
      <c r="C36" s="20">
        <v>249637</v>
      </c>
      <c r="E36" s="50" t="s">
        <v>281</v>
      </c>
      <c r="F36" s="54" t="s">
        <v>293</v>
      </c>
      <c r="H36" s="37"/>
      <c r="I36" s="37"/>
      <c r="J36" s="37"/>
    </row>
    <row r="37" spans="1:10">
      <c r="A37" s="37">
        <v>522</v>
      </c>
      <c r="B37" s="20">
        <v>58</v>
      </c>
      <c r="C37" s="20">
        <v>2837231</v>
      </c>
      <c r="E37" s="50" t="s">
        <v>282</v>
      </c>
      <c r="F37" s="54" t="s">
        <v>293</v>
      </c>
      <c r="H37" s="37"/>
      <c r="I37" s="37"/>
      <c r="J37" s="37"/>
    </row>
    <row r="38" spans="1:10">
      <c r="A38" s="37">
        <v>524</v>
      </c>
      <c r="B38" s="20">
        <v>9</v>
      </c>
      <c r="C38" s="20">
        <v>441575</v>
      </c>
      <c r="E38" s="50" t="s">
        <v>282</v>
      </c>
      <c r="F38" s="54" t="s">
        <v>293</v>
      </c>
      <c r="H38" s="37"/>
      <c r="I38" s="37"/>
      <c r="J38" s="37"/>
    </row>
    <row r="39" spans="1:10">
      <c r="A39" s="37">
        <v>531</v>
      </c>
      <c r="B39" s="20">
        <v>108</v>
      </c>
      <c r="C39" s="20">
        <v>2447243</v>
      </c>
      <c r="E39" s="50" t="s">
        <v>283</v>
      </c>
      <c r="F39" s="54" t="s">
        <v>293</v>
      </c>
      <c r="H39" s="37"/>
      <c r="I39" s="37"/>
      <c r="J39" s="37"/>
    </row>
    <row r="40" spans="1:10">
      <c r="A40" s="37">
        <v>532</v>
      </c>
      <c r="B40" s="20">
        <v>8</v>
      </c>
      <c r="C40" s="20">
        <v>140653</v>
      </c>
      <c r="E40" s="50" t="s">
        <v>283</v>
      </c>
      <c r="F40" s="54" t="s">
        <v>293</v>
      </c>
      <c r="H40" s="37"/>
      <c r="I40" s="37"/>
      <c r="J40" s="37"/>
    </row>
    <row r="41" spans="1:10">
      <c r="A41" s="37">
        <v>541</v>
      </c>
      <c r="B41" s="20">
        <v>66</v>
      </c>
      <c r="C41" s="20">
        <v>3061242</v>
      </c>
      <c r="E41" s="50" t="s">
        <v>284</v>
      </c>
      <c r="F41" s="54" t="s">
        <v>293</v>
      </c>
      <c r="H41" s="37"/>
      <c r="I41" s="37"/>
      <c r="J41" s="37"/>
    </row>
    <row r="42" spans="1:10">
      <c r="A42" s="37">
        <v>551</v>
      </c>
      <c r="B42" s="20">
        <v>12</v>
      </c>
      <c r="C42" s="20">
        <v>381010</v>
      </c>
      <c r="E42" s="50" t="s">
        <v>341</v>
      </c>
      <c r="F42" s="54" t="s">
        <v>293</v>
      </c>
      <c r="H42" s="37"/>
      <c r="I42" s="37"/>
      <c r="J42" s="37"/>
    </row>
    <row r="43" spans="1:10">
      <c r="A43" s="37">
        <v>561</v>
      </c>
      <c r="B43" s="20">
        <v>237</v>
      </c>
      <c r="C43" s="20">
        <v>9462348</v>
      </c>
      <c r="E43" s="50" t="s">
        <v>285</v>
      </c>
      <c r="F43" s="54" t="s">
        <v>293</v>
      </c>
      <c r="H43" s="37"/>
      <c r="I43" s="37"/>
      <c r="J43" s="37"/>
    </row>
    <row r="44" spans="1:10">
      <c r="A44" s="37">
        <v>611</v>
      </c>
      <c r="B44" s="20">
        <v>171</v>
      </c>
      <c r="C44" s="20">
        <v>7726720</v>
      </c>
      <c r="E44" s="50" t="s">
        <v>286</v>
      </c>
      <c r="F44" s="54" t="s">
        <v>293</v>
      </c>
      <c r="H44" s="37"/>
      <c r="I44" s="37"/>
      <c r="J44" s="37"/>
    </row>
    <row r="45" spans="1:10">
      <c r="A45" s="37">
        <v>621</v>
      </c>
      <c r="B45" s="20">
        <v>59</v>
      </c>
      <c r="C45" s="20">
        <v>2604847</v>
      </c>
      <c r="E45" s="51" t="s">
        <v>339</v>
      </c>
      <c r="F45" s="54" t="s">
        <v>269</v>
      </c>
      <c r="H45" s="37"/>
      <c r="I45" s="37"/>
      <c r="J45" s="37"/>
    </row>
    <row r="46" spans="1:10">
      <c r="A46" s="37">
        <v>622</v>
      </c>
      <c r="B46" s="20">
        <v>385</v>
      </c>
      <c r="C46" s="20">
        <v>30424275</v>
      </c>
      <c r="E46" s="51" t="s">
        <v>336</v>
      </c>
      <c r="F46" s="54" t="s">
        <v>269</v>
      </c>
      <c r="H46" s="37"/>
      <c r="I46" s="37"/>
      <c r="J46" s="37"/>
    </row>
    <row r="47" spans="1:10">
      <c r="A47" s="37">
        <v>623</v>
      </c>
      <c r="B47" s="20">
        <v>132</v>
      </c>
      <c r="C47" s="20">
        <v>3743786</v>
      </c>
      <c r="E47" s="51" t="s">
        <v>337</v>
      </c>
      <c r="F47" s="54" t="s">
        <v>269</v>
      </c>
      <c r="H47" s="37"/>
      <c r="I47" s="37"/>
      <c r="J47" s="37"/>
    </row>
    <row r="48" spans="1:10">
      <c r="A48" s="37">
        <v>624</v>
      </c>
      <c r="B48" s="20">
        <v>27</v>
      </c>
      <c r="C48" s="20">
        <v>715236</v>
      </c>
      <c r="E48" s="51" t="s">
        <v>338</v>
      </c>
      <c r="F48" s="54" t="s">
        <v>269</v>
      </c>
      <c r="H48" s="37"/>
      <c r="I48" s="37"/>
      <c r="J48" s="37"/>
    </row>
    <row r="49" spans="1:10">
      <c r="A49" s="37">
        <v>712</v>
      </c>
      <c r="B49" s="20">
        <v>16</v>
      </c>
      <c r="C49" s="20">
        <v>367942</v>
      </c>
      <c r="E49" s="50" t="s">
        <v>287</v>
      </c>
      <c r="F49" s="54" t="s">
        <v>293</v>
      </c>
      <c r="H49" s="37"/>
      <c r="I49" s="37"/>
      <c r="J49" s="37"/>
    </row>
    <row r="50" spans="1:10">
      <c r="A50" s="37">
        <v>713</v>
      </c>
      <c r="B50" s="20">
        <v>161</v>
      </c>
      <c r="C50" s="20">
        <v>3715918</v>
      </c>
      <c r="E50" s="50" t="s">
        <v>287</v>
      </c>
      <c r="F50" s="54" t="s">
        <v>293</v>
      </c>
      <c r="H50" s="37"/>
      <c r="I50" s="37"/>
      <c r="J50" s="37"/>
    </row>
    <row r="51" spans="1:10">
      <c r="A51" s="37">
        <v>721</v>
      </c>
      <c r="B51" s="20">
        <v>480</v>
      </c>
      <c r="C51" s="20">
        <v>10284698</v>
      </c>
      <c r="E51" s="111" t="s">
        <v>289</v>
      </c>
      <c r="F51" s="54" t="s">
        <v>294</v>
      </c>
      <c r="H51" s="37"/>
      <c r="I51" s="37"/>
      <c r="J51" s="37"/>
    </row>
    <row r="52" spans="1:10">
      <c r="A52" s="37">
        <v>722</v>
      </c>
      <c r="B52" s="20">
        <v>910</v>
      </c>
      <c r="C52" s="20">
        <v>18177409</v>
      </c>
      <c r="E52" s="52" t="s">
        <v>335</v>
      </c>
      <c r="F52" s="54" t="s">
        <v>312</v>
      </c>
      <c r="H52" s="37"/>
      <c r="I52" s="37"/>
      <c r="J52" s="37"/>
    </row>
    <row r="53" spans="1:10">
      <c r="A53" s="37">
        <v>811</v>
      </c>
      <c r="B53" s="20">
        <v>21</v>
      </c>
      <c r="C53" s="20">
        <v>790313</v>
      </c>
      <c r="E53" s="49" t="s">
        <v>288</v>
      </c>
      <c r="F53" s="54" t="s">
        <v>293</v>
      </c>
      <c r="H53" s="37"/>
      <c r="I53" s="37"/>
      <c r="J53" s="37"/>
    </row>
    <row r="54" spans="1:10">
      <c r="A54" s="37">
        <v>812</v>
      </c>
      <c r="B54" s="20">
        <v>15</v>
      </c>
      <c r="C54" s="20">
        <v>309380</v>
      </c>
      <c r="E54" s="49" t="s">
        <v>288</v>
      </c>
      <c r="F54" s="54" t="s">
        <v>293</v>
      </c>
      <c r="H54" s="37"/>
      <c r="I54" s="37"/>
      <c r="J54" s="37"/>
    </row>
    <row r="55" spans="1:10">
      <c r="A55" s="37">
        <v>813</v>
      </c>
      <c r="B55" s="20">
        <v>57</v>
      </c>
      <c r="C55" s="20">
        <v>1367232</v>
      </c>
      <c r="E55" s="49" t="s">
        <v>288</v>
      </c>
      <c r="F55" s="54" t="s">
        <v>293</v>
      </c>
      <c r="H55" s="37"/>
      <c r="I55" s="37"/>
      <c r="J55" s="37"/>
    </row>
    <row r="56" spans="1:10">
      <c r="A56" s="37">
        <v>814</v>
      </c>
      <c r="B56" s="20">
        <v>39</v>
      </c>
      <c r="C56" s="20">
        <v>589767</v>
      </c>
      <c r="E56" s="49" t="s">
        <v>288</v>
      </c>
      <c r="F56" s="54" t="s">
        <v>293</v>
      </c>
      <c r="H56" s="37"/>
      <c r="I56" s="37"/>
      <c r="J56" s="37"/>
    </row>
    <row r="57" spans="1:10">
      <c r="A57" s="37">
        <v>921</v>
      </c>
      <c r="B57" s="20">
        <v>101</v>
      </c>
      <c r="C57" s="20">
        <v>5357573</v>
      </c>
      <c r="E57" s="53" t="s">
        <v>330</v>
      </c>
      <c r="F57" s="54" t="s">
        <v>270</v>
      </c>
      <c r="H57" s="37"/>
      <c r="I57" s="37"/>
      <c r="J57" s="37"/>
    </row>
    <row r="58" spans="1:10">
      <c r="A58" s="20">
        <v>999</v>
      </c>
      <c r="B58" s="21">
        <f>SUM(B7:B57)</f>
        <v>3940</v>
      </c>
      <c r="C58" s="20">
        <v>18941</v>
      </c>
      <c r="H58" s="37"/>
      <c r="I58" s="37"/>
      <c r="J58" s="37"/>
    </row>
    <row r="59" spans="1:10">
      <c r="A59" s="39" t="s">
        <v>327</v>
      </c>
      <c r="B59" s="20">
        <v>69411</v>
      </c>
    </row>
    <row r="60" spans="1:10">
      <c r="A60" s="39" t="s">
        <v>328</v>
      </c>
      <c r="B60" s="40">
        <f>B58/B59</f>
        <v>5.6763337223206693E-2</v>
      </c>
      <c r="C60" s="40">
        <v>5.7000000000000002E-2</v>
      </c>
    </row>
    <row r="61" spans="1:10">
      <c r="A61" s="39"/>
      <c r="B61" s="40"/>
    </row>
    <row r="62" spans="1:10" ht="15.6">
      <c r="A62" s="58" t="s">
        <v>228</v>
      </c>
      <c r="B62" s="14"/>
      <c r="C62" s="14"/>
      <c r="D62" s="14"/>
      <c r="E62" s="14"/>
      <c r="F62" s="56"/>
    </row>
    <row r="63" spans="1:10" ht="21">
      <c r="A63" s="63"/>
      <c r="B63" s="56"/>
      <c r="C63" s="56"/>
      <c r="D63" s="56"/>
      <c r="E63" s="56"/>
      <c r="F63" s="56"/>
    </row>
    <row r="64" spans="1:10" ht="46.8">
      <c r="A64" s="64"/>
      <c r="B64" s="59" t="s">
        <v>229</v>
      </c>
      <c r="C64" s="59" t="s">
        <v>230</v>
      </c>
      <c r="D64" s="59" t="s">
        <v>231</v>
      </c>
      <c r="E64" s="59" t="s">
        <v>232</v>
      </c>
      <c r="F64" s="59" t="s">
        <v>306</v>
      </c>
    </row>
    <row r="65" spans="1:6" ht="15.6">
      <c r="A65" s="64" t="s">
        <v>233</v>
      </c>
      <c r="B65" s="60">
        <v>26787</v>
      </c>
      <c r="C65" s="60">
        <v>49388</v>
      </c>
      <c r="D65" s="60">
        <v>52377</v>
      </c>
      <c r="E65" s="60">
        <v>39764</v>
      </c>
      <c r="F65" s="60">
        <v>6795</v>
      </c>
    </row>
    <row r="66" spans="1:6" ht="15.6">
      <c r="A66" s="62"/>
      <c r="B66" s="61"/>
      <c r="C66" s="61"/>
      <c r="D66" s="61"/>
      <c r="E66" s="61" t="s">
        <v>342</v>
      </c>
      <c r="F66" s="65">
        <f>F65/SUM(B65:E65)</f>
        <v>4.0370493595380121E-2</v>
      </c>
    </row>
    <row r="67" spans="1:6" ht="19.8">
      <c r="A67" s="13"/>
      <c r="B67" s="13"/>
      <c r="C67" s="13"/>
      <c r="D67" s="13"/>
      <c r="E67" s="13"/>
      <c r="F67" s="5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1"/>
  <sheetViews>
    <sheetView tabSelected="1" workbookViewId="0">
      <pane xSplit="1" ySplit="1" topLeftCell="AG29" activePane="bottomRight" state="frozen"/>
      <selection pane="topRight" activeCell="B1" sqref="B1"/>
      <selection pane="bottomLeft" activeCell="A2" sqref="A2"/>
      <selection pane="bottomRight" activeCell="AP43" sqref="AP43"/>
    </sheetView>
  </sheetViews>
  <sheetFormatPr defaultRowHeight="14.4"/>
  <cols>
    <col min="22" max="22" width="13.6640625" customWidth="1"/>
    <col min="23" max="23" width="12.77734375" customWidth="1"/>
    <col min="24" max="24" width="11.33203125" customWidth="1"/>
    <col min="33" max="33" width="13.5546875" bestFit="1" customWidth="1"/>
    <col min="34" max="34" width="15" bestFit="1" customWidth="1"/>
    <col min="35" max="35" width="16" bestFit="1" customWidth="1"/>
    <col min="36" max="36" width="15" bestFit="1" customWidth="1"/>
    <col min="37" max="37" width="16" bestFit="1" customWidth="1"/>
  </cols>
  <sheetData>
    <row r="1" spans="1:50">
      <c r="B1" t="s">
        <v>621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648</v>
      </c>
      <c r="Q1" t="s">
        <v>290</v>
      </c>
      <c r="R1" t="s">
        <v>649</v>
      </c>
      <c r="S1" t="s">
        <v>651</v>
      </c>
      <c r="T1" t="s">
        <v>652</v>
      </c>
      <c r="U1" t="s">
        <v>653</v>
      </c>
      <c r="V1" s="12" t="s">
        <v>692</v>
      </c>
      <c r="W1" s="12" t="s">
        <v>693</v>
      </c>
      <c r="X1" s="12" t="s">
        <v>694</v>
      </c>
      <c r="Y1" s="12" t="s">
        <v>247</v>
      </c>
      <c r="Z1" s="12" t="s">
        <v>248</v>
      </c>
      <c r="AA1" s="12" t="s">
        <v>249</v>
      </c>
      <c r="AB1" s="12" t="s">
        <v>250</v>
      </c>
      <c r="AC1" s="12" t="s">
        <v>251</v>
      </c>
      <c r="AD1" s="12" t="s">
        <v>405</v>
      </c>
      <c r="AE1" s="12" t="s">
        <v>256</v>
      </c>
      <c r="AF1" s="12" t="s">
        <v>656</v>
      </c>
      <c r="AG1" s="12" t="s">
        <v>1</v>
      </c>
      <c r="AH1" s="12" t="s">
        <v>2</v>
      </c>
      <c r="AI1" s="12" t="s">
        <v>3</v>
      </c>
      <c r="AJ1" s="12" t="s">
        <v>4</v>
      </c>
      <c r="AK1" s="12" t="s">
        <v>5</v>
      </c>
      <c r="AL1" s="16" t="s">
        <v>258</v>
      </c>
      <c r="AM1" s="16" t="s">
        <v>259</v>
      </c>
      <c r="AN1" s="16" t="s">
        <v>260</v>
      </c>
      <c r="AO1" s="16" t="s">
        <v>261</v>
      </c>
      <c r="AP1" s="16" t="s">
        <v>262</v>
      </c>
      <c r="AQ1" s="16" t="s">
        <v>414</v>
      </c>
      <c r="AR1" s="16" t="s">
        <v>658</v>
      </c>
      <c r="AS1" s="16" t="s">
        <v>657</v>
      </c>
      <c r="AT1" s="16" t="s">
        <v>782</v>
      </c>
      <c r="AU1" s="16" t="s">
        <v>791</v>
      </c>
      <c r="AV1" s="16" t="s">
        <v>265</v>
      </c>
      <c r="AW1" s="16" t="s">
        <v>266</v>
      </c>
      <c r="AX1" s="29" t="s">
        <v>212</v>
      </c>
    </row>
    <row r="2" spans="1:50">
      <c r="A2" t="s">
        <v>621</v>
      </c>
      <c r="B2">
        <f>'I-O'!C113</f>
        <v>0.12066407756050963</v>
      </c>
      <c r="C2">
        <f>'I-O'!D113</f>
        <v>11.223391861409395</v>
      </c>
      <c r="D2">
        <f>'I-O'!E113</f>
        <v>157.51853382682486</v>
      </c>
      <c r="E2">
        <f>'I-O'!F113</f>
        <v>5.6268036317220052</v>
      </c>
      <c r="F2">
        <f>'I-O'!G113</f>
        <v>1.1004334089948138</v>
      </c>
      <c r="G2">
        <f>'I-O'!H113</f>
        <v>62.486666089924</v>
      </c>
      <c r="H2">
        <f>'I-O'!I113</f>
        <v>7.378843473325797</v>
      </c>
      <c r="I2">
        <f>'I-O'!J113</f>
        <v>2.5553928119646931</v>
      </c>
      <c r="J2">
        <f>'I-O'!K113</f>
        <v>169.62738261832163</v>
      </c>
      <c r="K2">
        <f>'I-O'!L113</f>
        <v>73.945226220001729</v>
      </c>
      <c r="L2">
        <f>'I-O'!M113</f>
        <v>616.12747507301412</v>
      </c>
      <c r="M2">
        <f>'I-O'!N113</f>
        <v>5.6722627856483587</v>
      </c>
      <c r="N2">
        <f>'I-O'!O113</f>
        <v>11.314122179919783</v>
      </c>
      <c r="O2">
        <f>'I-O'!P113</f>
        <v>27.068767388741762</v>
      </c>
      <c r="P2">
        <f>'I-O'!Q113</f>
        <v>23.09730646171635</v>
      </c>
      <c r="Q2">
        <f>'I-O'!R113</f>
        <v>34.072675270547329</v>
      </c>
      <c r="R2">
        <f>'I-O'!S113</f>
        <v>2.2893595437019667</v>
      </c>
      <c r="S2">
        <f>'I-O'!T113</f>
        <v>4.7643802379096893</v>
      </c>
      <c r="T2">
        <f>'I-O'!U113</f>
        <v>283.76277413940306</v>
      </c>
      <c r="U2">
        <f>'I-O'!V113</f>
        <v>15.010184726659741</v>
      </c>
      <c r="V2">
        <v>720.6219420000001</v>
      </c>
      <c r="W2">
        <v>321.75742649999955</v>
      </c>
      <c r="X2">
        <v>253.25237850000011</v>
      </c>
      <c r="AF2">
        <f>capcom!D41</f>
        <v>40726.424972956636</v>
      </c>
      <c r="AV2">
        <f>' fed state local'!C3</f>
        <v>10</v>
      </c>
      <c r="AW2">
        <f>'Import-Export'!E20</f>
        <v>3075.3176588736169</v>
      </c>
      <c r="AX2">
        <f t="shared" ref="AX2:AX49" si="0">SUM(B2:AW2)</f>
        <v>46622.137024657561</v>
      </c>
    </row>
    <row r="3" spans="1:50">
      <c r="A3" t="s">
        <v>623</v>
      </c>
      <c r="B3">
        <f>'I-O'!C114</f>
        <v>566.12359369726892</v>
      </c>
      <c r="C3">
        <f>'I-O'!D114</f>
        <v>1117.4789631060512</v>
      </c>
      <c r="D3">
        <f>'I-O'!E114</f>
        <v>2925.5853013635865</v>
      </c>
      <c r="E3">
        <f>'I-O'!F114</f>
        <v>2517.8104003260928</v>
      </c>
      <c r="F3">
        <f>'I-O'!G114</f>
        <v>105.6503151985012</v>
      </c>
      <c r="G3">
        <f>'I-O'!H114</f>
        <v>5999.2144132867579</v>
      </c>
      <c r="H3">
        <f>'I-O'!I114</f>
        <v>0.72827010678217619</v>
      </c>
      <c r="I3">
        <f>'I-O'!J114</f>
        <v>1355.5354151831077</v>
      </c>
      <c r="J3">
        <f>'I-O'!K114</f>
        <v>12586.262479623192</v>
      </c>
      <c r="K3">
        <f>'I-O'!L114</f>
        <v>48.606590693951432</v>
      </c>
      <c r="L3">
        <f>'I-O'!M114</f>
        <v>71.998981415848505</v>
      </c>
      <c r="M3">
        <f>'I-O'!N114</f>
        <v>3.6179156132507599</v>
      </c>
      <c r="N3">
        <f>'I-O'!O114</f>
        <v>39.653005662202759</v>
      </c>
      <c r="O3">
        <f>'I-O'!P114</f>
        <v>94.868870025074855</v>
      </c>
      <c r="P3">
        <f>'I-O'!Q114</f>
        <v>2.279636084443625</v>
      </c>
      <c r="Q3">
        <f>'I-O'!R114</f>
        <v>34.072675270547329</v>
      </c>
      <c r="R3">
        <f>'I-O'!S114</f>
        <v>1214.4152261231031</v>
      </c>
      <c r="S3">
        <f>'I-O'!T114</f>
        <v>3.1317813464445954</v>
      </c>
      <c r="T3">
        <f>'I-O'!U114</f>
        <v>33.159746202441902</v>
      </c>
      <c r="U3">
        <f>'I-O'!V114</f>
        <v>9.5738832512769516</v>
      </c>
      <c r="AF3">
        <f>capcom!D42</f>
        <v>12340.64052397934</v>
      </c>
      <c r="AG3">
        <f>'HH Cons'!O13*1000</f>
        <v>309.69657112262553</v>
      </c>
      <c r="AH3">
        <f>'HH Cons'!P13*1000*2.2</f>
        <v>1601.447218042618</v>
      </c>
      <c r="AI3">
        <f>'HH Cons'!Q13*1000*2.2</f>
        <v>5623.9192155651381</v>
      </c>
      <c r="AJ3">
        <f>'HH Cons'!R13*1000*2.8</f>
        <v>3145.4430240701872</v>
      </c>
      <c r="AK3">
        <f>'HH Cons'!S13*1000*2.2</f>
        <v>11936.952969379661</v>
      </c>
      <c r="AV3">
        <f>' fed state local'!C4</f>
        <v>10</v>
      </c>
      <c r="AW3">
        <f>'Import-Export'!E21</f>
        <v>26526.959802615209</v>
      </c>
      <c r="AX3">
        <f t="shared" si="0"/>
        <v>90224.826788354694</v>
      </c>
    </row>
    <row r="4" spans="1:50">
      <c r="A4" t="s">
        <v>624</v>
      </c>
      <c r="B4">
        <f>'I-O'!C115</f>
        <v>282.52830426817309</v>
      </c>
      <c r="C4">
        <f>'I-O'!D115</f>
        <v>456.59864142912784</v>
      </c>
      <c r="D4">
        <f>'I-O'!E115</f>
        <v>922.97021424821037</v>
      </c>
      <c r="E4">
        <f>'I-O'!F115</f>
        <v>773.12091290141188</v>
      </c>
      <c r="F4">
        <f>'I-O'!G115</f>
        <v>35.337490380475288</v>
      </c>
      <c r="G4">
        <f>'I-O'!H115</f>
        <v>2006.592987646259</v>
      </c>
      <c r="H4">
        <f>'I-O'!I115</f>
        <v>160.64276021308851</v>
      </c>
      <c r="I4">
        <f>'I-O'!J115</f>
        <v>184.857603788322</v>
      </c>
      <c r="J4">
        <f>'I-O'!K115</f>
        <v>2142.1811226951331</v>
      </c>
      <c r="K4">
        <f>'I-O'!L115</f>
        <v>551.83580074770202</v>
      </c>
      <c r="L4">
        <f>'I-O'!M115</f>
        <v>521.53127024626224</v>
      </c>
      <c r="M4">
        <f>'I-O'!N115</f>
        <v>65.544706946145197</v>
      </c>
      <c r="N4">
        <f>'I-O'!O115</f>
        <v>101.26159505080571</v>
      </c>
      <c r="O4">
        <f>'I-O'!P115</f>
        <v>242.26595031013338</v>
      </c>
      <c r="P4">
        <f>'I-O'!Q115</f>
        <v>502.84507008594386</v>
      </c>
      <c r="Q4">
        <f>'I-O'!R115</f>
        <v>45.028584088047829</v>
      </c>
      <c r="R4">
        <f>'I-O'!S115</f>
        <v>165.6127063820351</v>
      </c>
      <c r="S4">
        <f>'I-O'!T115</f>
        <v>35.555447160728953</v>
      </c>
      <c r="T4">
        <f>'I-O'!U115</f>
        <v>240.1956835766631</v>
      </c>
      <c r="U4">
        <f>'I-O'!V115</f>
        <v>173.44721080371477</v>
      </c>
      <c r="AF4">
        <f>capcom!D43</f>
        <v>29985.376403112947</v>
      </c>
      <c r="AG4">
        <f>'HH Cons'!O14*1000</f>
        <v>412.54940247916181</v>
      </c>
      <c r="AH4">
        <f>'HH Cons'!P14*1000*2.2</f>
        <v>1900.1035797446775</v>
      </c>
      <c r="AI4">
        <f>'HH Cons'!Q14*1000*2.2</f>
        <v>7579.6111720035988</v>
      </c>
      <c r="AJ4">
        <f>'HH Cons'!R14*1000*2.8</f>
        <v>4339.6540286074205</v>
      </c>
      <c r="AK4">
        <f>'HH Cons'!S14*1000*2.2</f>
        <v>14969.653179462533</v>
      </c>
      <c r="AV4">
        <f>' fed state local'!C5</f>
        <v>10</v>
      </c>
      <c r="AW4">
        <f>'Import-Export'!E22</f>
        <v>139648.56916460505</v>
      </c>
      <c r="AX4">
        <f t="shared" si="0"/>
        <v>208455.47099298378</v>
      </c>
    </row>
    <row r="5" spans="1:50">
      <c r="A5" t="s">
        <v>625</v>
      </c>
      <c r="B5">
        <f>'I-O'!C116</f>
        <v>469.03381384075885</v>
      </c>
      <c r="C5">
        <f>'I-O'!D116</f>
        <v>9319.0591854758768</v>
      </c>
      <c r="D5">
        <f>'I-O'!E116</f>
        <v>31711.004689329955</v>
      </c>
      <c r="E5">
        <f>'I-O'!F116</f>
        <v>14844.258465581579</v>
      </c>
      <c r="F5">
        <f>'I-O'!G116</f>
        <v>659.24097337127569</v>
      </c>
      <c r="G5">
        <f>'I-O'!H116</f>
        <v>37434.132987179728</v>
      </c>
      <c r="H5">
        <f>'I-O'!I116</f>
        <v>2.4581212398881058E-2</v>
      </c>
      <c r="I5">
        <f>'I-O'!J116</f>
        <v>30.185990942931099</v>
      </c>
      <c r="J5">
        <f>'I-O'!K116</f>
        <v>5668.7966429839616</v>
      </c>
      <c r="K5">
        <f>'I-O'!L116</f>
        <v>31.054542809117745</v>
      </c>
      <c r="L5">
        <f>'I-O'!M116</f>
        <v>258.7531072472807</v>
      </c>
      <c r="M5">
        <f>'I-O'!N116</f>
        <v>2.3821622639628228</v>
      </c>
      <c r="N5">
        <f>'I-O'!O116</f>
        <v>4.7515561117976288</v>
      </c>
      <c r="O5">
        <f>'I-O'!P116</f>
        <v>11.367984637206398</v>
      </c>
      <c r="P5">
        <f>'I-O'!Q116</f>
        <v>7.6944279686908243E-2</v>
      </c>
      <c r="Q5">
        <f>'I-O'!R116</f>
        <v>117.86831135418454</v>
      </c>
      <c r="R5">
        <f>'I-O'!S116</f>
        <v>27.043429928946381</v>
      </c>
      <c r="S5">
        <f>'I-O'!T116</f>
        <v>2.0008817015027258</v>
      </c>
      <c r="T5">
        <f>'I-O'!U116</f>
        <v>119.17095487581963</v>
      </c>
      <c r="U5">
        <f>'I-O'!V116</f>
        <v>6.3037798110181953</v>
      </c>
      <c r="AF5">
        <f>capcom!D44</f>
        <v>4897.8547678835466</v>
      </c>
      <c r="AG5">
        <f>'HH Cons'!O15*1000</f>
        <v>509.00083639166036</v>
      </c>
      <c r="AH5">
        <f>'HH Cons'!P15*1000*2.2</f>
        <v>2701.6746671533433</v>
      </c>
      <c r="AI5">
        <f>'HH Cons'!Q15*1000*2.2</f>
        <v>10684.184226677018</v>
      </c>
      <c r="AJ5">
        <f>'HH Cons'!R15*1000*2.8</f>
        <v>6092.0382587951581</v>
      </c>
      <c r="AK5">
        <f>'HH Cons'!S15*1000*2.2</f>
        <v>17837.168724559058</v>
      </c>
      <c r="AV5">
        <f>' fed state local'!C6</f>
        <v>10</v>
      </c>
      <c r="AW5">
        <f>'Import-Export'!E23</f>
        <v>9083.4468850396515</v>
      </c>
      <c r="AX5">
        <f t="shared" si="0"/>
        <v>152531.8793514384</v>
      </c>
    </row>
    <row r="6" spans="1:50">
      <c r="A6" t="s">
        <v>626</v>
      </c>
      <c r="B6">
        <f>'I-O'!C117</f>
        <v>9.523276488867442E-3</v>
      </c>
      <c r="C6">
        <f>'I-O'!D117</f>
        <v>32.490678214240845</v>
      </c>
      <c r="D6">
        <f>'I-O'!E117</f>
        <v>68.986163181646148</v>
      </c>
      <c r="E6">
        <f>'I-O'!F117</f>
        <v>393.18086098863785</v>
      </c>
      <c r="F6">
        <f>'I-O'!G117</f>
        <v>1.6055847024949628</v>
      </c>
      <c r="G6">
        <f>'I-O'!H117</f>
        <v>91.171018949285227</v>
      </c>
      <c r="H6">
        <f>'I-O'!I117</f>
        <v>0.62467136926606104</v>
      </c>
      <c r="I6">
        <f>'I-O'!J117</f>
        <v>8246.3186976737052</v>
      </c>
      <c r="J6">
        <f>'I-O'!K117</f>
        <v>4.0970179697208708</v>
      </c>
      <c r="K6">
        <f>'I-O'!L117</f>
        <v>4337.7260485685401</v>
      </c>
      <c r="L6">
        <f>'I-O'!M117</f>
        <v>6741.9950483627836</v>
      </c>
      <c r="M6">
        <f>'I-O'!N117</f>
        <v>1495.3895988674972</v>
      </c>
      <c r="N6">
        <f>'I-O'!O117</f>
        <v>639.97740810129937</v>
      </c>
      <c r="O6">
        <f>'I-O'!P117</f>
        <v>1531.1306806187199</v>
      </c>
      <c r="P6">
        <f>'I-O'!Q117</f>
        <v>1.955350605546196</v>
      </c>
      <c r="Q6">
        <f>'I-O'!R117</f>
        <v>0.41157987387455669</v>
      </c>
      <c r="R6">
        <f>'I-O'!S117</f>
        <v>7387.8224602238224</v>
      </c>
      <c r="S6">
        <f>'I-O'!T117</f>
        <v>279.48492850341512</v>
      </c>
      <c r="T6">
        <f>'I-O'!U117</f>
        <v>3105.0834373695598</v>
      </c>
      <c r="U6">
        <f>'I-O'!V117</f>
        <v>3957.1640041287478</v>
      </c>
      <c r="AF6">
        <f>capcom!D45</f>
        <v>1373.9394689190785</v>
      </c>
      <c r="AG6">
        <f>'HH Cons'!O16*1000</f>
        <v>47.567678327203936</v>
      </c>
      <c r="AH6">
        <f>'HH Cons'!P16*1000*2.2</f>
        <v>191.38710223153416</v>
      </c>
      <c r="AI6">
        <f>'HH Cons'!Q16*1000*2.2</f>
        <v>961.8903020910069</v>
      </c>
      <c r="AJ6">
        <f>'HH Cons'!R16*1000*2.8</f>
        <v>652.4584982010881</v>
      </c>
      <c r="AK6">
        <f>'HH Cons'!S16*1000*2.2</f>
        <v>2116.5669975344363</v>
      </c>
      <c r="AV6">
        <f>' fed state local'!C7</f>
        <v>10</v>
      </c>
      <c r="AW6">
        <f>'Import-Export'!E24</f>
        <v>2951.0680761684998</v>
      </c>
      <c r="AX6">
        <f t="shared" si="0"/>
        <v>46621.502885022142</v>
      </c>
    </row>
    <row r="7" spans="1:50">
      <c r="A7" t="s">
        <v>627</v>
      </c>
      <c r="B7">
        <f>'I-O'!C118</f>
        <v>1.5657651850630459</v>
      </c>
      <c r="C7">
        <f>'I-O'!D118</f>
        <v>85.591614253350897</v>
      </c>
      <c r="D7">
        <f>'I-O'!E118</f>
        <v>890.61388680365314</v>
      </c>
      <c r="E7">
        <f>'I-O'!F118</f>
        <v>645.26971199304535</v>
      </c>
      <c r="F7">
        <f>'I-O'!G118</f>
        <v>35.967513601171291</v>
      </c>
      <c r="G7">
        <f>'I-O'!H118</f>
        <v>2042.3680289152176</v>
      </c>
      <c r="H7">
        <f>'I-O'!I118</f>
        <v>1.1926153660736463</v>
      </c>
      <c r="I7">
        <f>'I-O'!J118</f>
        <v>206.34086176184829</v>
      </c>
      <c r="J7">
        <f>'I-O'!K118</f>
        <v>84.592049144146387</v>
      </c>
      <c r="K7">
        <f>'I-O'!L118</f>
        <v>222.93520141104284</v>
      </c>
      <c r="L7">
        <f>'I-O'!M118</f>
        <v>267.53747219333263</v>
      </c>
      <c r="M7">
        <f>'I-O'!N118</f>
        <v>57.756387721095614</v>
      </c>
      <c r="N7">
        <f>'I-O'!O118</f>
        <v>26.924696653756818</v>
      </c>
      <c r="O7">
        <f>'I-O'!P118</f>
        <v>64.416694388052335</v>
      </c>
      <c r="P7">
        <f>'I-O'!Q118</f>
        <v>3.733132800652756</v>
      </c>
      <c r="Q7">
        <f>'I-O'!R118</f>
        <v>3.5134967249559277</v>
      </c>
      <c r="R7">
        <f>'I-O'!S118</f>
        <v>184.85941531900275</v>
      </c>
      <c r="S7">
        <f>'I-O'!T118</f>
        <v>14.363984292604465</v>
      </c>
      <c r="T7">
        <f>'I-O'!U118</f>
        <v>123.2166692238922</v>
      </c>
      <c r="U7">
        <f>'I-O'!V118</f>
        <v>152.83742689631649</v>
      </c>
      <c r="AF7">
        <f>capcom!D46</f>
        <v>976.86923763367611</v>
      </c>
      <c r="AG7">
        <f>'HH Cons'!O17*1000</f>
        <v>190.27071330881574</v>
      </c>
      <c r="AH7">
        <f>'HH Cons'!P17*1000*2.2</f>
        <v>765.54840892613663</v>
      </c>
      <c r="AI7">
        <f>'HH Cons'!Q17*1000*2.2</f>
        <v>3847.5612083640276</v>
      </c>
      <c r="AJ7">
        <f>'HH Cons'!R17*1000*2.8</f>
        <v>2609.8339928043524</v>
      </c>
      <c r="AK7">
        <f>'HH Cons'!S17*1000*2.2</f>
        <v>8466.2679901377451</v>
      </c>
      <c r="AV7">
        <f>' fed state local'!C8</f>
        <v>10</v>
      </c>
      <c r="AW7">
        <f>'Import-Export'!E25</f>
        <v>340948.99241915217</v>
      </c>
      <c r="AX7">
        <f t="shared" si="0"/>
        <v>362930.9405949752</v>
      </c>
    </row>
    <row r="8" spans="1:50">
      <c r="A8" t="s">
        <v>639</v>
      </c>
      <c r="B8">
        <f>'I-O'!C119</f>
        <v>41.572705236452869</v>
      </c>
      <c r="C8">
        <f>'I-O'!D119</f>
        <v>1301.2642954512839</v>
      </c>
      <c r="D8">
        <f>'I-O'!E119</f>
        <v>74.54879994554905</v>
      </c>
      <c r="E8">
        <f>'I-O'!F119</f>
        <v>28.11637622449215</v>
      </c>
      <c r="F8">
        <f>'I-O'!G119</f>
        <v>1.2801087344062421</v>
      </c>
      <c r="G8">
        <f>'I-O'!H119</f>
        <v>333.16745185496012</v>
      </c>
      <c r="H8">
        <f>'I-O'!I119</f>
        <v>247.03857402969788</v>
      </c>
      <c r="I8">
        <f>'I-O'!J119</f>
        <v>220.32582492374519</v>
      </c>
      <c r="J8">
        <f>'I-O'!K119</f>
        <v>3287.2542248556856</v>
      </c>
      <c r="K8">
        <f>'I-O'!L119</f>
        <v>35.329815749286915</v>
      </c>
      <c r="L8">
        <f>'I-O'!M119</f>
        <v>52.332630436365854</v>
      </c>
      <c r="M8">
        <f>'I-O'!N119</f>
        <v>2.6296905458239341</v>
      </c>
      <c r="N8">
        <f>'I-O'!O119</f>
        <v>28.82188122948078</v>
      </c>
      <c r="O8">
        <f>'I-O'!P119</f>
        <v>68.955663223383112</v>
      </c>
      <c r="P8">
        <f>'I-O'!Q119</f>
        <v>773.28183920095489</v>
      </c>
      <c r="Q8">
        <f>'I-O'!R119</f>
        <v>112.92014684004617</v>
      </c>
      <c r="R8">
        <f>'I-O'!S119</f>
        <v>197.38845145509231</v>
      </c>
      <c r="S8">
        <f>'I-O'!T119</f>
        <v>2.2763427007998289</v>
      </c>
      <c r="T8">
        <f>'I-O'!U119</f>
        <v>24.102240187999293</v>
      </c>
      <c r="U8">
        <f>'I-O'!V119</f>
        <v>6.9587997521268115</v>
      </c>
      <c r="AF8">
        <f>capcom!D47</f>
        <v>976.86923763367611</v>
      </c>
      <c r="AG8">
        <f>'HH Cons'!O18*1000</f>
        <v>9.2908971336787669</v>
      </c>
      <c r="AH8">
        <f>'HH Cons'!P18*1000*2.2</f>
        <v>48.043416541278532</v>
      </c>
      <c r="AI8">
        <f>'HH Cons'!Q18*1000*2.2</f>
        <v>168.71757646695414</v>
      </c>
      <c r="AJ8">
        <f>'HH Cons'!R18*1000*2.8</f>
        <v>94.363290722105603</v>
      </c>
      <c r="AK8">
        <f>'HH Cons'!S18*1000*2.2</f>
        <v>358.10858908138982</v>
      </c>
      <c r="AV8">
        <f>' fed state local'!C9</f>
        <v>10</v>
      </c>
      <c r="AW8">
        <f>'Import-Export'!E26</f>
        <v>929.28441469371865</v>
      </c>
      <c r="AX8">
        <f t="shared" si="0"/>
        <v>9434.2432848504359</v>
      </c>
    </row>
    <row r="9" spans="1:50">
      <c r="A9" t="s">
        <v>640</v>
      </c>
      <c r="B9">
        <f>'I-O'!C120</f>
        <v>0.48217040454484372</v>
      </c>
      <c r="C9">
        <f>'I-O'!D120</f>
        <v>44.848371641239417</v>
      </c>
      <c r="D9">
        <f>'I-O'!E120</f>
        <v>629.43981932405381</v>
      </c>
      <c r="E9">
        <f>'I-O'!F120</f>
        <v>22.484555787046581</v>
      </c>
      <c r="F9">
        <f>'I-O'!G120</f>
        <v>4.3973022685530543</v>
      </c>
      <c r="G9">
        <f>'I-O'!H120</f>
        <v>249.69503497947238</v>
      </c>
      <c r="H9">
        <f>'I-O'!I120</f>
        <v>7.378843473325797</v>
      </c>
      <c r="I9">
        <f>'I-O'!J120</f>
        <v>2.5553928119646931</v>
      </c>
      <c r="J9">
        <f>'I-O'!K120</f>
        <v>239.80964761938077</v>
      </c>
      <c r="K9">
        <f>'I-O'!L120</f>
        <v>73.945226220001729</v>
      </c>
      <c r="L9">
        <f>'I-O'!M120</f>
        <v>616.12747507301412</v>
      </c>
      <c r="M9">
        <f>'I-O'!N120</f>
        <v>5.6722627856483587</v>
      </c>
      <c r="N9">
        <f>'I-O'!O120</f>
        <v>11.314122179919783</v>
      </c>
      <c r="O9">
        <f>'I-O'!P120</f>
        <v>27.068767388741762</v>
      </c>
      <c r="P9">
        <f>'I-O'!Q120</f>
        <v>23.09730646171635</v>
      </c>
      <c r="Q9">
        <f>'I-O'!R120</f>
        <v>74.527296914430465</v>
      </c>
      <c r="R9">
        <f>'I-O'!S120</f>
        <v>2.2893595437019667</v>
      </c>
      <c r="S9">
        <f>'I-O'!T120</f>
        <v>4.7643802379096893</v>
      </c>
      <c r="T9">
        <f>'I-O'!U120</f>
        <v>283.76277413940306</v>
      </c>
      <c r="U9">
        <f>'I-O'!V120</f>
        <v>15.010184726659741</v>
      </c>
      <c r="V9">
        <v>1201.0365700000002</v>
      </c>
      <c r="W9">
        <v>536.26237749999927</v>
      </c>
      <c r="X9">
        <v>422.0872975000002</v>
      </c>
      <c r="AF9">
        <f>capcom!D48</f>
        <v>46912.251462739732</v>
      </c>
      <c r="AG9">
        <f>'HH Cons'!O19</f>
        <v>0</v>
      </c>
      <c r="AH9">
        <f>'HH Cons'!P19</f>
        <v>0</v>
      </c>
      <c r="AI9">
        <f>'HH Cons'!Q19*1000*2.2</f>
        <v>0</v>
      </c>
      <c r="AJ9">
        <f>'HH Cons'!R19*1000*2.8</f>
        <v>0</v>
      </c>
      <c r="AK9">
        <f>'HH Cons'!S19*1000*2.2</f>
        <v>0</v>
      </c>
      <c r="AV9">
        <f>' fed state local'!C10</f>
        <v>10</v>
      </c>
      <c r="AW9">
        <f>'Import-Export'!E27</f>
        <v>8525.1128932164429</v>
      </c>
      <c r="AX9">
        <f t="shared" si="0"/>
        <v>59945.420894936906</v>
      </c>
    </row>
    <row r="10" spans="1:50">
      <c r="A10" t="s">
        <v>641</v>
      </c>
      <c r="B10">
        <f>'I-O'!C121</f>
        <v>1270.9862924905678</v>
      </c>
      <c r="C10">
        <f>'I-O'!D121</f>
        <v>2508.8169086516837</v>
      </c>
      <c r="D10">
        <f>'I-O'!E121</f>
        <v>6568.1396376025004</v>
      </c>
      <c r="E10">
        <f>'I-O'!F121</f>
        <v>5652.6570196540642</v>
      </c>
      <c r="F10">
        <f>'I-O'!G121</f>
        <v>237.19220309763026</v>
      </c>
      <c r="G10">
        <f>'I-O'!H121</f>
        <v>13468.647782725498</v>
      </c>
      <c r="H10">
        <f>'I-O'!I121</f>
        <v>197.14166803546163</v>
      </c>
      <c r="I10">
        <f>'I-O'!J121</f>
        <v>9792.0628740623761</v>
      </c>
      <c r="J10">
        <f>'I-O'!K121</f>
        <v>38140.18933219149</v>
      </c>
      <c r="K10">
        <f>'I-O'!L121</f>
        <v>6013.2413952658635</v>
      </c>
      <c r="L10">
        <f>'I-O'!M121</f>
        <v>9346.1973526131897</v>
      </c>
      <c r="M10">
        <f>'I-O'!N121</f>
        <v>2073.0075014597742</v>
      </c>
      <c r="N10">
        <f>'I-O'!O121</f>
        <v>887.17881197215047</v>
      </c>
      <c r="O10">
        <f>'I-O'!P121</f>
        <v>2122.5541417712243</v>
      </c>
      <c r="P10">
        <f>'I-O'!Q121</f>
        <v>617.0942017471308</v>
      </c>
      <c r="Q10">
        <f>'I-O'!R121</f>
        <v>62.470516102252994</v>
      </c>
      <c r="R10">
        <f>'I-O'!S121</f>
        <v>8772.6444593185079</v>
      </c>
      <c r="S10">
        <f>'I-O'!T121</f>
        <v>387.4404060127913</v>
      </c>
      <c r="T10">
        <f>'I-O'!U121</f>
        <v>4304.4710643971466</v>
      </c>
      <c r="U10">
        <f>'I-O'!V121</f>
        <v>5485.681237369874</v>
      </c>
      <c r="AF10">
        <f>capcom!D49</f>
        <v>209109.77226524588</v>
      </c>
      <c r="AG10">
        <f>'HH Cons'!O20*1000</f>
        <v>706.44319130841291</v>
      </c>
      <c r="AH10">
        <f>'HH Cons'!P20*1000*2.2</f>
        <v>3538.0412494789539</v>
      </c>
      <c r="AI10">
        <f>'HH Cons'!Q20*1000*2.2</f>
        <v>13248.521218652275</v>
      </c>
      <c r="AJ10">
        <f>'HH Cons'!R20*1000*2.8</f>
        <v>7661.7902024278656</v>
      </c>
      <c r="AK10">
        <f>'HH Cons'!S20*1000*2.2</f>
        <v>27233.982253484002</v>
      </c>
      <c r="AV10">
        <f>' fed state local'!C11</f>
        <v>10</v>
      </c>
      <c r="AW10">
        <f>'Import-Export'!E28</f>
        <v>17552.931384081952</v>
      </c>
      <c r="AX10">
        <f t="shared" si="0"/>
        <v>396969.2965712205</v>
      </c>
    </row>
    <row r="11" spans="1:50">
      <c r="A11" t="s">
        <v>642</v>
      </c>
      <c r="B11">
        <f>'I-O'!C122</f>
        <v>542.68413177502123</v>
      </c>
      <c r="C11">
        <f>'I-O'!D122</f>
        <v>877.04075503324339</v>
      </c>
      <c r="D11">
        <f>'I-O'!E122</f>
        <v>1772.8534869131686</v>
      </c>
      <c r="E11">
        <f>'I-O'!F122</f>
        <v>1485.0209520132603</v>
      </c>
      <c r="F11">
        <f>'I-O'!G122</f>
        <v>67.876722425777501</v>
      </c>
      <c r="G11">
        <f>'I-O'!H122</f>
        <v>3854.2905502771819</v>
      </c>
      <c r="H11">
        <f>'I-O'!I122</f>
        <v>0.72827010678217619</v>
      </c>
      <c r="I11">
        <f>'I-O'!J122</f>
        <v>2876.1017192962422</v>
      </c>
      <c r="J11">
        <f>'I-O'!K122</f>
        <v>4465.4583214245113</v>
      </c>
      <c r="K11">
        <f>'I-O'!L122</f>
        <v>1446.0497597076649</v>
      </c>
      <c r="L11">
        <f>'I-O'!M122</f>
        <v>1735.3585029609476</v>
      </c>
      <c r="M11">
        <f>'I-O'!N122</f>
        <v>374.63177666448166</v>
      </c>
      <c r="N11">
        <f>'I-O'!O122</f>
        <v>174.64469890773489</v>
      </c>
      <c r="O11">
        <f>'I-O'!P122</f>
        <v>417.83327555013517</v>
      </c>
      <c r="P11">
        <f>'I-O'!Q122</f>
        <v>2.279636084443625</v>
      </c>
      <c r="Q11">
        <f>'I-O'!R122</f>
        <v>38.940200309196953</v>
      </c>
      <c r="R11">
        <f>'I-O'!S122</f>
        <v>2576.6805357279295</v>
      </c>
      <c r="S11">
        <f>'I-O'!T122</f>
        <v>93.170732586408377</v>
      </c>
      <c r="T11">
        <f>'I-O'!U122</f>
        <v>799.23418910712371</v>
      </c>
      <c r="U11">
        <f>'I-O'!V122</f>
        <v>991.36665290584642</v>
      </c>
      <c r="AF11">
        <f>capcom!D50</f>
        <v>11689.394365556889</v>
      </c>
      <c r="AG11">
        <f>'HH Cons'!O21*1000</f>
        <v>743.27177069430127</v>
      </c>
      <c r="AH11">
        <f>'HH Cons'!P21*1000*2.2</f>
        <v>3843.4733233022821</v>
      </c>
      <c r="AI11">
        <f>'HH Cons'!Q21*1000*2.2</f>
        <v>13497.406117356333</v>
      </c>
      <c r="AJ11">
        <f>'HH Cons'!R21*1000*2.8</f>
        <v>7549.0632577684501</v>
      </c>
      <c r="AK11">
        <f>'HH Cons'!S21*1000*2.2</f>
        <v>28648.687126511191</v>
      </c>
      <c r="AV11">
        <f>' fed state local'!C12</f>
        <v>10</v>
      </c>
      <c r="AW11">
        <f>'Import-Export'!E29</f>
        <v>49517.360560488596</v>
      </c>
      <c r="AX11">
        <f t="shared" si="0"/>
        <v>140090.90139145515</v>
      </c>
    </row>
    <row r="12" spans="1:50">
      <c r="A12" t="s">
        <v>643</v>
      </c>
      <c r="B12">
        <f>'I-O'!C123</f>
        <v>311.645287430964</v>
      </c>
      <c r="C12">
        <f>'I-O'!D123</f>
        <v>6191.9648279981166</v>
      </c>
      <c r="D12">
        <f>'I-O'!E123</f>
        <v>21070.091067008034</v>
      </c>
      <c r="E12">
        <f>'I-O'!F123</f>
        <v>9863.1336583684115</v>
      </c>
      <c r="F12">
        <f>'I-O'!G123</f>
        <v>438.02671911904332</v>
      </c>
      <c r="G12">
        <f>'I-O'!H123</f>
        <v>24872.772048113631</v>
      </c>
      <c r="H12">
        <f>'I-O'!I123</f>
        <v>160.64276021308851</v>
      </c>
      <c r="I12">
        <f>'I-O'!J123</f>
        <v>1651.6487114872064</v>
      </c>
      <c r="J12">
        <f>'I-O'!K123</f>
        <v>7551.6142113152973</v>
      </c>
      <c r="K12">
        <f>'I-O'!L123</f>
        <v>10209.205444854841</v>
      </c>
      <c r="L12">
        <f>'I-O'!M123</f>
        <v>20624.468948620317</v>
      </c>
      <c r="M12">
        <f>'I-O'!N123</f>
        <v>2488.2095305823077</v>
      </c>
      <c r="N12">
        <f>'I-O'!O123</f>
        <v>1127.0291454885614</v>
      </c>
      <c r="O12">
        <f>'I-O'!P123</f>
        <v>2696.3903424789219</v>
      </c>
      <c r="P12">
        <f>'I-O'!Q123</f>
        <v>502.84507008594386</v>
      </c>
      <c r="Q12">
        <f>'I-O'!R123</f>
        <v>115.86152699022129</v>
      </c>
      <c r="R12">
        <f>'I-O'!S123</f>
        <v>1479.7011726659482</v>
      </c>
      <c r="S12">
        <f>'I-O'!T123</f>
        <v>657.79143769891448</v>
      </c>
      <c r="T12">
        <f>'I-O'!U123</f>
        <v>9498.7754333126177</v>
      </c>
      <c r="U12">
        <f>'I-O'!V123</f>
        <v>6584.4066299560027</v>
      </c>
      <c r="AF12">
        <f>capcom!D51</f>
        <v>31975.758310026762</v>
      </c>
      <c r="AG12">
        <f>'HH Cons'!O22*1000</f>
        <v>990.11856594998847</v>
      </c>
      <c r="AH12">
        <f>'HH Cons'!P22*1000*2.2</f>
        <v>4560.248591387226</v>
      </c>
      <c r="AI12">
        <f>'HH Cons'!Q22*1000*2.2</f>
        <v>18191.06681280864</v>
      </c>
      <c r="AJ12">
        <f>'HH Cons'!R22*1000*2.8</f>
        <v>10415.169668657809</v>
      </c>
      <c r="AK12">
        <f>'HH Cons'!S22*1000*2.2</f>
        <v>35927.167630710072</v>
      </c>
      <c r="AV12">
        <f>' fed state local'!C13</f>
        <v>10</v>
      </c>
      <c r="AW12">
        <f>'Import-Export'!E30</f>
        <v>39006.619821523025</v>
      </c>
      <c r="AX12">
        <f t="shared" si="0"/>
        <v>269172.37337485194</v>
      </c>
    </row>
    <row r="13" spans="1:50">
      <c r="A13" t="s">
        <v>644</v>
      </c>
      <c r="B13">
        <f>'I-O'!C124</f>
        <v>6.6964749665655663E-3</v>
      </c>
      <c r="C13">
        <f>'I-O'!D124</f>
        <v>22.8464450825029</v>
      </c>
      <c r="D13">
        <f>'I-O'!E124</f>
        <v>48.508947033652667</v>
      </c>
      <c r="E13">
        <f>'I-O'!F124</f>
        <v>276.47268206703416</v>
      </c>
      <c r="F13">
        <f>'I-O'!G124</f>
        <v>1.1289977540321099</v>
      </c>
      <c r="G13">
        <f>'I-O'!H124</f>
        <v>64.108654913448831</v>
      </c>
      <c r="H13">
        <f>'I-O'!I124</f>
        <v>2.4581212398881058E-2</v>
      </c>
      <c r="I13">
        <f>'I-O'!J124</f>
        <v>3.5489785009132933E-2</v>
      </c>
      <c r="J13">
        <f>'I-O'!K124</f>
        <v>2.4325039645931312</v>
      </c>
      <c r="K13">
        <f>'I-O'!L124</f>
        <v>37.668826941201196</v>
      </c>
      <c r="L13">
        <f>'I-O'!M124</f>
        <v>47.483006534907425</v>
      </c>
      <c r="M13">
        <f>'I-O'!N124</f>
        <v>69.746795115280307</v>
      </c>
      <c r="N13">
        <f>'I-O'!O124</f>
        <v>2.9048761603958404</v>
      </c>
      <c r="O13">
        <f>'I-O'!P124</f>
        <v>6.9498469106521359</v>
      </c>
      <c r="P13">
        <f>'I-O'!Q124</f>
        <v>7.6944279686908243E-2</v>
      </c>
      <c r="Q13">
        <f>'I-O'!R124</f>
        <v>51.461238957768956</v>
      </c>
      <c r="R13">
        <f>'I-O'!S124</f>
        <v>3.1795064005099835E-2</v>
      </c>
      <c r="S13">
        <f>'I-O'!T124</f>
        <v>2.4270480170003719</v>
      </c>
      <c r="T13">
        <f>'I-O'!U124</f>
        <v>21.868704454752663</v>
      </c>
      <c r="U13">
        <f>'I-O'!V124</f>
        <v>184.56695649251043</v>
      </c>
      <c r="AF13">
        <f>capcom!D52</f>
        <v>1492.9873136416134</v>
      </c>
      <c r="AG13">
        <f>'HH Cons'!O23*1000</f>
        <v>1221.602007339985</v>
      </c>
      <c r="AH13">
        <f>'HH Cons'!P23*1000*2.2</f>
        <v>6484.0192011680247</v>
      </c>
      <c r="AI13">
        <f>'HH Cons'!Q23*1000*2.2</f>
        <v>25642.042144024843</v>
      </c>
      <c r="AJ13">
        <f>'HH Cons'!R23*1000*2.8</f>
        <v>14620.891821108382</v>
      </c>
      <c r="AK13">
        <f>'HH Cons'!S23*1000*2.2</f>
        <v>42809.204938941737</v>
      </c>
      <c r="AV13">
        <f>' fed state local'!C14</f>
        <v>10</v>
      </c>
      <c r="AW13">
        <f>'Import-Export'!E31</f>
        <v>14692.327979524838</v>
      </c>
      <c r="AX13">
        <f t="shared" si="0"/>
        <v>107813.82644296522</v>
      </c>
    </row>
    <row r="14" spans="1:50">
      <c r="A14" t="s">
        <v>645</v>
      </c>
      <c r="B14">
        <f>'I-O'!C125</f>
        <v>1.2634786203026422</v>
      </c>
      <c r="C14">
        <f>'I-O'!D125</f>
        <v>69.067300587568852</v>
      </c>
      <c r="D14">
        <f>'I-O'!E125</f>
        <v>718.67200500804586</v>
      </c>
      <c r="E14">
        <f>'I-O'!F125</f>
        <v>520.69396689212283</v>
      </c>
      <c r="F14">
        <f>'I-O'!G125</f>
        <v>29.023626846508666</v>
      </c>
      <c r="G14">
        <f>'I-O'!H125</f>
        <v>1648.0685379526572</v>
      </c>
      <c r="H14">
        <f>'I-O'!I125</f>
        <v>0.62467136926606104</v>
      </c>
      <c r="I14">
        <f>'I-O'!J125</f>
        <v>6.6961475734709044</v>
      </c>
      <c r="J14">
        <f>'I-O'!K125</f>
        <v>184.91369949357653</v>
      </c>
      <c r="K14">
        <f>'I-O'!L125</f>
        <v>113.87698102413191</v>
      </c>
      <c r="L14">
        <f>'I-O'!M125</f>
        <v>703.47244368298368</v>
      </c>
      <c r="M14">
        <f>'I-O'!N125</f>
        <v>131.35740990779701</v>
      </c>
      <c r="N14">
        <f>'I-O'!O125</f>
        <v>74.676890554956628</v>
      </c>
      <c r="O14">
        <f>'I-O'!P125</f>
        <v>178.662679048511</v>
      </c>
      <c r="P14">
        <f>'I-O'!Q125</f>
        <v>1.955350605546196</v>
      </c>
      <c r="Q14">
        <f>'I-O'!R125</f>
        <v>117.86831135418454</v>
      </c>
      <c r="R14">
        <f>'I-O'!S125</f>
        <v>5.9990343878192718</v>
      </c>
      <c r="S14">
        <f>'I-O'!T125</f>
        <v>7.3372314303290818</v>
      </c>
      <c r="T14">
        <f>'I-O'!U125</f>
        <v>323.99024589262564</v>
      </c>
      <c r="U14">
        <f>'I-O'!V125</f>
        <v>347.60360414194486</v>
      </c>
      <c r="AF14">
        <f>capcom!D53</f>
        <v>1373.9394689190785</v>
      </c>
      <c r="AG14">
        <f>'HH Cons'!O24*1000</f>
        <v>142.70303498161184</v>
      </c>
      <c r="AH14">
        <f>'HH Cons'!P24*1000*2.2</f>
        <v>574.16130669460244</v>
      </c>
      <c r="AI14">
        <f>'HH Cons'!Q24*1000*2.2</f>
        <v>2885.6709062730206</v>
      </c>
      <c r="AJ14">
        <f>'HH Cons'!R24*1000*2.8</f>
        <v>1957.3754946032643</v>
      </c>
      <c r="AK14">
        <f>'HH Cons'!S24*1000*2.2</f>
        <v>6349.7009926033079</v>
      </c>
      <c r="AV14">
        <f>' fed state local'!C15</f>
        <v>10</v>
      </c>
      <c r="AW14">
        <f>'Import-Export'!E32</f>
        <v>26369.666069106577</v>
      </c>
      <c r="AX14">
        <f t="shared" si="0"/>
        <v>44849.040889555814</v>
      </c>
    </row>
    <row r="15" spans="1:50">
      <c r="A15" t="s">
        <v>646</v>
      </c>
      <c r="B15">
        <f>'I-O'!C126</f>
        <v>0.35463567216332831</v>
      </c>
      <c r="C15">
        <f>'I-O'!D126</f>
        <v>19.385946208185239</v>
      </c>
      <c r="D15">
        <f>'I-O'!E126</f>
        <v>201.7182764041917</v>
      </c>
      <c r="E15">
        <f>'I-O'!F126</f>
        <v>146.14941002796459</v>
      </c>
      <c r="F15">
        <f>'I-O'!G126</f>
        <v>8.1464088508785171</v>
      </c>
      <c r="G15">
        <f>'I-O'!H126</f>
        <v>462.58312909804295</v>
      </c>
      <c r="H15">
        <f>'I-O'!I126</f>
        <v>1.1926153660736463</v>
      </c>
      <c r="I15">
        <f>'I-O'!J126</f>
        <v>1.8794879133403</v>
      </c>
      <c r="J15">
        <f>'I-O'!K126</f>
        <v>51.901942033973249</v>
      </c>
      <c r="K15">
        <f>'I-O'!L126</f>
        <v>31.96321572877125</v>
      </c>
      <c r="L15">
        <f>'I-O'!M126</f>
        <v>197.45203354065197</v>
      </c>
      <c r="M15">
        <f>'I-O'!N126</f>
        <v>36.869656999124473</v>
      </c>
      <c r="N15">
        <f>'I-O'!O126</f>
        <v>20.96045698872279</v>
      </c>
      <c r="O15">
        <f>'I-O'!P126</f>
        <v>50.147393281330693</v>
      </c>
      <c r="P15">
        <f>'I-O'!Q126</f>
        <v>3.733132800652756</v>
      </c>
      <c r="Q15">
        <f>'I-O'!R126</f>
        <v>2.494423478027616</v>
      </c>
      <c r="R15">
        <f>'I-O'!S126</f>
        <v>1.6838208088915767</v>
      </c>
      <c r="S15">
        <f>'I-O'!T126</f>
        <v>2.059428595229718</v>
      </c>
      <c r="T15">
        <f>'I-O'!U126</f>
        <v>90.938221494378396</v>
      </c>
      <c r="U15">
        <f>'I-O'!V126</f>
        <v>97.566065480195093</v>
      </c>
      <c r="AF15">
        <f>capcom!D54</f>
        <v>976.86923763367611</v>
      </c>
      <c r="AG15">
        <f>'HH Cons'!O25*1000</f>
        <v>570.81213992644734</v>
      </c>
      <c r="AH15">
        <f>'HH Cons'!P25*1000*2.2</f>
        <v>2296.6452267784098</v>
      </c>
      <c r="AI15">
        <f>'HH Cons'!Q25*1000*2.2</f>
        <v>11542.683625092082</v>
      </c>
      <c r="AJ15">
        <f>'HH Cons'!R25*1000*2.8</f>
        <v>7829.5019784130573</v>
      </c>
      <c r="AK15">
        <f>'HH Cons'!S25*1000*2.2</f>
        <v>25398.803970413232</v>
      </c>
      <c r="AV15">
        <f>' fed state local'!C16</f>
        <v>10</v>
      </c>
      <c r="AW15">
        <f>'Import-Export'!E33</f>
        <v>22659.915966866458</v>
      </c>
      <c r="AX15">
        <f t="shared" si="0"/>
        <v>72714.411845894152</v>
      </c>
    </row>
    <row r="16" spans="1:50">
      <c r="A16" t="s">
        <v>648</v>
      </c>
      <c r="B16">
        <f>'I-O'!C127</f>
        <v>41.572705236452869</v>
      </c>
      <c r="C16">
        <f>'I-O'!D127</f>
        <v>1301.2642954512839</v>
      </c>
      <c r="D16">
        <f>'I-O'!E127</f>
        <v>74.54879994554905</v>
      </c>
      <c r="E16">
        <f>'I-O'!F127</f>
        <v>28.11637622449215</v>
      </c>
      <c r="F16">
        <f>'I-O'!G127</f>
        <v>1.2801087344062421</v>
      </c>
      <c r="G16">
        <f>'I-O'!H127</f>
        <v>333.16745185496012</v>
      </c>
      <c r="H16">
        <f>'I-O'!I127</f>
        <v>247.03857402969788</v>
      </c>
      <c r="I16">
        <f>'I-O'!J127</f>
        <v>60.19804385008274</v>
      </c>
      <c r="J16">
        <f>'I-O'!K127</f>
        <v>701.48869725430006</v>
      </c>
      <c r="K16">
        <f>'I-O'!L127</f>
        <v>627.64925750046802</v>
      </c>
      <c r="L16">
        <f>'I-O'!M127</f>
        <v>593.1813667939258</v>
      </c>
      <c r="M16">
        <f>'I-O'!N127</f>
        <v>74.549506559909645</v>
      </c>
      <c r="N16">
        <f>'I-O'!O127</f>
        <v>115.17332666861401</v>
      </c>
      <c r="O16">
        <f>'I-O'!P127</f>
        <v>275.5494363065456</v>
      </c>
      <c r="P16">
        <f>'I-O'!Q127</f>
        <v>773.28183920095489</v>
      </c>
      <c r="Q16">
        <f>'I-O'!R127</f>
        <v>112.92014684004617</v>
      </c>
      <c r="R16">
        <f>'I-O'!S127</f>
        <v>53.931029920373952</v>
      </c>
      <c r="S16">
        <f>'I-O'!T127</f>
        <v>40.440199748351652</v>
      </c>
      <c r="T16">
        <f>'I-O'!U127</f>
        <v>273.19474787145322</v>
      </c>
      <c r="U16">
        <f>'I-O'!V127</f>
        <v>197.27609721764154</v>
      </c>
      <c r="AF16">
        <f>capcom!D55</f>
        <v>1027.2716511204574</v>
      </c>
      <c r="AG16">
        <f>'HH Cons'!O26*1000</f>
        <v>1.4865435413886028</v>
      </c>
      <c r="AH16">
        <f>'HH Cons'!P26*1000*2.2</f>
        <v>7.6869466466045644</v>
      </c>
      <c r="AI16">
        <f>'HH Cons'!Q26*1000*2.2</f>
        <v>26.994812234712665</v>
      </c>
      <c r="AJ16">
        <f>'HH Cons'!R26*1000*2.8</f>
        <v>15.098126515536899</v>
      </c>
      <c r="AK16">
        <f>'HH Cons'!S26*1000*2.2</f>
        <v>57.297374253022376</v>
      </c>
      <c r="AV16">
        <f>' fed state local'!C17</f>
        <v>10</v>
      </c>
      <c r="AW16">
        <f>'Import-Export'!E34</f>
        <v>8066.8736462196357</v>
      </c>
      <c r="AX16">
        <f t="shared" si="0"/>
        <v>15138.531107740866</v>
      </c>
    </row>
    <row r="17" spans="1:50">
      <c r="A17" t="s">
        <v>290</v>
      </c>
      <c r="B17">
        <f>'I-O'!C128</f>
        <v>22.717223763094527</v>
      </c>
      <c r="C17">
        <f>'I-O'!D128</f>
        <v>555.3706120430827</v>
      </c>
      <c r="D17">
        <f>'I-O'!E128</f>
        <v>2648.7825051461923</v>
      </c>
      <c r="E17">
        <f>'I-O'!F128</f>
        <v>637.38857913577772</v>
      </c>
      <c r="F17">
        <f>'I-O'!G128</f>
        <v>72.580003487151913</v>
      </c>
      <c r="G17">
        <f>'I-O'!H128</f>
        <v>2662.6994582568623</v>
      </c>
      <c r="H17">
        <f>'I-O'!I128</f>
        <v>42.070699770647948</v>
      </c>
      <c r="I17">
        <f>'I-O'!J128</f>
        <v>120.39608770016548</v>
      </c>
      <c r="J17">
        <f>'I-O'!K128</f>
        <v>1402.9773945086001</v>
      </c>
      <c r="K17">
        <f>'I-O'!L128</f>
        <v>1255.298515000936</v>
      </c>
      <c r="L17">
        <f>'I-O'!M128</f>
        <v>1186.3627335878516</v>
      </c>
      <c r="M17">
        <f>'I-O'!N128</f>
        <v>149.09901311981929</v>
      </c>
      <c r="N17">
        <f>'I-O'!O128</f>
        <v>230.34665333722802</v>
      </c>
      <c r="O17">
        <f>'I-O'!P128</f>
        <v>551.0988726130912</v>
      </c>
      <c r="P17">
        <f>'I-O'!Q128</f>
        <v>131.68999304216726</v>
      </c>
      <c r="Q17">
        <f>'I-O'!R128</f>
        <v>189.30459424925149</v>
      </c>
      <c r="R17">
        <f>'I-O'!S128</f>
        <v>107.8620598407479</v>
      </c>
      <c r="S17">
        <f>'I-O'!T128</f>
        <v>80.880399496703305</v>
      </c>
      <c r="T17">
        <f>'I-O'!U128</f>
        <v>546.38949574290643</v>
      </c>
      <c r="U17">
        <f>'I-O'!V128</f>
        <v>394.55219443528307</v>
      </c>
      <c r="AF17">
        <f>capcom!D56</f>
        <v>37941.211706403177</v>
      </c>
      <c r="AG17">
        <f>'HH Cons'!O27*1000</f>
        <v>302.55031827923767</v>
      </c>
      <c r="AH17">
        <f>'HH Cons'!P27*1000*2.2</f>
        <v>2350.9904002020007</v>
      </c>
      <c r="AI17">
        <f>'HH Cons'!Q27*1000*2.2</f>
        <v>6134.1241926329003</v>
      </c>
      <c r="AJ17">
        <f>'HH Cons'!R27*1000*2.8</f>
        <v>3037.3037733607875</v>
      </c>
      <c r="AK17">
        <f>'HH Cons'!S27*1000*2.2</f>
        <v>6150.0060983908361</v>
      </c>
      <c r="AV17">
        <f>' fed state local'!C18</f>
        <v>10</v>
      </c>
      <c r="AW17">
        <f>'Import-Export'!E35</f>
        <v>58.685461088418378</v>
      </c>
      <c r="AX17">
        <f t="shared" si="0"/>
        <v>68972.739038634914</v>
      </c>
    </row>
    <row r="18" spans="1:50">
      <c r="A18" t="s">
        <v>649</v>
      </c>
      <c r="B18">
        <f>'I-O'!C129</f>
        <v>0.43067846162202156</v>
      </c>
      <c r="C18">
        <f>'I-O'!D129</f>
        <v>40.058924236411322</v>
      </c>
      <c r="D18">
        <f>'I-O'!E129</f>
        <v>562.22068072806121</v>
      </c>
      <c r="E18">
        <f>'I-O'!F129</f>
        <v>20.083385055042573</v>
      </c>
      <c r="F18">
        <f>'I-O'!G129</f>
        <v>3.9277055548342394</v>
      </c>
      <c r="G18">
        <f>'I-O'!H129</f>
        <v>223.02960224431311</v>
      </c>
      <c r="H18">
        <f>'I-O'!I129</f>
        <v>7.378843473325797</v>
      </c>
      <c r="I18">
        <f>'I-O'!J129</f>
        <v>2.2824972970620601</v>
      </c>
      <c r="J18">
        <f>'I-O'!K129</f>
        <v>169.62738261832163</v>
      </c>
      <c r="K18">
        <f>'I-O'!L129</f>
        <v>139.80250011854849</v>
      </c>
      <c r="L18">
        <f>'I-O'!M129</f>
        <v>136.42010876114855</v>
      </c>
      <c r="M18">
        <f>'I-O'!N129</f>
        <v>74.59023768707398</v>
      </c>
      <c r="N18">
        <f>'I-O'!O129</f>
        <v>6.3457901481062553</v>
      </c>
      <c r="O18">
        <f>'I-O'!P129</f>
        <v>12.664040296189478</v>
      </c>
      <c r="P18">
        <f>'I-O'!Q129</f>
        <v>23.09730646171635</v>
      </c>
      <c r="Q18">
        <f>'I-O'!R129</f>
        <v>34.072675270547329</v>
      </c>
      <c r="R18">
        <f>'I-O'!S129</f>
        <v>2.0448742541798963</v>
      </c>
      <c r="S18">
        <f>'I-O'!T129</f>
        <v>9.0076439389539793</v>
      </c>
      <c r="T18">
        <f>'I-O'!U129</f>
        <v>62.829446951501659</v>
      </c>
      <c r="U18">
        <f>'I-O'!V129</f>
        <v>197.38388167085986</v>
      </c>
      <c r="V18">
        <v>480.41462800000011</v>
      </c>
      <c r="W18">
        <v>214.50495099999972</v>
      </c>
      <c r="X18">
        <v>168.8349190000001</v>
      </c>
      <c r="AF18">
        <f>capcom!D57</f>
        <v>22690.756679375714</v>
      </c>
      <c r="AG18">
        <f>'HH Cons'!O28</f>
        <v>0</v>
      </c>
      <c r="AH18">
        <f>'HH Cons'!P28</f>
        <v>0</v>
      </c>
      <c r="AI18">
        <f>'HH Cons'!Q28*1000*2.2</f>
        <v>0</v>
      </c>
      <c r="AJ18">
        <f>'HH Cons'!R28*1000*2.8</f>
        <v>0</v>
      </c>
      <c r="AK18">
        <f>'HH Cons'!S28*1000*2.2</f>
        <v>0</v>
      </c>
      <c r="AV18">
        <f>' fed state local'!C19</f>
        <v>10</v>
      </c>
      <c r="AW18">
        <f>'Import-Export'!E36</f>
        <v>15044.41343937847</v>
      </c>
      <c r="AX18">
        <f t="shared" si="0"/>
        <v>40336.222821982003</v>
      </c>
    </row>
    <row r="19" spans="1:50">
      <c r="A19" t="s">
        <v>651</v>
      </c>
      <c r="B19">
        <f>'I-O'!C130</f>
        <v>10.528917212082517</v>
      </c>
      <c r="C19">
        <f>'I-O'!D130</f>
        <v>20.783171059779463</v>
      </c>
      <c r="D19">
        <f>'I-O'!E130</f>
        <v>54.410813783208148</v>
      </c>
      <c r="E19">
        <f>'I-O'!F130</f>
        <v>46.826907685691211</v>
      </c>
      <c r="F19">
        <f>'I-O'!G130</f>
        <v>1.9649126702009219</v>
      </c>
      <c r="G19">
        <f>'I-O'!H130</f>
        <v>111.57498574208105</v>
      </c>
      <c r="H19">
        <f>'I-O'!I130</f>
        <v>0.72827010678217619</v>
      </c>
      <c r="I19">
        <f>'I-O'!J130</f>
        <v>55.80085195590781</v>
      </c>
      <c r="J19">
        <f>'I-O'!K130</f>
        <v>12586.262479623192</v>
      </c>
      <c r="K19">
        <f>'I-O'!L130</f>
        <v>141.8551688366241</v>
      </c>
      <c r="L19">
        <f>'I-O'!M130</f>
        <v>70.776799687486189</v>
      </c>
      <c r="M19">
        <f>'I-O'!N130</f>
        <v>7.2187233091122582</v>
      </c>
      <c r="N19">
        <f>'I-O'!O130</f>
        <v>14.795998216621879</v>
      </c>
      <c r="O19">
        <f>'I-O'!P130</f>
        <v>6.3354375440110875</v>
      </c>
      <c r="P19">
        <f>'I-O'!Q130</f>
        <v>2.279636084443625</v>
      </c>
      <c r="Q19">
        <f>'I-O'!R130</f>
        <v>45.028584088047829</v>
      </c>
      <c r="R19">
        <f>'I-O'!S130</f>
        <v>49.991614742682124</v>
      </c>
      <c r="S19">
        <f>'I-O'!T130</f>
        <v>9.1398998637148061</v>
      </c>
      <c r="T19">
        <f>'I-O'!U130</f>
        <v>32.596859962542474</v>
      </c>
      <c r="U19">
        <f>'I-O'!V130</f>
        <v>19.10249479882555</v>
      </c>
      <c r="AF19">
        <f>capcom!D58</f>
        <v>0</v>
      </c>
      <c r="AG19">
        <f>'HH Cons'!O29*1000</f>
        <v>185.81794267357532</v>
      </c>
      <c r="AH19">
        <f>'HH Cons'!P29*1000</f>
        <v>436.75833219344111</v>
      </c>
      <c r="AI19">
        <f>'HH Cons'!Q29*1000</f>
        <v>1533.7961496995831</v>
      </c>
      <c r="AJ19">
        <f>'HH Cons'!R29*1000</f>
        <v>674.02350515789738</v>
      </c>
      <c r="AK19">
        <f>'HH Cons'!S29*1000</f>
        <v>3255.5326280126351</v>
      </c>
      <c r="AV19">
        <f>' fed state local'!C20</f>
        <v>10</v>
      </c>
      <c r="AW19">
        <f>'Import-Export'!E37</f>
        <v>271.51425229576125</v>
      </c>
      <c r="AX19">
        <f t="shared" si="0"/>
        <v>19655.445337005931</v>
      </c>
    </row>
    <row r="20" spans="1:50">
      <c r="A20" t="s">
        <v>652</v>
      </c>
      <c r="B20">
        <f>'I-O'!C131</f>
        <v>159.56852387365868</v>
      </c>
      <c r="C20">
        <f>'I-O'!D131</f>
        <v>257.88131707472064</v>
      </c>
      <c r="D20">
        <f>'I-O'!E131</f>
        <v>521.28226603146823</v>
      </c>
      <c r="E20">
        <f>'I-O'!F131</f>
        <v>436.64921703007906</v>
      </c>
      <c r="F20">
        <f>'I-O'!G131</f>
        <v>19.958181506868801</v>
      </c>
      <c r="G20">
        <f>'I-O'!H131</f>
        <v>1133.2991286778397</v>
      </c>
      <c r="H20">
        <f>'I-O'!I131</f>
        <v>16.064276021308849</v>
      </c>
      <c r="I20">
        <f>'I-O'!J131</f>
        <v>84.567666343495091</v>
      </c>
      <c r="J20">
        <f>'I-O'!K131</f>
        <v>214.21811226951331</v>
      </c>
      <c r="K20">
        <f>'I-O'!L131</f>
        <v>856.9625216122987</v>
      </c>
      <c r="L20">
        <f>'I-O'!M131</f>
        <v>878.21123490941875</v>
      </c>
      <c r="M20">
        <f>'I-O'!N131</f>
        <v>69.158907628570034</v>
      </c>
      <c r="N20">
        <f>'I-O'!O131</f>
        <v>137.96898739996359</v>
      </c>
      <c r="O20">
        <f>'I-O'!P131</f>
        <v>64.350856069280113</v>
      </c>
      <c r="P20">
        <f>'I-O'!Q131</f>
        <v>50.284507008594389</v>
      </c>
      <c r="Q20">
        <f>'I-O'!R131</f>
        <v>11.786831135418455</v>
      </c>
      <c r="R20">
        <f>'I-O'!S131</f>
        <v>75.763613768339511</v>
      </c>
      <c r="S20">
        <f>'I-O'!T131</f>
        <v>55.215130324322317</v>
      </c>
      <c r="T20">
        <f>'I-O'!U131</f>
        <v>404.46768952927442</v>
      </c>
      <c r="U20">
        <f>'I-O'!V131</f>
        <v>183.0112634459295</v>
      </c>
      <c r="AF20">
        <f>capcom!D59</f>
        <v>29785.04597964522</v>
      </c>
      <c r="AG20">
        <f>'HH Cons'!O30*1000</f>
        <v>247.52964148749712</v>
      </c>
      <c r="AH20">
        <f>'HH Cons'!P30*1000*2.2</f>
        <v>1140.0621478468065</v>
      </c>
      <c r="AI20">
        <f>'HH Cons'!Q30*1000*2.2</f>
        <v>4547.76670320216</v>
      </c>
      <c r="AJ20">
        <f>'HH Cons'!R30*1000*2.8</f>
        <v>2603.7924171644522</v>
      </c>
      <c r="AK20">
        <f>'HH Cons'!S30*1000*2.2</f>
        <v>8981.7919076775179</v>
      </c>
      <c r="AV20">
        <f>' fed state local'!C21</f>
        <v>10</v>
      </c>
      <c r="AW20">
        <f>'Import-Export'!E38</f>
        <v>49799.719589344139</v>
      </c>
      <c r="AX20">
        <f t="shared" si="0"/>
        <v>102746.37861802816</v>
      </c>
    </row>
    <row r="21" spans="1:50">
      <c r="A21" t="s">
        <v>653</v>
      </c>
      <c r="B21">
        <f>'I-O'!C132</f>
        <v>100.98853722793699</v>
      </c>
      <c r="C21">
        <f>'I-O'!D132</f>
        <v>2006.5038547546953</v>
      </c>
      <c r="D21">
        <f>'I-O'!E132</f>
        <v>6827.7550212849737</v>
      </c>
      <c r="E21">
        <f>'I-O'!F132</f>
        <v>3196.1447222682796</v>
      </c>
      <c r="F21">
        <f>'I-O'!G132</f>
        <v>141.94239224741605</v>
      </c>
      <c r="G21">
        <f>'I-O'!H132</f>
        <v>8060.0123513799153</v>
      </c>
      <c r="H21">
        <f>'I-O'!I132</f>
        <v>2.4581212398881058E-2</v>
      </c>
      <c r="I21">
        <f>'I-O'!J132</f>
        <v>535.21613871491343</v>
      </c>
      <c r="J21">
        <f>'I-O'!K132</f>
        <v>5668.7966429839616</v>
      </c>
      <c r="K21">
        <f>'I-O'!L132</f>
        <v>1597.1547476529029</v>
      </c>
      <c r="L21">
        <f>'I-O'!M132</f>
        <v>6833.1209415378271</v>
      </c>
      <c r="M21">
        <f>'I-O'!N132</f>
        <v>905.84335895870936</v>
      </c>
      <c r="N21">
        <f>'I-O'!O132</f>
        <v>1009.8926866613751</v>
      </c>
      <c r="O21">
        <f>'I-O'!P132</f>
        <v>457.6626608240424</v>
      </c>
      <c r="P21">
        <f>'I-O'!Q132</f>
        <v>7.6944279686908243E-2</v>
      </c>
      <c r="Q21">
        <f>'I-O'!R132</f>
        <v>1.247211739013808</v>
      </c>
      <c r="R21">
        <f>'I-O'!S132</f>
        <v>479.49660395586653</v>
      </c>
      <c r="S21">
        <f>'I-O'!T132</f>
        <v>102.90660946741167</v>
      </c>
      <c r="T21">
        <f>'I-O'!U132</f>
        <v>3147.0522462434328</v>
      </c>
      <c r="U21">
        <f>'I-O'!V132</f>
        <v>1198.5407468947162</v>
      </c>
      <c r="AF21">
        <f>capcom!D60</f>
        <v>1517.6493102333889</v>
      </c>
      <c r="AG21">
        <f>'HH Cons'!O31*1000</f>
        <v>305.40050183499625</v>
      </c>
      <c r="AH21">
        <f>'HH Cons'!P31*1000*2.2</f>
        <v>1621.0048002920062</v>
      </c>
      <c r="AI21">
        <f>'HH Cons'!Q31*1000*2.2</f>
        <v>6410.5105360062107</v>
      </c>
      <c r="AJ21">
        <f>'HH Cons'!R31*1000*2.8</f>
        <v>3655.2229552770955</v>
      </c>
      <c r="AK21">
        <f>'HH Cons'!S31*1000*2.2</f>
        <v>10702.301234735434</v>
      </c>
      <c r="AW21">
        <f>'Import-Export'!E39</f>
        <v>5167.8513323865627</v>
      </c>
      <c r="AX21">
        <f t="shared" si="0"/>
        <v>71650.319671055171</v>
      </c>
    </row>
    <row r="22" spans="1:50">
      <c r="A22" s="12" t="s">
        <v>692</v>
      </c>
      <c r="AG22" s="191">
        <f>'kap land'!B118</f>
        <v>209.56704082101228</v>
      </c>
      <c r="AH22" s="191">
        <f>'kap land'!C118</f>
        <v>2513.7322278030183</v>
      </c>
      <c r="AI22" s="191">
        <f>'kap land'!D118</f>
        <v>12024.561345523933</v>
      </c>
      <c r="AJ22" s="191">
        <f>'kap land'!E118</f>
        <v>7424.919230381357</v>
      </c>
      <c r="AK22" s="191">
        <f>'kap land'!F118</f>
        <v>25868.682955470682</v>
      </c>
      <c r="AX22">
        <f t="shared" si="0"/>
        <v>48041.462800000001</v>
      </c>
    </row>
    <row r="23" spans="1:50">
      <c r="A23" s="12" t="s">
        <v>693</v>
      </c>
      <c r="AG23" s="191">
        <f>'kap land'!B119</f>
        <v>93.571605031406818</v>
      </c>
      <c r="AH23" s="191">
        <f>'kap land'!C119</f>
        <v>1122.3804957745942</v>
      </c>
      <c r="AI23" s="191">
        <f>'kap land'!D119</f>
        <v>5368.9621253957848</v>
      </c>
      <c r="AJ23" s="191">
        <f>'kap land'!E119</f>
        <v>3315.2236482106255</v>
      </c>
      <c r="AK23" s="191">
        <f>'kap land'!F119</f>
        <v>11550.35722558759</v>
      </c>
      <c r="AX23">
        <f t="shared" si="0"/>
        <v>21450.4951</v>
      </c>
    </row>
    <row r="24" spans="1:50">
      <c r="A24" s="12" t="s">
        <v>694</v>
      </c>
      <c r="AG24" s="191">
        <f>'kap land'!B120</f>
        <v>73.649369315385002</v>
      </c>
      <c r="AH24" s="191">
        <f>'kap land'!C120</f>
        <v>883.41560046920995</v>
      </c>
      <c r="AI24" s="191">
        <f>'kap land'!D120</f>
        <v>4225.8618336285635</v>
      </c>
      <c r="AJ24" s="191">
        <f>'kap land'!E120</f>
        <v>2609.3827368699081</v>
      </c>
      <c r="AK24" s="191">
        <f>'kap land'!F120</f>
        <v>9091.182359716935</v>
      </c>
      <c r="AX24">
        <f t="shared" si="0"/>
        <v>16883.491900000001</v>
      </c>
    </row>
    <row r="25" spans="1:50">
      <c r="A25" s="12" t="s">
        <v>247</v>
      </c>
      <c r="B25">
        <f>employ!AV34</f>
        <v>37.371327619628907</v>
      </c>
      <c r="C25">
        <f>employ!AW34</f>
        <v>427.63943343492764</v>
      </c>
      <c r="D25">
        <f>employ!AX34</f>
        <v>582.64214399688444</v>
      </c>
      <c r="E25">
        <f>employ!AY34</f>
        <v>404.58340506422115</v>
      </c>
      <c r="F25">
        <f>employ!AZ34</f>
        <v>90.994013697130924</v>
      </c>
      <c r="G25">
        <f>employ!BA34</f>
        <v>1071.6333002655404</v>
      </c>
      <c r="H25">
        <f>employ!BB34</f>
        <v>110.5515</v>
      </c>
      <c r="I25">
        <f>employ!BC34</f>
        <v>163.49955833587646</v>
      </c>
      <c r="J25">
        <f>employ!BD34</f>
        <v>427.77303070449835</v>
      </c>
      <c r="K25">
        <f>employ!BE34</f>
        <v>959.58116770764252</v>
      </c>
      <c r="L25">
        <f>employ!BF34</f>
        <v>714.78778490339425</v>
      </c>
      <c r="M25">
        <f>employ!BG34</f>
        <v>120.66522607178527</v>
      </c>
      <c r="N25">
        <f>employ!BH34</f>
        <v>238.85928595496867</v>
      </c>
      <c r="O25">
        <f>employ!BI34</f>
        <v>129.89494548673215</v>
      </c>
      <c r="P25">
        <f>employ!BJ34</f>
        <v>22.110300000000002</v>
      </c>
      <c r="Q25">
        <f>employ!BK34</f>
        <v>8.4816001739501949</v>
      </c>
      <c r="R25">
        <f>employ!BL34</f>
        <v>149.48531047851563</v>
      </c>
      <c r="S25">
        <f>employ!BM34</f>
        <v>5.2151150418893613</v>
      </c>
      <c r="T25">
        <f>employ!BN34</f>
        <v>330.36410226627464</v>
      </c>
      <c r="U25">
        <f>employ!BO34</f>
        <v>92.273408172541679</v>
      </c>
      <c r="AV25">
        <f>employ!BP34</f>
        <v>231.44280016851428</v>
      </c>
      <c r="AX25">
        <f t="shared" si="0"/>
        <v>6319.8487595449187</v>
      </c>
    </row>
    <row r="26" spans="1:50">
      <c r="A26" s="12" t="s">
        <v>248</v>
      </c>
      <c r="B26">
        <f>employ!AV35</f>
        <v>112.62225036621095</v>
      </c>
      <c r="C26">
        <f>employ!AW35</f>
        <v>2158.9208331522277</v>
      </c>
      <c r="D26">
        <f>employ!AX35</f>
        <v>1314.2282464036209</v>
      </c>
      <c r="E26">
        <f>employ!AY35</f>
        <v>3322.5875809936524</v>
      </c>
      <c r="F26">
        <f>employ!AZ35</f>
        <v>687.3983211430816</v>
      </c>
      <c r="G26">
        <f>employ!BA35</f>
        <v>2210.7589283854168</v>
      </c>
      <c r="H26">
        <f>employ!BB35</f>
        <v>22.720199768066408</v>
      </c>
      <c r="I26">
        <f>employ!BC35</f>
        <v>405.44010131835938</v>
      </c>
      <c r="J26">
        <f>employ!BD35</f>
        <v>2836.3826986083986</v>
      </c>
      <c r="K26">
        <f>employ!BE35</f>
        <v>4744.8809519829183</v>
      </c>
      <c r="L26">
        <f>employ!BF35</f>
        <v>1619.3169464616044</v>
      </c>
      <c r="M26">
        <f>employ!BG35</f>
        <v>963.80403112792965</v>
      </c>
      <c r="N26">
        <f>employ!BH35</f>
        <v>1782.1437955561375</v>
      </c>
      <c r="O26">
        <f>employ!BI35</f>
        <v>276.3448660481771</v>
      </c>
      <c r="P26">
        <f>employ!BJ35</f>
        <v>408.96359582519534</v>
      </c>
      <c r="Q26">
        <f>employ!BK35</f>
        <v>62.414999999999999</v>
      </c>
      <c r="R26">
        <f>employ!BL35</f>
        <v>337.86675109863285</v>
      </c>
      <c r="S26">
        <f>employ!BM35</f>
        <v>47.448809519829183</v>
      </c>
      <c r="T26">
        <f>employ!BN35</f>
        <v>750.98756937349765</v>
      </c>
      <c r="U26">
        <f>employ!BO35</f>
        <v>710.17139135742184</v>
      </c>
      <c r="AV26">
        <f>employ!BP35</f>
        <v>1398.1700958251954</v>
      </c>
      <c r="AX26">
        <f t="shared" si="0"/>
        <v>26173.572964315576</v>
      </c>
    </row>
    <row r="27" spans="1:50">
      <c r="A27" s="12" t="s">
        <v>249</v>
      </c>
      <c r="B27">
        <f>employ!AV36</f>
        <v>835.24907462686565</v>
      </c>
      <c r="C27">
        <f>employ!AW36</f>
        <v>2344.1533863218197</v>
      </c>
      <c r="D27">
        <f>employ!AX36</f>
        <v>5759.1739774951166</v>
      </c>
      <c r="E27">
        <f>employ!AY36</f>
        <v>5798.1315953757239</v>
      </c>
      <c r="F27">
        <f>employ!AZ36</f>
        <v>187.30199999999999</v>
      </c>
      <c r="G27">
        <f>employ!BA36</f>
        <v>643.97699999999998</v>
      </c>
      <c r="H27">
        <f>employ!BB36</f>
        <v>748.3063636363637</v>
      </c>
      <c r="I27">
        <f>employ!BC36</f>
        <v>3236.5901641791042</v>
      </c>
      <c r="J27">
        <f>employ!BD36</f>
        <v>14423.665025697679</v>
      </c>
      <c r="K27">
        <f>employ!BE36</f>
        <v>5187.0628122865801</v>
      </c>
      <c r="L27">
        <f>employ!BF36</f>
        <v>7038.9904169384763</v>
      </c>
      <c r="M27">
        <f>employ!BG36</f>
        <v>1678.4065144508675</v>
      </c>
      <c r="N27">
        <f>employ!BH36</f>
        <v>468.255</v>
      </c>
      <c r="O27">
        <f>employ!BI36</f>
        <v>75.762</v>
      </c>
      <c r="P27">
        <f>employ!BJ36</f>
        <v>49.887090909090915</v>
      </c>
      <c r="Q27">
        <f>employ!BK36</f>
        <v>1354.5593972167969</v>
      </c>
      <c r="R27">
        <f>employ!BL36</f>
        <v>2923.3717611940297</v>
      </c>
      <c r="S27">
        <f>employ!BM36</f>
        <v>0</v>
      </c>
      <c r="T27">
        <f>employ!BN36</f>
        <v>3248.7648078177581</v>
      </c>
      <c r="U27">
        <f>employ!BO36</f>
        <v>1220.6592832369945</v>
      </c>
      <c r="AV27">
        <f>employ!BP36</f>
        <v>6530.3532055664073</v>
      </c>
      <c r="AX27">
        <f t="shared" si="0"/>
        <v>63752.620876949673</v>
      </c>
    </row>
    <row r="28" spans="1:50">
      <c r="A28" s="12" t="s">
        <v>250</v>
      </c>
      <c r="B28">
        <f>employ!AV37</f>
        <v>425.84965116279074</v>
      </c>
      <c r="C28">
        <f>employ!AW37</f>
        <v>256.65390000000002</v>
      </c>
      <c r="D28">
        <f>employ!AX37</f>
        <v>2508.2828625000002</v>
      </c>
      <c r="E28">
        <f>employ!AY37</f>
        <v>3552.2097187500003</v>
      </c>
      <c r="F28">
        <f>employ!AZ37</f>
        <v>0</v>
      </c>
      <c r="G28">
        <f>employ!BA37</f>
        <v>0</v>
      </c>
      <c r="H28">
        <f>employ!BB37</f>
        <v>111.72</v>
      </c>
      <c r="I28">
        <f>employ!BC37</f>
        <v>1703.3986046511629</v>
      </c>
      <c r="J28">
        <f>employ!BD37</f>
        <v>6783.1710000000003</v>
      </c>
      <c r="K28">
        <f>employ!BE37</f>
        <v>598.85910000000001</v>
      </c>
      <c r="L28">
        <f>employ!BF37</f>
        <v>3027.2379375</v>
      </c>
      <c r="M28">
        <f>employ!BG37</f>
        <v>1099.4934843750002</v>
      </c>
      <c r="N28">
        <f>employ!BH37</f>
        <v>0</v>
      </c>
      <c r="O28">
        <f>employ!BI37</f>
        <v>0</v>
      </c>
      <c r="P28">
        <f>employ!BJ37</f>
        <v>782.04</v>
      </c>
      <c r="Q28">
        <f>employ!BK37</f>
        <v>0</v>
      </c>
      <c r="R28">
        <f>employ!BL37</f>
        <v>1533.0587441860466</v>
      </c>
      <c r="S28">
        <f>employ!BM37</f>
        <v>0</v>
      </c>
      <c r="T28">
        <f>employ!BN37</f>
        <v>1383.8802000000001</v>
      </c>
      <c r="U28">
        <f>employ!BO37</f>
        <v>761.18779687500012</v>
      </c>
      <c r="AV28">
        <f>employ!BP37</f>
        <v>2143.029</v>
      </c>
      <c r="AX28">
        <f t="shared" si="0"/>
        <v>26670.072000000004</v>
      </c>
    </row>
    <row r="29" spans="1:50">
      <c r="A29" s="12" t="s">
        <v>251</v>
      </c>
      <c r="B29">
        <f>employ!AV38</f>
        <v>510.87804545454549</v>
      </c>
      <c r="C29">
        <f>employ!AW38</f>
        <v>789.76666666666665</v>
      </c>
      <c r="D29">
        <f>employ!AX38</f>
        <v>4146.2037500000006</v>
      </c>
      <c r="E29">
        <f>employ!AY38</f>
        <v>5715.2380000000003</v>
      </c>
      <c r="F29">
        <f>employ!AZ38</f>
        <v>0</v>
      </c>
      <c r="G29">
        <f>employ!BA38</f>
        <v>0</v>
      </c>
      <c r="H29">
        <f>employ!BB38</f>
        <v>839.34692307692308</v>
      </c>
      <c r="I29">
        <f>employ!BC38</f>
        <v>1702.9268181818181</v>
      </c>
      <c r="J29">
        <f>employ!BD38</f>
        <v>5160.6891562500005</v>
      </c>
      <c r="K29">
        <f>employ!BE38</f>
        <v>2053.393333333333</v>
      </c>
      <c r="L29">
        <f>employ!BF38</f>
        <v>5103.0200000000004</v>
      </c>
      <c r="M29">
        <f>employ!BG38</f>
        <v>1746.3227222222222</v>
      </c>
      <c r="N29">
        <f>employ!BH38</f>
        <v>0</v>
      </c>
      <c r="O29">
        <f>employ!BI38</f>
        <v>0</v>
      </c>
      <c r="P29">
        <f>employ!BJ38</f>
        <v>5315.8638461538467</v>
      </c>
      <c r="Q29">
        <f>employ!BK38</f>
        <v>530.67000000000007</v>
      </c>
      <c r="R29">
        <f>employ!BL38</f>
        <v>1532.6341363636363</v>
      </c>
      <c r="S29">
        <f>employ!BM38</f>
        <v>0</v>
      </c>
      <c r="T29">
        <f>employ!BN38</f>
        <v>2392.0406250000001</v>
      </c>
      <c r="U29">
        <f>employ!BO38</f>
        <v>1270.0528888888889</v>
      </c>
      <c r="AV29">
        <f>employ!BP38</f>
        <v>1178.19</v>
      </c>
      <c r="AX29">
        <f t="shared" si="0"/>
        <v>39987.236911591892</v>
      </c>
    </row>
    <row r="30" spans="1:50">
      <c r="A30" s="12" t="s">
        <v>405</v>
      </c>
      <c r="B30">
        <f>'kap land'!M74*1000</f>
        <v>548.78370729930305</v>
      </c>
      <c r="C30">
        <f>'kap land'!N74*1000</f>
        <v>5500.2910741837495</v>
      </c>
      <c r="D30">
        <f>'kap land'!O74*1000</f>
        <v>25246.951347360337</v>
      </c>
      <c r="E30">
        <f>'kap land'!P74*1000</f>
        <v>4612.1030410243602</v>
      </c>
      <c r="F30">
        <f>'kap land'!Q74*1000</f>
        <v>5061.3034604395598</v>
      </c>
      <c r="G30">
        <f>'kap land'!R74*1000</f>
        <v>75715.018454597419</v>
      </c>
      <c r="H30">
        <f>'kap land'!S74*1000</f>
        <v>173.64757844832098</v>
      </c>
      <c r="I30">
        <f>'kap land'!T74*1000</f>
        <v>3270.299732136878</v>
      </c>
      <c r="J30">
        <f>'kap land'!U74*1000</f>
        <v>2827.0180170788476</v>
      </c>
      <c r="K30">
        <f>'kap land'!V74*1000</f>
        <v>24569.262812308811</v>
      </c>
      <c r="L30">
        <f>'kap land'!W74*1000</f>
        <v>31980.10179388586</v>
      </c>
      <c r="M30">
        <f>'kap land'!X74*1000</f>
        <v>4686.267589736859</v>
      </c>
      <c r="N30">
        <f>'kap land'!Y74*1000</f>
        <v>4578.2976985919304</v>
      </c>
      <c r="O30">
        <f>'kap land'!Z74*1000</f>
        <v>14384.663265040499</v>
      </c>
      <c r="P30">
        <f>'kap land'!AA74*1000</f>
        <v>120.855475000935</v>
      </c>
      <c r="Q30">
        <f>'kap land'!AB74*1000</f>
        <v>95.7094988070765</v>
      </c>
      <c r="R30">
        <f>'kap land'!AC74*1000</f>
        <v>1344.0849646696329</v>
      </c>
      <c r="S30">
        <f>'kap land'!AD74*1000</f>
        <v>125.739961312522</v>
      </c>
      <c r="T30">
        <f>'kap land'!AE74*1000</f>
        <v>9725.0559278553428</v>
      </c>
      <c r="U30">
        <f>'kap land'!AF74*1000</f>
        <v>1751.9591723544609</v>
      </c>
      <c r="V30" s="193">
        <f>'kap land'!C98*0.95</f>
        <v>29111.62501</v>
      </c>
      <c r="W30" s="193">
        <f>'kap land'!D98*0.95</f>
        <v>10937.04125</v>
      </c>
      <c r="X30" s="193">
        <f>'kap land'!E98*0.95</f>
        <v>7082.9665850000001</v>
      </c>
      <c r="AW30">
        <v>-131724.52370856635</v>
      </c>
      <c r="AX30">
        <f t="shared" si="0"/>
        <v>131724.52370856635</v>
      </c>
    </row>
    <row r="31" spans="1:50">
      <c r="A31" s="12" t="s">
        <v>256</v>
      </c>
      <c r="B31">
        <f>'kap land'!M75*1000</f>
        <v>981.19347011661193</v>
      </c>
      <c r="C31">
        <f>'kap land'!N75*1000</f>
        <v>13728.878057721126</v>
      </c>
      <c r="D31">
        <f>'kap land'!O75*1000</f>
        <v>61417.501288697422</v>
      </c>
      <c r="E31">
        <f>'kap land'!P75*1000</f>
        <v>28640.873816422201</v>
      </c>
      <c r="F31">
        <f>'kap land'!Q75*1000</f>
        <v>3496.5090765435998</v>
      </c>
      <c r="G31">
        <f>'kap land'!R75*1000</f>
        <v>161482.98570247498</v>
      </c>
      <c r="H31">
        <f>'kap land'!S75*1000</f>
        <v>237.62852530569799</v>
      </c>
      <c r="I31">
        <f>'kap land'!T75*1000</f>
        <v>2843.447867757292</v>
      </c>
      <c r="J31">
        <f>'kap land'!U75*1000</f>
        <v>1174.2362107676508</v>
      </c>
      <c r="K31">
        <f>'kap land'!V75*1000</f>
        <v>18601.540621301465</v>
      </c>
      <c r="L31">
        <f>'kap land'!W75*1000</f>
        <v>74401.181116886451</v>
      </c>
      <c r="M31">
        <f>'kap land'!X75*1000</f>
        <v>5161.1807600793709</v>
      </c>
      <c r="N31">
        <f>'kap land'!Y75*1000</f>
        <v>17576.943334329597</v>
      </c>
      <c r="O31">
        <f>'kap land'!Z75*1000</f>
        <v>13754.943049257199</v>
      </c>
      <c r="P31">
        <f>'kap land'!AA75*1000</f>
        <v>266.395609562115</v>
      </c>
      <c r="Q31">
        <f>'kap land'!AB75*1000</f>
        <v>101.981284124756</v>
      </c>
      <c r="R31">
        <f>'kap land'!AC75*1000</f>
        <v>4116.7632878341419</v>
      </c>
      <c r="S31">
        <f>'kap land'!AD75*1000</f>
        <v>231.88924209994798</v>
      </c>
      <c r="T31">
        <f>'kap land'!AE75*1000</f>
        <v>39221.964850381693</v>
      </c>
      <c r="U31">
        <f>'kap land'!AF75*1000</f>
        <v>5407.8007259971273</v>
      </c>
      <c r="V31" s="193">
        <f>'kap land'!C99*0.95</f>
        <v>16527.764650000001</v>
      </c>
      <c r="W31" s="193">
        <f>'kap land'!D99*0.95</f>
        <v>9440.9290949999995</v>
      </c>
      <c r="X31" s="193">
        <f>'kap land'!E99*0.95</f>
        <v>8956.3507200000004</v>
      </c>
      <c r="AW31">
        <v>-243885.44118133024</v>
      </c>
      <c r="AX31">
        <f t="shared" si="0"/>
        <v>243885.44118133024</v>
      </c>
    </row>
    <row r="32" spans="1:50">
      <c r="A32" s="12" t="s">
        <v>656</v>
      </c>
      <c r="AG32">
        <f>capcom!H101</f>
        <v>141.9</v>
      </c>
      <c r="AH32">
        <f>capcom!I101</f>
        <v>850</v>
      </c>
      <c r="AI32">
        <f>capcom!J101</f>
        <v>2656</v>
      </c>
      <c r="AJ32">
        <f>capcom!K101</f>
        <v>1165</v>
      </c>
      <c r="AK32">
        <f>capcom!L101</f>
        <v>2142</v>
      </c>
      <c r="AW32">
        <v>480815.9823626604</v>
      </c>
      <c r="AX32">
        <f t="shared" si="0"/>
        <v>487770.88236266043</v>
      </c>
    </row>
    <row r="33" spans="1:50">
      <c r="A33" s="12" t="s">
        <v>1</v>
      </c>
      <c r="Y33">
        <f>'job core'!AL66</f>
        <v>659.45437526326043</v>
      </c>
      <c r="Z33">
        <f>'job core'!AM66</f>
        <v>0</v>
      </c>
      <c r="AA33">
        <f>'job core'!AN66</f>
        <v>0</v>
      </c>
      <c r="AB33">
        <f>'job core'!AO66</f>
        <v>0</v>
      </c>
      <c r="AC33">
        <f>'job core'!AP66</f>
        <v>0</v>
      </c>
      <c r="AD33">
        <f>'kap land'!AE12</f>
        <v>574.61028512149142</v>
      </c>
      <c r="AE33">
        <f>'kap land'!AF12</f>
        <v>1063.8799742729404</v>
      </c>
      <c r="AL33">
        <f>'security payments'!B38</f>
        <v>2746.8984145030977</v>
      </c>
      <c r="AM33">
        <f>'security payments'!C38</f>
        <v>0</v>
      </c>
      <c r="AN33">
        <f>'security payments'!D38</f>
        <v>0</v>
      </c>
      <c r="AO33">
        <f>'security payments'!E38</f>
        <v>0</v>
      </c>
      <c r="AP33">
        <f>'security payments'!F38</f>
        <v>0</v>
      </c>
      <c r="AW33">
        <v>2404.2653954038933</v>
      </c>
      <c r="AX33">
        <f t="shared" si="0"/>
        <v>7449.1084445646839</v>
      </c>
    </row>
    <row r="34" spans="1:50">
      <c r="A34" s="12" t="s">
        <v>2</v>
      </c>
      <c r="Y34">
        <f>'job core'!AL67</f>
        <v>1097.2888375282121</v>
      </c>
      <c r="Z34">
        <f>'job core'!AM67</f>
        <v>6812.7895286628254</v>
      </c>
      <c r="AA34">
        <f>'job core'!AN67</f>
        <v>0</v>
      </c>
      <c r="AB34">
        <f>'job core'!AO67</f>
        <v>0</v>
      </c>
      <c r="AC34">
        <f>'job core'!AP67</f>
        <v>0</v>
      </c>
      <c r="AD34">
        <f>'kap land'!AE13</f>
        <v>6892.3833942505589</v>
      </c>
      <c r="AE34">
        <f>'kap land'!AF13</f>
        <v>12761.116287022534</v>
      </c>
      <c r="AL34">
        <f>'security payments'!B39</f>
        <v>3493.3077065448761</v>
      </c>
      <c r="AM34">
        <f>'security payments'!C39</f>
        <v>5266.9481977386477</v>
      </c>
      <c r="AN34">
        <f>'security payments'!D39</f>
        <v>0</v>
      </c>
      <c r="AO34">
        <f>'security payments'!E39</f>
        <v>0</v>
      </c>
      <c r="AP34">
        <f>'security payments'!F39</f>
        <v>0</v>
      </c>
      <c r="AW34">
        <v>3625.797294708078</v>
      </c>
      <c r="AX34">
        <f t="shared" si="0"/>
        <v>39949.631246455727</v>
      </c>
    </row>
    <row r="35" spans="1:50">
      <c r="A35" s="12" t="s">
        <v>3</v>
      </c>
      <c r="Y35">
        <f>'job core'!AL68</f>
        <v>2227.0098574464205</v>
      </c>
      <c r="Z35">
        <f>'job core'!AM68</f>
        <v>10754.637650598173</v>
      </c>
      <c r="AA35">
        <f>'job core'!AN68</f>
        <v>24856.600142261341</v>
      </c>
      <c r="AB35">
        <f>'job core'!AO68</f>
        <v>0</v>
      </c>
      <c r="AC35">
        <f>'job core'!AP68</f>
        <v>0</v>
      </c>
      <c r="AD35">
        <f>'kap land'!AE14</f>
        <v>32970.053860299566</v>
      </c>
      <c r="AE35">
        <f>'kap land'!AF14</f>
        <v>61043.425363081871</v>
      </c>
      <c r="AL35">
        <f>'security payments'!B40</f>
        <v>5111.6688090019234</v>
      </c>
      <c r="AM35">
        <f>'security payments'!C40</f>
        <v>9321.9509908676155</v>
      </c>
      <c r="AN35">
        <f>'security payments'!D40</f>
        <v>667.53839721679685</v>
      </c>
      <c r="AO35">
        <f>'security payments'!E40</f>
        <v>0</v>
      </c>
      <c r="AP35">
        <f>'security payments'!F40</f>
        <v>0</v>
      </c>
      <c r="AW35">
        <v>12216.78422884093</v>
      </c>
      <c r="AX35">
        <f t="shared" si="0"/>
        <v>159169.66929961462</v>
      </c>
    </row>
    <row r="36" spans="1:50">
      <c r="A36" s="12" t="s">
        <v>4</v>
      </c>
      <c r="Y36">
        <f>'job core'!AL69</f>
        <v>745.94019496991757</v>
      </c>
      <c r="Z36">
        <f>'job core'!AM69</f>
        <v>2369.6659230131563</v>
      </c>
      <c r="AA36">
        <f>'job core'!AN69</f>
        <v>13778.190341028758</v>
      </c>
      <c r="AB36">
        <f>'job core'!AO69</f>
        <v>6470.5429584313733</v>
      </c>
      <c r="AC36">
        <f>'job core'!AP69</f>
        <v>0</v>
      </c>
      <c r="AD36">
        <f>'kap land'!AE15</f>
        <v>20358.329913229853</v>
      </c>
      <c r="AE36">
        <f>'kap land'!AF15</f>
        <v>37693.059217949129</v>
      </c>
      <c r="AL36">
        <f>'security payments'!B41</f>
        <v>1347.4058943901061</v>
      </c>
      <c r="AM36">
        <f>'security payments'!C41</f>
        <v>2711.0340017395019</v>
      </c>
      <c r="AN36">
        <f>'security payments'!D41</f>
        <v>168.72</v>
      </c>
      <c r="AO36">
        <f>'security payments'!E41</f>
        <v>0</v>
      </c>
      <c r="AP36">
        <f>'security payments'!F41</f>
        <v>0</v>
      </c>
      <c r="AW36">
        <v>8122.5916770719195</v>
      </c>
      <c r="AX36">
        <f t="shared" si="0"/>
        <v>93765.480121823726</v>
      </c>
    </row>
    <row r="37" spans="1:50">
      <c r="A37" s="12" t="s">
        <v>5</v>
      </c>
      <c r="Y37">
        <f>'job core'!AL70</f>
        <v>1135.1263836498747</v>
      </c>
      <c r="Z37">
        <f>'job core'!AM70</f>
        <v>4351.9826086107005</v>
      </c>
      <c r="AA37">
        <f>'job core'!AN70</f>
        <v>20527.641690519198</v>
      </c>
      <c r="AB37">
        <f>'job core'!AO70</f>
        <v>18279.283857568629</v>
      </c>
      <c r="AC37">
        <f>'job core'!AP70</f>
        <v>37108.155853957272</v>
      </c>
      <c r="AD37">
        <f>'kap land'!AE16</f>
        <v>70929.146255664891</v>
      </c>
      <c r="AE37">
        <f>'kap land'!AF16</f>
        <v>131323.96033900377</v>
      </c>
      <c r="AL37">
        <f>'security payments'!B42</f>
        <v>1720.0946983909607</v>
      </c>
      <c r="AM37">
        <f>'security payments'!C42</f>
        <v>4468.1786899108884</v>
      </c>
      <c r="AN37">
        <f>'security payments'!D42</f>
        <v>59.28</v>
      </c>
      <c r="AO37">
        <f>'security payments'!E42</f>
        <v>0</v>
      </c>
      <c r="AP37">
        <f>'security payments'!F42</f>
        <v>0</v>
      </c>
      <c r="AW37">
        <v>20323.78380436881</v>
      </c>
      <c r="AX37">
        <f t="shared" si="0"/>
        <v>310226.63418164506</v>
      </c>
    </row>
    <row r="38" spans="1:50">
      <c r="A38" s="16" t="s">
        <v>258</v>
      </c>
      <c r="B38">
        <f>0.072*B25</f>
        <v>2.6907355886132813</v>
      </c>
      <c r="C38">
        <f t="shared" ref="C38:U42" si="1">0.072*C25</f>
        <v>30.790039207314788</v>
      </c>
      <c r="D38">
        <f t="shared" si="1"/>
        <v>41.950234367775678</v>
      </c>
      <c r="E38">
        <f t="shared" si="1"/>
        <v>29.13000516462392</v>
      </c>
      <c r="F38">
        <f t="shared" si="1"/>
        <v>6.5515689861934261</v>
      </c>
      <c r="G38">
        <f t="shared" si="1"/>
        <v>77.157597619118903</v>
      </c>
      <c r="H38">
        <f t="shared" si="1"/>
        <v>7.959708</v>
      </c>
      <c r="I38">
        <f t="shared" si="1"/>
        <v>11.771968200183103</v>
      </c>
      <c r="J38">
        <f t="shared" si="1"/>
        <v>30.79965821072388</v>
      </c>
      <c r="K38">
        <f t="shared" si="1"/>
        <v>69.08984407495025</v>
      </c>
      <c r="L38">
        <f t="shared" si="1"/>
        <v>51.464720513044384</v>
      </c>
      <c r="M38">
        <f t="shared" si="1"/>
        <v>8.6878962771685391</v>
      </c>
      <c r="N38">
        <f t="shared" si="1"/>
        <v>17.197868588757743</v>
      </c>
      <c r="O38">
        <f t="shared" si="1"/>
        <v>9.3524360750447144</v>
      </c>
      <c r="P38">
        <f t="shared" si="1"/>
        <v>1.5919416</v>
      </c>
      <c r="Q38">
        <f t="shared" si="1"/>
        <v>0.61067521252441404</v>
      </c>
      <c r="R38">
        <f t="shared" si="1"/>
        <v>10.762942354453125</v>
      </c>
      <c r="S38">
        <f t="shared" si="1"/>
        <v>0.37548828301603399</v>
      </c>
      <c r="T38">
        <f t="shared" si="1"/>
        <v>23.786215363171774</v>
      </c>
      <c r="U38">
        <f t="shared" si="1"/>
        <v>6.643685388423</v>
      </c>
      <c r="Y38">
        <f>'job core'!AL65</f>
        <v>455.02911068723409</v>
      </c>
      <c r="AV38">
        <f>0.072*AV25</f>
        <v>16.663881612133029</v>
      </c>
      <c r="AX38">
        <f t="shared" si="0"/>
        <v>910.05822137446808</v>
      </c>
    </row>
    <row r="39" spans="1:50">
      <c r="A39" s="16" t="s">
        <v>259</v>
      </c>
      <c r="B39">
        <f t="shared" ref="B39:Q42" si="2">0.072*B26</f>
        <v>8.1088020263671883</v>
      </c>
      <c r="C39">
        <f t="shared" si="2"/>
        <v>155.44229998696039</v>
      </c>
      <c r="D39">
        <f t="shared" si="2"/>
        <v>94.624433741060699</v>
      </c>
      <c r="E39">
        <f t="shared" si="2"/>
        <v>239.22630583154296</v>
      </c>
      <c r="F39">
        <f t="shared" si="2"/>
        <v>49.492679122301872</v>
      </c>
      <c r="G39">
        <f t="shared" si="2"/>
        <v>159.17464284375001</v>
      </c>
      <c r="H39">
        <f t="shared" si="2"/>
        <v>1.6358543833007813</v>
      </c>
      <c r="I39">
        <f t="shared" si="2"/>
        <v>29.191687294921874</v>
      </c>
      <c r="J39">
        <f t="shared" si="2"/>
        <v>204.21955429980468</v>
      </c>
      <c r="K39">
        <f t="shared" si="2"/>
        <v>341.6314285427701</v>
      </c>
      <c r="L39">
        <f t="shared" si="2"/>
        <v>116.59082014523551</v>
      </c>
      <c r="M39">
        <f t="shared" si="2"/>
        <v>69.393890241210926</v>
      </c>
      <c r="N39">
        <f t="shared" si="2"/>
        <v>128.3143532800419</v>
      </c>
      <c r="O39">
        <f t="shared" si="2"/>
        <v>19.896830355468751</v>
      </c>
      <c r="P39">
        <f t="shared" si="2"/>
        <v>29.445378899414063</v>
      </c>
      <c r="Q39">
        <f t="shared" si="2"/>
        <v>4.4938799999999999</v>
      </c>
      <c r="R39">
        <f t="shared" si="1"/>
        <v>24.326406079101563</v>
      </c>
      <c r="S39">
        <f t="shared" si="1"/>
        <v>3.4163142854277009</v>
      </c>
      <c r="T39">
        <f t="shared" si="1"/>
        <v>54.071104994891826</v>
      </c>
      <c r="U39">
        <f t="shared" si="1"/>
        <v>51.13234017773437</v>
      </c>
      <c r="Z39">
        <f>'job core'!AM65</f>
        <v>1884.4972534307215</v>
      </c>
      <c r="AV39">
        <f t="shared" ref="AV39:AV42" si="3">0.072*AV26</f>
        <v>100.66824689941406</v>
      </c>
      <c r="AX39">
        <f t="shared" si="0"/>
        <v>3768.9945068614425</v>
      </c>
    </row>
    <row r="40" spans="1:50">
      <c r="A40" s="16" t="s">
        <v>260</v>
      </c>
      <c r="B40">
        <f t="shared" si="2"/>
        <v>60.137933373134324</v>
      </c>
      <c r="C40">
        <f t="shared" si="1"/>
        <v>168.77904381517101</v>
      </c>
      <c r="D40">
        <f t="shared" si="1"/>
        <v>414.66052637964839</v>
      </c>
      <c r="E40">
        <f t="shared" si="1"/>
        <v>417.46547486705208</v>
      </c>
      <c r="F40">
        <f t="shared" si="1"/>
        <v>13.485743999999999</v>
      </c>
      <c r="G40">
        <f t="shared" si="1"/>
        <v>46.366343999999998</v>
      </c>
      <c r="H40">
        <f t="shared" si="1"/>
        <v>53.878058181818183</v>
      </c>
      <c r="I40">
        <f t="shared" si="1"/>
        <v>233.03449182089548</v>
      </c>
      <c r="J40">
        <f t="shared" si="1"/>
        <v>1038.5038818502328</v>
      </c>
      <c r="K40">
        <f t="shared" si="1"/>
        <v>373.46852248463375</v>
      </c>
      <c r="L40">
        <f t="shared" si="1"/>
        <v>506.80731001957025</v>
      </c>
      <c r="M40">
        <f t="shared" si="1"/>
        <v>120.84526904046245</v>
      </c>
      <c r="N40">
        <f t="shared" si="1"/>
        <v>33.714359999999999</v>
      </c>
      <c r="O40">
        <f t="shared" si="1"/>
        <v>5.4548639999999997</v>
      </c>
      <c r="P40">
        <f t="shared" si="1"/>
        <v>3.5918705454545456</v>
      </c>
      <c r="Q40">
        <f t="shared" si="1"/>
        <v>97.52827659960937</v>
      </c>
      <c r="R40">
        <f t="shared" si="1"/>
        <v>210.48276680597013</v>
      </c>
      <c r="S40">
        <f t="shared" si="1"/>
        <v>0</v>
      </c>
      <c r="T40">
        <f t="shared" si="1"/>
        <v>233.91106616287857</v>
      </c>
      <c r="U40">
        <f t="shared" si="1"/>
        <v>87.8874683930636</v>
      </c>
      <c r="AA40">
        <f>'job core'!AN65</f>
        <v>4590.1887031403767</v>
      </c>
      <c r="AV40">
        <f t="shared" si="3"/>
        <v>470.18543080078126</v>
      </c>
      <c r="AX40">
        <f t="shared" si="0"/>
        <v>9180.3774062807515</v>
      </c>
    </row>
    <row r="41" spans="1:50">
      <c r="A41" s="16" t="s">
        <v>261</v>
      </c>
      <c r="B41">
        <f t="shared" si="2"/>
        <v>30.661174883720932</v>
      </c>
      <c r="C41">
        <f t="shared" si="1"/>
        <v>18.479080799999998</v>
      </c>
      <c r="D41">
        <f t="shared" si="1"/>
        <v>180.59636610000001</v>
      </c>
      <c r="E41">
        <f t="shared" si="1"/>
        <v>255.75909974999999</v>
      </c>
      <c r="F41">
        <f t="shared" si="1"/>
        <v>0</v>
      </c>
      <c r="G41">
        <f t="shared" si="1"/>
        <v>0</v>
      </c>
      <c r="H41">
        <f t="shared" si="1"/>
        <v>8.0438399999999994</v>
      </c>
      <c r="I41">
        <f t="shared" si="1"/>
        <v>122.64469953488373</v>
      </c>
      <c r="J41">
        <f t="shared" si="1"/>
        <v>488.38831199999998</v>
      </c>
      <c r="K41">
        <f t="shared" si="1"/>
        <v>43.117855200000001</v>
      </c>
      <c r="L41">
        <f t="shared" si="1"/>
        <v>217.96113149999999</v>
      </c>
      <c r="M41">
        <f t="shared" si="1"/>
        <v>79.163530875000006</v>
      </c>
      <c r="N41">
        <f t="shared" si="1"/>
        <v>0</v>
      </c>
      <c r="O41">
        <f t="shared" si="1"/>
        <v>0</v>
      </c>
      <c r="P41">
        <f t="shared" si="1"/>
        <v>56.306879999999992</v>
      </c>
      <c r="Q41">
        <f t="shared" si="1"/>
        <v>0</v>
      </c>
      <c r="R41">
        <f t="shared" si="1"/>
        <v>110.38022958139535</v>
      </c>
      <c r="S41">
        <f t="shared" si="1"/>
        <v>0</v>
      </c>
      <c r="T41">
        <f t="shared" si="1"/>
        <v>99.639374399999994</v>
      </c>
      <c r="U41">
        <f t="shared" si="1"/>
        <v>54.805521375000005</v>
      </c>
      <c r="AB41">
        <f>'job core'!AO65</f>
        <v>1920.2451840000001</v>
      </c>
      <c r="AV41">
        <f t="shared" si="3"/>
        <v>154.29808799999998</v>
      </c>
      <c r="AX41">
        <f t="shared" si="0"/>
        <v>3840.4903680000002</v>
      </c>
    </row>
    <row r="42" spans="1:50">
      <c r="A42" s="16" t="s">
        <v>262</v>
      </c>
      <c r="B42">
        <f t="shared" si="2"/>
        <v>36.783219272727273</v>
      </c>
      <c r="C42">
        <f t="shared" si="1"/>
        <v>56.863199999999992</v>
      </c>
      <c r="D42">
        <f t="shared" si="1"/>
        <v>298.52667000000002</v>
      </c>
      <c r="E42">
        <f t="shared" si="1"/>
        <v>411.49713600000001</v>
      </c>
      <c r="F42">
        <f t="shared" si="1"/>
        <v>0</v>
      </c>
      <c r="G42">
        <f t="shared" si="1"/>
        <v>0</v>
      </c>
      <c r="H42">
        <f t="shared" si="1"/>
        <v>60.432978461538454</v>
      </c>
      <c r="I42">
        <f t="shared" si="1"/>
        <v>122.61073090909089</v>
      </c>
      <c r="J42">
        <f t="shared" si="1"/>
        <v>371.56961925000002</v>
      </c>
      <c r="K42">
        <f t="shared" si="1"/>
        <v>147.84431999999995</v>
      </c>
      <c r="L42">
        <f t="shared" si="1"/>
        <v>367.41744</v>
      </c>
      <c r="M42">
        <f t="shared" si="1"/>
        <v>125.73523599999999</v>
      </c>
      <c r="N42">
        <f t="shared" si="1"/>
        <v>0</v>
      </c>
      <c r="O42">
        <f t="shared" si="1"/>
        <v>0</v>
      </c>
      <c r="P42">
        <f t="shared" si="1"/>
        <v>382.7421969230769</v>
      </c>
      <c r="Q42">
        <f t="shared" si="1"/>
        <v>38.208240000000004</v>
      </c>
      <c r="R42">
        <f t="shared" si="1"/>
        <v>110.34965781818181</v>
      </c>
      <c r="S42">
        <f t="shared" si="1"/>
        <v>0</v>
      </c>
      <c r="T42">
        <f t="shared" si="1"/>
        <v>172.22692499999999</v>
      </c>
      <c r="U42">
        <f t="shared" si="1"/>
        <v>91.44380799999999</v>
      </c>
      <c r="AC42">
        <f>'job core'!AP65</f>
        <v>2879.0810576346162</v>
      </c>
      <c r="AV42">
        <f t="shared" si="3"/>
        <v>84.829679999999996</v>
      </c>
      <c r="AX42">
        <f t="shared" si="0"/>
        <v>5758.1621152692305</v>
      </c>
    </row>
    <row r="43" spans="1:50">
      <c r="A43" s="16" t="s">
        <v>414</v>
      </c>
      <c r="AG43">
        <f>Taxes!C16</f>
        <v>28.201575953335531</v>
      </c>
      <c r="AH43">
        <f>Taxes!D16</f>
        <v>445.55309114154647</v>
      </c>
      <c r="AI43">
        <f>Taxes!E16</f>
        <v>2017.4033935969578</v>
      </c>
      <c r="AJ43">
        <f>Taxes!F16</f>
        <v>2081.5569734945957</v>
      </c>
      <c r="AK43">
        <f>Taxes!G16</f>
        <v>9621.3649658135637</v>
      </c>
      <c r="AX43">
        <f t="shared" si="0"/>
        <v>14194.079999999998</v>
      </c>
    </row>
    <row r="44" spans="1:50">
      <c r="A44" s="16" t="s">
        <v>658</v>
      </c>
      <c r="B44">
        <f>B91</f>
        <v>10.685108165127017</v>
      </c>
      <c r="C44">
        <f t="shared" ref="C44:U44" si="4">C91</f>
        <v>69.564187297691447</v>
      </c>
      <c r="D44">
        <f t="shared" si="4"/>
        <v>205.742985440897</v>
      </c>
      <c r="E44">
        <f t="shared" si="4"/>
        <v>110.14014552598368</v>
      </c>
      <c r="F44">
        <f t="shared" si="4"/>
        <v>4.9647102440064019</v>
      </c>
      <c r="G44">
        <f t="shared" si="4"/>
        <v>279.03655404978986</v>
      </c>
      <c r="H44">
        <f t="shared" si="4"/>
        <v>4.9408900541904615</v>
      </c>
      <c r="I44">
        <f t="shared" si="4"/>
        <v>77.693920054722312</v>
      </c>
      <c r="J44">
        <f t="shared" si="4"/>
        <v>276.36656166431885</v>
      </c>
      <c r="K44">
        <f t="shared" si="4"/>
        <v>75.456664856317289</v>
      </c>
      <c r="L44">
        <f t="shared" si="4"/>
        <v>128.43479110957355</v>
      </c>
      <c r="M44">
        <f t="shared" si="4"/>
        <v>20.660538274311733</v>
      </c>
      <c r="N44">
        <f t="shared" si="4"/>
        <v>10.519219041930771</v>
      </c>
      <c r="O44">
        <f t="shared" si="4"/>
        <v>24.301060440361564</v>
      </c>
      <c r="P44">
        <f t="shared" si="4"/>
        <v>15.46600794390433</v>
      </c>
      <c r="Q44">
        <f t="shared" si="4"/>
        <v>3.2388583467944136</v>
      </c>
      <c r="R44">
        <f t="shared" si="4"/>
        <v>69.60546986439347</v>
      </c>
      <c r="S44">
        <f t="shared" si="4"/>
        <v>0.54180785793989006</v>
      </c>
      <c r="T44">
        <f t="shared" si="4"/>
        <v>59.151740663648248</v>
      </c>
      <c r="U44">
        <f t="shared" si="4"/>
        <v>14.988779104097535</v>
      </c>
      <c r="AX44">
        <f t="shared" si="0"/>
        <v>1461.4999999999998</v>
      </c>
    </row>
    <row r="45" spans="1:50">
      <c r="A45" s="16" t="s">
        <v>657</v>
      </c>
      <c r="B45">
        <f>'kap land'!M78</f>
        <v>4.8014472712224396</v>
      </c>
      <c r="C45">
        <f>'kap land'!N78</f>
        <v>60.345894709487347</v>
      </c>
      <c r="D45">
        <f>'kap land'!O78</f>
        <v>271.97451423699749</v>
      </c>
      <c r="E45">
        <f>'kap land'!P78</f>
        <v>104.35607625329074</v>
      </c>
      <c r="F45">
        <f>'kap land'!Q78</f>
        <v>26.856535025398586</v>
      </c>
      <c r="G45">
        <f>'kap land'!R78</f>
        <v>744.38607752498729</v>
      </c>
      <c r="H45">
        <f>'kap land'!S78</f>
        <v>1.2906862633232052</v>
      </c>
      <c r="I45">
        <f>'kap land'!T78</f>
        <v>19.186453996675972</v>
      </c>
      <c r="J45">
        <f>'kap land'!U78</f>
        <v>12.556926650506634</v>
      </c>
      <c r="K45">
        <f>'kap land'!V78</f>
        <v>135.48067213190851</v>
      </c>
      <c r="L45">
        <f>'kap land'!W78</f>
        <v>333.85081037860255</v>
      </c>
      <c r="M45">
        <f>'kap land'!X78</f>
        <v>30.903731575648028</v>
      </c>
      <c r="N45">
        <f>'kap land'!Y78</f>
        <v>69.528632956776804</v>
      </c>
      <c r="O45">
        <f>'kap land'!Z78</f>
        <v>88.309053197287923</v>
      </c>
      <c r="P45">
        <f>'kap land'!AA78</f>
        <v>1.2152898034685715</v>
      </c>
      <c r="Q45">
        <f>'kap land'!AB78</f>
        <v>0.62040263362427939</v>
      </c>
      <c r="R45">
        <f>'kap land'!AC78</f>
        <v>17.137494158461124</v>
      </c>
      <c r="S45">
        <f>'kap land'!AD78</f>
        <v>1.1223290047597001</v>
      </c>
      <c r="T45">
        <f>'kap land'!AE78</f>
        <v>153.60787260047246</v>
      </c>
      <c r="U45">
        <f>'kap land'!AF78</f>
        <v>22.46909962710042</v>
      </c>
      <c r="AG45">
        <f>'kap land'!B123</f>
        <v>6.1070966629562573</v>
      </c>
      <c r="AH45">
        <f>'kap land'!C123</f>
        <v>73.253912637402564</v>
      </c>
      <c r="AI45">
        <f>'kap land'!D123</f>
        <v>350.41368231888032</v>
      </c>
      <c r="AJ45">
        <f>'kap land'!E123</f>
        <v>216.3732392123143</v>
      </c>
      <c r="AK45">
        <f>'kap land'!F123</f>
        <v>753.85206916844663</v>
      </c>
      <c r="AX45">
        <f t="shared" si="0"/>
        <v>3500</v>
      </c>
    </row>
    <row r="46" spans="1:50">
      <c r="A46" s="16" t="s">
        <v>782</v>
      </c>
      <c r="F46">
        <f>Taxes!G51</f>
        <v>192.66922477733078</v>
      </c>
      <c r="N46">
        <f>Taxes!H51</f>
        <v>495.83077522266916</v>
      </c>
      <c r="AX46">
        <f t="shared" si="0"/>
        <v>688.5</v>
      </c>
    </row>
    <row r="47" spans="1:50">
      <c r="A47" s="16" t="s">
        <v>790</v>
      </c>
      <c r="AR47">
        <v>1461.4999999999998</v>
      </c>
      <c r="AS47">
        <v>3500</v>
      </c>
      <c r="AT47">
        <v>688.5</v>
      </c>
      <c r="AX47">
        <f t="shared" si="0"/>
        <v>5650</v>
      </c>
    </row>
    <row r="48" spans="1:50">
      <c r="A48" s="16" t="s">
        <v>265</v>
      </c>
      <c r="AL48">
        <v>-13509.3173014565</v>
      </c>
      <c r="AM48">
        <v>-17999.117373395198</v>
      </c>
      <c r="AN48">
        <v>8284.8390090639605</v>
      </c>
      <c r="AO48">
        <v>3840.4903680000002</v>
      </c>
      <c r="AP48">
        <v>5758.1621152692296</v>
      </c>
      <c r="AQ48">
        <v>14194.079999999998</v>
      </c>
      <c r="AU48">
        <v>5650</v>
      </c>
      <c r="AW48">
        <v>6278.6936113909578</v>
      </c>
      <c r="AX48">
        <f t="shared" si="0"/>
        <v>12497.830428872445</v>
      </c>
    </row>
    <row r="49" spans="1:50">
      <c r="A49" s="16" t="s">
        <v>266</v>
      </c>
      <c r="B49">
        <f>'Import-Export'!K20</f>
        <v>39192.137429205548</v>
      </c>
      <c r="C49">
        <f>'Import-Export'!L20</f>
        <v>38218.720191443688</v>
      </c>
      <c r="D49">
        <f>'Import-Export'!M20</f>
        <v>27522.760731351493</v>
      </c>
      <c r="E49">
        <f>'Import-Export'!N20</f>
        <v>57379.372986559501</v>
      </c>
      <c r="F49">
        <f>'Import-Export'!O20</f>
        <v>34936.347847082914</v>
      </c>
      <c r="G49">
        <f>'Import-Export'!P20</f>
        <v>15387.36372307612</v>
      </c>
      <c r="H49">
        <f>'Import-Export'!Q20</f>
        <v>5953.4712091097017</v>
      </c>
      <c r="I49">
        <f>'Import-Export'!R20</f>
        <v>20568.123200688187</v>
      </c>
      <c r="J49">
        <f>'Import-Export'!S20</f>
        <v>265591.45563099696</v>
      </c>
      <c r="K49">
        <f>'Import-Export'!T20</f>
        <v>54344.124498579928</v>
      </c>
      <c r="L49">
        <f>'Import-Export'!U20</f>
        <v>92066.301421331576</v>
      </c>
      <c r="M49">
        <f>'Import-Export'!V20</f>
        <v>83809.348617096344</v>
      </c>
      <c r="N49">
        <f>'Import-Export'!W20</f>
        <v>14783.499856359391</v>
      </c>
      <c r="O49">
        <f>'Import-Export'!X20</f>
        <v>35038.147115319385</v>
      </c>
      <c r="P49">
        <f>'Import-Export'!Y20</f>
        <v>4242.9944769127378</v>
      </c>
      <c r="Q49">
        <f>'Import-Export'!Z20</f>
        <v>65468.350898669167</v>
      </c>
      <c r="R49">
        <f>'Import-Export'!AA20</f>
        <v>5058.3618765207057</v>
      </c>
      <c r="S49">
        <f>'Import-Export'!AB20</f>
        <v>17445.537976239153</v>
      </c>
      <c r="T49">
        <f>'Import-Export'!AC20</f>
        <v>21178.66361147361</v>
      </c>
      <c r="U49">
        <f>'Import-Export'!AD20</f>
        <v>39889.481003201166</v>
      </c>
      <c r="AX49">
        <f t="shared" si="0"/>
        <v>938074.56430121744</v>
      </c>
    </row>
    <row r="50" spans="1:50">
      <c r="A50" s="29" t="s">
        <v>212</v>
      </c>
      <c r="B50">
        <f t="shared" ref="B50:AF50" si="5">SUM(B2:B49)</f>
        <v>46622.137024657561</v>
      </c>
      <c r="C50">
        <f t="shared" si="5"/>
        <v>90224.826788354694</v>
      </c>
      <c r="D50">
        <f t="shared" si="5"/>
        <v>208455.47099298378</v>
      </c>
      <c r="E50">
        <f t="shared" si="5"/>
        <v>152531.8793514384</v>
      </c>
      <c r="F50">
        <f t="shared" si="5"/>
        <v>46621.502885022142</v>
      </c>
      <c r="G50">
        <f t="shared" si="5"/>
        <v>362930.9405949752</v>
      </c>
      <c r="H50">
        <f t="shared" si="5"/>
        <v>9434.2432848504359</v>
      </c>
      <c r="I50">
        <f t="shared" si="5"/>
        <v>59945.420894936906</v>
      </c>
      <c r="J50">
        <f t="shared" si="5"/>
        <v>396969.2965712205</v>
      </c>
      <c r="K50">
        <f t="shared" si="5"/>
        <v>140090.90139145515</v>
      </c>
      <c r="L50">
        <f t="shared" si="5"/>
        <v>269172.37337485194</v>
      </c>
      <c r="M50">
        <f t="shared" si="5"/>
        <v>107813.82644296522</v>
      </c>
      <c r="N50">
        <f t="shared" si="5"/>
        <v>44849.040889555814</v>
      </c>
      <c r="O50">
        <f t="shared" si="5"/>
        <v>72714.411845894152</v>
      </c>
      <c r="P50">
        <f t="shared" si="5"/>
        <v>15138.531107740866</v>
      </c>
      <c r="Q50">
        <f t="shared" si="5"/>
        <v>68972.739038634914</v>
      </c>
      <c r="R50">
        <f t="shared" si="5"/>
        <v>40336.222821982003</v>
      </c>
      <c r="S50">
        <f t="shared" si="5"/>
        <v>19655.445337005931</v>
      </c>
      <c r="T50">
        <f t="shared" si="5"/>
        <v>102746.37861802816</v>
      </c>
      <c r="U50">
        <f t="shared" si="5"/>
        <v>71650.319671055171</v>
      </c>
      <c r="V50">
        <f t="shared" si="5"/>
        <v>48041.462800000001</v>
      </c>
      <c r="W50">
        <f t="shared" si="5"/>
        <v>21450.4951</v>
      </c>
      <c r="X50">
        <f t="shared" si="5"/>
        <v>16883.491900000001</v>
      </c>
      <c r="Y50">
        <f t="shared" si="5"/>
        <v>6319.8487595449187</v>
      </c>
      <c r="Z50">
        <f t="shared" si="5"/>
        <v>26173.572964315576</v>
      </c>
      <c r="AA50">
        <f t="shared" si="5"/>
        <v>63752.620876949673</v>
      </c>
      <c r="AB50">
        <f t="shared" si="5"/>
        <v>26670.072</v>
      </c>
      <c r="AC50">
        <f t="shared" si="5"/>
        <v>39987.236911591892</v>
      </c>
      <c r="AD50">
        <f t="shared" si="5"/>
        <v>131724.52370856635</v>
      </c>
      <c r="AE50">
        <f t="shared" si="5"/>
        <v>243885.44118133024</v>
      </c>
      <c r="AF50">
        <f t="shared" si="5"/>
        <v>487770.88236266037</v>
      </c>
      <c r="AG50">
        <f>SUM(AG3:AG49)</f>
        <v>7449.1084445646839</v>
      </c>
      <c r="AH50">
        <f t="shared" ref="AH50:AX50" si="6">SUM(AH2:AH49)</f>
        <v>39949.631246455727</v>
      </c>
      <c r="AI50">
        <f t="shared" si="6"/>
        <v>159169.66929961462</v>
      </c>
      <c r="AJ50">
        <f t="shared" si="6"/>
        <v>93765.480121823726</v>
      </c>
      <c r="AK50">
        <f t="shared" si="6"/>
        <v>310226.63418164506</v>
      </c>
      <c r="AL50">
        <f t="shared" si="6"/>
        <v>910.05822137446376</v>
      </c>
      <c r="AM50">
        <f t="shared" si="6"/>
        <v>3768.9945068614543</v>
      </c>
      <c r="AN50">
        <f t="shared" si="6"/>
        <v>9180.377406280757</v>
      </c>
      <c r="AO50">
        <f t="shared" si="6"/>
        <v>3840.4903680000002</v>
      </c>
      <c r="AP50">
        <f t="shared" si="6"/>
        <v>5758.1621152692296</v>
      </c>
      <c r="AQ50">
        <f t="shared" si="6"/>
        <v>14194.079999999998</v>
      </c>
      <c r="AR50">
        <f t="shared" si="6"/>
        <v>1461.4999999999998</v>
      </c>
      <c r="AS50">
        <f t="shared" si="6"/>
        <v>3500</v>
      </c>
      <c r="AT50">
        <f t="shared" si="6"/>
        <v>688.5</v>
      </c>
      <c r="AU50">
        <f t="shared" si="6"/>
        <v>5650</v>
      </c>
      <c r="AV50">
        <f t="shared" si="6"/>
        <v>12497.830428872445</v>
      </c>
      <c r="AW50">
        <f t="shared" si="6"/>
        <v>938074.56430121732</v>
      </c>
      <c r="AX50">
        <f t="shared" si="6"/>
        <v>5049620.6381345494</v>
      </c>
    </row>
    <row r="52" spans="1:50">
      <c r="B52">
        <f>AX2</f>
        <v>46622.137024657561</v>
      </c>
      <c r="C52">
        <f>AX3</f>
        <v>90224.826788354694</v>
      </c>
      <c r="D52">
        <f>AX4</f>
        <v>208455.47099298378</v>
      </c>
      <c r="E52">
        <f>AX5</f>
        <v>152531.8793514384</v>
      </c>
      <c r="F52">
        <f>AX6</f>
        <v>46621.502885022142</v>
      </c>
      <c r="G52">
        <f>AX7</f>
        <v>362930.9405949752</v>
      </c>
      <c r="H52">
        <f>AX8</f>
        <v>9434.2432848504359</v>
      </c>
      <c r="I52">
        <f>AX9</f>
        <v>59945.420894936906</v>
      </c>
      <c r="J52">
        <f>AX10</f>
        <v>396969.2965712205</v>
      </c>
      <c r="K52">
        <f>AX11</f>
        <v>140090.90139145515</v>
      </c>
      <c r="L52">
        <f>AX12</f>
        <v>269172.37337485194</v>
      </c>
      <c r="M52">
        <f>AX13</f>
        <v>107813.82644296522</v>
      </c>
      <c r="N52">
        <f>AX14</f>
        <v>44849.040889555814</v>
      </c>
      <c r="O52">
        <f>AX15</f>
        <v>72714.411845894152</v>
      </c>
      <c r="P52">
        <f>AX16</f>
        <v>15138.531107740866</v>
      </c>
      <c r="Q52">
        <f>AX17</f>
        <v>68972.739038634914</v>
      </c>
      <c r="R52">
        <f>AX18</f>
        <v>40336.222821982003</v>
      </c>
      <c r="S52">
        <f>AX19</f>
        <v>19655.445337005931</v>
      </c>
      <c r="T52">
        <f>AX20</f>
        <v>102746.37861802816</v>
      </c>
      <c r="U52">
        <f>AX21</f>
        <v>71650.319671055171</v>
      </c>
      <c r="V52">
        <f>AX22</f>
        <v>48041.462800000001</v>
      </c>
      <c r="W52">
        <f>AX23</f>
        <v>21450.4951</v>
      </c>
      <c r="X52">
        <f>AX24</f>
        <v>16883.491900000001</v>
      </c>
      <c r="Y52">
        <f>AX25</f>
        <v>6319.8487595449187</v>
      </c>
      <c r="Z52">
        <f>AX26</f>
        <v>26173.572964315576</v>
      </c>
      <c r="AA52">
        <f>AX27</f>
        <v>63752.620876949673</v>
      </c>
      <c r="AB52">
        <f>AX28</f>
        <v>26670.072000000004</v>
      </c>
      <c r="AC52">
        <f>AX29</f>
        <v>39987.236911591892</v>
      </c>
      <c r="AD52">
        <f>AX30</f>
        <v>131724.52370856635</v>
      </c>
      <c r="AE52">
        <f>AX31</f>
        <v>243885.44118133024</v>
      </c>
      <c r="AF52">
        <f>AX32</f>
        <v>487770.88236266043</v>
      </c>
      <c r="AG52">
        <f>AX33</f>
        <v>7449.1084445646839</v>
      </c>
      <c r="AH52">
        <f>AX34</f>
        <v>39949.631246455727</v>
      </c>
      <c r="AI52">
        <f>AX35</f>
        <v>159169.66929961462</v>
      </c>
      <c r="AJ52">
        <f>AX36</f>
        <v>93765.480121823726</v>
      </c>
      <c r="AK52">
        <f>AX37</f>
        <v>310226.63418164506</v>
      </c>
      <c r="AL52">
        <f>AX38</f>
        <v>910.05822137446808</v>
      </c>
      <c r="AM52">
        <f>AX39</f>
        <v>3768.9945068614425</v>
      </c>
      <c r="AN52">
        <f>AX40</f>
        <v>9180.3774062807515</v>
      </c>
      <c r="AO52">
        <f>AX41</f>
        <v>3840.4903680000002</v>
      </c>
      <c r="AP52">
        <f>AX42</f>
        <v>5758.1621152692305</v>
      </c>
      <c r="AQ52">
        <f>AX43</f>
        <v>14194.079999999998</v>
      </c>
      <c r="AR52">
        <f>AX44</f>
        <v>1461.4999999999998</v>
      </c>
      <c r="AS52">
        <f>AX45</f>
        <v>3500</v>
      </c>
      <c r="AT52">
        <f>AX46</f>
        <v>688.5</v>
      </c>
      <c r="AU52">
        <f>AX47</f>
        <v>5650</v>
      </c>
      <c r="AV52">
        <f>AX48</f>
        <v>12497.830428872445</v>
      </c>
      <c r="AW52">
        <f>AX49</f>
        <v>938074.56430121744</v>
      </c>
      <c r="AX52">
        <f>AX50</f>
        <v>5049620.6381345494</v>
      </c>
    </row>
    <row r="54" spans="1:50">
      <c r="B54">
        <f>B50-B52</f>
        <v>0</v>
      </c>
      <c r="C54">
        <f t="shared" ref="C54:AX54" si="7">C50-C52</f>
        <v>0</v>
      </c>
      <c r="D54">
        <f t="shared" si="7"/>
        <v>0</v>
      </c>
      <c r="E54">
        <f t="shared" si="7"/>
        <v>0</v>
      </c>
      <c r="F54">
        <f t="shared" si="7"/>
        <v>0</v>
      </c>
      <c r="G54">
        <f t="shared" si="7"/>
        <v>0</v>
      </c>
      <c r="H54">
        <f t="shared" si="7"/>
        <v>0</v>
      </c>
      <c r="I54">
        <f t="shared" si="7"/>
        <v>0</v>
      </c>
      <c r="J54">
        <f t="shared" si="7"/>
        <v>0</v>
      </c>
      <c r="K54">
        <f t="shared" si="7"/>
        <v>0</v>
      </c>
      <c r="L54">
        <f t="shared" si="7"/>
        <v>0</v>
      </c>
      <c r="M54">
        <f t="shared" si="7"/>
        <v>0</v>
      </c>
      <c r="N54">
        <f t="shared" si="7"/>
        <v>0</v>
      </c>
      <c r="O54">
        <f t="shared" si="7"/>
        <v>0</v>
      </c>
      <c r="P54">
        <f t="shared" si="7"/>
        <v>0</v>
      </c>
      <c r="Q54">
        <f t="shared" si="7"/>
        <v>0</v>
      </c>
      <c r="R54">
        <f t="shared" si="7"/>
        <v>0</v>
      </c>
      <c r="S54">
        <f t="shared" si="7"/>
        <v>0</v>
      </c>
      <c r="T54">
        <f t="shared" si="7"/>
        <v>0</v>
      </c>
      <c r="U54">
        <f t="shared" si="7"/>
        <v>0</v>
      </c>
      <c r="V54">
        <f t="shared" si="7"/>
        <v>0</v>
      </c>
      <c r="W54">
        <f t="shared" si="7"/>
        <v>0</v>
      </c>
      <c r="X54">
        <f t="shared" si="7"/>
        <v>0</v>
      </c>
      <c r="Y54">
        <f t="shared" si="7"/>
        <v>0</v>
      </c>
      <c r="Z54">
        <f t="shared" si="7"/>
        <v>0</v>
      </c>
      <c r="AA54">
        <f t="shared" si="7"/>
        <v>0</v>
      </c>
      <c r="AB54">
        <f t="shared" si="7"/>
        <v>0</v>
      </c>
      <c r="AC54">
        <f t="shared" si="7"/>
        <v>0</v>
      </c>
      <c r="AD54">
        <f t="shared" si="7"/>
        <v>0</v>
      </c>
      <c r="AE54">
        <f t="shared" si="7"/>
        <v>0</v>
      </c>
      <c r="AF54">
        <f t="shared" si="7"/>
        <v>0</v>
      </c>
      <c r="AG54">
        <f t="shared" si="7"/>
        <v>0</v>
      </c>
      <c r="AH54">
        <f t="shared" si="7"/>
        <v>0</v>
      </c>
      <c r="AI54">
        <f t="shared" si="7"/>
        <v>0</v>
      </c>
      <c r="AJ54">
        <f t="shared" si="7"/>
        <v>0</v>
      </c>
      <c r="AK54">
        <f t="shared" si="7"/>
        <v>0</v>
      </c>
      <c r="AL54">
        <f t="shared" si="7"/>
        <v>-4.3200998334214091E-12</v>
      </c>
      <c r="AM54">
        <f t="shared" si="7"/>
        <v>1.1823431123048067E-11</v>
      </c>
      <c r="AN54">
        <f t="shared" si="7"/>
        <v>0</v>
      </c>
      <c r="AO54">
        <f t="shared" si="7"/>
        <v>0</v>
      </c>
      <c r="AP54">
        <f t="shared" si="7"/>
        <v>0</v>
      </c>
      <c r="AQ54">
        <f t="shared" si="7"/>
        <v>0</v>
      </c>
      <c r="AR54">
        <f t="shared" si="7"/>
        <v>0</v>
      </c>
      <c r="AS54">
        <f t="shared" si="7"/>
        <v>0</v>
      </c>
      <c r="AT54">
        <f t="shared" si="7"/>
        <v>0</v>
      </c>
      <c r="AU54">
        <f t="shared" si="7"/>
        <v>0</v>
      </c>
      <c r="AV54">
        <f t="shared" si="7"/>
        <v>0</v>
      </c>
      <c r="AW54">
        <f t="shared" si="7"/>
        <v>0</v>
      </c>
      <c r="AX54">
        <f t="shared" si="7"/>
        <v>0</v>
      </c>
    </row>
    <row r="56" spans="1:50">
      <c r="V56">
        <f>-V54*0.3</f>
        <v>0</v>
      </c>
      <c r="W56">
        <f t="shared" ref="W56:X56" si="8">-W54*0.3</f>
        <v>0</v>
      </c>
      <c r="X56">
        <f t="shared" si="8"/>
        <v>0</v>
      </c>
    </row>
    <row r="57" spans="1:50">
      <c r="B57">
        <f>SUM(B2:B48)</f>
        <v>7429.9995954520136</v>
      </c>
      <c r="C57">
        <f t="shared" ref="C57:X57" si="9">SUM(C2:C48)</f>
        <v>52006.106596911006</v>
      </c>
      <c r="D57">
        <f t="shared" si="9"/>
        <v>180932.71026163228</v>
      </c>
      <c r="E57">
        <f t="shared" si="9"/>
        <v>95152.506364878893</v>
      </c>
      <c r="F57">
        <f t="shared" si="9"/>
        <v>11685.155037939225</v>
      </c>
      <c r="G57">
        <f t="shared" si="9"/>
        <v>347543.57687189907</v>
      </c>
      <c r="H57">
        <f t="shared" si="9"/>
        <v>3480.7720757407337</v>
      </c>
      <c r="I57">
        <f t="shared" si="9"/>
        <v>39377.297694248722</v>
      </c>
      <c r="J57">
        <f t="shared" si="9"/>
        <v>131377.84094022357</v>
      </c>
      <c r="K57">
        <f t="shared" si="9"/>
        <v>85746.776892875219</v>
      </c>
      <c r="L57">
        <f t="shared" si="9"/>
        <v>177106.07195352035</v>
      </c>
      <c r="M57">
        <f t="shared" si="9"/>
        <v>24004.477825868871</v>
      </c>
      <c r="N57">
        <f t="shared" si="9"/>
        <v>30065.541033196423</v>
      </c>
      <c r="O57">
        <f t="shared" si="9"/>
        <v>37676.26473057476</v>
      </c>
      <c r="P57">
        <f t="shared" si="9"/>
        <v>10895.536630828128</v>
      </c>
      <c r="Q57">
        <f t="shared" si="9"/>
        <v>3504.3881399657434</v>
      </c>
      <c r="R57">
        <f t="shared" si="9"/>
        <v>35277.860945461296</v>
      </c>
      <c r="S57">
        <f t="shared" si="9"/>
        <v>2209.9073607667779</v>
      </c>
      <c r="T57">
        <f t="shared" si="9"/>
        <v>81567.715006554557</v>
      </c>
      <c r="U57">
        <f t="shared" si="9"/>
        <v>31760.838667854005</v>
      </c>
      <c r="V57">
        <f t="shared" si="9"/>
        <v>48041.462800000001</v>
      </c>
      <c r="W57">
        <f t="shared" si="9"/>
        <v>21450.4951</v>
      </c>
      <c r="X57">
        <f t="shared" si="9"/>
        <v>16883.491900000001</v>
      </c>
    </row>
    <row r="58" spans="1:50">
      <c r="V58">
        <f>-0.2*V54</f>
        <v>0</v>
      </c>
      <c r="W58">
        <f t="shared" ref="W58:X58" si="10">-0.2*W54</f>
        <v>0</v>
      </c>
      <c r="X58">
        <f t="shared" si="10"/>
        <v>0</v>
      </c>
    </row>
    <row r="59" spans="1:50">
      <c r="B59" t="s">
        <v>739</v>
      </c>
      <c r="C59" t="s">
        <v>740</v>
      </c>
      <c r="D59" t="s">
        <v>708</v>
      </c>
      <c r="E59" t="s">
        <v>741</v>
      </c>
      <c r="F59" t="s">
        <v>742</v>
      </c>
      <c r="G59" t="s">
        <v>743</v>
      </c>
      <c r="H59" t="s">
        <v>744</v>
      </c>
      <c r="I59" t="s">
        <v>745</v>
      </c>
      <c r="J59" t="s">
        <v>746</v>
      </c>
      <c r="K59" t="s">
        <v>747</v>
      </c>
      <c r="L59" t="s">
        <v>748</v>
      </c>
      <c r="M59" t="s">
        <v>749</v>
      </c>
      <c r="N59" t="s">
        <v>750</v>
      </c>
      <c r="O59" t="s">
        <v>751</v>
      </c>
      <c r="P59" t="s">
        <v>752</v>
      </c>
      <c r="Q59" t="s">
        <v>753</v>
      </c>
      <c r="R59" t="s">
        <v>754</v>
      </c>
      <c r="S59" t="s">
        <v>755</v>
      </c>
      <c r="T59" t="s">
        <v>756</v>
      </c>
      <c r="U59" t="s">
        <v>757</v>
      </c>
      <c r="V59" t="s">
        <v>758</v>
      </c>
      <c r="W59" t="s">
        <v>759</v>
      </c>
      <c r="X59" t="s">
        <v>760</v>
      </c>
    </row>
    <row r="61" spans="1:50">
      <c r="B61">
        <f>B57</f>
        <v>7429.9995954520136</v>
      </c>
      <c r="D61">
        <f>B31</f>
        <v>981.19347011661193</v>
      </c>
    </row>
    <row r="62" spans="1:50">
      <c r="B62">
        <f>C57</f>
        <v>52006.106596911006</v>
      </c>
      <c r="D62">
        <f>C31</f>
        <v>13728.878057721126</v>
      </c>
    </row>
    <row r="63" spans="1:50">
      <c r="B63">
        <f>D57</f>
        <v>180932.71026163228</v>
      </c>
      <c r="D63">
        <f>D31</f>
        <v>61417.501288697422</v>
      </c>
      <c r="AK63">
        <v>3400</v>
      </c>
    </row>
    <row r="64" spans="1:50">
      <c r="B64">
        <f>E57</f>
        <v>95152.506364878893</v>
      </c>
      <c r="D64">
        <f>E31</f>
        <v>28640.873816422201</v>
      </c>
      <c r="AK64">
        <v>35</v>
      </c>
    </row>
    <row r="65" spans="2:4">
      <c r="B65">
        <f>F57</f>
        <v>11685.155037939225</v>
      </c>
      <c r="D65">
        <f>F31</f>
        <v>3496.5090765435998</v>
      </c>
    </row>
    <row r="66" spans="2:4">
      <c r="B66">
        <f>G57</f>
        <v>347543.57687189907</v>
      </c>
      <c r="D66">
        <f>G31</f>
        <v>161482.98570247498</v>
      </c>
    </row>
    <row r="67" spans="2:4">
      <c r="B67">
        <f>H57</f>
        <v>3480.7720757407337</v>
      </c>
      <c r="D67">
        <f>H31</f>
        <v>237.62852530569799</v>
      </c>
    </row>
    <row r="68" spans="2:4">
      <c r="B68">
        <f>I57</f>
        <v>39377.297694248722</v>
      </c>
      <c r="D68">
        <f>I31</f>
        <v>2843.447867757292</v>
      </c>
    </row>
    <row r="69" spans="2:4">
      <c r="B69">
        <f>J57</f>
        <v>131377.84094022357</v>
      </c>
      <c r="D69">
        <f>J31</f>
        <v>1174.2362107676508</v>
      </c>
    </row>
    <row r="70" spans="2:4">
      <c r="B70">
        <f>K57</f>
        <v>85746.776892875219</v>
      </c>
      <c r="D70">
        <f>K31</f>
        <v>18601.540621301465</v>
      </c>
    </row>
    <row r="71" spans="2:4">
      <c r="B71">
        <f>L57</f>
        <v>177106.07195352035</v>
      </c>
      <c r="D71">
        <f>L31</f>
        <v>74401.181116886451</v>
      </c>
    </row>
    <row r="72" spans="2:4">
      <c r="B72">
        <f>M57</f>
        <v>24004.477825868871</v>
      </c>
      <c r="D72">
        <f>M31</f>
        <v>5161.1807600793709</v>
      </c>
    </row>
    <row r="73" spans="2:4">
      <c r="B73">
        <f>N57</f>
        <v>30065.541033196423</v>
      </c>
      <c r="D73">
        <f>N31</f>
        <v>17576.943334329597</v>
      </c>
    </row>
    <row r="74" spans="2:4">
      <c r="B74">
        <f>O57</f>
        <v>37676.26473057476</v>
      </c>
      <c r="D74">
        <f>O31</f>
        <v>13754.943049257199</v>
      </c>
    </row>
    <row r="75" spans="2:4">
      <c r="B75">
        <f>P57</f>
        <v>10895.536630828128</v>
      </c>
      <c r="D75">
        <f>P31</f>
        <v>266.395609562115</v>
      </c>
    </row>
    <row r="76" spans="2:4">
      <c r="B76">
        <f>Q57</f>
        <v>3504.3881399657434</v>
      </c>
      <c r="D76">
        <f>Q31</f>
        <v>101.981284124756</v>
      </c>
    </row>
    <row r="77" spans="2:4">
      <c r="B77">
        <f>R57</f>
        <v>35277.860945461296</v>
      </c>
      <c r="D77">
        <f>R31</f>
        <v>4116.7632878341419</v>
      </c>
    </row>
    <row r="78" spans="2:4">
      <c r="B78">
        <f>S57</f>
        <v>2209.9073607667779</v>
      </c>
      <c r="D78">
        <f>S31</f>
        <v>231.88924209994798</v>
      </c>
    </row>
    <row r="79" spans="2:4">
      <c r="B79">
        <f>T57</f>
        <v>81567.715006554557</v>
      </c>
      <c r="D79">
        <f>T31</f>
        <v>39221.964850381693</v>
      </c>
    </row>
    <row r="80" spans="2:4">
      <c r="B80">
        <f>U57</f>
        <v>31760.838667854005</v>
      </c>
      <c r="D80">
        <f>U31</f>
        <v>5407.8007259971273</v>
      </c>
    </row>
    <row r="81" spans="2:22">
      <c r="B81">
        <f>V57</f>
        <v>48041.462800000001</v>
      </c>
      <c r="D81" s="197">
        <f>V31</f>
        <v>16527.764650000001</v>
      </c>
    </row>
    <row r="82" spans="2:22">
      <c r="B82">
        <f>W57</f>
        <v>21450.4951</v>
      </c>
      <c r="D82" s="197">
        <f>W31</f>
        <v>9440.9290949999995</v>
      </c>
    </row>
    <row r="83" spans="2:22">
      <c r="B83">
        <f>X57</f>
        <v>16883.491900000001</v>
      </c>
      <c r="D83" s="197">
        <f>X31</f>
        <v>8956.3507200000004</v>
      </c>
    </row>
    <row r="87" spans="2:22">
      <c r="B87">
        <f>SUM(B2:B20)</f>
        <v>3723.1951109972069</v>
      </c>
      <c r="C87">
        <f t="shared" ref="C87:U87" si="11">SUM(C2:C20)</f>
        <v>24233.035644859159</v>
      </c>
      <c r="D87">
        <f t="shared" si="11"/>
        <v>71621.895893627574</v>
      </c>
      <c r="E87">
        <f t="shared" si="11"/>
        <v>38343.060241587962</v>
      </c>
      <c r="F87">
        <f t="shared" si="11"/>
        <v>1725.685311713205</v>
      </c>
      <c r="G87">
        <f t="shared" si="11"/>
        <v>97053.069918758105</v>
      </c>
      <c r="H87">
        <f t="shared" si="11"/>
        <v>1098.6443889487921</v>
      </c>
      <c r="I87">
        <f t="shared" si="11"/>
        <v>24900.344757161951</v>
      </c>
      <c r="J87">
        <f t="shared" si="11"/>
        <v>89653.70464420694</v>
      </c>
      <c r="K87">
        <f t="shared" si="11"/>
        <v>26248.952039010994</v>
      </c>
      <c r="L87">
        <f t="shared" si="11"/>
        <v>44665.787991740719</v>
      </c>
      <c r="M87">
        <f t="shared" si="11"/>
        <v>7187.1040465623228</v>
      </c>
      <c r="N87">
        <f t="shared" si="11"/>
        <v>3656.0440230122385</v>
      </c>
      <c r="O87">
        <f t="shared" si="11"/>
        <v>8449.6796998499449</v>
      </c>
      <c r="P87">
        <f t="shared" si="11"/>
        <v>3438.9842033819418</v>
      </c>
      <c r="Q87">
        <f t="shared" si="11"/>
        <v>1204.6238151115977</v>
      </c>
      <c r="R87">
        <f t="shared" si="11"/>
        <v>22308.05441901883</v>
      </c>
      <c r="S87">
        <f t="shared" si="11"/>
        <v>1691.2516838940344</v>
      </c>
      <c r="T87">
        <f t="shared" si="11"/>
        <v>20571.210378431508</v>
      </c>
      <c r="U87">
        <f t="shared" si="11"/>
        <v>19018.822552011436</v>
      </c>
      <c r="V87">
        <f>SUM(B87:U87)</f>
        <v>510793.15076388652</v>
      </c>
    </row>
    <row r="88" spans="2:22">
      <c r="B88">
        <f>B87/$V$87</f>
        <v>7.2890466628794896E-3</v>
      </c>
      <c r="C88">
        <f t="shared" ref="C88:U88" si="12">C87/$V$87</f>
        <v>4.7441974522600537E-2</v>
      </c>
      <c r="D88">
        <f t="shared" si="12"/>
        <v>0.14021702481037124</v>
      </c>
      <c r="E88">
        <f t="shared" si="12"/>
        <v>7.5065729022102706E-2</v>
      </c>
      <c r="F88">
        <f t="shared" si="12"/>
        <v>3.3784425439778477E-3</v>
      </c>
      <c r="G88">
        <f t="shared" si="12"/>
        <v>0.19000464233636674</v>
      </c>
      <c r="H88">
        <f t="shared" si="12"/>
        <v>2.1508596724638522E-3</v>
      </c>
      <c r="I88">
        <f t="shared" si="12"/>
        <v>4.8748392025076512E-2</v>
      </c>
      <c r="J88">
        <f t="shared" si="12"/>
        <v>0.17551861161437002</v>
      </c>
      <c r="K88">
        <f t="shared" si="12"/>
        <v>5.1388613961945113E-2</v>
      </c>
      <c r="L88">
        <f t="shared" si="12"/>
        <v>8.7443983782757154E-2</v>
      </c>
      <c r="M88">
        <f t="shared" si="12"/>
        <v>1.4070478501550136E-2</v>
      </c>
      <c r="N88">
        <f t="shared" si="12"/>
        <v>7.1575823159426826E-3</v>
      </c>
      <c r="O88">
        <f t="shared" si="12"/>
        <v>1.6542272908737179E-2</v>
      </c>
      <c r="P88">
        <f t="shared" si="12"/>
        <v>6.7326357024149056E-3</v>
      </c>
      <c r="Q88">
        <f t="shared" si="12"/>
        <v>2.3583397962758383E-3</v>
      </c>
      <c r="R88">
        <f t="shared" si="12"/>
        <v>4.3673362467091303E-2</v>
      </c>
      <c r="S88">
        <f t="shared" si="12"/>
        <v>3.3110304657859701E-3</v>
      </c>
      <c r="T88">
        <f t="shared" si="12"/>
        <v>4.027307403724472E-2</v>
      </c>
      <c r="U88">
        <f t="shared" si="12"/>
        <v>3.723390285004597E-2</v>
      </c>
    </row>
    <row r="90" spans="2:22">
      <c r="B90">
        <v>7.3110558776100015E-3</v>
      </c>
      <c r="C90">
        <v>4.7597801777414607E-2</v>
      </c>
      <c r="D90">
        <v>0.14077522096537598</v>
      </c>
      <c r="E90">
        <v>7.5361030123834202E-2</v>
      </c>
      <c r="F90">
        <v>3.3969964036992145E-3</v>
      </c>
      <c r="G90">
        <v>0.19092477184385209</v>
      </c>
      <c r="H90">
        <v>3.3806979501816363E-3</v>
      </c>
      <c r="I90">
        <v>5.3160396889991315E-2</v>
      </c>
      <c r="J90">
        <v>0.18909788687260953</v>
      </c>
      <c r="K90">
        <v>5.1629603049139439E-2</v>
      </c>
      <c r="L90">
        <v>8.7878748620987712E-2</v>
      </c>
      <c r="M90">
        <v>1.4136529780575937E-2</v>
      </c>
      <c r="N90">
        <v>7.1975498063159568E-3</v>
      </c>
      <c r="O90">
        <v>1.662747891916631E-2</v>
      </c>
      <c r="P90">
        <v>1.0582283916458659E-2</v>
      </c>
      <c r="Q90">
        <v>2.2161192930512581E-3</v>
      </c>
      <c r="R90">
        <v>4.762604848743994E-2</v>
      </c>
      <c r="S90">
        <v>3.7072039544296272E-4</v>
      </c>
      <c r="T90">
        <v>4.047330869904088E-2</v>
      </c>
      <c r="U90">
        <v>1.0255750327812204E-2</v>
      </c>
    </row>
    <row r="91" spans="2:22">
      <c r="B91">
        <f>B90*Taxes!$C$49</f>
        <v>10.685108165127017</v>
      </c>
      <c r="C91">
        <f>C90*Taxes!$C$49</f>
        <v>69.564187297691447</v>
      </c>
      <c r="D91">
        <f>D90*Taxes!$C$49</f>
        <v>205.742985440897</v>
      </c>
      <c r="E91">
        <f>E90*Taxes!$C$49</f>
        <v>110.14014552598368</v>
      </c>
      <c r="F91">
        <f>F90*Taxes!$C$49</f>
        <v>4.9647102440064019</v>
      </c>
      <c r="G91">
        <f>G90*Taxes!$C$49</f>
        <v>279.03655404978986</v>
      </c>
      <c r="H91">
        <f>H90*Taxes!$C$49</f>
        <v>4.9408900541904615</v>
      </c>
      <c r="I91">
        <f>I90*Taxes!$C$49</f>
        <v>77.693920054722312</v>
      </c>
      <c r="J91">
        <f>J90*Taxes!$C$49</f>
        <v>276.36656166431885</v>
      </c>
      <c r="K91">
        <f>K90*Taxes!$C$49</f>
        <v>75.456664856317289</v>
      </c>
      <c r="L91">
        <f>L90*Taxes!$C$49</f>
        <v>128.43479110957355</v>
      </c>
      <c r="M91">
        <f>M90*Taxes!$C$49</f>
        <v>20.660538274311733</v>
      </c>
      <c r="N91">
        <f>N90*Taxes!$C$49</f>
        <v>10.519219041930771</v>
      </c>
      <c r="O91">
        <f>O90*Taxes!$C$49</f>
        <v>24.301060440361564</v>
      </c>
      <c r="P91">
        <f>P90*Taxes!$C$49</f>
        <v>15.46600794390433</v>
      </c>
      <c r="Q91">
        <f>Q90*Taxes!$C$49</f>
        <v>3.2388583467944136</v>
      </c>
      <c r="R91">
        <f>R90*Taxes!$C$49</f>
        <v>69.60546986439347</v>
      </c>
      <c r="S91">
        <f>S90*Taxes!$C$49</f>
        <v>0.54180785793989006</v>
      </c>
      <c r="T91">
        <f>T90*Taxes!$C$49</f>
        <v>59.151740663648248</v>
      </c>
      <c r="U91">
        <f>U90*Taxes!$C$49</f>
        <v>14.988779104097535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opLeftCell="AB1" workbookViewId="0">
      <selection activeCell="AB28" sqref="A1:XFD1048576"/>
    </sheetView>
  </sheetViews>
  <sheetFormatPr defaultRowHeight="14.4"/>
  <sheetData>
    <row r="1" spans="1:49">
      <c r="A1" s="12" t="s">
        <v>451</v>
      </c>
      <c r="B1" t="str">
        <f>'Seaside SAM'!B1</f>
        <v>const1</v>
      </c>
      <c r="C1" t="str">
        <f>'Seaside SAM'!C1</f>
        <v>Retail1</v>
      </c>
      <c r="D1" t="str">
        <f>'Seaside SAM'!D1</f>
        <v>Serv1</v>
      </c>
      <c r="E1" t="str">
        <f>'Seaside SAM'!E1</f>
        <v>HC1</v>
      </c>
      <c r="F1" t="str">
        <f>'Seaside SAM'!F1</f>
        <v>Accom1</v>
      </c>
      <c r="G1" t="str">
        <f>'Seaside SAM'!G1</f>
        <v>Rest1</v>
      </c>
      <c r="H1" t="str">
        <f>'Seaside SAM'!H1</f>
        <v>ag2</v>
      </c>
      <c r="I1" t="str">
        <f>'Seaside SAM'!I1</f>
        <v>const2</v>
      </c>
      <c r="J1" t="str">
        <f>'Seaside SAM'!J1</f>
        <v>manuf2</v>
      </c>
      <c r="K1" t="str">
        <f>'Seaside SAM'!K1</f>
        <v>Retail2</v>
      </c>
      <c r="L1" t="str">
        <f>'Seaside SAM'!L1</f>
        <v>Serv2</v>
      </c>
      <c r="M1" t="str">
        <f>'Seaside SAM'!M1</f>
        <v>HC2</v>
      </c>
      <c r="N1" t="str">
        <f>'Seaside SAM'!N1</f>
        <v>Accom2</v>
      </c>
      <c r="O1" t="str">
        <f>'Seaside SAM'!O1</f>
        <v>Rest2</v>
      </c>
      <c r="P1" t="str">
        <f>'Seaside SAM'!P1</f>
        <v>ag3</v>
      </c>
      <c r="Q1" t="str">
        <f>'Seaside SAM'!Q1</f>
        <v>util</v>
      </c>
      <c r="R1" t="str">
        <f>'Seaside SAM'!R1</f>
        <v>const3</v>
      </c>
      <c r="S1" t="str">
        <f>'Seaside SAM'!S1</f>
        <v>Retail3</v>
      </c>
      <c r="T1" t="str">
        <f>'Seaside SAM'!T1</f>
        <v>Serv3</v>
      </c>
      <c r="U1" t="str">
        <f>'Seaside SAM'!U1</f>
        <v>HC3</v>
      </c>
      <c r="V1" t="str">
        <f>'Seaside SAM'!V1</f>
        <v>HS1</v>
      </c>
      <c r="W1" t="str">
        <f>'Seaside SAM'!W1</f>
        <v>HS2</v>
      </c>
      <c r="X1" t="str">
        <f>'Seaside SAM'!X1</f>
        <v>HS3</v>
      </c>
      <c r="Y1" t="str">
        <f>'Seaside SAM'!Y1</f>
        <v>L1</v>
      </c>
      <c r="Z1" t="str">
        <f>'Seaside SAM'!Z1</f>
        <v>L2</v>
      </c>
      <c r="AA1" t="str">
        <f>'Seaside SAM'!AA1</f>
        <v>L3</v>
      </c>
      <c r="AB1" t="str">
        <f>'Seaside SAM'!AB1</f>
        <v>L4</v>
      </c>
      <c r="AC1" t="str">
        <f>'Seaside SAM'!AC1</f>
        <v>L5</v>
      </c>
      <c r="AD1" t="str">
        <f>'Seaside SAM'!AD1</f>
        <v>Land</v>
      </c>
      <c r="AE1" t="str">
        <f>'Seaside SAM'!AE1</f>
        <v>Kap</v>
      </c>
      <c r="AF1" t="str">
        <f>'Seaside SAM'!AF1</f>
        <v>Inves</v>
      </c>
      <c r="AG1" t="str">
        <f>'Seaside SAM'!AG1</f>
        <v>HH1</v>
      </c>
      <c r="AH1" t="str">
        <f>'Seaside SAM'!AH1</f>
        <v>HH2</v>
      </c>
      <c r="AI1" t="str">
        <f>'Seaside SAM'!AI1</f>
        <v>HH3</v>
      </c>
      <c r="AJ1" t="str">
        <f>'Seaside SAM'!AJ1</f>
        <v>HH4</v>
      </c>
      <c r="AK1" t="str">
        <f>'Seaside SAM'!AK1</f>
        <v>HH5</v>
      </c>
      <c r="AL1" t="str">
        <f>'Seaside SAM'!AL1</f>
        <v>USSOCL1</v>
      </c>
      <c r="AM1" t="str">
        <f>'Seaside SAM'!AM1</f>
        <v>USSOCL2</v>
      </c>
      <c r="AN1" t="str">
        <f>'Seaside SAM'!AN1</f>
        <v>USSOCL3</v>
      </c>
      <c r="AO1" t="str">
        <f>'Seaside SAM'!AO1</f>
        <v>USSOCL4</v>
      </c>
      <c r="AP1" t="str">
        <f>'Seaside SAM'!AP1</f>
        <v>USSOCL5</v>
      </c>
      <c r="AQ1" t="str">
        <f>'Seaside SAM'!AQ1</f>
        <v>STPIT</v>
      </c>
      <c r="AR1" t="str">
        <f>'Seaside SAM'!AR1</f>
        <v>LOCTAX</v>
      </c>
      <c r="AS1" t="str">
        <f>'Seaside SAM'!AS1</f>
        <v>PROPTX</v>
      </c>
      <c r="AT1" t="str">
        <f>'Seaside SAM'!AT1</f>
        <v>acctax</v>
      </c>
      <c r="AU1" t="str">
        <f>'Seaside SAM'!AU1</f>
        <v>cygf</v>
      </c>
      <c r="AV1" t="str">
        <f>'Seaside SAM'!AV1</f>
        <v>FED</v>
      </c>
      <c r="AW1" t="str">
        <f>'Seaside SAM'!AW1</f>
        <v>ROW</v>
      </c>
    </row>
    <row r="2" spans="1:49">
      <c r="A2" t="str">
        <f>'Seaside SAM'!A2</f>
        <v>const1</v>
      </c>
      <c r="B2">
        <f>'Seaside SAM'!B2</f>
        <v>0.12066407756050963</v>
      </c>
      <c r="C2">
        <f>'Seaside SAM'!C2</f>
        <v>11.223391861409395</v>
      </c>
      <c r="D2">
        <f>'Seaside SAM'!D2</f>
        <v>157.51853382682486</v>
      </c>
      <c r="E2">
        <f>'Seaside SAM'!E2</f>
        <v>5.6268036317220052</v>
      </c>
      <c r="F2">
        <f>'Seaside SAM'!F2</f>
        <v>1.1004334089948138</v>
      </c>
      <c r="G2">
        <f>'Seaside SAM'!G2</f>
        <v>62.486666089924</v>
      </c>
      <c r="H2">
        <f>'Seaside SAM'!H2</f>
        <v>7.378843473325797</v>
      </c>
      <c r="I2">
        <f>'Seaside SAM'!I2</f>
        <v>2.5553928119646931</v>
      </c>
      <c r="J2">
        <f>'Seaside SAM'!J2</f>
        <v>169.62738261832163</v>
      </c>
      <c r="K2">
        <f>'Seaside SAM'!K2</f>
        <v>73.945226220001729</v>
      </c>
      <c r="L2">
        <f>'Seaside SAM'!L2</f>
        <v>616.12747507301412</v>
      </c>
      <c r="M2">
        <f>'Seaside SAM'!M2</f>
        <v>5.6722627856483587</v>
      </c>
      <c r="N2">
        <f>'Seaside SAM'!N2</f>
        <v>11.314122179919783</v>
      </c>
      <c r="O2">
        <f>'Seaside SAM'!O2</f>
        <v>27.068767388741762</v>
      </c>
      <c r="P2">
        <f>'Seaside SAM'!P2</f>
        <v>23.09730646171635</v>
      </c>
      <c r="Q2">
        <f>'Seaside SAM'!Q2</f>
        <v>34.072675270547329</v>
      </c>
      <c r="R2">
        <f>'Seaside SAM'!R2</f>
        <v>2.2893595437019667</v>
      </c>
      <c r="S2">
        <f>'Seaside SAM'!S2</f>
        <v>4.7643802379096893</v>
      </c>
      <c r="T2">
        <f>'Seaside SAM'!T2</f>
        <v>283.76277413940306</v>
      </c>
      <c r="U2">
        <f>'Seaside SAM'!U2</f>
        <v>15.010184726659741</v>
      </c>
      <c r="V2">
        <f>'Seaside SAM'!V2</f>
        <v>720.6219420000001</v>
      </c>
      <c r="W2">
        <f>'Seaside SAM'!W2</f>
        <v>321.75742649999955</v>
      </c>
      <c r="X2">
        <f>'Seaside SAM'!X2</f>
        <v>253.25237850000011</v>
      </c>
      <c r="Y2">
        <f>'Seaside SAM'!Y2</f>
        <v>0</v>
      </c>
      <c r="Z2">
        <f>'Seaside SAM'!Z2</f>
        <v>0</v>
      </c>
      <c r="AA2">
        <f>'Seaside SAM'!AA2</f>
        <v>0</v>
      </c>
      <c r="AB2">
        <f>'Seaside SAM'!AB2</f>
        <v>0</v>
      </c>
      <c r="AC2">
        <f>'Seaside SAM'!AC2</f>
        <v>0</v>
      </c>
      <c r="AD2">
        <f>'Seaside SAM'!AD2</f>
        <v>0</v>
      </c>
      <c r="AE2">
        <f>'Seaside SAM'!AE2</f>
        <v>0</v>
      </c>
      <c r="AF2">
        <f>'Seaside SAM'!AF2</f>
        <v>40726.424972956636</v>
      </c>
      <c r="AG2">
        <f>'Seaside SAM'!AG2</f>
        <v>0</v>
      </c>
      <c r="AH2">
        <f>'Seaside SAM'!AH2</f>
        <v>0</v>
      </c>
      <c r="AI2">
        <f>'Seaside SAM'!AI2</f>
        <v>0</v>
      </c>
      <c r="AJ2">
        <f>'Seaside SAM'!AJ2</f>
        <v>0</v>
      </c>
      <c r="AK2">
        <f>'Seaside SAM'!AK2</f>
        <v>0</v>
      </c>
      <c r="AL2">
        <f>'Seaside SAM'!AL2</f>
        <v>0</v>
      </c>
      <c r="AM2">
        <f>'Seaside SAM'!AM2</f>
        <v>0</v>
      </c>
      <c r="AN2">
        <f>'Seaside SAM'!AN2</f>
        <v>0</v>
      </c>
      <c r="AO2">
        <f>'Seaside SAM'!AO2</f>
        <v>0</v>
      </c>
      <c r="AP2">
        <f>'Seaside SAM'!AP2</f>
        <v>0</v>
      </c>
      <c r="AQ2">
        <f>'Seaside SAM'!AQ2</f>
        <v>0</v>
      </c>
      <c r="AR2">
        <f>'Seaside SAM'!AR2</f>
        <v>0</v>
      </c>
      <c r="AS2">
        <f>'Seaside SAM'!AS2</f>
        <v>0</v>
      </c>
      <c r="AT2">
        <f>'Seaside SAM'!AT2</f>
        <v>0</v>
      </c>
      <c r="AU2">
        <f>'Seaside SAM'!AU2</f>
        <v>0</v>
      </c>
      <c r="AV2">
        <f>'Seaside SAM'!AV2</f>
        <v>10</v>
      </c>
      <c r="AW2">
        <f>'Seaside SAM'!AW2</f>
        <v>3075.3176588736169</v>
      </c>
    </row>
    <row r="3" spans="1:49">
      <c r="A3" t="str">
        <f>'Seaside SAM'!A3</f>
        <v>Retail1</v>
      </c>
      <c r="B3">
        <f>'Seaside SAM'!B3</f>
        <v>566.12359369726892</v>
      </c>
      <c r="C3">
        <f>'Seaside SAM'!C3</f>
        <v>1117.4789631060512</v>
      </c>
      <c r="D3">
        <f>'Seaside SAM'!D3</f>
        <v>2925.5853013635865</v>
      </c>
      <c r="E3">
        <f>'Seaside SAM'!E3</f>
        <v>2517.8104003260928</v>
      </c>
      <c r="F3">
        <f>'Seaside SAM'!F3</f>
        <v>105.6503151985012</v>
      </c>
      <c r="G3">
        <f>'Seaside SAM'!G3</f>
        <v>5999.2144132867579</v>
      </c>
      <c r="H3">
        <f>'Seaside SAM'!H3</f>
        <v>0.72827010678217619</v>
      </c>
      <c r="I3">
        <f>'Seaside SAM'!I3</f>
        <v>1355.5354151831077</v>
      </c>
      <c r="J3">
        <f>'Seaside SAM'!J3</f>
        <v>12586.262479623192</v>
      </c>
      <c r="K3">
        <f>'Seaside SAM'!K3</f>
        <v>48.606590693951432</v>
      </c>
      <c r="L3">
        <f>'Seaside SAM'!L3</f>
        <v>71.998981415848505</v>
      </c>
      <c r="M3">
        <f>'Seaside SAM'!M3</f>
        <v>3.6179156132507599</v>
      </c>
      <c r="N3">
        <f>'Seaside SAM'!N3</f>
        <v>39.653005662202759</v>
      </c>
      <c r="O3">
        <f>'Seaside SAM'!O3</f>
        <v>94.868870025074855</v>
      </c>
      <c r="P3">
        <f>'Seaside SAM'!P3</f>
        <v>2.279636084443625</v>
      </c>
      <c r="Q3">
        <f>'Seaside SAM'!Q3</f>
        <v>34.072675270547329</v>
      </c>
      <c r="R3">
        <f>'Seaside SAM'!R3</f>
        <v>1214.4152261231031</v>
      </c>
      <c r="S3">
        <f>'Seaside SAM'!S3</f>
        <v>3.1317813464445954</v>
      </c>
      <c r="T3">
        <f>'Seaside SAM'!T3</f>
        <v>33.159746202441902</v>
      </c>
      <c r="U3">
        <f>'Seaside SAM'!U3</f>
        <v>9.5738832512769516</v>
      </c>
      <c r="V3">
        <f>'Seaside SAM'!V3</f>
        <v>0</v>
      </c>
      <c r="W3">
        <f>'Seaside SAM'!W3</f>
        <v>0</v>
      </c>
      <c r="X3">
        <f>'Seaside SAM'!X3</f>
        <v>0</v>
      </c>
      <c r="Y3">
        <f>'Seaside SAM'!Y3</f>
        <v>0</v>
      </c>
      <c r="Z3">
        <f>'Seaside SAM'!Z3</f>
        <v>0</v>
      </c>
      <c r="AA3">
        <f>'Seaside SAM'!AA3</f>
        <v>0</v>
      </c>
      <c r="AB3">
        <f>'Seaside SAM'!AB3</f>
        <v>0</v>
      </c>
      <c r="AC3">
        <f>'Seaside SAM'!AC3</f>
        <v>0</v>
      </c>
      <c r="AD3">
        <f>'Seaside SAM'!AD3</f>
        <v>0</v>
      </c>
      <c r="AE3">
        <f>'Seaside SAM'!AE3</f>
        <v>0</v>
      </c>
      <c r="AF3">
        <f>'Seaside SAM'!AF3</f>
        <v>12340.64052397934</v>
      </c>
      <c r="AG3">
        <f>'Seaside SAM'!AG3</f>
        <v>309.69657112262553</v>
      </c>
      <c r="AH3">
        <f>'Seaside SAM'!AH3</f>
        <v>1601.447218042618</v>
      </c>
      <c r="AI3">
        <f>'Seaside SAM'!AI3</f>
        <v>5623.9192155651381</v>
      </c>
      <c r="AJ3">
        <f>'Seaside SAM'!AJ3</f>
        <v>3145.4430240701872</v>
      </c>
      <c r="AK3">
        <f>'Seaside SAM'!AK3</f>
        <v>11936.952969379661</v>
      </c>
      <c r="AL3">
        <f>'Seaside SAM'!AL3</f>
        <v>0</v>
      </c>
      <c r="AM3">
        <f>'Seaside SAM'!AM3</f>
        <v>0</v>
      </c>
      <c r="AN3">
        <f>'Seaside SAM'!AN3</f>
        <v>0</v>
      </c>
      <c r="AO3">
        <f>'Seaside SAM'!AO3</f>
        <v>0</v>
      </c>
      <c r="AP3">
        <f>'Seaside SAM'!AP3</f>
        <v>0</v>
      </c>
      <c r="AQ3">
        <f>'Seaside SAM'!AQ3</f>
        <v>0</v>
      </c>
      <c r="AR3">
        <f>'Seaside SAM'!AR3</f>
        <v>0</v>
      </c>
      <c r="AS3">
        <f>'Seaside SAM'!AS3</f>
        <v>0</v>
      </c>
      <c r="AT3">
        <f>'Seaside SAM'!AT3</f>
        <v>0</v>
      </c>
      <c r="AU3">
        <f>'Seaside SAM'!AU3</f>
        <v>0</v>
      </c>
      <c r="AV3">
        <f>'Seaside SAM'!AV3</f>
        <v>10</v>
      </c>
      <c r="AW3">
        <f>'Seaside SAM'!AW3</f>
        <v>26526.959802615209</v>
      </c>
    </row>
    <row r="4" spans="1:49">
      <c r="A4" t="str">
        <f>'Seaside SAM'!A4</f>
        <v>Serv1</v>
      </c>
      <c r="B4">
        <f>'Seaside SAM'!B4</f>
        <v>282.52830426817309</v>
      </c>
      <c r="C4">
        <f>'Seaside SAM'!C4</f>
        <v>456.59864142912784</v>
      </c>
      <c r="D4">
        <f>'Seaside SAM'!D4</f>
        <v>922.97021424821037</v>
      </c>
      <c r="E4">
        <f>'Seaside SAM'!E4</f>
        <v>773.12091290141188</v>
      </c>
      <c r="F4">
        <f>'Seaside SAM'!F4</f>
        <v>35.337490380475288</v>
      </c>
      <c r="G4">
        <f>'Seaside SAM'!G4</f>
        <v>2006.592987646259</v>
      </c>
      <c r="H4">
        <f>'Seaside SAM'!H4</f>
        <v>160.64276021308851</v>
      </c>
      <c r="I4">
        <f>'Seaside SAM'!I4</f>
        <v>184.857603788322</v>
      </c>
      <c r="J4">
        <f>'Seaside SAM'!J4</f>
        <v>2142.1811226951331</v>
      </c>
      <c r="K4">
        <f>'Seaside SAM'!K4</f>
        <v>551.83580074770202</v>
      </c>
      <c r="L4">
        <f>'Seaside SAM'!L4</f>
        <v>521.53127024626224</v>
      </c>
      <c r="M4">
        <f>'Seaside SAM'!M4</f>
        <v>65.544706946145197</v>
      </c>
      <c r="N4">
        <f>'Seaside SAM'!N4</f>
        <v>101.26159505080571</v>
      </c>
      <c r="O4">
        <f>'Seaside SAM'!O4</f>
        <v>242.26595031013338</v>
      </c>
      <c r="P4">
        <f>'Seaside SAM'!P4</f>
        <v>502.84507008594386</v>
      </c>
      <c r="Q4">
        <f>'Seaside SAM'!Q4</f>
        <v>45.028584088047829</v>
      </c>
      <c r="R4">
        <f>'Seaside SAM'!R4</f>
        <v>165.6127063820351</v>
      </c>
      <c r="S4">
        <f>'Seaside SAM'!S4</f>
        <v>35.555447160728953</v>
      </c>
      <c r="T4">
        <f>'Seaside SAM'!T4</f>
        <v>240.1956835766631</v>
      </c>
      <c r="U4">
        <f>'Seaside SAM'!U4</f>
        <v>173.44721080371477</v>
      </c>
      <c r="V4">
        <f>'Seaside SAM'!V4</f>
        <v>0</v>
      </c>
      <c r="W4">
        <f>'Seaside SAM'!W4</f>
        <v>0</v>
      </c>
      <c r="X4">
        <f>'Seaside SAM'!X4</f>
        <v>0</v>
      </c>
      <c r="Y4">
        <f>'Seaside SAM'!Y4</f>
        <v>0</v>
      </c>
      <c r="Z4">
        <f>'Seaside SAM'!Z4</f>
        <v>0</v>
      </c>
      <c r="AA4">
        <f>'Seaside SAM'!AA4</f>
        <v>0</v>
      </c>
      <c r="AB4">
        <f>'Seaside SAM'!AB4</f>
        <v>0</v>
      </c>
      <c r="AC4">
        <f>'Seaside SAM'!AC4</f>
        <v>0</v>
      </c>
      <c r="AD4">
        <f>'Seaside SAM'!AD4</f>
        <v>0</v>
      </c>
      <c r="AE4">
        <f>'Seaside SAM'!AE4</f>
        <v>0</v>
      </c>
      <c r="AF4">
        <f>'Seaside SAM'!AF4</f>
        <v>29985.376403112947</v>
      </c>
      <c r="AG4">
        <f>'Seaside SAM'!AG4</f>
        <v>412.54940247916181</v>
      </c>
      <c r="AH4">
        <f>'Seaside SAM'!AH4</f>
        <v>1900.1035797446775</v>
      </c>
      <c r="AI4">
        <f>'Seaside SAM'!AI4</f>
        <v>7579.6111720035988</v>
      </c>
      <c r="AJ4">
        <f>'Seaside SAM'!AJ4</f>
        <v>4339.6540286074205</v>
      </c>
      <c r="AK4">
        <f>'Seaside SAM'!AK4</f>
        <v>14969.653179462533</v>
      </c>
      <c r="AL4">
        <f>'Seaside SAM'!AL4</f>
        <v>0</v>
      </c>
      <c r="AM4">
        <f>'Seaside SAM'!AM4</f>
        <v>0</v>
      </c>
      <c r="AN4">
        <f>'Seaside SAM'!AN4</f>
        <v>0</v>
      </c>
      <c r="AO4">
        <f>'Seaside SAM'!AO4</f>
        <v>0</v>
      </c>
      <c r="AP4">
        <f>'Seaside SAM'!AP4</f>
        <v>0</v>
      </c>
      <c r="AQ4">
        <f>'Seaside SAM'!AQ4</f>
        <v>0</v>
      </c>
      <c r="AR4">
        <f>'Seaside SAM'!AR4</f>
        <v>0</v>
      </c>
      <c r="AS4">
        <f>'Seaside SAM'!AS4</f>
        <v>0</v>
      </c>
      <c r="AT4">
        <f>'Seaside SAM'!AT4</f>
        <v>0</v>
      </c>
      <c r="AU4">
        <f>'Seaside SAM'!AU4</f>
        <v>0</v>
      </c>
      <c r="AV4">
        <f>'Seaside SAM'!AV4</f>
        <v>10</v>
      </c>
      <c r="AW4">
        <f>'Seaside SAM'!AW4</f>
        <v>139648.56916460505</v>
      </c>
    </row>
    <row r="5" spans="1:49">
      <c r="A5" t="str">
        <f>'Seaside SAM'!A5</f>
        <v>HC1</v>
      </c>
      <c r="B5">
        <f>'Seaside SAM'!B5</f>
        <v>469.03381384075885</v>
      </c>
      <c r="C5">
        <f>'Seaside SAM'!C5</f>
        <v>9319.0591854758768</v>
      </c>
      <c r="D5">
        <f>'Seaside SAM'!D5</f>
        <v>31711.004689329955</v>
      </c>
      <c r="E5">
        <f>'Seaside SAM'!E5</f>
        <v>14844.258465581579</v>
      </c>
      <c r="F5">
        <f>'Seaside SAM'!F5</f>
        <v>659.24097337127569</v>
      </c>
      <c r="G5">
        <f>'Seaside SAM'!G5</f>
        <v>37434.132987179728</v>
      </c>
      <c r="H5">
        <f>'Seaside SAM'!H5</f>
        <v>2.4581212398881058E-2</v>
      </c>
      <c r="I5">
        <f>'Seaside SAM'!I5</f>
        <v>30.185990942931099</v>
      </c>
      <c r="J5">
        <f>'Seaside SAM'!J5</f>
        <v>5668.7966429839616</v>
      </c>
      <c r="K5">
        <f>'Seaside SAM'!K5</f>
        <v>31.054542809117745</v>
      </c>
      <c r="L5">
        <f>'Seaside SAM'!L5</f>
        <v>258.7531072472807</v>
      </c>
      <c r="M5">
        <f>'Seaside SAM'!M5</f>
        <v>2.3821622639628228</v>
      </c>
      <c r="N5">
        <f>'Seaside SAM'!N5</f>
        <v>4.7515561117976288</v>
      </c>
      <c r="O5">
        <f>'Seaside SAM'!O5</f>
        <v>11.367984637206398</v>
      </c>
      <c r="P5">
        <f>'Seaside SAM'!P5</f>
        <v>7.6944279686908243E-2</v>
      </c>
      <c r="Q5">
        <f>'Seaside SAM'!Q5</f>
        <v>117.86831135418454</v>
      </c>
      <c r="R5">
        <f>'Seaside SAM'!R5</f>
        <v>27.043429928946381</v>
      </c>
      <c r="S5">
        <f>'Seaside SAM'!S5</f>
        <v>2.0008817015027258</v>
      </c>
      <c r="T5">
        <f>'Seaside SAM'!T5</f>
        <v>119.17095487581963</v>
      </c>
      <c r="U5">
        <f>'Seaside SAM'!U5</f>
        <v>6.3037798110181953</v>
      </c>
      <c r="V5">
        <f>'Seaside SAM'!V5</f>
        <v>0</v>
      </c>
      <c r="W5">
        <f>'Seaside SAM'!W5</f>
        <v>0</v>
      </c>
      <c r="X5">
        <f>'Seaside SAM'!X5</f>
        <v>0</v>
      </c>
      <c r="Y5">
        <f>'Seaside SAM'!Y5</f>
        <v>0</v>
      </c>
      <c r="Z5">
        <f>'Seaside SAM'!Z5</f>
        <v>0</v>
      </c>
      <c r="AA5">
        <f>'Seaside SAM'!AA5</f>
        <v>0</v>
      </c>
      <c r="AB5">
        <f>'Seaside SAM'!AB5</f>
        <v>0</v>
      </c>
      <c r="AC5">
        <f>'Seaside SAM'!AC5</f>
        <v>0</v>
      </c>
      <c r="AD5">
        <f>'Seaside SAM'!AD5</f>
        <v>0</v>
      </c>
      <c r="AE5">
        <f>'Seaside SAM'!AE5</f>
        <v>0</v>
      </c>
      <c r="AF5">
        <f>'Seaside SAM'!AF5</f>
        <v>4897.8547678835466</v>
      </c>
      <c r="AG5">
        <f>'Seaside SAM'!AG5</f>
        <v>509.00083639166036</v>
      </c>
      <c r="AH5">
        <f>'Seaside SAM'!AH5</f>
        <v>2701.6746671533433</v>
      </c>
      <c r="AI5">
        <f>'Seaside SAM'!AI5</f>
        <v>10684.184226677018</v>
      </c>
      <c r="AJ5">
        <f>'Seaside SAM'!AJ5</f>
        <v>6092.0382587951581</v>
      </c>
      <c r="AK5">
        <f>'Seaside SAM'!AK5</f>
        <v>17837.168724559058</v>
      </c>
      <c r="AL5">
        <f>'Seaside SAM'!AL5</f>
        <v>0</v>
      </c>
      <c r="AM5">
        <f>'Seaside SAM'!AM5</f>
        <v>0</v>
      </c>
      <c r="AN5">
        <f>'Seaside SAM'!AN5</f>
        <v>0</v>
      </c>
      <c r="AO5">
        <f>'Seaside SAM'!AO5</f>
        <v>0</v>
      </c>
      <c r="AP5">
        <f>'Seaside SAM'!AP5</f>
        <v>0</v>
      </c>
      <c r="AQ5">
        <f>'Seaside SAM'!AQ5</f>
        <v>0</v>
      </c>
      <c r="AR5">
        <f>'Seaside SAM'!AR5</f>
        <v>0</v>
      </c>
      <c r="AS5">
        <f>'Seaside SAM'!AS5</f>
        <v>0</v>
      </c>
      <c r="AT5">
        <f>'Seaside SAM'!AT5</f>
        <v>0</v>
      </c>
      <c r="AU5">
        <f>'Seaside SAM'!AU5</f>
        <v>0</v>
      </c>
      <c r="AV5">
        <f>'Seaside SAM'!AV5</f>
        <v>10</v>
      </c>
      <c r="AW5">
        <f>'Seaside SAM'!AW5</f>
        <v>9083.4468850396515</v>
      </c>
    </row>
    <row r="6" spans="1:49">
      <c r="A6" t="str">
        <f>'Seaside SAM'!A6</f>
        <v>Accom1</v>
      </c>
      <c r="B6">
        <f>'Seaside SAM'!B6</f>
        <v>9.523276488867442E-3</v>
      </c>
      <c r="C6">
        <f>'Seaside SAM'!C6</f>
        <v>32.490678214240845</v>
      </c>
      <c r="D6">
        <f>'Seaside SAM'!D6</f>
        <v>68.986163181646148</v>
      </c>
      <c r="E6">
        <f>'Seaside SAM'!E6</f>
        <v>393.18086098863785</v>
      </c>
      <c r="F6">
        <f>'Seaside SAM'!F6</f>
        <v>1.6055847024949628</v>
      </c>
      <c r="G6">
        <f>'Seaside SAM'!G6</f>
        <v>91.171018949285227</v>
      </c>
      <c r="H6">
        <f>'Seaside SAM'!H6</f>
        <v>0.62467136926606104</v>
      </c>
      <c r="I6">
        <f>'Seaside SAM'!I6</f>
        <v>8246.3186976737052</v>
      </c>
      <c r="J6">
        <f>'Seaside SAM'!J6</f>
        <v>4.0970179697208708</v>
      </c>
      <c r="K6">
        <f>'Seaside SAM'!K6</f>
        <v>4337.7260485685401</v>
      </c>
      <c r="L6">
        <f>'Seaside SAM'!L6</f>
        <v>6741.9950483627836</v>
      </c>
      <c r="M6">
        <f>'Seaside SAM'!M6</f>
        <v>1495.3895988674972</v>
      </c>
      <c r="N6">
        <f>'Seaside SAM'!N6</f>
        <v>639.97740810129937</v>
      </c>
      <c r="O6">
        <f>'Seaside SAM'!O6</f>
        <v>1531.1306806187199</v>
      </c>
      <c r="P6">
        <f>'Seaside SAM'!P6</f>
        <v>1.955350605546196</v>
      </c>
      <c r="Q6">
        <f>'Seaside SAM'!Q6</f>
        <v>0.41157987387455669</v>
      </c>
      <c r="R6">
        <f>'Seaside SAM'!R6</f>
        <v>7387.8224602238224</v>
      </c>
      <c r="S6">
        <f>'Seaside SAM'!S6</f>
        <v>279.48492850341512</v>
      </c>
      <c r="T6">
        <f>'Seaside SAM'!T6</f>
        <v>3105.0834373695598</v>
      </c>
      <c r="U6">
        <f>'Seaside SAM'!U6</f>
        <v>3957.1640041287478</v>
      </c>
      <c r="V6">
        <f>'Seaside SAM'!V6</f>
        <v>0</v>
      </c>
      <c r="W6">
        <f>'Seaside SAM'!W6</f>
        <v>0</v>
      </c>
      <c r="X6">
        <f>'Seaside SAM'!X6</f>
        <v>0</v>
      </c>
      <c r="Y6">
        <f>'Seaside SAM'!Y6</f>
        <v>0</v>
      </c>
      <c r="Z6">
        <f>'Seaside SAM'!Z6</f>
        <v>0</v>
      </c>
      <c r="AA6">
        <f>'Seaside SAM'!AA6</f>
        <v>0</v>
      </c>
      <c r="AB6">
        <f>'Seaside SAM'!AB6</f>
        <v>0</v>
      </c>
      <c r="AC6">
        <f>'Seaside SAM'!AC6</f>
        <v>0</v>
      </c>
      <c r="AD6">
        <f>'Seaside SAM'!AD6</f>
        <v>0</v>
      </c>
      <c r="AE6">
        <f>'Seaside SAM'!AE6</f>
        <v>0</v>
      </c>
      <c r="AF6">
        <f>'Seaside SAM'!AF6</f>
        <v>1373.9394689190785</v>
      </c>
      <c r="AG6">
        <f>'Seaside SAM'!AG6</f>
        <v>47.567678327203936</v>
      </c>
      <c r="AH6">
        <f>'Seaside SAM'!AH6</f>
        <v>191.38710223153416</v>
      </c>
      <c r="AI6">
        <f>'Seaside SAM'!AI6</f>
        <v>961.8903020910069</v>
      </c>
      <c r="AJ6">
        <f>'Seaside SAM'!AJ6</f>
        <v>652.4584982010881</v>
      </c>
      <c r="AK6">
        <f>'Seaside SAM'!AK6</f>
        <v>2116.5669975344363</v>
      </c>
      <c r="AL6">
        <f>'Seaside SAM'!AL6</f>
        <v>0</v>
      </c>
      <c r="AM6">
        <f>'Seaside SAM'!AM6</f>
        <v>0</v>
      </c>
      <c r="AN6">
        <f>'Seaside SAM'!AN6</f>
        <v>0</v>
      </c>
      <c r="AO6">
        <f>'Seaside SAM'!AO6</f>
        <v>0</v>
      </c>
      <c r="AP6">
        <f>'Seaside SAM'!AP6</f>
        <v>0</v>
      </c>
      <c r="AQ6">
        <f>'Seaside SAM'!AQ6</f>
        <v>0</v>
      </c>
      <c r="AR6">
        <f>'Seaside SAM'!AR6</f>
        <v>0</v>
      </c>
      <c r="AS6">
        <f>'Seaside SAM'!AS6</f>
        <v>0</v>
      </c>
      <c r="AT6">
        <f>'Seaside SAM'!AT6</f>
        <v>0</v>
      </c>
      <c r="AU6">
        <f>'Seaside SAM'!AU6</f>
        <v>0</v>
      </c>
      <c r="AV6">
        <f>'Seaside SAM'!AV6</f>
        <v>10</v>
      </c>
      <c r="AW6">
        <f>'Seaside SAM'!AW6</f>
        <v>2951.0680761684998</v>
      </c>
    </row>
    <row r="7" spans="1:49">
      <c r="A7" t="str">
        <f>'Seaside SAM'!A7</f>
        <v>Rest1</v>
      </c>
      <c r="B7">
        <f>'Seaside SAM'!B7</f>
        <v>1.5657651850630459</v>
      </c>
      <c r="C7">
        <f>'Seaside SAM'!C7</f>
        <v>85.591614253350897</v>
      </c>
      <c r="D7">
        <f>'Seaside SAM'!D7</f>
        <v>890.61388680365314</v>
      </c>
      <c r="E7">
        <f>'Seaside SAM'!E7</f>
        <v>645.26971199304535</v>
      </c>
      <c r="F7">
        <f>'Seaside SAM'!F7</f>
        <v>35.967513601171291</v>
      </c>
      <c r="G7">
        <f>'Seaside SAM'!G7</f>
        <v>2042.3680289152176</v>
      </c>
      <c r="H7">
        <f>'Seaside SAM'!H7</f>
        <v>1.1926153660736463</v>
      </c>
      <c r="I7">
        <f>'Seaside SAM'!I7</f>
        <v>206.34086176184829</v>
      </c>
      <c r="J7">
        <f>'Seaside SAM'!J7</f>
        <v>84.592049144146387</v>
      </c>
      <c r="K7">
        <f>'Seaside SAM'!K7</f>
        <v>222.93520141104284</v>
      </c>
      <c r="L7">
        <f>'Seaside SAM'!L7</f>
        <v>267.53747219333263</v>
      </c>
      <c r="M7">
        <f>'Seaside SAM'!M7</f>
        <v>57.756387721095614</v>
      </c>
      <c r="N7">
        <f>'Seaside SAM'!N7</f>
        <v>26.924696653756818</v>
      </c>
      <c r="O7">
        <f>'Seaside SAM'!O7</f>
        <v>64.416694388052335</v>
      </c>
      <c r="P7">
        <f>'Seaside SAM'!P7</f>
        <v>3.733132800652756</v>
      </c>
      <c r="Q7">
        <f>'Seaside SAM'!Q7</f>
        <v>3.5134967249559277</v>
      </c>
      <c r="R7">
        <f>'Seaside SAM'!R7</f>
        <v>184.85941531900275</v>
      </c>
      <c r="S7">
        <f>'Seaside SAM'!S7</f>
        <v>14.363984292604465</v>
      </c>
      <c r="T7">
        <f>'Seaside SAM'!T7</f>
        <v>123.2166692238922</v>
      </c>
      <c r="U7">
        <f>'Seaside SAM'!U7</f>
        <v>152.83742689631649</v>
      </c>
      <c r="V7">
        <f>'Seaside SAM'!V7</f>
        <v>0</v>
      </c>
      <c r="W7">
        <f>'Seaside SAM'!W7</f>
        <v>0</v>
      </c>
      <c r="X7">
        <f>'Seaside SAM'!X7</f>
        <v>0</v>
      </c>
      <c r="Y7">
        <f>'Seaside SAM'!Y7</f>
        <v>0</v>
      </c>
      <c r="Z7">
        <f>'Seaside SAM'!Z7</f>
        <v>0</v>
      </c>
      <c r="AA7">
        <f>'Seaside SAM'!AA7</f>
        <v>0</v>
      </c>
      <c r="AB7">
        <f>'Seaside SAM'!AB7</f>
        <v>0</v>
      </c>
      <c r="AC7">
        <f>'Seaside SAM'!AC7</f>
        <v>0</v>
      </c>
      <c r="AD7">
        <f>'Seaside SAM'!AD7</f>
        <v>0</v>
      </c>
      <c r="AE7">
        <f>'Seaside SAM'!AE7</f>
        <v>0</v>
      </c>
      <c r="AF7">
        <f>'Seaside SAM'!AF7</f>
        <v>976.86923763367611</v>
      </c>
      <c r="AG7">
        <f>'Seaside SAM'!AG7</f>
        <v>190.27071330881574</v>
      </c>
      <c r="AH7">
        <f>'Seaside SAM'!AH7</f>
        <v>765.54840892613663</v>
      </c>
      <c r="AI7">
        <f>'Seaside SAM'!AI7</f>
        <v>3847.5612083640276</v>
      </c>
      <c r="AJ7">
        <f>'Seaside SAM'!AJ7</f>
        <v>2609.8339928043524</v>
      </c>
      <c r="AK7">
        <f>'Seaside SAM'!AK7</f>
        <v>8466.2679901377451</v>
      </c>
      <c r="AL7">
        <f>'Seaside SAM'!AL7</f>
        <v>0</v>
      </c>
      <c r="AM7">
        <f>'Seaside SAM'!AM7</f>
        <v>0</v>
      </c>
      <c r="AN7">
        <f>'Seaside SAM'!AN7</f>
        <v>0</v>
      </c>
      <c r="AO7">
        <f>'Seaside SAM'!AO7</f>
        <v>0</v>
      </c>
      <c r="AP7">
        <f>'Seaside SAM'!AP7</f>
        <v>0</v>
      </c>
      <c r="AQ7">
        <f>'Seaside SAM'!AQ7</f>
        <v>0</v>
      </c>
      <c r="AR7">
        <f>'Seaside SAM'!AR7</f>
        <v>0</v>
      </c>
      <c r="AS7">
        <f>'Seaside SAM'!AS7</f>
        <v>0</v>
      </c>
      <c r="AT7">
        <f>'Seaside SAM'!AT7</f>
        <v>0</v>
      </c>
      <c r="AU7">
        <f>'Seaside SAM'!AU7</f>
        <v>0</v>
      </c>
      <c r="AV7">
        <f>'Seaside SAM'!AV7</f>
        <v>10</v>
      </c>
      <c r="AW7">
        <f>'Seaside SAM'!AW7</f>
        <v>340948.99241915217</v>
      </c>
    </row>
    <row r="8" spans="1:49">
      <c r="A8" t="str">
        <f>'Seaside SAM'!A8</f>
        <v>ag2</v>
      </c>
      <c r="B8">
        <f>'Seaside SAM'!B8</f>
        <v>41.572705236452869</v>
      </c>
      <c r="C8">
        <f>'Seaside SAM'!C8</f>
        <v>1301.2642954512839</v>
      </c>
      <c r="D8">
        <f>'Seaside SAM'!D8</f>
        <v>74.54879994554905</v>
      </c>
      <c r="E8">
        <f>'Seaside SAM'!E8</f>
        <v>28.11637622449215</v>
      </c>
      <c r="F8">
        <f>'Seaside SAM'!F8</f>
        <v>1.2801087344062421</v>
      </c>
      <c r="G8">
        <f>'Seaside SAM'!G8</f>
        <v>333.16745185496012</v>
      </c>
      <c r="H8">
        <f>'Seaside SAM'!H8</f>
        <v>247.03857402969788</v>
      </c>
      <c r="I8">
        <f>'Seaside SAM'!I8</f>
        <v>220.32582492374519</v>
      </c>
      <c r="J8">
        <f>'Seaside SAM'!J8</f>
        <v>3287.2542248556856</v>
      </c>
      <c r="K8">
        <f>'Seaside SAM'!K8</f>
        <v>35.329815749286915</v>
      </c>
      <c r="L8">
        <f>'Seaside SAM'!L8</f>
        <v>52.332630436365854</v>
      </c>
      <c r="M8">
        <f>'Seaside SAM'!M8</f>
        <v>2.6296905458239341</v>
      </c>
      <c r="N8">
        <f>'Seaside SAM'!N8</f>
        <v>28.82188122948078</v>
      </c>
      <c r="O8">
        <f>'Seaside SAM'!O8</f>
        <v>68.955663223383112</v>
      </c>
      <c r="P8">
        <f>'Seaside SAM'!P8</f>
        <v>773.28183920095489</v>
      </c>
      <c r="Q8">
        <f>'Seaside SAM'!Q8</f>
        <v>112.92014684004617</v>
      </c>
      <c r="R8">
        <f>'Seaside SAM'!R8</f>
        <v>197.38845145509231</v>
      </c>
      <c r="S8">
        <f>'Seaside SAM'!S8</f>
        <v>2.2763427007998289</v>
      </c>
      <c r="T8">
        <f>'Seaside SAM'!T8</f>
        <v>24.102240187999293</v>
      </c>
      <c r="U8">
        <f>'Seaside SAM'!U8</f>
        <v>6.9587997521268115</v>
      </c>
      <c r="V8">
        <f>'Seaside SAM'!V8</f>
        <v>0</v>
      </c>
      <c r="W8">
        <f>'Seaside SAM'!W8</f>
        <v>0</v>
      </c>
      <c r="X8">
        <f>'Seaside SAM'!X8</f>
        <v>0</v>
      </c>
      <c r="Y8">
        <f>'Seaside SAM'!Y8</f>
        <v>0</v>
      </c>
      <c r="Z8">
        <f>'Seaside SAM'!Z8</f>
        <v>0</v>
      </c>
      <c r="AA8">
        <f>'Seaside SAM'!AA8</f>
        <v>0</v>
      </c>
      <c r="AB8">
        <f>'Seaside SAM'!AB8</f>
        <v>0</v>
      </c>
      <c r="AC8">
        <f>'Seaside SAM'!AC8</f>
        <v>0</v>
      </c>
      <c r="AD8">
        <f>'Seaside SAM'!AD8</f>
        <v>0</v>
      </c>
      <c r="AE8">
        <f>'Seaside SAM'!AE8</f>
        <v>0</v>
      </c>
      <c r="AF8">
        <f>'Seaside SAM'!AF8</f>
        <v>976.86923763367611</v>
      </c>
      <c r="AG8">
        <f>'Seaside SAM'!AG8</f>
        <v>9.2908971336787669</v>
      </c>
      <c r="AH8">
        <f>'Seaside SAM'!AH8</f>
        <v>48.043416541278532</v>
      </c>
      <c r="AI8">
        <f>'Seaside SAM'!AI8</f>
        <v>168.71757646695414</v>
      </c>
      <c r="AJ8">
        <f>'Seaside SAM'!AJ8</f>
        <v>94.363290722105603</v>
      </c>
      <c r="AK8">
        <f>'Seaside SAM'!AK8</f>
        <v>358.10858908138982</v>
      </c>
      <c r="AL8">
        <f>'Seaside SAM'!AL8</f>
        <v>0</v>
      </c>
      <c r="AM8">
        <f>'Seaside SAM'!AM8</f>
        <v>0</v>
      </c>
      <c r="AN8">
        <f>'Seaside SAM'!AN8</f>
        <v>0</v>
      </c>
      <c r="AO8">
        <f>'Seaside SAM'!AO8</f>
        <v>0</v>
      </c>
      <c r="AP8">
        <f>'Seaside SAM'!AP8</f>
        <v>0</v>
      </c>
      <c r="AQ8">
        <f>'Seaside SAM'!AQ8</f>
        <v>0</v>
      </c>
      <c r="AR8">
        <f>'Seaside SAM'!AR8</f>
        <v>0</v>
      </c>
      <c r="AS8">
        <f>'Seaside SAM'!AS8</f>
        <v>0</v>
      </c>
      <c r="AT8">
        <f>'Seaside SAM'!AT8</f>
        <v>0</v>
      </c>
      <c r="AU8">
        <f>'Seaside SAM'!AU8</f>
        <v>0</v>
      </c>
      <c r="AV8">
        <f>'Seaside SAM'!AV8</f>
        <v>10</v>
      </c>
      <c r="AW8">
        <f>'Seaside SAM'!AW8</f>
        <v>929.28441469371865</v>
      </c>
    </row>
    <row r="9" spans="1:49">
      <c r="A9" t="str">
        <f>'Seaside SAM'!A9</f>
        <v>const2</v>
      </c>
      <c r="B9">
        <f>'Seaside SAM'!B9</f>
        <v>0.48217040454484372</v>
      </c>
      <c r="C9">
        <f>'Seaside SAM'!C9</f>
        <v>44.848371641239417</v>
      </c>
      <c r="D9">
        <f>'Seaside SAM'!D9</f>
        <v>629.43981932405381</v>
      </c>
      <c r="E9">
        <f>'Seaside SAM'!E9</f>
        <v>22.484555787046581</v>
      </c>
      <c r="F9">
        <f>'Seaside SAM'!F9</f>
        <v>4.3973022685530543</v>
      </c>
      <c r="G9">
        <f>'Seaside SAM'!G9</f>
        <v>249.69503497947238</v>
      </c>
      <c r="H9">
        <f>'Seaside SAM'!H9</f>
        <v>7.378843473325797</v>
      </c>
      <c r="I9">
        <f>'Seaside SAM'!I9</f>
        <v>2.5553928119646931</v>
      </c>
      <c r="J9">
        <f>'Seaside SAM'!J9</f>
        <v>239.80964761938077</v>
      </c>
      <c r="K9">
        <f>'Seaside SAM'!K9</f>
        <v>73.945226220001729</v>
      </c>
      <c r="L9">
        <f>'Seaside SAM'!L9</f>
        <v>616.12747507301412</v>
      </c>
      <c r="M9">
        <f>'Seaside SAM'!M9</f>
        <v>5.6722627856483587</v>
      </c>
      <c r="N9">
        <f>'Seaside SAM'!N9</f>
        <v>11.314122179919783</v>
      </c>
      <c r="O9">
        <f>'Seaside SAM'!O9</f>
        <v>27.068767388741762</v>
      </c>
      <c r="P9">
        <f>'Seaside SAM'!P9</f>
        <v>23.09730646171635</v>
      </c>
      <c r="Q9">
        <f>'Seaside SAM'!Q9</f>
        <v>74.527296914430465</v>
      </c>
      <c r="R9">
        <f>'Seaside SAM'!R9</f>
        <v>2.2893595437019667</v>
      </c>
      <c r="S9">
        <f>'Seaside SAM'!S9</f>
        <v>4.7643802379096893</v>
      </c>
      <c r="T9">
        <f>'Seaside SAM'!T9</f>
        <v>283.76277413940306</v>
      </c>
      <c r="U9">
        <f>'Seaside SAM'!U9</f>
        <v>15.010184726659741</v>
      </c>
      <c r="V9">
        <f>'Seaside SAM'!V9</f>
        <v>1201.0365700000002</v>
      </c>
      <c r="W9">
        <f>'Seaside SAM'!W9</f>
        <v>536.26237749999927</v>
      </c>
      <c r="X9">
        <f>'Seaside SAM'!X9</f>
        <v>422.0872975000002</v>
      </c>
      <c r="Y9">
        <f>'Seaside SAM'!Y9</f>
        <v>0</v>
      </c>
      <c r="Z9">
        <f>'Seaside SAM'!Z9</f>
        <v>0</v>
      </c>
      <c r="AA9">
        <f>'Seaside SAM'!AA9</f>
        <v>0</v>
      </c>
      <c r="AB9">
        <f>'Seaside SAM'!AB9</f>
        <v>0</v>
      </c>
      <c r="AC9">
        <f>'Seaside SAM'!AC9</f>
        <v>0</v>
      </c>
      <c r="AD9">
        <f>'Seaside SAM'!AD9</f>
        <v>0</v>
      </c>
      <c r="AE9">
        <f>'Seaside SAM'!AE9</f>
        <v>0</v>
      </c>
      <c r="AF9">
        <f>'Seaside SAM'!AF9</f>
        <v>46912.251462739732</v>
      </c>
      <c r="AG9">
        <f>'Seaside SAM'!AG9</f>
        <v>0</v>
      </c>
      <c r="AH9">
        <f>'Seaside SAM'!AH9</f>
        <v>0</v>
      </c>
      <c r="AI9">
        <f>'Seaside SAM'!AI9</f>
        <v>0</v>
      </c>
      <c r="AJ9">
        <f>'Seaside SAM'!AJ9</f>
        <v>0</v>
      </c>
      <c r="AK9">
        <f>'Seaside SAM'!AK9</f>
        <v>0</v>
      </c>
      <c r="AL9">
        <f>'Seaside SAM'!AL9</f>
        <v>0</v>
      </c>
      <c r="AM9">
        <f>'Seaside SAM'!AM9</f>
        <v>0</v>
      </c>
      <c r="AN9">
        <f>'Seaside SAM'!AN9</f>
        <v>0</v>
      </c>
      <c r="AO9">
        <f>'Seaside SAM'!AO9</f>
        <v>0</v>
      </c>
      <c r="AP9">
        <f>'Seaside SAM'!AP9</f>
        <v>0</v>
      </c>
      <c r="AQ9">
        <f>'Seaside SAM'!AQ9</f>
        <v>0</v>
      </c>
      <c r="AR9">
        <f>'Seaside SAM'!AR9</f>
        <v>0</v>
      </c>
      <c r="AS9">
        <f>'Seaside SAM'!AS9</f>
        <v>0</v>
      </c>
      <c r="AT9">
        <f>'Seaside SAM'!AT9</f>
        <v>0</v>
      </c>
      <c r="AU9">
        <f>'Seaside SAM'!AU9</f>
        <v>0</v>
      </c>
      <c r="AV9">
        <f>'Seaside SAM'!AV9</f>
        <v>10</v>
      </c>
      <c r="AW9">
        <f>'Seaside SAM'!AW9</f>
        <v>8525.1128932164429</v>
      </c>
    </row>
    <row r="10" spans="1:49">
      <c r="A10" t="str">
        <f>'Seaside SAM'!A10</f>
        <v>manuf2</v>
      </c>
      <c r="B10">
        <f>'Seaside SAM'!B10</f>
        <v>1270.9862924905678</v>
      </c>
      <c r="C10">
        <f>'Seaside SAM'!C10</f>
        <v>2508.8169086516837</v>
      </c>
      <c r="D10">
        <f>'Seaside SAM'!D10</f>
        <v>6568.1396376025004</v>
      </c>
      <c r="E10">
        <f>'Seaside SAM'!E10</f>
        <v>5652.6570196540642</v>
      </c>
      <c r="F10">
        <f>'Seaside SAM'!F10</f>
        <v>237.19220309763026</v>
      </c>
      <c r="G10">
        <f>'Seaside SAM'!G10</f>
        <v>13468.647782725498</v>
      </c>
      <c r="H10">
        <f>'Seaside SAM'!H10</f>
        <v>197.14166803546163</v>
      </c>
      <c r="I10">
        <f>'Seaside SAM'!I10</f>
        <v>9792.0628740623761</v>
      </c>
      <c r="J10">
        <f>'Seaside SAM'!J10</f>
        <v>38140.18933219149</v>
      </c>
      <c r="K10">
        <f>'Seaside SAM'!K10</f>
        <v>6013.2413952658635</v>
      </c>
      <c r="L10">
        <f>'Seaside SAM'!L10</f>
        <v>9346.1973526131897</v>
      </c>
      <c r="M10">
        <f>'Seaside SAM'!M10</f>
        <v>2073.0075014597742</v>
      </c>
      <c r="N10">
        <f>'Seaside SAM'!N10</f>
        <v>887.17881197215047</v>
      </c>
      <c r="O10">
        <f>'Seaside SAM'!O10</f>
        <v>2122.5541417712243</v>
      </c>
      <c r="P10">
        <f>'Seaside SAM'!P10</f>
        <v>617.0942017471308</v>
      </c>
      <c r="Q10">
        <f>'Seaside SAM'!Q10</f>
        <v>62.470516102252994</v>
      </c>
      <c r="R10">
        <f>'Seaside SAM'!R10</f>
        <v>8772.6444593185079</v>
      </c>
      <c r="S10">
        <f>'Seaside SAM'!S10</f>
        <v>387.4404060127913</v>
      </c>
      <c r="T10">
        <f>'Seaside SAM'!T10</f>
        <v>4304.4710643971466</v>
      </c>
      <c r="U10">
        <f>'Seaside SAM'!U10</f>
        <v>5485.681237369874</v>
      </c>
      <c r="V10">
        <f>'Seaside SAM'!V10</f>
        <v>0</v>
      </c>
      <c r="W10">
        <f>'Seaside SAM'!W10</f>
        <v>0</v>
      </c>
      <c r="X10">
        <f>'Seaside SAM'!X10</f>
        <v>0</v>
      </c>
      <c r="Y10">
        <f>'Seaside SAM'!Y10</f>
        <v>0</v>
      </c>
      <c r="Z10">
        <f>'Seaside SAM'!Z10</f>
        <v>0</v>
      </c>
      <c r="AA10">
        <f>'Seaside SAM'!AA10</f>
        <v>0</v>
      </c>
      <c r="AB10">
        <f>'Seaside SAM'!AB10</f>
        <v>0</v>
      </c>
      <c r="AC10">
        <f>'Seaside SAM'!AC10</f>
        <v>0</v>
      </c>
      <c r="AD10">
        <f>'Seaside SAM'!AD10</f>
        <v>0</v>
      </c>
      <c r="AE10">
        <f>'Seaside SAM'!AE10</f>
        <v>0</v>
      </c>
      <c r="AF10">
        <f>'Seaside SAM'!AF10</f>
        <v>209109.77226524588</v>
      </c>
      <c r="AG10">
        <f>'Seaside SAM'!AG10</f>
        <v>706.44319130841291</v>
      </c>
      <c r="AH10">
        <f>'Seaside SAM'!AH10</f>
        <v>3538.0412494789539</v>
      </c>
      <c r="AI10">
        <f>'Seaside SAM'!AI10</f>
        <v>13248.521218652275</v>
      </c>
      <c r="AJ10">
        <f>'Seaside SAM'!AJ10</f>
        <v>7661.7902024278656</v>
      </c>
      <c r="AK10">
        <f>'Seaside SAM'!AK10</f>
        <v>27233.982253484002</v>
      </c>
      <c r="AL10">
        <f>'Seaside SAM'!AL10</f>
        <v>0</v>
      </c>
      <c r="AM10">
        <f>'Seaside SAM'!AM10</f>
        <v>0</v>
      </c>
      <c r="AN10">
        <f>'Seaside SAM'!AN10</f>
        <v>0</v>
      </c>
      <c r="AO10">
        <f>'Seaside SAM'!AO10</f>
        <v>0</v>
      </c>
      <c r="AP10">
        <f>'Seaside SAM'!AP10</f>
        <v>0</v>
      </c>
      <c r="AQ10">
        <f>'Seaside SAM'!AQ10</f>
        <v>0</v>
      </c>
      <c r="AR10">
        <f>'Seaside SAM'!AR10</f>
        <v>0</v>
      </c>
      <c r="AS10">
        <f>'Seaside SAM'!AS10</f>
        <v>0</v>
      </c>
      <c r="AT10">
        <f>'Seaside SAM'!AT10</f>
        <v>0</v>
      </c>
      <c r="AU10">
        <f>'Seaside SAM'!AU10</f>
        <v>0</v>
      </c>
      <c r="AV10">
        <f>'Seaside SAM'!AV10</f>
        <v>10</v>
      </c>
      <c r="AW10">
        <f>'Seaside SAM'!AW10</f>
        <v>17552.931384081952</v>
      </c>
    </row>
    <row r="11" spans="1:49">
      <c r="A11" t="str">
        <f>'Seaside SAM'!A11</f>
        <v>Retail2</v>
      </c>
      <c r="B11">
        <f>'Seaside SAM'!B11</f>
        <v>542.68413177502123</v>
      </c>
      <c r="C11">
        <f>'Seaside SAM'!C11</f>
        <v>877.04075503324339</v>
      </c>
      <c r="D11">
        <f>'Seaside SAM'!D11</f>
        <v>1772.8534869131686</v>
      </c>
      <c r="E11">
        <f>'Seaside SAM'!E11</f>
        <v>1485.0209520132603</v>
      </c>
      <c r="F11">
        <f>'Seaside SAM'!F11</f>
        <v>67.876722425777501</v>
      </c>
      <c r="G11">
        <f>'Seaside SAM'!G11</f>
        <v>3854.2905502771819</v>
      </c>
      <c r="H11">
        <f>'Seaside SAM'!H11</f>
        <v>0.72827010678217619</v>
      </c>
      <c r="I11">
        <f>'Seaside SAM'!I11</f>
        <v>2876.1017192962422</v>
      </c>
      <c r="J11">
        <f>'Seaside SAM'!J11</f>
        <v>4465.4583214245113</v>
      </c>
      <c r="K11">
        <f>'Seaside SAM'!K11</f>
        <v>1446.0497597076649</v>
      </c>
      <c r="L11">
        <f>'Seaside SAM'!L11</f>
        <v>1735.3585029609476</v>
      </c>
      <c r="M11">
        <f>'Seaside SAM'!M11</f>
        <v>374.63177666448166</v>
      </c>
      <c r="N11">
        <f>'Seaside SAM'!N11</f>
        <v>174.64469890773489</v>
      </c>
      <c r="O11">
        <f>'Seaside SAM'!O11</f>
        <v>417.83327555013517</v>
      </c>
      <c r="P11">
        <f>'Seaside SAM'!P11</f>
        <v>2.279636084443625</v>
      </c>
      <c r="Q11">
        <f>'Seaside SAM'!Q11</f>
        <v>38.940200309196953</v>
      </c>
      <c r="R11">
        <f>'Seaside SAM'!R11</f>
        <v>2576.6805357279295</v>
      </c>
      <c r="S11">
        <f>'Seaside SAM'!S11</f>
        <v>93.170732586408377</v>
      </c>
      <c r="T11">
        <f>'Seaside SAM'!T11</f>
        <v>799.23418910712371</v>
      </c>
      <c r="U11">
        <f>'Seaside SAM'!U11</f>
        <v>991.36665290584642</v>
      </c>
      <c r="V11">
        <f>'Seaside SAM'!V11</f>
        <v>0</v>
      </c>
      <c r="W11">
        <f>'Seaside SAM'!W11</f>
        <v>0</v>
      </c>
      <c r="X11">
        <f>'Seaside SAM'!X11</f>
        <v>0</v>
      </c>
      <c r="Y11">
        <f>'Seaside SAM'!Y11</f>
        <v>0</v>
      </c>
      <c r="Z11">
        <f>'Seaside SAM'!Z11</f>
        <v>0</v>
      </c>
      <c r="AA11">
        <f>'Seaside SAM'!AA11</f>
        <v>0</v>
      </c>
      <c r="AB11">
        <f>'Seaside SAM'!AB11</f>
        <v>0</v>
      </c>
      <c r="AC11">
        <f>'Seaside SAM'!AC11</f>
        <v>0</v>
      </c>
      <c r="AD11">
        <f>'Seaside SAM'!AD11</f>
        <v>0</v>
      </c>
      <c r="AE11">
        <f>'Seaside SAM'!AE11</f>
        <v>0</v>
      </c>
      <c r="AF11">
        <f>'Seaside SAM'!AF11</f>
        <v>11689.394365556889</v>
      </c>
      <c r="AG11">
        <f>'Seaside SAM'!AG11</f>
        <v>743.27177069430127</v>
      </c>
      <c r="AH11">
        <f>'Seaside SAM'!AH11</f>
        <v>3843.4733233022821</v>
      </c>
      <c r="AI11">
        <f>'Seaside SAM'!AI11</f>
        <v>13497.406117356333</v>
      </c>
      <c r="AJ11">
        <f>'Seaside SAM'!AJ11</f>
        <v>7549.0632577684501</v>
      </c>
      <c r="AK11">
        <f>'Seaside SAM'!AK11</f>
        <v>28648.687126511191</v>
      </c>
      <c r="AL11">
        <f>'Seaside SAM'!AL11</f>
        <v>0</v>
      </c>
      <c r="AM11">
        <f>'Seaside SAM'!AM11</f>
        <v>0</v>
      </c>
      <c r="AN11">
        <f>'Seaside SAM'!AN11</f>
        <v>0</v>
      </c>
      <c r="AO11">
        <f>'Seaside SAM'!AO11</f>
        <v>0</v>
      </c>
      <c r="AP11">
        <f>'Seaside SAM'!AP11</f>
        <v>0</v>
      </c>
      <c r="AQ11">
        <f>'Seaside SAM'!AQ11</f>
        <v>0</v>
      </c>
      <c r="AR11">
        <f>'Seaside SAM'!AR11</f>
        <v>0</v>
      </c>
      <c r="AS11">
        <f>'Seaside SAM'!AS11</f>
        <v>0</v>
      </c>
      <c r="AT11">
        <f>'Seaside SAM'!AT11</f>
        <v>0</v>
      </c>
      <c r="AU11">
        <f>'Seaside SAM'!AU11</f>
        <v>0</v>
      </c>
      <c r="AV11">
        <f>'Seaside SAM'!AV11</f>
        <v>10</v>
      </c>
      <c r="AW11">
        <f>'Seaside SAM'!AW11</f>
        <v>49517.360560488596</v>
      </c>
    </row>
    <row r="12" spans="1:49">
      <c r="A12" t="str">
        <f>'Seaside SAM'!A12</f>
        <v>Serv2</v>
      </c>
      <c r="B12">
        <f>'Seaside SAM'!B12</f>
        <v>311.645287430964</v>
      </c>
      <c r="C12">
        <f>'Seaside SAM'!C12</f>
        <v>6191.9648279981166</v>
      </c>
      <c r="D12">
        <f>'Seaside SAM'!D12</f>
        <v>21070.091067008034</v>
      </c>
      <c r="E12">
        <f>'Seaside SAM'!E12</f>
        <v>9863.1336583684115</v>
      </c>
      <c r="F12">
        <f>'Seaside SAM'!F12</f>
        <v>438.02671911904332</v>
      </c>
      <c r="G12">
        <f>'Seaside SAM'!G12</f>
        <v>24872.772048113631</v>
      </c>
      <c r="H12">
        <f>'Seaside SAM'!H12</f>
        <v>160.64276021308851</v>
      </c>
      <c r="I12">
        <f>'Seaside SAM'!I12</f>
        <v>1651.6487114872064</v>
      </c>
      <c r="J12">
        <f>'Seaside SAM'!J12</f>
        <v>7551.6142113152973</v>
      </c>
      <c r="K12">
        <f>'Seaside SAM'!K12</f>
        <v>10209.205444854841</v>
      </c>
      <c r="L12">
        <f>'Seaside SAM'!L12</f>
        <v>20624.468948620317</v>
      </c>
      <c r="M12">
        <f>'Seaside SAM'!M12</f>
        <v>2488.2095305823077</v>
      </c>
      <c r="N12">
        <f>'Seaside SAM'!N12</f>
        <v>1127.0291454885614</v>
      </c>
      <c r="O12">
        <f>'Seaside SAM'!O12</f>
        <v>2696.3903424789219</v>
      </c>
      <c r="P12">
        <f>'Seaside SAM'!P12</f>
        <v>502.84507008594386</v>
      </c>
      <c r="Q12">
        <f>'Seaside SAM'!Q12</f>
        <v>115.86152699022129</v>
      </c>
      <c r="R12">
        <f>'Seaside SAM'!R12</f>
        <v>1479.7011726659482</v>
      </c>
      <c r="S12">
        <f>'Seaside SAM'!S12</f>
        <v>657.79143769891448</v>
      </c>
      <c r="T12">
        <f>'Seaside SAM'!T12</f>
        <v>9498.7754333126177</v>
      </c>
      <c r="U12">
        <f>'Seaside SAM'!U12</f>
        <v>6584.4066299560027</v>
      </c>
      <c r="V12">
        <f>'Seaside SAM'!V12</f>
        <v>0</v>
      </c>
      <c r="W12">
        <f>'Seaside SAM'!W12</f>
        <v>0</v>
      </c>
      <c r="X12">
        <f>'Seaside SAM'!X12</f>
        <v>0</v>
      </c>
      <c r="Y12">
        <f>'Seaside SAM'!Y12</f>
        <v>0</v>
      </c>
      <c r="Z12">
        <f>'Seaside SAM'!Z12</f>
        <v>0</v>
      </c>
      <c r="AA12">
        <f>'Seaside SAM'!AA12</f>
        <v>0</v>
      </c>
      <c r="AB12">
        <f>'Seaside SAM'!AB12</f>
        <v>0</v>
      </c>
      <c r="AC12">
        <f>'Seaside SAM'!AC12</f>
        <v>0</v>
      </c>
      <c r="AD12">
        <f>'Seaside SAM'!AD12</f>
        <v>0</v>
      </c>
      <c r="AE12">
        <f>'Seaside SAM'!AE12</f>
        <v>0</v>
      </c>
      <c r="AF12">
        <f>'Seaside SAM'!AF12</f>
        <v>31975.758310026762</v>
      </c>
      <c r="AG12">
        <f>'Seaside SAM'!AG12</f>
        <v>990.11856594998847</v>
      </c>
      <c r="AH12">
        <f>'Seaside SAM'!AH12</f>
        <v>4560.248591387226</v>
      </c>
      <c r="AI12">
        <f>'Seaside SAM'!AI12</f>
        <v>18191.06681280864</v>
      </c>
      <c r="AJ12">
        <f>'Seaside SAM'!AJ12</f>
        <v>10415.169668657809</v>
      </c>
      <c r="AK12">
        <f>'Seaside SAM'!AK12</f>
        <v>35927.167630710072</v>
      </c>
      <c r="AL12">
        <f>'Seaside SAM'!AL12</f>
        <v>0</v>
      </c>
      <c r="AM12">
        <f>'Seaside SAM'!AM12</f>
        <v>0</v>
      </c>
      <c r="AN12">
        <f>'Seaside SAM'!AN12</f>
        <v>0</v>
      </c>
      <c r="AO12">
        <f>'Seaside SAM'!AO12</f>
        <v>0</v>
      </c>
      <c r="AP12">
        <f>'Seaside SAM'!AP12</f>
        <v>0</v>
      </c>
      <c r="AQ12">
        <f>'Seaside SAM'!AQ12</f>
        <v>0</v>
      </c>
      <c r="AR12">
        <f>'Seaside SAM'!AR12</f>
        <v>0</v>
      </c>
      <c r="AS12">
        <f>'Seaside SAM'!AS12</f>
        <v>0</v>
      </c>
      <c r="AT12">
        <f>'Seaside SAM'!AT12</f>
        <v>0</v>
      </c>
      <c r="AU12">
        <f>'Seaside SAM'!AU12</f>
        <v>0</v>
      </c>
      <c r="AV12">
        <f>'Seaside SAM'!AV12</f>
        <v>10</v>
      </c>
      <c r="AW12">
        <f>'Seaside SAM'!AW12</f>
        <v>39006.619821523025</v>
      </c>
    </row>
    <row r="13" spans="1:49">
      <c r="A13" t="str">
        <f>'Seaside SAM'!A13</f>
        <v>HC2</v>
      </c>
      <c r="B13">
        <f>'Seaside SAM'!B13</f>
        <v>6.6964749665655663E-3</v>
      </c>
      <c r="C13">
        <f>'Seaside SAM'!C13</f>
        <v>22.8464450825029</v>
      </c>
      <c r="D13">
        <f>'Seaside SAM'!D13</f>
        <v>48.508947033652667</v>
      </c>
      <c r="E13">
        <f>'Seaside SAM'!E13</f>
        <v>276.47268206703416</v>
      </c>
      <c r="F13">
        <f>'Seaside SAM'!F13</f>
        <v>1.1289977540321099</v>
      </c>
      <c r="G13">
        <f>'Seaside SAM'!G13</f>
        <v>64.108654913448831</v>
      </c>
      <c r="H13">
        <f>'Seaside SAM'!H13</f>
        <v>2.4581212398881058E-2</v>
      </c>
      <c r="I13">
        <f>'Seaside SAM'!I13</f>
        <v>3.5489785009132933E-2</v>
      </c>
      <c r="J13">
        <f>'Seaside SAM'!J13</f>
        <v>2.4325039645931312</v>
      </c>
      <c r="K13">
        <f>'Seaside SAM'!K13</f>
        <v>37.668826941201196</v>
      </c>
      <c r="L13">
        <f>'Seaside SAM'!L13</f>
        <v>47.483006534907425</v>
      </c>
      <c r="M13">
        <f>'Seaside SAM'!M13</f>
        <v>69.746795115280307</v>
      </c>
      <c r="N13">
        <f>'Seaside SAM'!N13</f>
        <v>2.9048761603958404</v>
      </c>
      <c r="O13">
        <f>'Seaside SAM'!O13</f>
        <v>6.9498469106521359</v>
      </c>
      <c r="P13">
        <f>'Seaside SAM'!P13</f>
        <v>7.6944279686908243E-2</v>
      </c>
      <c r="Q13">
        <f>'Seaside SAM'!Q13</f>
        <v>51.461238957768956</v>
      </c>
      <c r="R13">
        <f>'Seaside SAM'!R13</f>
        <v>3.1795064005099835E-2</v>
      </c>
      <c r="S13">
        <f>'Seaside SAM'!S13</f>
        <v>2.4270480170003719</v>
      </c>
      <c r="T13">
        <f>'Seaside SAM'!T13</f>
        <v>21.868704454752663</v>
      </c>
      <c r="U13">
        <f>'Seaside SAM'!U13</f>
        <v>184.56695649251043</v>
      </c>
      <c r="V13">
        <f>'Seaside SAM'!V13</f>
        <v>0</v>
      </c>
      <c r="W13">
        <f>'Seaside SAM'!W13</f>
        <v>0</v>
      </c>
      <c r="X13">
        <f>'Seaside SAM'!X13</f>
        <v>0</v>
      </c>
      <c r="Y13">
        <f>'Seaside SAM'!Y13</f>
        <v>0</v>
      </c>
      <c r="Z13">
        <f>'Seaside SAM'!Z13</f>
        <v>0</v>
      </c>
      <c r="AA13">
        <f>'Seaside SAM'!AA13</f>
        <v>0</v>
      </c>
      <c r="AB13">
        <f>'Seaside SAM'!AB13</f>
        <v>0</v>
      </c>
      <c r="AC13">
        <f>'Seaside SAM'!AC13</f>
        <v>0</v>
      </c>
      <c r="AD13">
        <f>'Seaside SAM'!AD13</f>
        <v>0</v>
      </c>
      <c r="AE13">
        <f>'Seaside SAM'!AE13</f>
        <v>0</v>
      </c>
      <c r="AF13">
        <f>'Seaside SAM'!AF13</f>
        <v>1492.9873136416134</v>
      </c>
      <c r="AG13">
        <f>'Seaside SAM'!AG13</f>
        <v>1221.602007339985</v>
      </c>
      <c r="AH13">
        <f>'Seaside SAM'!AH13</f>
        <v>6484.0192011680247</v>
      </c>
      <c r="AI13">
        <f>'Seaside SAM'!AI13</f>
        <v>25642.042144024843</v>
      </c>
      <c r="AJ13">
        <f>'Seaside SAM'!AJ13</f>
        <v>14620.891821108382</v>
      </c>
      <c r="AK13">
        <f>'Seaside SAM'!AK13</f>
        <v>42809.204938941737</v>
      </c>
      <c r="AL13">
        <f>'Seaside SAM'!AL13</f>
        <v>0</v>
      </c>
      <c r="AM13">
        <f>'Seaside SAM'!AM13</f>
        <v>0</v>
      </c>
      <c r="AN13">
        <f>'Seaside SAM'!AN13</f>
        <v>0</v>
      </c>
      <c r="AO13">
        <f>'Seaside SAM'!AO13</f>
        <v>0</v>
      </c>
      <c r="AP13">
        <f>'Seaside SAM'!AP13</f>
        <v>0</v>
      </c>
      <c r="AQ13">
        <f>'Seaside SAM'!AQ13</f>
        <v>0</v>
      </c>
      <c r="AR13">
        <f>'Seaside SAM'!AR13</f>
        <v>0</v>
      </c>
      <c r="AS13">
        <f>'Seaside SAM'!AS13</f>
        <v>0</v>
      </c>
      <c r="AT13">
        <f>'Seaside SAM'!AT13</f>
        <v>0</v>
      </c>
      <c r="AU13">
        <f>'Seaside SAM'!AU13</f>
        <v>0</v>
      </c>
      <c r="AV13">
        <f>'Seaside SAM'!AV13</f>
        <v>10</v>
      </c>
      <c r="AW13">
        <f>'Seaside SAM'!AW13</f>
        <v>14692.327979524838</v>
      </c>
    </row>
    <row r="14" spans="1:49">
      <c r="A14" t="str">
        <f>'Seaside SAM'!A14</f>
        <v>Accom2</v>
      </c>
      <c r="B14">
        <f>'Seaside SAM'!B14</f>
        <v>1.2634786203026422</v>
      </c>
      <c r="C14">
        <f>'Seaside SAM'!C14</f>
        <v>69.067300587568852</v>
      </c>
      <c r="D14">
        <f>'Seaside SAM'!D14</f>
        <v>718.67200500804586</v>
      </c>
      <c r="E14">
        <f>'Seaside SAM'!E14</f>
        <v>520.69396689212283</v>
      </c>
      <c r="F14">
        <f>'Seaside SAM'!F14</f>
        <v>29.023626846508666</v>
      </c>
      <c r="G14">
        <f>'Seaside SAM'!G14</f>
        <v>1648.0685379526572</v>
      </c>
      <c r="H14">
        <f>'Seaside SAM'!H14</f>
        <v>0.62467136926606104</v>
      </c>
      <c r="I14">
        <f>'Seaside SAM'!I14</f>
        <v>6.6961475734709044</v>
      </c>
      <c r="J14">
        <f>'Seaside SAM'!J14</f>
        <v>184.91369949357653</v>
      </c>
      <c r="K14">
        <f>'Seaside SAM'!K14</f>
        <v>113.87698102413191</v>
      </c>
      <c r="L14">
        <f>'Seaside SAM'!L14</f>
        <v>703.47244368298368</v>
      </c>
      <c r="M14">
        <f>'Seaside SAM'!M14</f>
        <v>131.35740990779701</v>
      </c>
      <c r="N14">
        <f>'Seaside SAM'!N14</f>
        <v>74.676890554956628</v>
      </c>
      <c r="O14">
        <f>'Seaside SAM'!O14</f>
        <v>178.662679048511</v>
      </c>
      <c r="P14">
        <f>'Seaside SAM'!P14</f>
        <v>1.955350605546196</v>
      </c>
      <c r="Q14">
        <f>'Seaside SAM'!Q14</f>
        <v>117.86831135418454</v>
      </c>
      <c r="R14">
        <f>'Seaside SAM'!R14</f>
        <v>5.9990343878192718</v>
      </c>
      <c r="S14">
        <f>'Seaside SAM'!S14</f>
        <v>7.3372314303290818</v>
      </c>
      <c r="T14">
        <f>'Seaside SAM'!T14</f>
        <v>323.99024589262564</v>
      </c>
      <c r="U14">
        <f>'Seaside SAM'!U14</f>
        <v>347.60360414194486</v>
      </c>
      <c r="V14">
        <f>'Seaside SAM'!V14</f>
        <v>0</v>
      </c>
      <c r="W14">
        <f>'Seaside SAM'!W14</f>
        <v>0</v>
      </c>
      <c r="X14">
        <f>'Seaside SAM'!X14</f>
        <v>0</v>
      </c>
      <c r="Y14">
        <f>'Seaside SAM'!Y14</f>
        <v>0</v>
      </c>
      <c r="Z14">
        <f>'Seaside SAM'!Z14</f>
        <v>0</v>
      </c>
      <c r="AA14">
        <f>'Seaside SAM'!AA14</f>
        <v>0</v>
      </c>
      <c r="AB14">
        <f>'Seaside SAM'!AB14</f>
        <v>0</v>
      </c>
      <c r="AC14">
        <f>'Seaside SAM'!AC14</f>
        <v>0</v>
      </c>
      <c r="AD14">
        <f>'Seaside SAM'!AD14</f>
        <v>0</v>
      </c>
      <c r="AE14">
        <f>'Seaside SAM'!AE14</f>
        <v>0</v>
      </c>
      <c r="AF14">
        <f>'Seaside SAM'!AF14</f>
        <v>1373.9394689190785</v>
      </c>
      <c r="AG14">
        <f>'Seaside SAM'!AG14</f>
        <v>142.70303498161184</v>
      </c>
      <c r="AH14">
        <f>'Seaside SAM'!AH14</f>
        <v>574.16130669460244</v>
      </c>
      <c r="AI14">
        <f>'Seaside SAM'!AI14</f>
        <v>2885.6709062730206</v>
      </c>
      <c r="AJ14">
        <f>'Seaside SAM'!AJ14</f>
        <v>1957.3754946032643</v>
      </c>
      <c r="AK14">
        <f>'Seaside SAM'!AK14</f>
        <v>6349.7009926033079</v>
      </c>
      <c r="AL14">
        <f>'Seaside SAM'!AL14</f>
        <v>0</v>
      </c>
      <c r="AM14">
        <f>'Seaside SAM'!AM14</f>
        <v>0</v>
      </c>
      <c r="AN14">
        <f>'Seaside SAM'!AN14</f>
        <v>0</v>
      </c>
      <c r="AO14">
        <f>'Seaside SAM'!AO14</f>
        <v>0</v>
      </c>
      <c r="AP14">
        <f>'Seaside SAM'!AP14</f>
        <v>0</v>
      </c>
      <c r="AQ14">
        <f>'Seaside SAM'!AQ14</f>
        <v>0</v>
      </c>
      <c r="AR14">
        <f>'Seaside SAM'!AR14</f>
        <v>0</v>
      </c>
      <c r="AS14">
        <f>'Seaside SAM'!AS14</f>
        <v>0</v>
      </c>
      <c r="AT14">
        <f>'Seaside SAM'!AT14</f>
        <v>0</v>
      </c>
      <c r="AU14">
        <f>'Seaside SAM'!AU14</f>
        <v>0</v>
      </c>
      <c r="AV14">
        <f>'Seaside SAM'!AV14</f>
        <v>10</v>
      </c>
      <c r="AW14">
        <f>'Seaside SAM'!AW14</f>
        <v>26369.666069106577</v>
      </c>
    </row>
    <row r="15" spans="1:49">
      <c r="A15" t="str">
        <f>'Seaside SAM'!A15</f>
        <v>Rest2</v>
      </c>
      <c r="B15">
        <f>'Seaside SAM'!B15</f>
        <v>0.35463567216332831</v>
      </c>
      <c r="C15">
        <f>'Seaside SAM'!C15</f>
        <v>19.385946208185239</v>
      </c>
      <c r="D15">
        <f>'Seaside SAM'!D15</f>
        <v>201.7182764041917</v>
      </c>
      <c r="E15">
        <f>'Seaside SAM'!E15</f>
        <v>146.14941002796459</v>
      </c>
      <c r="F15">
        <f>'Seaside SAM'!F15</f>
        <v>8.1464088508785171</v>
      </c>
      <c r="G15">
        <f>'Seaside SAM'!G15</f>
        <v>462.58312909804295</v>
      </c>
      <c r="H15">
        <f>'Seaside SAM'!H15</f>
        <v>1.1926153660736463</v>
      </c>
      <c r="I15">
        <f>'Seaside SAM'!I15</f>
        <v>1.8794879133403</v>
      </c>
      <c r="J15">
        <f>'Seaside SAM'!J15</f>
        <v>51.901942033973249</v>
      </c>
      <c r="K15">
        <f>'Seaside SAM'!K15</f>
        <v>31.96321572877125</v>
      </c>
      <c r="L15">
        <f>'Seaside SAM'!L15</f>
        <v>197.45203354065197</v>
      </c>
      <c r="M15">
        <f>'Seaside SAM'!M15</f>
        <v>36.869656999124473</v>
      </c>
      <c r="N15">
        <f>'Seaside SAM'!N15</f>
        <v>20.96045698872279</v>
      </c>
      <c r="O15">
        <f>'Seaside SAM'!O15</f>
        <v>50.147393281330693</v>
      </c>
      <c r="P15">
        <f>'Seaside SAM'!P15</f>
        <v>3.733132800652756</v>
      </c>
      <c r="Q15">
        <f>'Seaside SAM'!Q15</f>
        <v>2.494423478027616</v>
      </c>
      <c r="R15">
        <f>'Seaside SAM'!R15</f>
        <v>1.6838208088915767</v>
      </c>
      <c r="S15">
        <f>'Seaside SAM'!S15</f>
        <v>2.059428595229718</v>
      </c>
      <c r="T15">
        <f>'Seaside SAM'!T15</f>
        <v>90.938221494378396</v>
      </c>
      <c r="U15">
        <f>'Seaside SAM'!U15</f>
        <v>97.566065480195093</v>
      </c>
      <c r="V15">
        <f>'Seaside SAM'!V15</f>
        <v>0</v>
      </c>
      <c r="W15">
        <f>'Seaside SAM'!W15</f>
        <v>0</v>
      </c>
      <c r="X15">
        <f>'Seaside SAM'!X15</f>
        <v>0</v>
      </c>
      <c r="Y15">
        <f>'Seaside SAM'!Y15</f>
        <v>0</v>
      </c>
      <c r="Z15">
        <f>'Seaside SAM'!Z15</f>
        <v>0</v>
      </c>
      <c r="AA15">
        <f>'Seaside SAM'!AA15</f>
        <v>0</v>
      </c>
      <c r="AB15">
        <f>'Seaside SAM'!AB15</f>
        <v>0</v>
      </c>
      <c r="AC15">
        <f>'Seaside SAM'!AC15</f>
        <v>0</v>
      </c>
      <c r="AD15">
        <f>'Seaside SAM'!AD15</f>
        <v>0</v>
      </c>
      <c r="AE15">
        <f>'Seaside SAM'!AE15</f>
        <v>0</v>
      </c>
      <c r="AF15">
        <f>'Seaside SAM'!AF15</f>
        <v>976.86923763367611</v>
      </c>
      <c r="AG15">
        <f>'Seaside SAM'!AG15</f>
        <v>570.81213992644734</v>
      </c>
      <c r="AH15">
        <f>'Seaside SAM'!AH15</f>
        <v>2296.6452267784098</v>
      </c>
      <c r="AI15">
        <f>'Seaside SAM'!AI15</f>
        <v>11542.683625092082</v>
      </c>
      <c r="AJ15">
        <f>'Seaside SAM'!AJ15</f>
        <v>7829.5019784130573</v>
      </c>
      <c r="AK15">
        <f>'Seaside SAM'!AK15</f>
        <v>25398.803970413232</v>
      </c>
      <c r="AL15">
        <f>'Seaside SAM'!AL15</f>
        <v>0</v>
      </c>
      <c r="AM15">
        <f>'Seaside SAM'!AM15</f>
        <v>0</v>
      </c>
      <c r="AN15">
        <f>'Seaside SAM'!AN15</f>
        <v>0</v>
      </c>
      <c r="AO15">
        <f>'Seaside SAM'!AO15</f>
        <v>0</v>
      </c>
      <c r="AP15">
        <f>'Seaside SAM'!AP15</f>
        <v>0</v>
      </c>
      <c r="AQ15">
        <f>'Seaside SAM'!AQ15</f>
        <v>0</v>
      </c>
      <c r="AR15">
        <f>'Seaside SAM'!AR15</f>
        <v>0</v>
      </c>
      <c r="AS15">
        <f>'Seaside SAM'!AS15</f>
        <v>0</v>
      </c>
      <c r="AT15">
        <f>'Seaside SAM'!AT15</f>
        <v>0</v>
      </c>
      <c r="AU15">
        <f>'Seaside SAM'!AU15</f>
        <v>0</v>
      </c>
      <c r="AV15">
        <f>'Seaside SAM'!AV15</f>
        <v>10</v>
      </c>
      <c r="AW15">
        <f>'Seaside SAM'!AW15</f>
        <v>22659.915966866458</v>
      </c>
    </row>
    <row r="16" spans="1:49">
      <c r="A16" t="str">
        <f>'Seaside SAM'!A16</f>
        <v>ag3</v>
      </c>
      <c r="B16">
        <f>'Seaside SAM'!B16</f>
        <v>41.572705236452869</v>
      </c>
      <c r="C16">
        <f>'Seaside SAM'!C16</f>
        <v>1301.2642954512839</v>
      </c>
      <c r="D16">
        <f>'Seaside SAM'!D16</f>
        <v>74.54879994554905</v>
      </c>
      <c r="E16">
        <f>'Seaside SAM'!E16</f>
        <v>28.11637622449215</v>
      </c>
      <c r="F16">
        <f>'Seaside SAM'!F16</f>
        <v>1.2801087344062421</v>
      </c>
      <c r="G16">
        <f>'Seaside SAM'!G16</f>
        <v>333.16745185496012</v>
      </c>
      <c r="H16">
        <f>'Seaside SAM'!H16</f>
        <v>247.03857402969788</v>
      </c>
      <c r="I16">
        <f>'Seaside SAM'!I16</f>
        <v>60.19804385008274</v>
      </c>
      <c r="J16">
        <f>'Seaside SAM'!J16</f>
        <v>701.48869725430006</v>
      </c>
      <c r="K16">
        <f>'Seaside SAM'!K16</f>
        <v>627.64925750046802</v>
      </c>
      <c r="L16">
        <f>'Seaside SAM'!L16</f>
        <v>593.1813667939258</v>
      </c>
      <c r="M16">
        <f>'Seaside SAM'!M16</f>
        <v>74.549506559909645</v>
      </c>
      <c r="N16">
        <f>'Seaside SAM'!N16</f>
        <v>115.17332666861401</v>
      </c>
      <c r="O16">
        <f>'Seaside SAM'!O16</f>
        <v>275.5494363065456</v>
      </c>
      <c r="P16">
        <f>'Seaside SAM'!P16</f>
        <v>773.28183920095489</v>
      </c>
      <c r="Q16">
        <f>'Seaside SAM'!Q16</f>
        <v>112.92014684004617</v>
      </c>
      <c r="R16">
        <f>'Seaside SAM'!R16</f>
        <v>53.931029920373952</v>
      </c>
      <c r="S16">
        <f>'Seaside SAM'!S16</f>
        <v>40.440199748351652</v>
      </c>
      <c r="T16">
        <f>'Seaside SAM'!T16</f>
        <v>273.19474787145322</v>
      </c>
      <c r="U16">
        <f>'Seaside SAM'!U16</f>
        <v>197.27609721764154</v>
      </c>
      <c r="V16">
        <f>'Seaside SAM'!V16</f>
        <v>0</v>
      </c>
      <c r="W16">
        <f>'Seaside SAM'!W16</f>
        <v>0</v>
      </c>
      <c r="X16">
        <f>'Seaside SAM'!X16</f>
        <v>0</v>
      </c>
      <c r="Y16">
        <f>'Seaside SAM'!Y16</f>
        <v>0</v>
      </c>
      <c r="Z16">
        <f>'Seaside SAM'!Z16</f>
        <v>0</v>
      </c>
      <c r="AA16">
        <f>'Seaside SAM'!AA16</f>
        <v>0</v>
      </c>
      <c r="AB16">
        <f>'Seaside SAM'!AB16</f>
        <v>0</v>
      </c>
      <c r="AC16">
        <f>'Seaside SAM'!AC16</f>
        <v>0</v>
      </c>
      <c r="AD16">
        <f>'Seaside SAM'!AD16</f>
        <v>0</v>
      </c>
      <c r="AE16">
        <f>'Seaside SAM'!AE16</f>
        <v>0</v>
      </c>
      <c r="AF16">
        <f>'Seaside SAM'!AF16</f>
        <v>1027.2716511204574</v>
      </c>
      <c r="AG16">
        <f>'Seaside SAM'!AG16</f>
        <v>1.4865435413886028</v>
      </c>
      <c r="AH16">
        <f>'Seaside SAM'!AH16</f>
        <v>7.6869466466045644</v>
      </c>
      <c r="AI16">
        <f>'Seaside SAM'!AI16</f>
        <v>26.994812234712665</v>
      </c>
      <c r="AJ16">
        <f>'Seaside SAM'!AJ16</f>
        <v>15.098126515536899</v>
      </c>
      <c r="AK16">
        <f>'Seaside SAM'!AK16</f>
        <v>57.297374253022376</v>
      </c>
      <c r="AL16">
        <f>'Seaside SAM'!AL16</f>
        <v>0</v>
      </c>
      <c r="AM16">
        <f>'Seaside SAM'!AM16</f>
        <v>0</v>
      </c>
      <c r="AN16">
        <f>'Seaside SAM'!AN16</f>
        <v>0</v>
      </c>
      <c r="AO16">
        <f>'Seaside SAM'!AO16</f>
        <v>0</v>
      </c>
      <c r="AP16">
        <f>'Seaside SAM'!AP16</f>
        <v>0</v>
      </c>
      <c r="AQ16">
        <f>'Seaside SAM'!AQ16</f>
        <v>0</v>
      </c>
      <c r="AR16">
        <f>'Seaside SAM'!AR16</f>
        <v>0</v>
      </c>
      <c r="AS16">
        <f>'Seaside SAM'!AS16</f>
        <v>0</v>
      </c>
      <c r="AT16">
        <f>'Seaside SAM'!AT16</f>
        <v>0</v>
      </c>
      <c r="AU16">
        <f>'Seaside SAM'!AU16</f>
        <v>0</v>
      </c>
      <c r="AV16">
        <f>'Seaside SAM'!AV16</f>
        <v>10</v>
      </c>
      <c r="AW16">
        <f>'Seaside SAM'!AW16</f>
        <v>8066.8736462196357</v>
      </c>
    </row>
    <row r="17" spans="1:49">
      <c r="A17" t="str">
        <f>'Seaside SAM'!A17</f>
        <v>util</v>
      </c>
      <c r="B17">
        <f>'Seaside SAM'!B17</f>
        <v>22.717223763094527</v>
      </c>
      <c r="C17">
        <f>'Seaside SAM'!C17</f>
        <v>555.3706120430827</v>
      </c>
      <c r="D17">
        <f>'Seaside SAM'!D17</f>
        <v>2648.7825051461923</v>
      </c>
      <c r="E17">
        <f>'Seaside SAM'!E17</f>
        <v>637.38857913577772</v>
      </c>
      <c r="F17">
        <f>'Seaside SAM'!F17</f>
        <v>72.580003487151913</v>
      </c>
      <c r="G17">
        <f>'Seaside SAM'!G17</f>
        <v>2662.6994582568623</v>
      </c>
      <c r="H17">
        <f>'Seaside SAM'!H17</f>
        <v>42.070699770647948</v>
      </c>
      <c r="I17">
        <f>'Seaside SAM'!I17</f>
        <v>120.39608770016548</v>
      </c>
      <c r="J17">
        <f>'Seaside SAM'!J17</f>
        <v>1402.9773945086001</v>
      </c>
      <c r="K17">
        <f>'Seaside SAM'!K17</f>
        <v>1255.298515000936</v>
      </c>
      <c r="L17">
        <f>'Seaside SAM'!L17</f>
        <v>1186.3627335878516</v>
      </c>
      <c r="M17">
        <f>'Seaside SAM'!M17</f>
        <v>149.09901311981929</v>
      </c>
      <c r="N17">
        <f>'Seaside SAM'!N17</f>
        <v>230.34665333722802</v>
      </c>
      <c r="O17">
        <f>'Seaside SAM'!O17</f>
        <v>551.0988726130912</v>
      </c>
      <c r="P17">
        <f>'Seaside SAM'!P17</f>
        <v>131.68999304216726</v>
      </c>
      <c r="Q17">
        <f>'Seaside SAM'!Q17</f>
        <v>189.30459424925149</v>
      </c>
      <c r="R17">
        <f>'Seaside SAM'!R17</f>
        <v>107.8620598407479</v>
      </c>
      <c r="S17">
        <f>'Seaside SAM'!S17</f>
        <v>80.880399496703305</v>
      </c>
      <c r="T17">
        <f>'Seaside SAM'!T17</f>
        <v>546.38949574290643</v>
      </c>
      <c r="U17">
        <f>'Seaside SAM'!U17</f>
        <v>394.55219443528307</v>
      </c>
      <c r="V17">
        <f>'Seaside SAM'!V17</f>
        <v>0</v>
      </c>
      <c r="W17">
        <f>'Seaside SAM'!W17</f>
        <v>0</v>
      </c>
      <c r="X17">
        <f>'Seaside SAM'!X17</f>
        <v>0</v>
      </c>
      <c r="Y17">
        <f>'Seaside SAM'!Y17</f>
        <v>0</v>
      </c>
      <c r="Z17">
        <f>'Seaside SAM'!Z17</f>
        <v>0</v>
      </c>
      <c r="AA17">
        <f>'Seaside SAM'!AA17</f>
        <v>0</v>
      </c>
      <c r="AB17">
        <f>'Seaside SAM'!AB17</f>
        <v>0</v>
      </c>
      <c r="AC17">
        <f>'Seaside SAM'!AC17</f>
        <v>0</v>
      </c>
      <c r="AD17">
        <f>'Seaside SAM'!AD17</f>
        <v>0</v>
      </c>
      <c r="AE17">
        <f>'Seaside SAM'!AE17</f>
        <v>0</v>
      </c>
      <c r="AF17">
        <f>'Seaside SAM'!AF17</f>
        <v>37941.211706403177</v>
      </c>
      <c r="AG17">
        <f>'Seaside SAM'!AG17</f>
        <v>302.55031827923767</v>
      </c>
      <c r="AH17">
        <f>'Seaside SAM'!AH17</f>
        <v>2350.9904002020007</v>
      </c>
      <c r="AI17">
        <f>'Seaside SAM'!AI17</f>
        <v>6134.1241926329003</v>
      </c>
      <c r="AJ17">
        <f>'Seaside SAM'!AJ17</f>
        <v>3037.3037733607875</v>
      </c>
      <c r="AK17">
        <f>'Seaside SAM'!AK17</f>
        <v>6150.0060983908361</v>
      </c>
      <c r="AL17">
        <f>'Seaside SAM'!AL17</f>
        <v>0</v>
      </c>
      <c r="AM17">
        <f>'Seaside SAM'!AM17</f>
        <v>0</v>
      </c>
      <c r="AN17">
        <f>'Seaside SAM'!AN17</f>
        <v>0</v>
      </c>
      <c r="AO17">
        <f>'Seaside SAM'!AO17</f>
        <v>0</v>
      </c>
      <c r="AP17">
        <f>'Seaside SAM'!AP17</f>
        <v>0</v>
      </c>
      <c r="AQ17">
        <f>'Seaside SAM'!AQ17</f>
        <v>0</v>
      </c>
      <c r="AR17">
        <f>'Seaside SAM'!AR17</f>
        <v>0</v>
      </c>
      <c r="AS17">
        <f>'Seaside SAM'!AS17</f>
        <v>0</v>
      </c>
      <c r="AT17">
        <f>'Seaside SAM'!AT17</f>
        <v>0</v>
      </c>
      <c r="AU17">
        <f>'Seaside SAM'!AU17</f>
        <v>0</v>
      </c>
      <c r="AV17">
        <f>'Seaside SAM'!AV17</f>
        <v>10</v>
      </c>
      <c r="AW17">
        <f>'Seaside SAM'!AW17</f>
        <v>58.685461088418378</v>
      </c>
    </row>
    <row r="18" spans="1:49">
      <c r="A18" t="str">
        <f>'Seaside SAM'!A18</f>
        <v>const3</v>
      </c>
      <c r="B18">
        <f>'Seaside SAM'!B18</f>
        <v>0.43067846162202156</v>
      </c>
      <c r="C18">
        <f>'Seaside SAM'!C18</f>
        <v>40.058924236411322</v>
      </c>
      <c r="D18">
        <f>'Seaside SAM'!D18</f>
        <v>562.22068072806121</v>
      </c>
      <c r="E18">
        <f>'Seaside SAM'!E18</f>
        <v>20.083385055042573</v>
      </c>
      <c r="F18">
        <f>'Seaside SAM'!F18</f>
        <v>3.9277055548342394</v>
      </c>
      <c r="G18">
        <f>'Seaside SAM'!G18</f>
        <v>223.02960224431311</v>
      </c>
      <c r="H18">
        <f>'Seaside SAM'!H18</f>
        <v>7.378843473325797</v>
      </c>
      <c r="I18">
        <f>'Seaside SAM'!I18</f>
        <v>2.2824972970620601</v>
      </c>
      <c r="J18">
        <f>'Seaside SAM'!J18</f>
        <v>169.62738261832163</v>
      </c>
      <c r="K18">
        <f>'Seaside SAM'!K18</f>
        <v>139.80250011854849</v>
      </c>
      <c r="L18">
        <f>'Seaside SAM'!L18</f>
        <v>136.42010876114855</v>
      </c>
      <c r="M18">
        <f>'Seaside SAM'!M18</f>
        <v>74.59023768707398</v>
      </c>
      <c r="N18">
        <f>'Seaside SAM'!N18</f>
        <v>6.3457901481062553</v>
      </c>
      <c r="O18">
        <f>'Seaside SAM'!O18</f>
        <v>12.664040296189478</v>
      </c>
      <c r="P18">
        <f>'Seaside SAM'!P18</f>
        <v>23.09730646171635</v>
      </c>
      <c r="Q18">
        <f>'Seaside SAM'!Q18</f>
        <v>34.072675270547329</v>
      </c>
      <c r="R18">
        <f>'Seaside SAM'!R18</f>
        <v>2.0448742541798963</v>
      </c>
      <c r="S18">
        <f>'Seaside SAM'!S18</f>
        <v>9.0076439389539793</v>
      </c>
      <c r="T18">
        <f>'Seaside SAM'!T18</f>
        <v>62.829446951501659</v>
      </c>
      <c r="U18">
        <f>'Seaside SAM'!U18</f>
        <v>197.38388167085986</v>
      </c>
      <c r="V18">
        <f>'Seaside SAM'!V18</f>
        <v>480.41462800000011</v>
      </c>
      <c r="W18">
        <f>'Seaside SAM'!W18</f>
        <v>214.50495099999972</v>
      </c>
      <c r="X18">
        <f>'Seaside SAM'!X18</f>
        <v>168.8349190000001</v>
      </c>
      <c r="Y18">
        <f>'Seaside SAM'!Y18</f>
        <v>0</v>
      </c>
      <c r="Z18">
        <f>'Seaside SAM'!Z18</f>
        <v>0</v>
      </c>
      <c r="AA18">
        <f>'Seaside SAM'!AA18</f>
        <v>0</v>
      </c>
      <c r="AB18">
        <f>'Seaside SAM'!AB18</f>
        <v>0</v>
      </c>
      <c r="AC18">
        <f>'Seaside SAM'!AC18</f>
        <v>0</v>
      </c>
      <c r="AD18">
        <f>'Seaside SAM'!AD18</f>
        <v>0</v>
      </c>
      <c r="AE18">
        <f>'Seaside SAM'!AE18</f>
        <v>0</v>
      </c>
      <c r="AF18">
        <f>'Seaside SAM'!AF18</f>
        <v>22690.756679375714</v>
      </c>
      <c r="AG18">
        <f>'Seaside SAM'!AG18</f>
        <v>0</v>
      </c>
      <c r="AH18">
        <f>'Seaside SAM'!AH18</f>
        <v>0</v>
      </c>
      <c r="AI18">
        <f>'Seaside SAM'!AI18</f>
        <v>0</v>
      </c>
      <c r="AJ18">
        <f>'Seaside SAM'!AJ18</f>
        <v>0</v>
      </c>
      <c r="AK18">
        <f>'Seaside SAM'!AK18</f>
        <v>0</v>
      </c>
      <c r="AL18">
        <f>'Seaside SAM'!AL18</f>
        <v>0</v>
      </c>
      <c r="AM18">
        <f>'Seaside SAM'!AM18</f>
        <v>0</v>
      </c>
      <c r="AN18">
        <f>'Seaside SAM'!AN18</f>
        <v>0</v>
      </c>
      <c r="AO18">
        <f>'Seaside SAM'!AO18</f>
        <v>0</v>
      </c>
      <c r="AP18">
        <f>'Seaside SAM'!AP18</f>
        <v>0</v>
      </c>
      <c r="AQ18">
        <f>'Seaside SAM'!AQ18</f>
        <v>0</v>
      </c>
      <c r="AR18">
        <f>'Seaside SAM'!AR18</f>
        <v>0</v>
      </c>
      <c r="AS18">
        <f>'Seaside SAM'!AS18</f>
        <v>0</v>
      </c>
      <c r="AT18">
        <f>'Seaside SAM'!AT18</f>
        <v>0</v>
      </c>
      <c r="AU18">
        <f>'Seaside SAM'!AU18</f>
        <v>0</v>
      </c>
      <c r="AV18">
        <f>'Seaside SAM'!AV18</f>
        <v>10</v>
      </c>
      <c r="AW18">
        <f>'Seaside SAM'!AW18</f>
        <v>15044.41343937847</v>
      </c>
    </row>
    <row r="19" spans="1:49">
      <c r="A19" t="str">
        <f>'Seaside SAM'!A19</f>
        <v>Retail3</v>
      </c>
      <c r="B19">
        <f>'Seaside SAM'!B19</f>
        <v>10.528917212082517</v>
      </c>
      <c r="C19">
        <f>'Seaside SAM'!C19</f>
        <v>20.783171059779463</v>
      </c>
      <c r="D19">
        <f>'Seaside SAM'!D19</f>
        <v>54.410813783208148</v>
      </c>
      <c r="E19">
        <f>'Seaside SAM'!E19</f>
        <v>46.826907685691211</v>
      </c>
      <c r="F19">
        <f>'Seaside SAM'!F19</f>
        <v>1.9649126702009219</v>
      </c>
      <c r="G19">
        <f>'Seaside SAM'!G19</f>
        <v>111.57498574208105</v>
      </c>
      <c r="H19">
        <f>'Seaside SAM'!H19</f>
        <v>0.72827010678217619</v>
      </c>
      <c r="I19">
        <f>'Seaside SAM'!I19</f>
        <v>55.80085195590781</v>
      </c>
      <c r="J19">
        <f>'Seaside SAM'!J19</f>
        <v>12586.262479623192</v>
      </c>
      <c r="K19">
        <f>'Seaside SAM'!K19</f>
        <v>141.8551688366241</v>
      </c>
      <c r="L19">
        <f>'Seaside SAM'!L19</f>
        <v>70.776799687486189</v>
      </c>
      <c r="M19">
        <f>'Seaside SAM'!M19</f>
        <v>7.2187233091122582</v>
      </c>
      <c r="N19">
        <f>'Seaside SAM'!N19</f>
        <v>14.795998216621879</v>
      </c>
      <c r="O19">
        <f>'Seaside SAM'!O19</f>
        <v>6.3354375440110875</v>
      </c>
      <c r="P19">
        <f>'Seaside SAM'!P19</f>
        <v>2.279636084443625</v>
      </c>
      <c r="Q19">
        <f>'Seaside SAM'!Q19</f>
        <v>45.028584088047829</v>
      </c>
      <c r="R19">
        <f>'Seaside SAM'!R19</f>
        <v>49.991614742682124</v>
      </c>
      <c r="S19">
        <f>'Seaside SAM'!S19</f>
        <v>9.1398998637148061</v>
      </c>
      <c r="T19">
        <f>'Seaside SAM'!T19</f>
        <v>32.596859962542474</v>
      </c>
      <c r="U19">
        <f>'Seaside SAM'!U19</f>
        <v>19.10249479882555</v>
      </c>
      <c r="V19">
        <f>'Seaside SAM'!V19</f>
        <v>0</v>
      </c>
      <c r="W19">
        <f>'Seaside SAM'!W19</f>
        <v>0</v>
      </c>
      <c r="X19">
        <f>'Seaside SAM'!X19</f>
        <v>0</v>
      </c>
      <c r="Y19">
        <f>'Seaside SAM'!Y19</f>
        <v>0</v>
      </c>
      <c r="Z19">
        <f>'Seaside SAM'!Z19</f>
        <v>0</v>
      </c>
      <c r="AA19">
        <f>'Seaside SAM'!AA19</f>
        <v>0</v>
      </c>
      <c r="AB19">
        <f>'Seaside SAM'!AB19</f>
        <v>0</v>
      </c>
      <c r="AC19">
        <f>'Seaside SAM'!AC19</f>
        <v>0</v>
      </c>
      <c r="AD19">
        <f>'Seaside SAM'!AD19</f>
        <v>0</v>
      </c>
      <c r="AE19">
        <f>'Seaside SAM'!AE19</f>
        <v>0</v>
      </c>
      <c r="AF19">
        <f>'Seaside SAM'!AF19</f>
        <v>0</v>
      </c>
      <c r="AG19">
        <f>'Seaside SAM'!AG19</f>
        <v>185.81794267357532</v>
      </c>
      <c r="AH19">
        <f>'Seaside SAM'!AH19</f>
        <v>436.75833219344111</v>
      </c>
      <c r="AI19">
        <f>'Seaside SAM'!AI19</f>
        <v>1533.7961496995831</v>
      </c>
      <c r="AJ19">
        <f>'Seaside SAM'!AJ19</f>
        <v>674.02350515789738</v>
      </c>
      <c r="AK19">
        <f>'Seaside SAM'!AK19</f>
        <v>3255.5326280126351</v>
      </c>
      <c r="AL19">
        <f>'Seaside SAM'!AL19</f>
        <v>0</v>
      </c>
      <c r="AM19">
        <f>'Seaside SAM'!AM19</f>
        <v>0</v>
      </c>
      <c r="AN19">
        <f>'Seaside SAM'!AN19</f>
        <v>0</v>
      </c>
      <c r="AO19">
        <f>'Seaside SAM'!AO19</f>
        <v>0</v>
      </c>
      <c r="AP19">
        <f>'Seaside SAM'!AP19</f>
        <v>0</v>
      </c>
      <c r="AQ19">
        <f>'Seaside SAM'!AQ19</f>
        <v>0</v>
      </c>
      <c r="AR19">
        <f>'Seaside SAM'!AR19</f>
        <v>0</v>
      </c>
      <c r="AS19">
        <f>'Seaside SAM'!AS19</f>
        <v>0</v>
      </c>
      <c r="AT19">
        <f>'Seaside SAM'!AT19</f>
        <v>0</v>
      </c>
      <c r="AU19">
        <f>'Seaside SAM'!AU19</f>
        <v>0</v>
      </c>
      <c r="AV19">
        <f>'Seaside SAM'!AV19</f>
        <v>10</v>
      </c>
      <c r="AW19">
        <f>'Seaside SAM'!AW19</f>
        <v>271.51425229576125</v>
      </c>
    </row>
    <row r="20" spans="1:49">
      <c r="A20" t="str">
        <f>'Seaside SAM'!A20</f>
        <v>Serv3</v>
      </c>
      <c r="B20">
        <f>'Seaside SAM'!B20</f>
        <v>159.56852387365868</v>
      </c>
      <c r="C20">
        <f>'Seaside SAM'!C20</f>
        <v>257.88131707472064</v>
      </c>
      <c r="D20">
        <f>'Seaside SAM'!D20</f>
        <v>521.28226603146823</v>
      </c>
      <c r="E20">
        <f>'Seaside SAM'!E20</f>
        <v>436.64921703007906</v>
      </c>
      <c r="F20">
        <f>'Seaside SAM'!F20</f>
        <v>19.958181506868801</v>
      </c>
      <c r="G20">
        <f>'Seaside SAM'!G20</f>
        <v>1133.2991286778397</v>
      </c>
      <c r="H20">
        <f>'Seaside SAM'!H20</f>
        <v>16.064276021308849</v>
      </c>
      <c r="I20">
        <f>'Seaside SAM'!I20</f>
        <v>84.567666343495091</v>
      </c>
      <c r="J20">
        <f>'Seaside SAM'!J20</f>
        <v>214.21811226951331</v>
      </c>
      <c r="K20">
        <f>'Seaside SAM'!K20</f>
        <v>856.9625216122987</v>
      </c>
      <c r="L20">
        <f>'Seaside SAM'!L20</f>
        <v>878.21123490941875</v>
      </c>
      <c r="M20">
        <f>'Seaside SAM'!M20</f>
        <v>69.158907628570034</v>
      </c>
      <c r="N20">
        <f>'Seaside SAM'!N20</f>
        <v>137.96898739996359</v>
      </c>
      <c r="O20">
        <f>'Seaside SAM'!O20</f>
        <v>64.350856069280113</v>
      </c>
      <c r="P20">
        <f>'Seaside SAM'!P20</f>
        <v>50.284507008594389</v>
      </c>
      <c r="Q20">
        <f>'Seaside SAM'!Q20</f>
        <v>11.786831135418455</v>
      </c>
      <c r="R20">
        <f>'Seaside SAM'!R20</f>
        <v>75.763613768339511</v>
      </c>
      <c r="S20">
        <f>'Seaside SAM'!S20</f>
        <v>55.215130324322317</v>
      </c>
      <c r="T20">
        <f>'Seaside SAM'!T20</f>
        <v>404.46768952927442</v>
      </c>
      <c r="U20">
        <f>'Seaside SAM'!U20</f>
        <v>183.0112634459295</v>
      </c>
      <c r="V20">
        <f>'Seaside SAM'!V20</f>
        <v>0</v>
      </c>
      <c r="W20">
        <f>'Seaside SAM'!W20</f>
        <v>0</v>
      </c>
      <c r="X20">
        <f>'Seaside SAM'!X20</f>
        <v>0</v>
      </c>
      <c r="Y20">
        <f>'Seaside SAM'!Y20</f>
        <v>0</v>
      </c>
      <c r="Z20">
        <f>'Seaside SAM'!Z20</f>
        <v>0</v>
      </c>
      <c r="AA20">
        <f>'Seaside SAM'!AA20</f>
        <v>0</v>
      </c>
      <c r="AB20">
        <f>'Seaside SAM'!AB20</f>
        <v>0</v>
      </c>
      <c r="AC20">
        <f>'Seaside SAM'!AC20</f>
        <v>0</v>
      </c>
      <c r="AD20">
        <f>'Seaside SAM'!AD20</f>
        <v>0</v>
      </c>
      <c r="AE20">
        <f>'Seaside SAM'!AE20</f>
        <v>0</v>
      </c>
      <c r="AF20">
        <f>'Seaside SAM'!AF20</f>
        <v>29785.04597964522</v>
      </c>
      <c r="AG20">
        <f>'Seaside SAM'!AG20</f>
        <v>247.52964148749712</v>
      </c>
      <c r="AH20">
        <f>'Seaside SAM'!AH20</f>
        <v>1140.0621478468065</v>
      </c>
      <c r="AI20">
        <f>'Seaside SAM'!AI20</f>
        <v>4547.76670320216</v>
      </c>
      <c r="AJ20">
        <f>'Seaside SAM'!AJ20</f>
        <v>2603.7924171644522</v>
      </c>
      <c r="AK20">
        <f>'Seaside SAM'!AK20</f>
        <v>8981.7919076775179</v>
      </c>
      <c r="AL20">
        <f>'Seaside SAM'!AL20</f>
        <v>0</v>
      </c>
      <c r="AM20">
        <f>'Seaside SAM'!AM20</f>
        <v>0</v>
      </c>
      <c r="AN20">
        <f>'Seaside SAM'!AN20</f>
        <v>0</v>
      </c>
      <c r="AO20">
        <f>'Seaside SAM'!AO20</f>
        <v>0</v>
      </c>
      <c r="AP20">
        <f>'Seaside SAM'!AP20</f>
        <v>0</v>
      </c>
      <c r="AQ20">
        <f>'Seaside SAM'!AQ20</f>
        <v>0</v>
      </c>
      <c r="AR20">
        <f>'Seaside SAM'!AR20</f>
        <v>0</v>
      </c>
      <c r="AS20">
        <f>'Seaside SAM'!AS20</f>
        <v>0</v>
      </c>
      <c r="AT20">
        <f>'Seaside SAM'!AT20</f>
        <v>0</v>
      </c>
      <c r="AU20">
        <f>'Seaside SAM'!AU20</f>
        <v>0</v>
      </c>
      <c r="AV20">
        <f>'Seaside SAM'!AV20</f>
        <v>10</v>
      </c>
      <c r="AW20">
        <f>'Seaside SAM'!AW20</f>
        <v>49799.719589344139</v>
      </c>
    </row>
    <row r="21" spans="1:49">
      <c r="A21" t="str">
        <f>'Seaside SAM'!A21</f>
        <v>HC3</v>
      </c>
      <c r="B21">
        <f>'Seaside SAM'!B21</f>
        <v>100.98853722793699</v>
      </c>
      <c r="C21">
        <f>'Seaside SAM'!C21</f>
        <v>2006.5038547546953</v>
      </c>
      <c r="D21">
        <f>'Seaside SAM'!D21</f>
        <v>6827.7550212849737</v>
      </c>
      <c r="E21">
        <f>'Seaside SAM'!E21</f>
        <v>3196.1447222682796</v>
      </c>
      <c r="F21">
        <f>'Seaside SAM'!F21</f>
        <v>141.94239224741605</v>
      </c>
      <c r="G21">
        <f>'Seaside SAM'!G21</f>
        <v>8060.0123513799153</v>
      </c>
      <c r="H21">
        <f>'Seaside SAM'!H21</f>
        <v>2.4581212398881058E-2</v>
      </c>
      <c r="I21">
        <f>'Seaside SAM'!I21</f>
        <v>535.21613871491343</v>
      </c>
      <c r="J21">
        <f>'Seaside SAM'!J21</f>
        <v>5668.7966429839616</v>
      </c>
      <c r="K21">
        <f>'Seaside SAM'!K21</f>
        <v>1597.1547476529029</v>
      </c>
      <c r="L21">
        <f>'Seaside SAM'!L21</f>
        <v>6833.1209415378271</v>
      </c>
      <c r="M21">
        <f>'Seaside SAM'!M21</f>
        <v>905.84335895870936</v>
      </c>
      <c r="N21">
        <f>'Seaside SAM'!N21</f>
        <v>1009.8926866613751</v>
      </c>
      <c r="O21">
        <f>'Seaside SAM'!O21</f>
        <v>457.6626608240424</v>
      </c>
      <c r="P21">
        <f>'Seaside SAM'!P21</f>
        <v>7.6944279686908243E-2</v>
      </c>
      <c r="Q21">
        <f>'Seaside SAM'!Q21</f>
        <v>1.247211739013808</v>
      </c>
      <c r="R21">
        <f>'Seaside SAM'!R21</f>
        <v>479.49660395586653</v>
      </c>
      <c r="S21">
        <f>'Seaside SAM'!S21</f>
        <v>102.90660946741167</v>
      </c>
      <c r="T21">
        <f>'Seaside SAM'!T21</f>
        <v>3147.0522462434328</v>
      </c>
      <c r="U21">
        <f>'Seaside SAM'!U21</f>
        <v>1198.5407468947162</v>
      </c>
      <c r="V21">
        <f>'Seaside SAM'!V21</f>
        <v>0</v>
      </c>
      <c r="W21">
        <f>'Seaside SAM'!W21</f>
        <v>0</v>
      </c>
      <c r="X21">
        <f>'Seaside SAM'!X21</f>
        <v>0</v>
      </c>
      <c r="Y21">
        <f>'Seaside SAM'!Y21</f>
        <v>0</v>
      </c>
      <c r="Z21">
        <f>'Seaside SAM'!Z21</f>
        <v>0</v>
      </c>
      <c r="AA21">
        <f>'Seaside SAM'!AA21</f>
        <v>0</v>
      </c>
      <c r="AB21">
        <f>'Seaside SAM'!AB21</f>
        <v>0</v>
      </c>
      <c r="AC21">
        <f>'Seaside SAM'!AC21</f>
        <v>0</v>
      </c>
      <c r="AD21">
        <f>'Seaside SAM'!AD21</f>
        <v>0</v>
      </c>
      <c r="AE21">
        <f>'Seaside SAM'!AE21</f>
        <v>0</v>
      </c>
      <c r="AF21">
        <f>'Seaside SAM'!AF21</f>
        <v>1517.6493102333889</v>
      </c>
      <c r="AG21">
        <f>'Seaside SAM'!AG21</f>
        <v>305.40050183499625</v>
      </c>
      <c r="AH21">
        <f>'Seaside SAM'!AH21</f>
        <v>1621.0048002920062</v>
      </c>
      <c r="AI21">
        <f>'Seaside SAM'!AI21</f>
        <v>6410.5105360062107</v>
      </c>
      <c r="AJ21">
        <f>'Seaside SAM'!AJ21</f>
        <v>3655.2229552770955</v>
      </c>
      <c r="AK21">
        <f>'Seaside SAM'!AK21</f>
        <v>10702.301234735434</v>
      </c>
      <c r="AL21">
        <f>'Seaside SAM'!AL21</f>
        <v>0</v>
      </c>
      <c r="AM21">
        <f>'Seaside SAM'!AM21</f>
        <v>0</v>
      </c>
      <c r="AN21">
        <f>'Seaside SAM'!AN21</f>
        <v>0</v>
      </c>
      <c r="AO21">
        <f>'Seaside SAM'!AO21</f>
        <v>0</v>
      </c>
      <c r="AP21">
        <f>'Seaside SAM'!AP21</f>
        <v>0</v>
      </c>
      <c r="AQ21">
        <f>'Seaside SAM'!AQ21</f>
        <v>0</v>
      </c>
      <c r="AR21">
        <f>'Seaside SAM'!AR21</f>
        <v>0</v>
      </c>
      <c r="AS21">
        <f>'Seaside SAM'!AS21</f>
        <v>0</v>
      </c>
      <c r="AT21">
        <f>'Seaside SAM'!AT21</f>
        <v>0</v>
      </c>
      <c r="AU21">
        <f>'Seaside SAM'!AU21</f>
        <v>0</v>
      </c>
      <c r="AV21">
        <f>'Seaside SAM'!AV21</f>
        <v>0</v>
      </c>
      <c r="AW21">
        <f>'Seaside SAM'!AW21</f>
        <v>5167.8513323865627</v>
      </c>
    </row>
    <row r="22" spans="1:49">
      <c r="A22" t="str">
        <f>'Seaside SAM'!A22</f>
        <v>HS1</v>
      </c>
      <c r="B22">
        <f>'Seaside SAM'!B22</f>
        <v>0</v>
      </c>
      <c r="C22">
        <f>'Seaside SAM'!C22</f>
        <v>0</v>
      </c>
      <c r="D22">
        <f>'Seaside SAM'!D22</f>
        <v>0</v>
      </c>
      <c r="E22">
        <f>'Seaside SAM'!E22</f>
        <v>0</v>
      </c>
      <c r="F22">
        <f>'Seaside SAM'!F22</f>
        <v>0</v>
      </c>
      <c r="G22">
        <f>'Seaside SAM'!G22</f>
        <v>0</v>
      </c>
      <c r="H22">
        <f>'Seaside SAM'!H22</f>
        <v>0</v>
      </c>
      <c r="I22">
        <f>'Seaside SAM'!I22</f>
        <v>0</v>
      </c>
      <c r="J22">
        <f>'Seaside SAM'!J22</f>
        <v>0</v>
      </c>
      <c r="K22">
        <f>'Seaside SAM'!K22</f>
        <v>0</v>
      </c>
      <c r="L22">
        <f>'Seaside SAM'!L22</f>
        <v>0</v>
      </c>
      <c r="M22">
        <f>'Seaside SAM'!M22</f>
        <v>0</v>
      </c>
      <c r="N22">
        <f>'Seaside SAM'!N22</f>
        <v>0</v>
      </c>
      <c r="O22">
        <f>'Seaside SAM'!O22</f>
        <v>0</v>
      </c>
      <c r="P22">
        <f>'Seaside SAM'!P22</f>
        <v>0</v>
      </c>
      <c r="Q22">
        <f>'Seaside SAM'!Q22</f>
        <v>0</v>
      </c>
      <c r="R22">
        <f>'Seaside SAM'!R22</f>
        <v>0</v>
      </c>
      <c r="S22">
        <f>'Seaside SAM'!S22</f>
        <v>0</v>
      </c>
      <c r="T22">
        <f>'Seaside SAM'!T22</f>
        <v>0</v>
      </c>
      <c r="U22">
        <f>'Seaside SAM'!U22</f>
        <v>0</v>
      </c>
      <c r="V22">
        <f>'Seaside SAM'!V22</f>
        <v>0</v>
      </c>
      <c r="W22">
        <f>'Seaside SAM'!W22</f>
        <v>0</v>
      </c>
      <c r="X22">
        <f>'Seaside SAM'!X22</f>
        <v>0</v>
      </c>
      <c r="Y22">
        <f>'Seaside SAM'!Y22</f>
        <v>0</v>
      </c>
      <c r="Z22">
        <f>'Seaside SAM'!Z22</f>
        <v>0</v>
      </c>
      <c r="AA22">
        <f>'Seaside SAM'!AA22</f>
        <v>0</v>
      </c>
      <c r="AB22">
        <f>'Seaside SAM'!AB22</f>
        <v>0</v>
      </c>
      <c r="AC22">
        <f>'Seaside SAM'!AC22</f>
        <v>0</v>
      </c>
      <c r="AD22">
        <f>'Seaside SAM'!AD22</f>
        <v>0</v>
      </c>
      <c r="AE22">
        <f>'Seaside SAM'!AE22</f>
        <v>0</v>
      </c>
      <c r="AF22">
        <f>'Seaside SAM'!AF22</f>
        <v>0</v>
      </c>
      <c r="AG22">
        <f>'Seaside SAM'!AG22</f>
        <v>209.56704082101228</v>
      </c>
      <c r="AH22">
        <f>'Seaside SAM'!AH22</f>
        <v>2513.7322278030183</v>
      </c>
      <c r="AI22">
        <f>'Seaside SAM'!AI22</f>
        <v>12024.561345523933</v>
      </c>
      <c r="AJ22">
        <f>'Seaside SAM'!AJ22</f>
        <v>7424.919230381357</v>
      </c>
      <c r="AK22">
        <f>'Seaside SAM'!AK22</f>
        <v>25868.682955470682</v>
      </c>
      <c r="AL22">
        <f>'Seaside SAM'!AL22</f>
        <v>0</v>
      </c>
      <c r="AM22">
        <f>'Seaside SAM'!AM22</f>
        <v>0</v>
      </c>
      <c r="AN22">
        <f>'Seaside SAM'!AN22</f>
        <v>0</v>
      </c>
      <c r="AO22">
        <f>'Seaside SAM'!AO22</f>
        <v>0</v>
      </c>
      <c r="AP22">
        <f>'Seaside SAM'!AP22</f>
        <v>0</v>
      </c>
      <c r="AQ22">
        <f>'Seaside SAM'!AQ22</f>
        <v>0</v>
      </c>
      <c r="AR22">
        <f>'Seaside SAM'!AR22</f>
        <v>0</v>
      </c>
      <c r="AS22">
        <f>'Seaside SAM'!AS22</f>
        <v>0</v>
      </c>
      <c r="AT22">
        <f>'Seaside SAM'!AT22</f>
        <v>0</v>
      </c>
      <c r="AU22">
        <f>'Seaside SAM'!AU22</f>
        <v>0</v>
      </c>
      <c r="AV22">
        <f>'Seaside SAM'!AV22</f>
        <v>0</v>
      </c>
      <c r="AW22">
        <f>'Seaside SAM'!AW22</f>
        <v>0</v>
      </c>
    </row>
    <row r="23" spans="1:49">
      <c r="A23" t="str">
        <f>'Seaside SAM'!A23</f>
        <v>HS2</v>
      </c>
      <c r="B23">
        <f>'Seaside SAM'!B23</f>
        <v>0</v>
      </c>
      <c r="C23">
        <f>'Seaside SAM'!C23</f>
        <v>0</v>
      </c>
      <c r="D23">
        <f>'Seaside SAM'!D23</f>
        <v>0</v>
      </c>
      <c r="E23">
        <f>'Seaside SAM'!E23</f>
        <v>0</v>
      </c>
      <c r="F23">
        <f>'Seaside SAM'!F23</f>
        <v>0</v>
      </c>
      <c r="G23">
        <f>'Seaside SAM'!G23</f>
        <v>0</v>
      </c>
      <c r="H23">
        <f>'Seaside SAM'!H23</f>
        <v>0</v>
      </c>
      <c r="I23">
        <f>'Seaside SAM'!I23</f>
        <v>0</v>
      </c>
      <c r="J23">
        <f>'Seaside SAM'!J23</f>
        <v>0</v>
      </c>
      <c r="K23">
        <f>'Seaside SAM'!K23</f>
        <v>0</v>
      </c>
      <c r="L23">
        <f>'Seaside SAM'!L23</f>
        <v>0</v>
      </c>
      <c r="M23">
        <f>'Seaside SAM'!M23</f>
        <v>0</v>
      </c>
      <c r="N23">
        <f>'Seaside SAM'!N23</f>
        <v>0</v>
      </c>
      <c r="O23">
        <f>'Seaside SAM'!O23</f>
        <v>0</v>
      </c>
      <c r="P23">
        <f>'Seaside SAM'!P23</f>
        <v>0</v>
      </c>
      <c r="Q23">
        <f>'Seaside SAM'!Q23</f>
        <v>0</v>
      </c>
      <c r="R23">
        <f>'Seaside SAM'!R23</f>
        <v>0</v>
      </c>
      <c r="S23">
        <f>'Seaside SAM'!S23</f>
        <v>0</v>
      </c>
      <c r="T23">
        <f>'Seaside SAM'!T23</f>
        <v>0</v>
      </c>
      <c r="U23">
        <f>'Seaside SAM'!U23</f>
        <v>0</v>
      </c>
      <c r="V23">
        <f>'Seaside SAM'!V23</f>
        <v>0</v>
      </c>
      <c r="W23">
        <f>'Seaside SAM'!W23</f>
        <v>0</v>
      </c>
      <c r="X23">
        <f>'Seaside SAM'!X23</f>
        <v>0</v>
      </c>
      <c r="Y23">
        <f>'Seaside SAM'!Y23</f>
        <v>0</v>
      </c>
      <c r="Z23">
        <f>'Seaside SAM'!Z23</f>
        <v>0</v>
      </c>
      <c r="AA23">
        <f>'Seaside SAM'!AA23</f>
        <v>0</v>
      </c>
      <c r="AB23">
        <f>'Seaside SAM'!AB23</f>
        <v>0</v>
      </c>
      <c r="AC23">
        <f>'Seaside SAM'!AC23</f>
        <v>0</v>
      </c>
      <c r="AD23">
        <f>'Seaside SAM'!AD23</f>
        <v>0</v>
      </c>
      <c r="AE23">
        <f>'Seaside SAM'!AE23</f>
        <v>0</v>
      </c>
      <c r="AF23">
        <f>'Seaside SAM'!AF23</f>
        <v>0</v>
      </c>
      <c r="AG23">
        <f>'Seaside SAM'!AG23</f>
        <v>93.571605031406818</v>
      </c>
      <c r="AH23">
        <f>'Seaside SAM'!AH23</f>
        <v>1122.3804957745942</v>
      </c>
      <c r="AI23">
        <f>'Seaside SAM'!AI23</f>
        <v>5368.9621253957848</v>
      </c>
      <c r="AJ23">
        <f>'Seaside SAM'!AJ23</f>
        <v>3315.2236482106255</v>
      </c>
      <c r="AK23">
        <f>'Seaside SAM'!AK23</f>
        <v>11550.35722558759</v>
      </c>
      <c r="AL23">
        <f>'Seaside SAM'!AL23</f>
        <v>0</v>
      </c>
      <c r="AM23">
        <f>'Seaside SAM'!AM23</f>
        <v>0</v>
      </c>
      <c r="AN23">
        <f>'Seaside SAM'!AN23</f>
        <v>0</v>
      </c>
      <c r="AO23">
        <f>'Seaside SAM'!AO23</f>
        <v>0</v>
      </c>
      <c r="AP23">
        <f>'Seaside SAM'!AP23</f>
        <v>0</v>
      </c>
      <c r="AQ23">
        <f>'Seaside SAM'!AQ23</f>
        <v>0</v>
      </c>
      <c r="AR23">
        <f>'Seaside SAM'!AR23</f>
        <v>0</v>
      </c>
      <c r="AS23">
        <f>'Seaside SAM'!AS23</f>
        <v>0</v>
      </c>
      <c r="AT23">
        <f>'Seaside SAM'!AT23</f>
        <v>0</v>
      </c>
      <c r="AU23">
        <f>'Seaside SAM'!AU23</f>
        <v>0</v>
      </c>
      <c r="AV23">
        <f>'Seaside SAM'!AV23</f>
        <v>0</v>
      </c>
      <c r="AW23">
        <f>'Seaside SAM'!AW23</f>
        <v>0</v>
      </c>
    </row>
    <row r="24" spans="1:49">
      <c r="A24" t="str">
        <f>'Seaside SAM'!A24</f>
        <v>HS3</v>
      </c>
      <c r="B24">
        <f>'Seaside SAM'!B24</f>
        <v>0</v>
      </c>
      <c r="C24">
        <f>'Seaside SAM'!C24</f>
        <v>0</v>
      </c>
      <c r="D24">
        <f>'Seaside SAM'!D24</f>
        <v>0</v>
      </c>
      <c r="E24">
        <f>'Seaside SAM'!E24</f>
        <v>0</v>
      </c>
      <c r="F24">
        <f>'Seaside SAM'!F24</f>
        <v>0</v>
      </c>
      <c r="G24">
        <f>'Seaside SAM'!G24</f>
        <v>0</v>
      </c>
      <c r="H24">
        <f>'Seaside SAM'!H24</f>
        <v>0</v>
      </c>
      <c r="I24">
        <f>'Seaside SAM'!I24</f>
        <v>0</v>
      </c>
      <c r="J24">
        <f>'Seaside SAM'!J24</f>
        <v>0</v>
      </c>
      <c r="K24">
        <f>'Seaside SAM'!K24</f>
        <v>0</v>
      </c>
      <c r="L24">
        <f>'Seaside SAM'!L24</f>
        <v>0</v>
      </c>
      <c r="M24">
        <f>'Seaside SAM'!M24</f>
        <v>0</v>
      </c>
      <c r="N24">
        <f>'Seaside SAM'!N24</f>
        <v>0</v>
      </c>
      <c r="O24">
        <f>'Seaside SAM'!O24</f>
        <v>0</v>
      </c>
      <c r="P24">
        <f>'Seaside SAM'!P24</f>
        <v>0</v>
      </c>
      <c r="Q24">
        <f>'Seaside SAM'!Q24</f>
        <v>0</v>
      </c>
      <c r="R24">
        <f>'Seaside SAM'!R24</f>
        <v>0</v>
      </c>
      <c r="S24">
        <f>'Seaside SAM'!S24</f>
        <v>0</v>
      </c>
      <c r="T24">
        <f>'Seaside SAM'!T24</f>
        <v>0</v>
      </c>
      <c r="U24">
        <f>'Seaside SAM'!U24</f>
        <v>0</v>
      </c>
      <c r="V24">
        <f>'Seaside SAM'!V24</f>
        <v>0</v>
      </c>
      <c r="W24">
        <f>'Seaside SAM'!W24</f>
        <v>0</v>
      </c>
      <c r="X24">
        <f>'Seaside SAM'!X24</f>
        <v>0</v>
      </c>
      <c r="Y24">
        <f>'Seaside SAM'!Y24</f>
        <v>0</v>
      </c>
      <c r="Z24">
        <f>'Seaside SAM'!Z24</f>
        <v>0</v>
      </c>
      <c r="AA24">
        <f>'Seaside SAM'!AA24</f>
        <v>0</v>
      </c>
      <c r="AB24">
        <f>'Seaside SAM'!AB24</f>
        <v>0</v>
      </c>
      <c r="AC24">
        <f>'Seaside SAM'!AC24</f>
        <v>0</v>
      </c>
      <c r="AD24">
        <f>'Seaside SAM'!AD24</f>
        <v>0</v>
      </c>
      <c r="AE24">
        <f>'Seaside SAM'!AE24</f>
        <v>0</v>
      </c>
      <c r="AF24">
        <f>'Seaside SAM'!AF24</f>
        <v>0</v>
      </c>
      <c r="AG24">
        <f>'Seaside SAM'!AG24</f>
        <v>73.649369315385002</v>
      </c>
      <c r="AH24">
        <f>'Seaside SAM'!AH24</f>
        <v>883.41560046920995</v>
      </c>
      <c r="AI24">
        <f>'Seaside SAM'!AI24</f>
        <v>4225.8618336285635</v>
      </c>
      <c r="AJ24">
        <f>'Seaside SAM'!AJ24</f>
        <v>2609.3827368699081</v>
      </c>
      <c r="AK24">
        <f>'Seaside SAM'!AK24</f>
        <v>9091.182359716935</v>
      </c>
      <c r="AL24">
        <f>'Seaside SAM'!AL24</f>
        <v>0</v>
      </c>
      <c r="AM24">
        <f>'Seaside SAM'!AM24</f>
        <v>0</v>
      </c>
      <c r="AN24">
        <f>'Seaside SAM'!AN24</f>
        <v>0</v>
      </c>
      <c r="AO24">
        <f>'Seaside SAM'!AO24</f>
        <v>0</v>
      </c>
      <c r="AP24">
        <f>'Seaside SAM'!AP24</f>
        <v>0</v>
      </c>
      <c r="AQ24">
        <f>'Seaside SAM'!AQ24</f>
        <v>0</v>
      </c>
      <c r="AR24">
        <f>'Seaside SAM'!AR24</f>
        <v>0</v>
      </c>
      <c r="AS24">
        <f>'Seaside SAM'!AS24</f>
        <v>0</v>
      </c>
      <c r="AT24">
        <f>'Seaside SAM'!AT24</f>
        <v>0</v>
      </c>
      <c r="AU24">
        <f>'Seaside SAM'!AU24</f>
        <v>0</v>
      </c>
      <c r="AV24">
        <f>'Seaside SAM'!AV24</f>
        <v>0</v>
      </c>
      <c r="AW24">
        <f>'Seaside SAM'!AW24</f>
        <v>0</v>
      </c>
    </row>
    <row r="25" spans="1:49">
      <c r="A25" t="str">
        <f>'Seaside SAM'!A25</f>
        <v>L1</v>
      </c>
      <c r="B25">
        <f>'Seaside SAM'!B25</f>
        <v>37.371327619628907</v>
      </c>
      <c r="C25">
        <f>'Seaside SAM'!C25</f>
        <v>427.63943343492764</v>
      </c>
      <c r="D25">
        <f>'Seaside SAM'!D25</f>
        <v>582.64214399688444</v>
      </c>
      <c r="E25">
        <f>'Seaside SAM'!E25</f>
        <v>404.58340506422115</v>
      </c>
      <c r="F25">
        <f>'Seaside SAM'!F25</f>
        <v>90.994013697130924</v>
      </c>
      <c r="G25">
        <f>'Seaside SAM'!G25</f>
        <v>1071.6333002655404</v>
      </c>
      <c r="H25">
        <f>'Seaside SAM'!H25</f>
        <v>110.5515</v>
      </c>
      <c r="I25">
        <f>'Seaside SAM'!I25</f>
        <v>163.49955833587646</v>
      </c>
      <c r="J25">
        <f>'Seaside SAM'!J25</f>
        <v>427.77303070449835</v>
      </c>
      <c r="K25">
        <f>'Seaside SAM'!K25</f>
        <v>959.58116770764252</v>
      </c>
      <c r="L25">
        <f>'Seaside SAM'!L25</f>
        <v>714.78778490339425</v>
      </c>
      <c r="M25">
        <f>'Seaside SAM'!M25</f>
        <v>120.66522607178527</v>
      </c>
      <c r="N25">
        <f>'Seaside SAM'!N25</f>
        <v>238.85928595496867</v>
      </c>
      <c r="O25">
        <f>'Seaside SAM'!O25</f>
        <v>129.89494548673215</v>
      </c>
      <c r="P25">
        <f>'Seaside SAM'!P25</f>
        <v>22.110300000000002</v>
      </c>
      <c r="Q25">
        <f>'Seaside SAM'!Q25</f>
        <v>8.4816001739501949</v>
      </c>
      <c r="R25">
        <f>'Seaside SAM'!R25</f>
        <v>149.48531047851563</v>
      </c>
      <c r="S25">
        <f>'Seaside SAM'!S25</f>
        <v>5.2151150418893613</v>
      </c>
      <c r="T25">
        <f>'Seaside SAM'!T25</f>
        <v>330.36410226627464</v>
      </c>
      <c r="U25">
        <f>'Seaside SAM'!U25</f>
        <v>92.273408172541679</v>
      </c>
      <c r="V25">
        <f>'Seaside SAM'!V25</f>
        <v>0</v>
      </c>
      <c r="W25">
        <f>'Seaside SAM'!W25</f>
        <v>0</v>
      </c>
      <c r="X25">
        <f>'Seaside SAM'!X25</f>
        <v>0</v>
      </c>
      <c r="Y25">
        <f>'Seaside SAM'!Y25</f>
        <v>0</v>
      </c>
      <c r="Z25">
        <f>'Seaside SAM'!Z25</f>
        <v>0</v>
      </c>
      <c r="AA25">
        <f>'Seaside SAM'!AA25</f>
        <v>0</v>
      </c>
      <c r="AB25">
        <f>'Seaside SAM'!AB25</f>
        <v>0</v>
      </c>
      <c r="AC25">
        <f>'Seaside SAM'!AC25</f>
        <v>0</v>
      </c>
      <c r="AD25">
        <f>'Seaside SAM'!AD25</f>
        <v>0</v>
      </c>
      <c r="AE25">
        <f>'Seaside SAM'!AE25</f>
        <v>0</v>
      </c>
      <c r="AF25">
        <f>'Seaside SAM'!AF25</f>
        <v>0</v>
      </c>
      <c r="AG25">
        <f>'Seaside SAM'!AG25</f>
        <v>0</v>
      </c>
      <c r="AH25">
        <f>'Seaside SAM'!AH25</f>
        <v>0</v>
      </c>
      <c r="AI25">
        <f>'Seaside SAM'!AI25</f>
        <v>0</v>
      </c>
      <c r="AJ25">
        <f>'Seaside SAM'!AJ25</f>
        <v>0</v>
      </c>
      <c r="AK25">
        <f>'Seaside SAM'!AK25</f>
        <v>0</v>
      </c>
      <c r="AL25">
        <f>'Seaside SAM'!AL25</f>
        <v>0</v>
      </c>
      <c r="AM25">
        <f>'Seaside SAM'!AM25</f>
        <v>0</v>
      </c>
      <c r="AN25">
        <f>'Seaside SAM'!AN25</f>
        <v>0</v>
      </c>
      <c r="AO25">
        <f>'Seaside SAM'!AO25</f>
        <v>0</v>
      </c>
      <c r="AP25">
        <f>'Seaside SAM'!AP25</f>
        <v>0</v>
      </c>
      <c r="AQ25">
        <f>'Seaside SAM'!AQ25</f>
        <v>0</v>
      </c>
      <c r="AR25">
        <f>'Seaside SAM'!AR25</f>
        <v>0</v>
      </c>
      <c r="AS25">
        <f>'Seaside SAM'!AS25</f>
        <v>0</v>
      </c>
      <c r="AT25">
        <f>'Seaside SAM'!AT25</f>
        <v>0</v>
      </c>
      <c r="AU25">
        <f>'Seaside SAM'!AU25</f>
        <v>0</v>
      </c>
      <c r="AV25">
        <f>'Seaside SAM'!AV25</f>
        <v>231.44280016851428</v>
      </c>
      <c r="AW25">
        <f>'Seaside SAM'!AW25</f>
        <v>0</v>
      </c>
    </row>
    <row r="26" spans="1:49">
      <c r="A26" t="str">
        <f>'Seaside SAM'!A26</f>
        <v>L2</v>
      </c>
      <c r="B26">
        <f>'Seaside SAM'!B26</f>
        <v>112.62225036621095</v>
      </c>
      <c r="C26">
        <f>'Seaside SAM'!C26</f>
        <v>2158.9208331522277</v>
      </c>
      <c r="D26">
        <f>'Seaside SAM'!D26</f>
        <v>1314.2282464036209</v>
      </c>
      <c r="E26">
        <f>'Seaside SAM'!E26</f>
        <v>3322.5875809936524</v>
      </c>
      <c r="F26">
        <f>'Seaside SAM'!F26</f>
        <v>687.3983211430816</v>
      </c>
      <c r="G26">
        <f>'Seaside SAM'!G26</f>
        <v>2210.7589283854168</v>
      </c>
      <c r="H26">
        <f>'Seaside SAM'!H26</f>
        <v>22.720199768066408</v>
      </c>
      <c r="I26">
        <f>'Seaside SAM'!I26</f>
        <v>405.44010131835938</v>
      </c>
      <c r="J26">
        <f>'Seaside SAM'!J26</f>
        <v>2836.3826986083986</v>
      </c>
      <c r="K26">
        <f>'Seaside SAM'!K26</f>
        <v>4744.8809519829183</v>
      </c>
      <c r="L26">
        <f>'Seaside SAM'!L26</f>
        <v>1619.3169464616044</v>
      </c>
      <c r="M26">
        <f>'Seaside SAM'!M26</f>
        <v>963.80403112792965</v>
      </c>
      <c r="N26">
        <f>'Seaside SAM'!N26</f>
        <v>1782.1437955561375</v>
      </c>
      <c r="O26">
        <f>'Seaside SAM'!O26</f>
        <v>276.3448660481771</v>
      </c>
      <c r="P26">
        <f>'Seaside SAM'!P26</f>
        <v>408.96359582519534</v>
      </c>
      <c r="Q26">
        <f>'Seaside SAM'!Q26</f>
        <v>62.414999999999999</v>
      </c>
      <c r="R26">
        <f>'Seaside SAM'!R26</f>
        <v>337.86675109863285</v>
      </c>
      <c r="S26">
        <f>'Seaside SAM'!S26</f>
        <v>47.448809519829183</v>
      </c>
      <c r="T26">
        <f>'Seaside SAM'!T26</f>
        <v>750.98756937349765</v>
      </c>
      <c r="U26">
        <f>'Seaside SAM'!U26</f>
        <v>710.17139135742184</v>
      </c>
      <c r="V26">
        <f>'Seaside SAM'!V26</f>
        <v>0</v>
      </c>
      <c r="W26">
        <f>'Seaside SAM'!W26</f>
        <v>0</v>
      </c>
      <c r="X26">
        <f>'Seaside SAM'!X26</f>
        <v>0</v>
      </c>
      <c r="Y26">
        <f>'Seaside SAM'!Y26</f>
        <v>0</v>
      </c>
      <c r="Z26">
        <f>'Seaside SAM'!Z26</f>
        <v>0</v>
      </c>
      <c r="AA26">
        <f>'Seaside SAM'!AA26</f>
        <v>0</v>
      </c>
      <c r="AB26">
        <f>'Seaside SAM'!AB26</f>
        <v>0</v>
      </c>
      <c r="AC26">
        <f>'Seaside SAM'!AC26</f>
        <v>0</v>
      </c>
      <c r="AD26">
        <f>'Seaside SAM'!AD26</f>
        <v>0</v>
      </c>
      <c r="AE26">
        <f>'Seaside SAM'!AE26</f>
        <v>0</v>
      </c>
      <c r="AF26">
        <f>'Seaside SAM'!AF26</f>
        <v>0</v>
      </c>
      <c r="AG26">
        <f>'Seaside SAM'!AG26</f>
        <v>0</v>
      </c>
      <c r="AH26">
        <f>'Seaside SAM'!AH26</f>
        <v>0</v>
      </c>
      <c r="AI26">
        <f>'Seaside SAM'!AI26</f>
        <v>0</v>
      </c>
      <c r="AJ26">
        <f>'Seaside SAM'!AJ26</f>
        <v>0</v>
      </c>
      <c r="AK26">
        <f>'Seaside SAM'!AK26</f>
        <v>0</v>
      </c>
      <c r="AL26">
        <f>'Seaside SAM'!AL26</f>
        <v>0</v>
      </c>
      <c r="AM26">
        <f>'Seaside SAM'!AM26</f>
        <v>0</v>
      </c>
      <c r="AN26">
        <f>'Seaside SAM'!AN26</f>
        <v>0</v>
      </c>
      <c r="AO26">
        <f>'Seaside SAM'!AO26</f>
        <v>0</v>
      </c>
      <c r="AP26">
        <f>'Seaside SAM'!AP26</f>
        <v>0</v>
      </c>
      <c r="AQ26">
        <f>'Seaside SAM'!AQ26</f>
        <v>0</v>
      </c>
      <c r="AR26">
        <f>'Seaside SAM'!AR26</f>
        <v>0</v>
      </c>
      <c r="AS26">
        <f>'Seaside SAM'!AS26</f>
        <v>0</v>
      </c>
      <c r="AT26">
        <f>'Seaside SAM'!AT26</f>
        <v>0</v>
      </c>
      <c r="AU26">
        <f>'Seaside SAM'!AU26</f>
        <v>0</v>
      </c>
      <c r="AV26">
        <f>'Seaside SAM'!AV26</f>
        <v>1398.1700958251954</v>
      </c>
      <c r="AW26">
        <f>'Seaside SAM'!AW26</f>
        <v>0</v>
      </c>
    </row>
    <row r="27" spans="1:49">
      <c r="A27" t="str">
        <f>'Seaside SAM'!A27</f>
        <v>L3</v>
      </c>
      <c r="B27">
        <f>'Seaside SAM'!B27</f>
        <v>835.24907462686565</v>
      </c>
      <c r="C27">
        <f>'Seaside SAM'!C27</f>
        <v>2344.1533863218197</v>
      </c>
      <c r="D27">
        <f>'Seaside SAM'!D27</f>
        <v>5759.1739774951166</v>
      </c>
      <c r="E27">
        <f>'Seaside SAM'!E27</f>
        <v>5798.1315953757239</v>
      </c>
      <c r="F27">
        <f>'Seaside SAM'!F27</f>
        <v>187.30199999999999</v>
      </c>
      <c r="G27">
        <f>'Seaside SAM'!G27</f>
        <v>643.97699999999998</v>
      </c>
      <c r="H27">
        <f>'Seaside SAM'!H27</f>
        <v>748.3063636363637</v>
      </c>
      <c r="I27">
        <f>'Seaside SAM'!I27</f>
        <v>3236.5901641791042</v>
      </c>
      <c r="J27">
        <f>'Seaside SAM'!J27</f>
        <v>14423.665025697679</v>
      </c>
      <c r="K27">
        <f>'Seaside SAM'!K27</f>
        <v>5187.0628122865801</v>
      </c>
      <c r="L27">
        <f>'Seaside SAM'!L27</f>
        <v>7038.9904169384763</v>
      </c>
      <c r="M27">
        <f>'Seaside SAM'!M27</f>
        <v>1678.4065144508675</v>
      </c>
      <c r="N27">
        <f>'Seaside SAM'!N27</f>
        <v>468.255</v>
      </c>
      <c r="O27">
        <f>'Seaside SAM'!O27</f>
        <v>75.762</v>
      </c>
      <c r="P27">
        <f>'Seaside SAM'!P27</f>
        <v>49.887090909090915</v>
      </c>
      <c r="Q27">
        <f>'Seaside SAM'!Q27</f>
        <v>1354.5593972167969</v>
      </c>
      <c r="R27">
        <f>'Seaside SAM'!R27</f>
        <v>2923.3717611940297</v>
      </c>
      <c r="S27">
        <f>'Seaside SAM'!S27</f>
        <v>0</v>
      </c>
      <c r="T27">
        <f>'Seaside SAM'!T27</f>
        <v>3248.7648078177581</v>
      </c>
      <c r="U27">
        <f>'Seaside SAM'!U27</f>
        <v>1220.6592832369945</v>
      </c>
      <c r="V27">
        <f>'Seaside SAM'!V27</f>
        <v>0</v>
      </c>
      <c r="W27">
        <f>'Seaside SAM'!W27</f>
        <v>0</v>
      </c>
      <c r="X27">
        <f>'Seaside SAM'!X27</f>
        <v>0</v>
      </c>
      <c r="Y27">
        <f>'Seaside SAM'!Y27</f>
        <v>0</v>
      </c>
      <c r="Z27">
        <f>'Seaside SAM'!Z27</f>
        <v>0</v>
      </c>
      <c r="AA27">
        <f>'Seaside SAM'!AA27</f>
        <v>0</v>
      </c>
      <c r="AB27">
        <f>'Seaside SAM'!AB27</f>
        <v>0</v>
      </c>
      <c r="AC27">
        <f>'Seaside SAM'!AC27</f>
        <v>0</v>
      </c>
      <c r="AD27">
        <f>'Seaside SAM'!AD27</f>
        <v>0</v>
      </c>
      <c r="AE27">
        <f>'Seaside SAM'!AE27</f>
        <v>0</v>
      </c>
      <c r="AF27">
        <f>'Seaside SAM'!AF27</f>
        <v>0</v>
      </c>
      <c r="AG27">
        <f>'Seaside SAM'!AG27</f>
        <v>0</v>
      </c>
      <c r="AH27">
        <f>'Seaside SAM'!AH27</f>
        <v>0</v>
      </c>
      <c r="AI27">
        <f>'Seaside SAM'!AI27</f>
        <v>0</v>
      </c>
      <c r="AJ27">
        <f>'Seaside SAM'!AJ27</f>
        <v>0</v>
      </c>
      <c r="AK27">
        <f>'Seaside SAM'!AK27</f>
        <v>0</v>
      </c>
      <c r="AL27">
        <f>'Seaside SAM'!AL27</f>
        <v>0</v>
      </c>
      <c r="AM27">
        <f>'Seaside SAM'!AM27</f>
        <v>0</v>
      </c>
      <c r="AN27">
        <f>'Seaside SAM'!AN27</f>
        <v>0</v>
      </c>
      <c r="AO27">
        <f>'Seaside SAM'!AO27</f>
        <v>0</v>
      </c>
      <c r="AP27">
        <f>'Seaside SAM'!AP27</f>
        <v>0</v>
      </c>
      <c r="AQ27">
        <f>'Seaside SAM'!AQ27</f>
        <v>0</v>
      </c>
      <c r="AR27">
        <f>'Seaside SAM'!AR27</f>
        <v>0</v>
      </c>
      <c r="AS27">
        <f>'Seaside SAM'!AS27</f>
        <v>0</v>
      </c>
      <c r="AT27">
        <f>'Seaside SAM'!AT27</f>
        <v>0</v>
      </c>
      <c r="AU27">
        <f>'Seaside SAM'!AU27</f>
        <v>0</v>
      </c>
      <c r="AV27">
        <f>'Seaside SAM'!AV27</f>
        <v>6530.3532055664073</v>
      </c>
      <c r="AW27">
        <f>'Seaside SAM'!AW27</f>
        <v>0</v>
      </c>
    </row>
    <row r="28" spans="1:49">
      <c r="A28" t="str">
        <f>'Seaside SAM'!A28</f>
        <v>L4</v>
      </c>
      <c r="B28">
        <f>'Seaside SAM'!B28</f>
        <v>425.84965116279074</v>
      </c>
      <c r="C28">
        <f>'Seaside SAM'!C28</f>
        <v>256.65390000000002</v>
      </c>
      <c r="D28">
        <f>'Seaside SAM'!D28</f>
        <v>2508.2828625000002</v>
      </c>
      <c r="E28">
        <f>'Seaside SAM'!E28</f>
        <v>3552.2097187500003</v>
      </c>
      <c r="F28">
        <f>'Seaside SAM'!F28</f>
        <v>0</v>
      </c>
      <c r="G28">
        <f>'Seaside SAM'!G28</f>
        <v>0</v>
      </c>
      <c r="H28">
        <f>'Seaside SAM'!H28</f>
        <v>111.72</v>
      </c>
      <c r="I28">
        <f>'Seaside SAM'!I28</f>
        <v>1703.3986046511629</v>
      </c>
      <c r="J28">
        <f>'Seaside SAM'!J28</f>
        <v>6783.1710000000003</v>
      </c>
      <c r="K28">
        <f>'Seaside SAM'!K28</f>
        <v>598.85910000000001</v>
      </c>
      <c r="L28">
        <f>'Seaside SAM'!L28</f>
        <v>3027.2379375</v>
      </c>
      <c r="M28">
        <f>'Seaside SAM'!M28</f>
        <v>1099.4934843750002</v>
      </c>
      <c r="N28">
        <f>'Seaside SAM'!N28</f>
        <v>0</v>
      </c>
      <c r="O28">
        <f>'Seaside SAM'!O28</f>
        <v>0</v>
      </c>
      <c r="P28">
        <f>'Seaside SAM'!P28</f>
        <v>782.04</v>
      </c>
      <c r="Q28">
        <f>'Seaside SAM'!Q28</f>
        <v>0</v>
      </c>
      <c r="R28">
        <f>'Seaside SAM'!R28</f>
        <v>1533.0587441860466</v>
      </c>
      <c r="S28">
        <f>'Seaside SAM'!S28</f>
        <v>0</v>
      </c>
      <c r="T28">
        <f>'Seaside SAM'!T28</f>
        <v>1383.8802000000001</v>
      </c>
      <c r="U28">
        <f>'Seaside SAM'!U28</f>
        <v>761.18779687500012</v>
      </c>
      <c r="V28">
        <f>'Seaside SAM'!V28</f>
        <v>0</v>
      </c>
      <c r="W28">
        <f>'Seaside SAM'!W28</f>
        <v>0</v>
      </c>
      <c r="X28">
        <f>'Seaside SAM'!X28</f>
        <v>0</v>
      </c>
      <c r="Y28">
        <f>'Seaside SAM'!Y28</f>
        <v>0</v>
      </c>
      <c r="Z28">
        <f>'Seaside SAM'!Z28</f>
        <v>0</v>
      </c>
      <c r="AA28">
        <f>'Seaside SAM'!AA28</f>
        <v>0</v>
      </c>
      <c r="AB28">
        <f>'Seaside SAM'!AB28</f>
        <v>0</v>
      </c>
      <c r="AC28">
        <f>'Seaside SAM'!AC28</f>
        <v>0</v>
      </c>
      <c r="AD28">
        <f>'Seaside SAM'!AD28</f>
        <v>0</v>
      </c>
      <c r="AE28">
        <f>'Seaside SAM'!AE28</f>
        <v>0</v>
      </c>
      <c r="AF28">
        <f>'Seaside SAM'!AF28</f>
        <v>0</v>
      </c>
      <c r="AG28">
        <f>'Seaside SAM'!AG28</f>
        <v>0</v>
      </c>
      <c r="AH28">
        <f>'Seaside SAM'!AH28</f>
        <v>0</v>
      </c>
      <c r="AI28">
        <f>'Seaside SAM'!AI28</f>
        <v>0</v>
      </c>
      <c r="AJ28">
        <f>'Seaside SAM'!AJ28</f>
        <v>0</v>
      </c>
      <c r="AK28">
        <f>'Seaside SAM'!AK28</f>
        <v>0</v>
      </c>
      <c r="AL28">
        <f>'Seaside SAM'!AL28</f>
        <v>0</v>
      </c>
      <c r="AM28">
        <f>'Seaside SAM'!AM28</f>
        <v>0</v>
      </c>
      <c r="AN28">
        <f>'Seaside SAM'!AN28</f>
        <v>0</v>
      </c>
      <c r="AO28">
        <f>'Seaside SAM'!AO28</f>
        <v>0</v>
      </c>
      <c r="AP28">
        <f>'Seaside SAM'!AP28</f>
        <v>0</v>
      </c>
      <c r="AQ28">
        <f>'Seaside SAM'!AQ28</f>
        <v>0</v>
      </c>
      <c r="AR28">
        <f>'Seaside SAM'!AR28</f>
        <v>0</v>
      </c>
      <c r="AS28">
        <f>'Seaside SAM'!AS28</f>
        <v>0</v>
      </c>
      <c r="AT28">
        <f>'Seaside SAM'!AT28</f>
        <v>0</v>
      </c>
      <c r="AU28">
        <f>'Seaside SAM'!AU28</f>
        <v>0</v>
      </c>
      <c r="AV28">
        <f>'Seaside SAM'!AV28</f>
        <v>2143.029</v>
      </c>
      <c r="AW28">
        <f>'Seaside SAM'!AW28</f>
        <v>0</v>
      </c>
    </row>
    <row r="29" spans="1:49">
      <c r="A29" t="str">
        <f>'Seaside SAM'!A29</f>
        <v>L5</v>
      </c>
      <c r="B29">
        <f>'Seaside SAM'!B29</f>
        <v>510.87804545454549</v>
      </c>
      <c r="C29">
        <f>'Seaside SAM'!C29</f>
        <v>789.76666666666665</v>
      </c>
      <c r="D29">
        <f>'Seaside SAM'!D29</f>
        <v>4146.2037500000006</v>
      </c>
      <c r="E29">
        <f>'Seaside SAM'!E29</f>
        <v>5715.2380000000003</v>
      </c>
      <c r="F29">
        <f>'Seaside SAM'!F29</f>
        <v>0</v>
      </c>
      <c r="G29">
        <f>'Seaside SAM'!G29</f>
        <v>0</v>
      </c>
      <c r="H29">
        <f>'Seaside SAM'!H29</f>
        <v>839.34692307692308</v>
      </c>
      <c r="I29">
        <f>'Seaside SAM'!I29</f>
        <v>1702.9268181818181</v>
      </c>
      <c r="J29">
        <f>'Seaside SAM'!J29</f>
        <v>5160.6891562500005</v>
      </c>
      <c r="K29">
        <f>'Seaside SAM'!K29</f>
        <v>2053.393333333333</v>
      </c>
      <c r="L29">
        <f>'Seaside SAM'!L29</f>
        <v>5103.0200000000004</v>
      </c>
      <c r="M29">
        <f>'Seaside SAM'!M29</f>
        <v>1746.3227222222222</v>
      </c>
      <c r="N29">
        <f>'Seaside SAM'!N29</f>
        <v>0</v>
      </c>
      <c r="O29">
        <f>'Seaside SAM'!O29</f>
        <v>0</v>
      </c>
      <c r="P29">
        <f>'Seaside SAM'!P29</f>
        <v>5315.8638461538467</v>
      </c>
      <c r="Q29">
        <f>'Seaside SAM'!Q29</f>
        <v>530.67000000000007</v>
      </c>
      <c r="R29">
        <f>'Seaside SAM'!R29</f>
        <v>1532.6341363636363</v>
      </c>
      <c r="S29">
        <f>'Seaside SAM'!S29</f>
        <v>0</v>
      </c>
      <c r="T29">
        <f>'Seaside SAM'!T29</f>
        <v>2392.0406250000001</v>
      </c>
      <c r="U29">
        <f>'Seaside SAM'!U29</f>
        <v>1270.0528888888889</v>
      </c>
      <c r="V29">
        <f>'Seaside SAM'!V29</f>
        <v>0</v>
      </c>
      <c r="W29">
        <f>'Seaside SAM'!W29</f>
        <v>0</v>
      </c>
      <c r="X29">
        <f>'Seaside SAM'!X29</f>
        <v>0</v>
      </c>
      <c r="Y29">
        <f>'Seaside SAM'!Y29</f>
        <v>0</v>
      </c>
      <c r="Z29">
        <f>'Seaside SAM'!Z29</f>
        <v>0</v>
      </c>
      <c r="AA29">
        <f>'Seaside SAM'!AA29</f>
        <v>0</v>
      </c>
      <c r="AB29">
        <f>'Seaside SAM'!AB29</f>
        <v>0</v>
      </c>
      <c r="AC29">
        <f>'Seaside SAM'!AC29</f>
        <v>0</v>
      </c>
      <c r="AD29">
        <f>'Seaside SAM'!AD29</f>
        <v>0</v>
      </c>
      <c r="AE29">
        <f>'Seaside SAM'!AE29</f>
        <v>0</v>
      </c>
      <c r="AF29">
        <f>'Seaside SAM'!AF29</f>
        <v>0</v>
      </c>
      <c r="AG29">
        <f>'Seaside SAM'!AG29</f>
        <v>0</v>
      </c>
      <c r="AH29">
        <f>'Seaside SAM'!AH29</f>
        <v>0</v>
      </c>
      <c r="AI29">
        <f>'Seaside SAM'!AI29</f>
        <v>0</v>
      </c>
      <c r="AJ29">
        <f>'Seaside SAM'!AJ29</f>
        <v>0</v>
      </c>
      <c r="AK29">
        <f>'Seaside SAM'!AK29</f>
        <v>0</v>
      </c>
      <c r="AL29">
        <f>'Seaside SAM'!AL29</f>
        <v>0</v>
      </c>
      <c r="AM29">
        <f>'Seaside SAM'!AM29</f>
        <v>0</v>
      </c>
      <c r="AN29">
        <f>'Seaside SAM'!AN29</f>
        <v>0</v>
      </c>
      <c r="AO29">
        <f>'Seaside SAM'!AO29</f>
        <v>0</v>
      </c>
      <c r="AP29">
        <f>'Seaside SAM'!AP29</f>
        <v>0</v>
      </c>
      <c r="AQ29">
        <f>'Seaside SAM'!AQ29</f>
        <v>0</v>
      </c>
      <c r="AR29">
        <f>'Seaside SAM'!AR29</f>
        <v>0</v>
      </c>
      <c r="AS29">
        <f>'Seaside SAM'!AS29</f>
        <v>0</v>
      </c>
      <c r="AT29">
        <f>'Seaside SAM'!AT29</f>
        <v>0</v>
      </c>
      <c r="AU29">
        <f>'Seaside SAM'!AU29</f>
        <v>0</v>
      </c>
      <c r="AV29">
        <f>'Seaside SAM'!AV29</f>
        <v>1178.19</v>
      </c>
      <c r="AW29">
        <f>'Seaside SAM'!AW29</f>
        <v>0</v>
      </c>
    </row>
    <row r="30" spans="1:49">
      <c r="A30" t="str">
        <f>'Seaside SAM'!A30</f>
        <v>Land</v>
      </c>
      <c r="B30">
        <f>'Seaside SAM'!B30</f>
        <v>548.78370729930305</v>
      </c>
      <c r="C30">
        <f>'Seaside SAM'!C30</f>
        <v>5500.2910741837495</v>
      </c>
      <c r="D30">
        <f>'Seaside SAM'!D30</f>
        <v>25246.951347360337</v>
      </c>
      <c r="E30">
        <f>'Seaside SAM'!E30</f>
        <v>4612.1030410243602</v>
      </c>
      <c r="F30">
        <f>'Seaside SAM'!F30</f>
        <v>5061.3034604395598</v>
      </c>
      <c r="G30">
        <f>'Seaside SAM'!G30</f>
        <v>75715.018454597419</v>
      </c>
      <c r="H30">
        <f>'Seaside SAM'!H30</f>
        <v>173.64757844832098</v>
      </c>
      <c r="I30">
        <f>'Seaside SAM'!I30</f>
        <v>3270.299732136878</v>
      </c>
      <c r="J30">
        <f>'Seaside SAM'!J30</f>
        <v>2827.0180170788476</v>
      </c>
      <c r="K30">
        <f>'Seaside SAM'!K30</f>
        <v>24569.262812308811</v>
      </c>
      <c r="L30">
        <f>'Seaside SAM'!L30</f>
        <v>31980.10179388586</v>
      </c>
      <c r="M30">
        <f>'Seaside SAM'!M30</f>
        <v>4686.267589736859</v>
      </c>
      <c r="N30">
        <f>'Seaside SAM'!N30</f>
        <v>4578.2976985919304</v>
      </c>
      <c r="O30">
        <f>'Seaside SAM'!O30</f>
        <v>14384.663265040499</v>
      </c>
      <c r="P30">
        <f>'Seaside SAM'!P30</f>
        <v>120.855475000935</v>
      </c>
      <c r="Q30">
        <f>'Seaside SAM'!Q30</f>
        <v>95.7094988070765</v>
      </c>
      <c r="R30">
        <f>'Seaside SAM'!R30</f>
        <v>1344.0849646696329</v>
      </c>
      <c r="S30">
        <f>'Seaside SAM'!S30</f>
        <v>125.739961312522</v>
      </c>
      <c r="T30">
        <f>'Seaside SAM'!T30</f>
        <v>9725.0559278553428</v>
      </c>
      <c r="U30">
        <f>'Seaside SAM'!U30</f>
        <v>1751.9591723544609</v>
      </c>
      <c r="V30">
        <f>'Seaside SAM'!V30</f>
        <v>29111.62501</v>
      </c>
      <c r="W30">
        <f>'Seaside SAM'!W30</f>
        <v>10937.04125</v>
      </c>
      <c r="X30">
        <f>'Seaside SAM'!X30</f>
        <v>7082.9665850000001</v>
      </c>
      <c r="Y30">
        <f>'Seaside SAM'!Y30</f>
        <v>0</v>
      </c>
      <c r="Z30">
        <f>'Seaside SAM'!Z30</f>
        <v>0</v>
      </c>
      <c r="AA30">
        <f>'Seaside SAM'!AA30</f>
        <v>0</v>
      </c>
      <c r="AB30">
        <f>'Seaside SAM'!AB30</f>
        <v>0</v>
      </c>
      <c r="AC30">
        <f>'Seaside SAM'!AC30</f>
        <v>0</v>
      </c>
      <c r="AD30">
        <f>'Seaside SAM'!AD30</f>
        <v>0</v>
      </c>
      <c r="AE30">
        <f>'Seaside SAM'!AE30</f>
        <v>0</v>
      </c>
      <c r="AF30">
        <f>'Seaside SAM'!AF30</f>
        <v>0</v>
      </c>
      <c r="AG30">
        <f>'Seaside SAM'!AG30</f>
        <v>0</v>
      </c>
      <c r="AH30">
        <f>'Seaside SAM'!AH30</f>
        <v>0</v>
      </c>
      <c r="AI30">
        <f>'Seaside SAM'!AI30</f>
        <v>0</v>
      </c>
      <c r="AJ30">
        <f>'Seaside SAM'!AJ30</f>
        <v>0</v>
      </c>
      <c r="AK30">
        <f>'Seaside SAM'!AK30</f>
        <v>0</v>
      </c>
      <c r="AL30">
        <f>'Seaside SAM'!AL30</f>
        <v>0</v>
      </c>
      <c r="AM30">
        <f>'Seaside SAM'!AM30</f>
        <v>0</v>
      </c>
      <c r="AN30">
        <f>'Seaside SAM'!AN30</f>
        <v>0</v>
      </c>
      <c r="AO30">
        <f>'Seaside SAM'!AO30</f>
        <v>0</v>
      </c>
      <c r="AP30">
        <f>'Seaside SAM'!AP30</f>
        <v>0</v>
      </c>
      <c r="AQ30">
        <f>'Seaside SAM'!AQ30</f>
        <v>0</v>
      </c>
      <c r="AR30">
        <f>'Seaside SAM'!AR30</f>
        <v>0</v>
      </c>
      <c r="AS30">
        <f>'Seaside SAM'!AS30</f>
        <v>0</v>
      </c>
      <c r="AT30">
        <f>'Seaside SAM'!AT30</f>
        <v>0</v>
      </c>
      <c r="AU30">
        <f>'Seaside SAM'!AU30</f>
        <v>0</v>
      </c>
      <c r="AV30">
        <f>'Seaside SAM'!AV30</f>
        <v>0</v>
      </c>
      <c r="AW30">
        <f>'Seaside SAM'!AW30</f>
        <v>-131724.52370856635</v>
      </c>
    </row>
    <row r="31" spans="1:49">
      <c r="A31" t="str">
        <f>'Seaside SAM'!A31</f>
        <v>Kap</v>
      </c>
      <c r="B31">
        <f>'Seaside SAM'!B31</f>
        <v>981.19347011661193</v>
      </c>
      <c r="C31">
        <f>'Seaside SAM'!C31</f>
        <v>13728.878057721126</v>
      </c>
      <c r="D31">
        <f>'Seaside SAM'!D31</f>
        <v>61417.501288697422</v>
      </c>
      <c r="E31">
        <f>'Seaside SAM'!E31</f>
        <v>28640.873816422201</v>
      </c>
      <c r="F31">
        <f>'Seaside SAM'!F31</f>
        <v>3496.5090765435998</v>
      </c>
      <c r="G31">
        <f>'Seaside SAM'!G31</f>
        <v>161482.98570247498</v>
      </c>
      <c r="H31">
        <f>'Seaside SAM'!H31</f>
        <v>237.62852530569799</v>
      </c>
      <c r="I31">
        <f>'Seaside SAM'!I31</f>
        <v>2843.447867757292</v>
      </c>
      <c r="J31">
        <f>'Seaside SAM'!J31</f>
        <v>1174.2362107676508</v>
      </c>
      <c r="K31">
        <f>'Seaside SAM'!K31</f>
        <v>18601.540621301465</v>
      </c>
      <c r="L31">
        <f>'Seaside SAM'!L31</f>
        <v>74401.181116886451</v>
      </c>
      <c r="M31">
        <f>'Seaside SAM'!M31</f>
        <v>5161.1807600793709</v>
      </c>
      <c r="N31">
        <f>'Seaside SAM'!N31</f>
        <v>17576.943334329597</v>
      </c>
      <c r="O31">
        <f>'Seaside SAM'!O31</f>
        <v>13754.943049257199</v>
      </c>
      <c r="P31">
        <f>'Seaside SAM'!P31</f>
        <v>266.395609562115</v>
      </c>
      <c r="Q31">
        <f>'Seaside SAM'!Q31</f>
        <v>101.981284124756</v>
      </c>
      <c r="R31">
        <f>'Seaside SAM'!R31</f>
        <v>4116.7632878341419</v>
      </c>
      <c r="S31">
        <f>'Seaside SAM'!S31</f>
        <v>231.88924209994798</v>
      </c>
      <c r="T31">
        <f>'Seaside SAM'!T31</f>
        <v>39221.964850381693</v>
      </c>
      <c r="U31">
        <f>'Seaside SAM'!U31</f>
        <v>5407.8007259971273</v>
      </c>
      <c r="V31">
        <f>'Seaside SAM'!V31</f>
        <v>16527.764650000001</v>
      </c>
      <c r="W31">
        <f>'Seaside SAM'!W31</f>
        <v>9440.9290949999995</v>
      </c>
      <c r="X31">
        <f>'Seaside SAM'!X31</f>
        <v>8956.3507200000004</v>
      </c>
      <c r="Y31">
        <f>'Seaside SAM'!Y31</f>
        <v>0</v>
      </c>
      <c r="Z31">
        <f>'Seaside SAM'!Z31</f>
        <v>0</v>
      </c>
      <c r="AA31">
        <f>'Seaside SAM'!AA31</f>
        <v>0</v>
      </c>
      <c r="AB31">
        <f>'Seaside SAM'!AB31</f>
        <v>0</v>
      </c>
      <c r="AC31">
        <f>'Seaside SAM'!AC31</f>
        <v>0</v>
      </c>
      <c r="AD31">
        <f>'Seaside SAM'!AD31</f>
        <v>0</v>
      </c>
      <c r="AE31">
        <f>'Seaside SAM'!AE31</f>
        <v>0</v>
      </c>
      <c r="AF31">
        <f>'Seaside SAM'!AF31</f>
        <v>0</v>
      </c>
      <c r="AG31">
        <f>'Seaside SAM'!AG31</f>
        <v>0</v>
      </c>
      <c r="AH31">
        <f>'Seaside SAM'!AH31</f>
        <v>0</v>
      </c>
      <c r="AI31">
        <f>'Seaside SAM'!AI31</f>
        <v>0</v>
      </c>
      <c r="AJ31">
        <f>'Seaside SAM'!AJ31</f>
        <v>0</v>
      </c>
      <c r="AK31">
        <f>'Seaside SAM'!AK31</f>
        <v>0</v>
      </c>
      <c r="AL31">
        <f>'Seaside SAM'!AL31</f>
        <v>0</v>
      </c>
      <c r="AM31">
        <f>'Seaside SAM'!AM31</f>
        <v>0</v>
      </c>
      <c r="AN31">
        <f>'Seaside SAM'!AN31</f>
        <v>0</v>
      </c>
      <c r="AO31">
        <f>'Seaside SAM'!AO31</f>
        <v>0</v>
      </c>
      <c r="AP31">
        <f>'Seaside SAM'!AP31</f>
        <v>0</v>
      </c>
      <c r="AQ31">
        <f>'Seaside SAM'!AQ31</f>
        <v>0</v>
      </c>
      <c r="AR31">
        <f>'Seaside SAM'!AR31</f>
        <v>0</v>
      </c>
      <c r="AS31">
        <f>'Seaside SAM'!AS31</f>
        <v>0</v>
      </c>
      <c r="AT31">
        <f>'Seaside SAM'!AT31</f>
        <v>0</v>
      </c>
      <c r="AU31">
        <f>'Seaside SAM'!AU31</f>
        <v>0</v>
      </c>
      <c r="AV31">
        <f>'Seaside SAM'!AV31</f>
        <v>0</v>
      </c>
      <c r="AW31">
        <f>'Seaside SAM'!AW31</f>
        <v>-243885.44118133024</v>
      </c>
    </row>
    <row r="32" spans="1:49">
      <c r="A32" t="str">
        <f>'Seaside SAM'!A32</f>
        <v>Inves</v>
      </c>
      <c r="B32">
        <f>'Seaside SAM'!B32</f>
        <v>0</v>
      </c>
      <c r="C32">
        <f>'Seaside SAM'!C32</f>
        <v>0</v>
      </c>
      <c r="D32">
        <f>'Seaside SAM'!D32</f>
        <v>0</v>
      </c>
      <c r="E32">
        <f>'Seaside SAM'!E32</f>
        <v>0</v>
      </c>
      <c r="F32">
        <f>'Seaside SAM'!F32</f>
        <v>0</v>
      </c>
      <c r="G32">
        <f>'Seaside SAM'!G32</f>
        <v>0</v>
      </c>
      <c r="H32">
        <f>'Seaside SAM'!H32</f>
        <v>0</v>
      </c>
      <c r="I32">
        <f>'Seaside SAM'!I32</f>
        <v>0</v>
      </c>
      <c r="J32">
        <f>'Seaside SAM'!J32</f>
        <v>0</v>
      </c>
      <c r="K32">
        <f>'Seaside SAM'!K32</f>
        <v>0</v>
      </c>
      <c r="L32">
        <f>'Seaside SAM'!L32</f>
        <v>0</v>
      </c>
      <c r="M32">
        <f>'Seaside SAM'!M32</f>
        <v>0</v>
      </c>
      <c r="N32">
        <f>'Seaside SAM'!N32</f>
        <v>0</v>
      </c>
      <c r="O32">
        <f>'Seaside SAM'!O32</f>
        <v>0</v>
      </c>
      <c r="P32">
        <f>'Seaside SAM'!P32</f>
        <v>0</v>
      </c>
      <c r="Q32">
        <f>'Seaside SAM'!Q32</f>
        <v>0</v>
      </c>
      <c r="R32">
        <f>'Seaside SAM'!R32</f>
        <v>0</v>
      </c>
      <c r="S32">
        <f>'Seaside SAM'!S32</f>
        <v>0</v>
      </c>
      <c r="T32">
        <f>'Seaside SAM'!T32</f>
        <v>0</v>
      </c>
      <c r="U32">
        <f>'Seaside SAM'!U32</f>
        <v>0</v>
      </c>
      <c r="V32">
        <f>'Seaside SAM'!V32</f>
        <v>0</v>
      </c>
      <c r="W32">
        <f>'Seaside SAM'!W32</f>
        <v>0</v>
      </c>
      <c r="X32">
        <f>'Seaside SAM'!X32</f>
        <v>0</v>
      </c>
      <c r="Y32">
        <f>'Seaside SAM'!Y32</f>
        <v>0</v>
      </c>
      <c r="Z32">
        <f>'Seaside SAM'!Z32</f>
        <v>0</v>
      </c>
      <c r="AA32">
        <f>'Seaside SAM'!AA32</f>
        <v>0</v>
      </c>
      <c r="AB32">
        <f>'Seaside SAM'!AB32</f>
        <v>0</v>
      </c>
      <c r="AC32">
        <f>'Seaside SAM'!AC32</f>
        <v>0</v>
      </c>
      <c r="AD32">
        <f>'Seaside SAM'!AD32</f>
        <v>0</v>
      </c>
      <c r="AE32">
        <f>'Seaside SAM'!AE32</f>
        <v>0</v>
      </c>
      <c r="AF32">
        <f>'Seaside SAM'!AF32</f>
        <v>0</v>
      </c>
      <c r="AG32">
        <f>'Seaside SAM'!AG32</f>
        <v>141.9</v>
      </c>
      <c r="AH32">
        <f>'Seaside SAM'!AH32</f>
        <v>850</v>
      </c>
      <c r="AI32">
        <f>'Seaside SAM'!AI32</f>
        <v>2656</v>
      </c>
      <c r="AJ32">
        <f>'Seaside SAM'!AJ32</f>
        <v>1165</v>
      </c>
      <c r="AK32">
        <f>'Seaside SAM'!AK32</f>
        <v>2142</v>
      </c>
      <c r="AL32">
        <f>'Seaside SAM'!AL32</f>
        <v>0</v>
      </c>
      <c r="AM32">
        <f>'Seaside SAM'!AM32</f>
        <v>0</v>
      </c>
      <c r="AN32">
        <f>'Seaside SAM'!AN32</f>
        <v>0</v>
      </c>
      <c r="AO32">
        <f>'Seaside SAM'!AO32</f>
        <v>0</v>
      </c>
      <c r="AP32">
        <f>'Seaside SAM'!AP32</f>
        <v>0</v>
      </c>
      <c r="AQ32">
        <f>'Seaside SAM'!AQ32</f>
        <v>0</v>
      </c>
      <c r="AR32">
        <f>'Seaside SAM'!AR32</f>
        <v>0</v>
      </c>
      <c r="AS32">
        <f>'Seaside SAM'!AS32</f>
        <v>0</v>
      </c>
      <c r="AT32">
        <f>'Seaside SAM'!AT32</f>
        <v>0</v>
      </c>
      <c r="AU32">
        <f>'Seaside SAM'!AU32</f>
        <v>0</v>
      </c>
      <c r="AV32">
        <f>'Seaside SAM'!AV32</f>
        <v>0</v>
      </c>
      <c r="AW32">
        <f>'Seaside SAM'!AW32</f>
        <v>480815.9823626604</v>
      </c>
    </row>
    <row r="33" spans="1:49">
      <c r="A33" t="str">
        <f>'Seaside SAM'!A33</f>
        <v>HH1</v>
      </c>
      <c r="B33">
        <f>'Seaside SAM'!B33</f>
        <v>0</v>
      </c>
      <c r="C33">
        <f>'Seaside SAM'!C33</f>
        <v>0</v>
      </c>
      <c r="D33">
        <f>'Seaside SAM'!D33</f>
        <v>0</v>
      </c>
      <c r="E33">
        <f>'Seaside SAM'!E33</f>
        <v>0</v>
      </c>
      <c r="F33">
        <f>'Seaside SAM'!F33</f>
        <v>0</v>
      </c>
      <c r="G33">
        <f>'Seaside SAM'!G33</f>
        <v>0</v>
      </c>
      <c r="H33">
        <f>'Seaside SAM'!H33</f>
        <v>0</v>
      </c>
      <c r="I33">
        <f>'Seaside SAM'!I33</f>
        <v>0</v>
      </c>
      <c r="J33">
        <f>'Seaside SAM'!J33</f>
        <v>0</v>
      </c>
      <c r="K33">
        <f>'Seaside SAM'!K33</f>
        <v>0</v>
      </c>
      <c r="L33">
        <f>'Seaside SAM'!L33</f>
        <v>0</v>
      </c>
      <c r="M33">
        <f>'Seaside SAM'!M33</f>
        <v>0</v>
      </c>
      <c r="N33">
        <f>'Seaside SAM'!N33</f>
        <v>0</v>
      </c>
      <c r="O33">
        <f>'Seaside SAM'!O33</f>
        <v>0</v>
      </c>
      <c r="P33">
        <f>'Seaside SAM'!P33</f>
        <v>0</v>
      </c>
      <c r="Q33">
        <f>'Seaside SAM'!Q33</f>
        <v>0</v>
      </c>
      <c r="R33">
        <f>'Seaside SAM'!R33</f>
        <v>0</v>
      </c>
      <c r="S33">
        <f>'Seaside SAM'!S33</f>
        <v>0</v>
      </c>
      <c r="T33">
        <f>'Seaside SAM'!T33</f>
        <v>0</v>
      </c>
      <c r="U33">
        <f>'Seaside SAM'!U33</f>
        <v>0</v>
      </c>
      <c r="V33">
        <f>'Seaside SAM'!V33</f>
        <v>0</v>
      </c>
      <c r="W33">
        <f>'Seaside SAM'!W33</f>
        <v>0</v>
      </c>
      <c r="X33">
        <f>'Seaside SAM'!X33</f>
        <v>0</v>
      </c>
      <c r="Y33">
        <f>'Seaside SAM'!Y33</f>
        <v>659.45437526326043</v>
      </c>
      <c r="Z33">
        <f>'Seaside SAM'!Z33</f>
        <v>0</v>
      </c>
      <c r="AA33">
        <f>'Seaside SAM'!AA33</f>
        <v>0</v>
      </c>
      <c r="AB33">
        <f>'Seaside SAM'!AB33</f>
        <v>0</v>
      </c>
      <c r="AC33">
        <f>'Seaside SAM'!AC33</f>
        <v>0</v>
      </c>
      <c r="AD33">
        <f>'Seaside SAM'!AD33</f>
        <v>574.61028512149142</v>
      </c>
      <c r="AE33">
        <f>'Seaside SAM'!AE33</f>
        <v>1063.8799742729404</v>
      </c>
      <c r="AF33">
        <f>'Seaside SAM'!AF33</f>
        <v>0</v>
      </c>
      <c r="AG33">
        <f>'Seaside SAM'!AG33</f>
        <v>0</v>
      </c>
      <c r="AH33">
        <f>'Seaside SAM'!AH33</f>
        <v>0</v>
      </c>
      <c r="AI33">
        <f>'Seaside SAM'!AI33</f>
        <v>0</v>
      </c>
      <c r="AJ33">
        <f>'Seaside SAM'!AJ33</f>
        <v>0</v>
      </c>
      <c r="AK33">
        <f>'Seaside SAM'!AK33</f>
        <v>0</v>
      </c>
      <c r="AL33">
        <f>'Seaside SAM'!AL33</f>
        <v>2746.8984145030977</v>
      </c>
      <c r="AM33">
        <f>'Seaside SAM'!AM33</f>
        <v>0</v>
      </c>
      <c r="AN33">
        <f>'Seaside SAM'!AN33</f>
        <v>0</v>
      </c>
      <c r="AO33">
        <f>'Seaside SAM'!AO33</f>
        <v>0</v>
      </c>
      <c r="AP33">
        <f>'Seaside SAM'!AP33</f>
        <v>0</v>
      </c>
      <c r="AQ33">
        <f>'Seaside SAM'!AQ33</f>
        <v>0</v>
      </c>
      <c r="AR33">
        <f>'Seaside SAM'!AR33</f>
        <v>0</v>
      </c>
      <c r="AS33">
        <f>'Seaside SAM'!AS33</f>
        <v>0</v>
      </c>
      <c r="AT33">
        <f>'Seaside SAM'!AT33</f>
        <v>0</v>
      </c>
      <c r="AU33">
        <f>'Seaside SAM'!AU33</f>
        <v>0</v>
      </c>
      <c r="AV33">
        <f>'Seaside SAM'!AV33</f>
        <v>0</v>
      </c>
      <c r="AW33">
        <f>'Seaside SAM'!AW33</f>
        <v>2404.2653954038933</v>
      </c>
    </row>
    <row r="34" spans="1:49">
      <c r="A34" t="str">
        <f>'Seaside SAM'!A34</f>
        <v>HH2</v>
      </c>
      <c r="B34">
        <f>'Seaside SAM'!B34</f>
        <v>0</v>
      </c>
      <c r="C34">
        <f>'Seaside SAM'!C34</f>
        <v>0</v>
      </c>
      <c r="D34">
        <f>'Seaside SAM'!D34</f>
        <v>0</v>
      </c>
      <c r="E34">
        <f>'Seaside SAM'!E34</f>
        <v>0</v>
      </c>
      <c r="F34">
        <f>'Seaside SAM'!F34</f>
        <v>0</v>
      </c>
      <c r="G34">
        <f>'Seaside SAM'!G34</f>
        <v>0</v>
      </c>
      <c r="H34">
        <f>'Seaside SAM'!H34</f>
        <v>0</v>
      </c>
      <c r="I34">
        <f>'Seaside SAM'!I34</f>
        <v>0</v>
      </c>
      <c r="J34">
        <f>'Seaside SAM'!J34</f>
        <v>0</v>
      </c>
      <c r="K34">
        <f>'Seaside SAM'!K34</f>
        <v>0</v>
      </c>
      <c r="L34">
        <f>'Seaside SAM'!L34</f>
        <v>0</v>
      </c>
      <c r="M34">
        <f>'Seaside SAM'!M34</f>
        <v>0</v>
      </c>
      <c r="N34">
        <f>'Seaside SAM'!N34</f>
        <v>0</v>
      </c>
      <c r="O34">
        <f>'Seaside SAM'!O34</f>
        <v>0</v>
      </c>
      <c r="P34">
        <f>'Seaside SAM'!P34</f>
        <v>0</v>
      </c>
      <c r="Q34">
        <f>'Seaside SAM'!Q34</f>
        <v>0</v>
      </c>
      <c r="R34">
        <f>'Seaside SAM'!R34</f>
        <v>0</v>
      </c>
      <c r="S34">
        <f>'Seaside SAM'!S34</f>
        <v>0</v>
      </c>
      <c r="T34">
        <f>'Seaside SAM'!T34</f>
        <v>0</v>
      </c>
      <c r="U34">
        <f>'Seaside SAM'!U34</f>
        <v>0</v>
      </c>
      <c r="V34">
        <f>'Seaside SAM'!V34</f>
        <v>0</v>
      </c>
      <c r="W34">
        <f>'Seaside SAM'!W34</f>
        <v>0</v>
      </c>
      <c r="X34">
        <f>'Seaside SAM'!X34</f>
        <v>0</v>
      </c>
      <c r="Y34">
        <f>'Seaside SAM'!Y34</f>
        <v>1097.2888375282121</v>
      </c>
      <c r="Z34">
        <f>'Seaside SAM'!Z34</f>
        <v>6812.7895286628254</v>
      </c>
      <c r="AA34">
        <f>'Seaside SAM'!AA34</f>
        <v>0</v>
      </c>
      <c r="AB34">
        <f>'Seaside SAM'!AB34</f>
        <v>0</v>
      </c>
      <c r="AC34">
        <f>'Seaside SAM'!AC34</f>
        <v>0</v>
      </c>
      <c r="AD34">
        <f>'Seaside SAM'!AD34</f>
        <v>6892.3833942505589</v>
      </c>
      <c r="AE34">
        <f>'Seaside SAM'!AE34</f>
        <v>12761.116287022534</v>
      </c>
      <c r="AF34">
        <f>'Seaside SAM'!AF34</f>
        <v>0</v>
      </c>
      <c r="AG34">
        <f>'Seaside SAM'!AG34</f>
        <v>0</v>
      </c>
      <c r="AH34">
        <f>'Seaside SAM'!AH34</f>
        <v>0</v>
      </c>
      <c r="AI34">
        <f>'Seaside SAM'!AI34</f>
        <v>0</v>
      </c>
      <c r="AJ34">
        <f>'Seaside SAM'!AJ34</f>
        <v>0</v>
      </c>
      <c r="AK34">
        <f>'Seaside SAM'!AK34</f>
        <v>0</v>
      </c>
      <c r="AL34">
        <f>'Seaside SAM'!AL34</f>
        <v>3493.3077065448761</v>
      </c>
      <c r="AM34">
        <f>'Seaside SAM'!AM34</f>
        <v>5266.9481977386477</v>
      </c>
      <c r="AN34">
        <f>'Seaside SAM'!AN34</f>
        <v>0</v>
      </c>
      <c r="AO34">
        <f>'Seaside SAM'!AO34</f>
        <v>0</v>
      </c>
      <c r="AP34">
        <f>'Seaside SAM'!AP34</f>
        <v>0</v>
      </c>
      <c r="AQ34">
        <f>'Seaside SAM'!AQ34</f>
        <v>0</v>
      </c>
      <c r="AR34">
        <f>'Seaside SAM'!AR34</f>
        <v>0</v>
      </c>
      <c r="AS34">
        <f>'Seaside SAM'!AS34</f>
        <v>0</v>
      </c>
      <c r="AT34">
        <f>'Seaside SAM'!AT34</f>
        <v>0</v>
      </c>
      <c r="AU34">
        <f>'Seaside SAM'!AU34</f>
        <v>0</v>
      </c>
      <c r="AV34">
        <f>'Seaside SAM'!AV34</f>
        <v>0</v>
      </c>
      <c r="AW34">
        <f>'Seaside SAM'!AW34</f>
        <v>3625.797294708078</v>
      </c>
    </row>
    <row r="35" spans="1:49">
      <c r="A35" t="str">
        <f>'Seaside SAM'!A35</f>
        <v>HH3</v>
      </c>
      <c r="B35">
        <f>'Seaside SAM'!B35</f>
        <v>0</v>
      </c>
      <c r="C35">
        <f>'Seaside SAM'!C35</f>
        <v>0</v>
      </c>
      <c r="D35">
        <f>'Seaside SAM'!D35</f>
        <v>0</v>
      </c>
      <c r="E35">
        <f>'Seaside SAM'!E35</f>
        <v>0</v>
      </c>
      <c r="F35">
        <f>'Seaside SAM'!F35</f>
        <v>0</v>
      </c>
      <c r="G35">
        <f>'Seaside SAM'!G35</f>
        <v>0</v>
      </c>
      <c r="H35">
        <f>'Seaside SAM'!H35</f>
        <v>0</v>
      </c>
      <c r="I35">
        <f>'Seaside SAM'!I35</f>
        <v>0</v>
      </c>
      <c r="J35">
        <f>'Seaside SAM'!J35</f>
        <v>0</v>
      </c>
      <c r="K35">
        <f>'Seaside SAM'!K35</f>
        <v>0</v>
      </c>
      <c r="L35">
        <f>'Seaside SAM'!L35</f>
        <v>0</v>
      </c>
      <c r="M35">
        <f>'Seaside SAM'!M35</f>
        <v>0</v>
      </c>
      <c r="N35">
        <f>'Seaside SAM'!N35</f>
        <v>0</v>
      </c>
      <c r="O35">
        <f>'Seaside SAM'!O35</f>
        <v>0</v>
      </c>
      <c r="P35">
        <f>'Seaside SAM'!P35</f>
        <v>0</v>
      </c>
      <c r="Q35">
        <f>'Seaside SAM'!Q35</f>
        <v>0</v>
      </c>
      <c r="R35">
        <f>'Seaside SAM'!R35</f>
        <v>0</v>
      </c>
      <c r="S35">
        <f>'Seaside SAM'!S35</f>
        <v>0</v>
      </c>
      <c r="T35">
        <f>'Seaside SAM'!T35</f>
        <v>0</v>
      </c>
      <c r="U35">
        <f>'Seaside SAM'!U35</f>
        <v>0</v>
      </c>
      <c r="V35">
        <f>'Seaside SAM'!V35</f>
        <v>0</v>
      </c>
      <c r="W35">
        <f>'Seaside SAM'!W35</f>
        <v>0</v>
      </c>
      <c r="X35">
        <f>'Seaside SAM'!X35</f>
        <v>0</v>
      </c>
      <c r="Y35">
        <f>'Seaside SAM'!Y35</f>
        <v>2227.0098574464205</v>
      </c>
      <c r="Z35">
        <f>'Seaside SAM'!Z35</f>
        <v>10754.637650598173</v>
      </c>
      <c r="AA35">
        <f>'Seaside SAM'!AA35</f>
        <v>24856.600142261341</v>
      </c>
      <c r="AB35">
        <f>'Seaside SAM'!AB35</f>
        <v>0</v>
      </c>
      <c r="AC35">
        <f>'Seaside SAM'!AC35</f>
        <v>0</v>
      </c>
      <c r="AD35">
        <f>'Seaside SAM'!AD35</f>
        <v>32970.053860299566</v>
      </c>
      <c r="AE35">
        <f>'Seaside SAM'!AE35</f>
        <v>61043.425363081871</v>
      </c>
      <c r="AF35">
        <f>'Seaside SAM'!AF35</f>
        <v>0</v>
      </c>
      <c r="AG35">
        <f>'Seaside SAM'!AG35</f>
        <v>0</v>
      </c>
      <c r="AH35">
        <f>'Seaside SAM'!AH35</f>
        <v>0</v>
      </c>
      <c r="AI35">
        <f>'Seaside SAM'!AI35</f>
        <v>0</v>
      </c>
      <c r="AJ35">
        <f>'Seaside SAM'!AJ35</f>
        <v>0</v>
      </c>
      <c r="AK35">
        <f>'Seaside SAM'!AK35</f>
        <v>0</v>
      </c>
      <c r="AL35">
        <f>'Seaside SAM'!AL35</f>
        <v>5111.6688090019234</v>
      </c>
      <c r="AM35">
        <f>'Seaside SAM'!AM35</f>
        <v>9321.9509908676155</v>
      </c>
      <c r="AN35">
        <f>'Seaside SAM'!AN35</f>
        <v>667.53839721679685</v>
      </c>
      <c r="AO35">
        <f>'Seaside SAM'!AO35</f>
        <v>0</v>
      </c>
      <c r="AP35">
        <f>'Seaside SAM'!AP35</f>
        <v>0</v>
      </c>
      <c r="AQ35">
        <f>'Seaside SAM'!AQ35</f>
        <v>0</v>
      </c>
      <c r="AR35">
        <f>'Seaside SAM'!AR35</f>
        <v>0</v>
      </c>
      <c r="AS35">
        <f>'Seaside SAM'!AS35</f>
        <v>0</v>
      </c>
      <c r="AT35">
        <f>'Seaside SAM'!AT35</f>
        <v>0</v>
      </c>
      <c r="AU35">
        <f>'Seaside SAM'!AU35</f>
        <v>0</v>
      </c>
      <c r="AV35">
        <f>'Seaside SAM'!AV35</f>
        <v>0</v>
      </c>
      <c r="AW35">
        <f>'Seaside SAM'!AW35</f>
        <v>12216.78422884093</v>
      </c>
    </row>
    <row r="36" spans="1:49">
      <c r="A36" t="str">
        <f>'Seaside SAM'!A36</f>
        <v>HH4</v>
      </c>
      <c r="B36">
        <f>'Seaside SAM'!B36</f>
        <v>0</v>
      </c>
      <c r="C36">
        <f>'Seaside SAM'!C36</f>
        <v>0</v>
      </c>
      <c r="D36">
        <f>'Seaside SAM'!D36</f>
        <v>0</v>
      </c>
      <c r="E36">
        <f>'Seaside SAM'!E36</f>
        <v>0</v>
      </c>
      <c r="F36">
        <f>'Seaside SAM'!F36</f>
        <v>0</v>
      </c>
      <c r="G36">
        <f>'Seaside SAM'!G36</f>
        <v>0</v>
      </c>
      <c r="H36">
        <f>'Seaside SAM'!H36</f>
        <v>0</v>
      </c>
      <c r="I36">
        <f>'Seaside SAM'!I36</f>
        <v>0</v>
      </c>
      <c r="J36">
        <f>'Seaside SAM'!J36</f>
        <v>0</v>
      </c>
      <c r="K36">
        <f>'Seaside SAM'!K36</f>
        <v>0</v>
      </c>
      <c r="L36">
        <f>'Seaside SAM'!L36</f>
        <v>0</v>
      </c>
      <c r="M36">
        <f>'Seaside SAM'!M36</f>
        <v>0</v>
      </c>
      <c r="N36">
        <f>'Seaside SAM'!N36</f>
        <v>0</v>
      </c>
      <c r="O36">
        <f>'Seaside SAM'!O36</f>
        <v>0</v>
      </c>
      <c r="P36">
        <f>'Seaside SAM'!P36</f>
        <v>0</v>
      </c>
      <c r="Q36">
        <f>'Seaside SAM'!Q36</f>
        <v>0</v>
      </c>
      <c r="R36">
        <f>'Seaside SAM'!R36</f>
        <v>0</v>
      </c>
      <c r="S36">
        <f>'Seaside SAM'!S36</f>
        <v>0</v>
      </c>
      <c r="T36">
        <f>'Seaside SAM'!T36</f>
        <v>0</v>
      </c>
      <c r="U36">
        <f>'Seaside SAM'!U36</f>
        <v>0</v>
      </c>
      <c r="V36">
        <f>'Seaside SAM'!V36</f>
        <v>0</v>
      </c>
      <c r="W36">
        <f>'Seaside SAM'!W36</f>
        <v>0</v>
      </c>
      <c r="X36">
        <f>'Seaside SAM'!X36</f>
        <v>0</v>
      </c>
      <c r="Y36">
        <f>'Seaside SAM'!Y36</f>
        <v>745.94019496991757</v>
      </c>
      <c r="Z36">
        <f>'Seaside SAM'!Z36</f>
        <v>2369.6659230131563</v>
      </c>
      <c r="AA36">
        <f>'Seaside SAM'!AA36</f>
        <v>13778.190341028758</v>
      </c>
      <c r="AB36">
        <f>'Seaside SAM'!AB36</f>
        <v>6470.5429584313733</v>
      </c>
      <c r="AC36">
        <f>'Seaside SAM'!AC36</f>
        <v>0</v>
      </c>
      <c r="AD36">
        <f>'Seaside SAM'!AD36</f>
        <v>20358.329913229853</v>
      </c>
      <c r="AE36">
        <f>'Seaside SAM'!AE36</f>
        <v>37693.059217949129</v>
      </c>
      <c r="AF36">
        <f>'Seaside SAM'!AF36</f>
        <v>0</v>
      </c>
      <c r="AG36">
        <f>'Seaside SAM'!AG36</f>
        <v>0</v>
      </c>
      <c r="AH36">
        <f>'Seaside SAM'!AH36</f>
        <v>0</v>
      </c>
      <c r="AI36">
        <f>'Seaside SAM'!AI36</f>
        <v>0</v>
      </c>
      <c r="AJ36">
        <f>'Seaside SAM'!AJ36</f>
        <v>0</v>
      </c>
      <c r="AK36">
        <f>'Seaside SAM'!AK36</f>
        <v>0</v>
      </c>
      <c r="AL36">
        <f>'Seaside SAM'!AL36</f>
        <v>1347.4058943901061</v>
      </c>
      <c r="AM36">
        <f>'Seaside SAM'!AM36</f>
        <v>2711.0340017395019</v>
      </c>
      <c r="AN36">
        <f>'Seaside SAM'!AN36</f>
        <v>168.72</v>
      </c>
      <c r="AO36">
        <f>'Seaside SAM'!AO36</f>
        <v>0</v>
      </c>
      <c r="AP36">
        <f>'Seaside SAM'!AP36</f>
        <v>0</v>
      </c>
      <c r="AQ36">
        <f>'Seaside SAM'!AQ36</f>
        <v>0</v>
      </c>
      <c r="AR36">
        <f>'Seaside SAM'!AR36</f>
        <v>0</v>
      </c>
      <c r="AS36">
        <f>'Seaside SAM'!AS36</f>
        <v>0</v>
      </c>
      <c r="AT36">
        <f>'Seaside SAM'!AT36</f>
        <v>0</v>
      </c>
      <c r="AU36">
        <f>'Seaside SAM'!AU36</f>
        <v>0</v>
      </c>
      <c r="AV36">
        <f>'Seaside SAM'!AV36</f>
        <v>0</v>
      </c>
      <c r="AW36">
        <f>'Seaside SAM'!AW36</f>
        <v>8122.5916770719195</v>
      </c>
    </row>
    <row r="37" spans="1:49">
      <c r="A37" t="str">
        <f>'Seaside SAM'!A37</f>
        <v>HH5</v>
      </c>
      <c r="B37">
        <f>'Seaside SAM'!B37</f>
        <v>0</v>
      </c>
      <c r="C37">
        <f>'Seaside SAM'!C37</f>
        <v>0</v>
      </c>
      <c r="D37">
        <f>'Seaside SAM'!D37</f>
        <v>0</v>
      </c>
      <c r="E37">
        <f>'Seaside SAM'!E37</f>
        <v>0</v>
      </c>
      <c r="F37">
        <f>'Seaside SAM'!F37</f>
        <v>0</v>
      </c>
      <c r="G37">
        <f>'Seaside SAM'!G37</f>
        <v>0</v>
      </c>
      <c r="H37">
        <f>'Seaside SAM'!H37</f>
        <v>0</v>
      </c>
      <c r="I37">
        <f>'Seaside SAM'!I37</f>
        <v>0</v>
      </c>
      <c r="J37">
        <f>'Seaside SAM'!J37</f>
        <v>0</v>
      </c>
      <c r="K37">
        <f>'Seaside SAM'!K37</f>
        <v>0</v>
      </c>
      <c r="L37">
        <f>'Seaside SAM'!L37</f>
        <v>0</v>
      </c>
      <c r="M37">
        <f>'Seaside SAM'!M37</f>
        <v>0</v>
      </c>
      <c r="N37">
        <f>'Seaside SAM'!N37</f>
        <v>0</v>
      </c>
      <c r="O37">
        <f>'Seaside SAM'!O37</f>
        <v>0</v>
      </c>
      <c r="P37">
        <f>'Seaside SAM'!P37</f>
        <v>0</v>
      </c>
      <c r="Q37">
        <f>'Seaside SAM'!Q37</f>
        <v>0</v>
      </c>
      <c r="R37">
        <f>'Seaside SAM'!R37</f>
        <v>0</v>
      </c>
      <c r="S37">
        <f>'Seaside SAM'!S37</f>
        <v>0</v>
      </c>
      <c r="T37">
        <f>'Seaside SAM'!T37</f>
        <v>0</v>
      </c>
      <c r="U37">
        <f>'Seaside SAM'!U37</f>
        <v>0</v>
      </c>
      <c r="V37">
        <f>'Seaside SAM'!V37</f>
        <v>0</v>
      </c>
      <c r="W37">
        <f>'Seaside SAM'!W37</f>
        <v>0</v>
      </c>
      <c r="X37">
        <f>'Seaside SAM'!X37</f>
        <v>0</v>
      </c>
      <c r="Y37">
        <f>'Seaside SAM'!Y37</f>
        <v>1135.1263836498747</v>
      </c>
      <c r="Z37">
        <f>'Seaside SAM'!Z37</f>
        <v>4351.9826086107005</v>
      </c>
      <c r="AA37">
        <f>'Seaside SAM'!AA37</f>
        <v>20527.641690519198</v>
      </c>
      <c r="AB37">
        <f>'Seaside SAM'!AB37</f>
        <v>18279.283857568629</v>
      </c>
      <c r="AC37">
        <f>'Seaside SAM'!AC37</f>
        <v>37108.155853957272</v>
      </c>
      <c r="AD37">
        <f>'Seaside SAM'!AD37</f>
        <v>70929.146255664891</v>
      </c>
      <c r="AE37">
        <f>'Seaside SAM'!AE37</f>
        <v>131323.96033900377</v>
      </c>
      <c r="AF37">
        <f>'Seaside SAM'!AF37</f>
        <v>0</v>
      </c>
      <c r="AG37">
        <f>'Seaside SAM'!AG37</f>
        <v>0</v>
      </c>
      <c r="AH37">
        <f>'Seaside SAM'!AH37</f>
        <v>0</v>
      </c>
      <c r="AI37">
        <f>'Seaside SAM'!AI37</f>
        <v>0</v>
      </c>
      <c r="AJ37">
        <f>'Seaside SAM'!AJ37</f>
        <v>0</v>
      </c>
      <c r="AK37">
        <f>'Seaside SAM'!AK37</f>
        <v>0</v>
      </c>
      <c r="AL37">
        <f>'Seaside SAM'!AL37</f>
        <v>1720.0946983909607</v>
      </c>
      <c r="AM37">
        <f>'Seaside SAM'!AM37</f>
        <v>4468.1786899108884</v>
      </c>
      <c r="AN37">
        <f>'Seaside SAM'!AN37</f>
        <v>59.28</v>
      </c>
      <c r="AO37">
        <f>'Seaside SAM'!AO37</f>
        <v>0</v>
      </c>
      <c r="AP37">
        <f>'Seaside SAM'!AP37</f>
        <v>0</v>
      </c>
      <c r="AQ37">
        <f>'Seaside SAM'!AQ37</f>
        <v>0</v>
      </c>
      <c r="AR37">
        <f>'Seaside SAM'!AR37</f>
        <v>0</v>
      </c>
      <c r="AS37">
        <f>'Seaside SAM'!AS37</f>
        <v>0</v>
      </c>
      <c r="AT37">
        <f>'Seaside SAM'!AT37</f>
        <v>0</v>
      </c>
      <c r="AU37">
        <f>'Seaside SAM'!AU37</f>
        <v>0</v>
      </c>
      <c r="AV37">
        <f>'Seaside SAM'!AV37</f>
        <v>0</v>
      </c>
      <c r="AW37">
        <f>'Seaside SAM'!AW37</f>
        <v>20323.78380436881</v>
      </c>
    </row>
    <row r="38" spans="1:49">
      <c r="A38" t="str">
        <f>'Seaside SAM'!A38</f>
        <v>USSOCL1</v>
      </c>
      <c r="B38">
        <f>'Seaside SAM'!B38</f>
        <v>2.6907355886132813</v>
      </c>
      <c r="C38">
        <f>'Seaside SAM'!C38</f>
        <v>30.790039207314788</v>
      </c>
      <c r="D38">
        <f>'Seaside SAM'!D38</f>
        <v>41.950234367775678</v>
      </c>
      <c r="E38">
        <f>'Seaside SAM'!E38</f>
        <v>29.13000516462392</v>
      </c>
      <c r="F38">
        <f>'Seaside SAM'!F38</f>
        <v>6.5515689861934261</v>
      </c>
      <c r="G38">
        <f>'Seaside SAM'!G38</f>
        <v>77.157597619118903</v>
      </c>
      <c r="H38">
        <f>'Seaside SAM'!H38</f>
        <v>7.959708</v>
      </c>
      <c r="I38">
        <f>'Seaside SAM'!I38</f>
        <v>11.771968200183103</v>
      </c>
      <c r="J38">
        <f>'Seaside SAM'!J38</f>
        <v>30.79965821072388</v>
      </c>
      <c r="K38">
        <f>'Seaside SAM'!K38</f>
        <v>69.08984407495025</v>
      </c>
      <c r="L38">
        <f>'Seaside SAM'!L38</f>
        <v>51.464720513044384</v>
      </c>
      <c r="M38">
        <f>'Seaside SAM'!M38</f>
        <v>8.6878962771685391</v>
      </c>
      <c r="N38">
        <f>'Seaside SAM'!N38</f>
        <v>17.197868588757743</v>
      </c>
      <c r="O38">
        <f>'Seaside SAM'!O38</f>
        <v>9.3524360750447144</v>
      </c>
      <c r="P38">
        <f>'Seaside SAM'!P38</f>
        <v>1.5919416</v>
      </c>
      <c r="Q38">
        <f>'Seaside SAM'!Q38</f>
        <v>0.61067521252441404</v>
      </c>
      <c r="R38">
        <f>'Seaside SAM'!R38</f>
        <v>10.762942354453125</v>
      </c>
      <c r="S38">
        <f>'Seaside SAM'!S38</f>
        <v>0.37548828301603399</v>
      </c>
      <c r="T38">
        <f>'Seaside SAM'!T38</f>
        <v>23.786215363171774</v>
      </c>
      <c r="U38">
        <f>'Seaside SAM'!U38</f>
        <v>6.643685388423</v>
      </c>
      <c r="V38">
        <f>'Seaside SAM'!V38</f>
        <v>0</v>
      </c>
      <c r="W38">
        <f>'Seaside SAM'!W38</f>
        <v>0</v>
      </c>
      <c r="X38">
        <f>'Seaside SAM'!X38</f>
        <v>0</v>
      </c>
      <c r="Y38">
        <f>'Seaside SAM'!Y38</f>
        <v>455.02911068723409</v>
      </c>
      <c r="Z38">
        <f>'Seaside SAM'!Z38</f>
        <v>0</v>
      </c>
      <c r="AA38">
        <f>'Seaside SAM'!AA38</f>
        <v>0</v>
      </c>
      <c r="AB38">
        <f>'Seaside SAM'!AB38</f>
        <v>0</v>
      </c>
      <c r="AC38">
        <f>'Seaside SAM'!AC38</f>
        <v>0</v>
      </c>
      <c r="AD38">
        <f>'Seaside SAM'!AD38</f>
        <v>0</v>
      </c>
      <c r="AE38">
        <f>'Seaside SAM'!AE38</f>
        <v>0</v>
      </c>
      <c r="AF38">
        <f>'Seaside SAM'!AF38</f>
        <v>0</v>
      </c>
      <c r="AG38">
        <f>'Seaside SAM'!AG38</f>
        <v>0</v>
      </c>
      <c r="AH38">
        <f>'Seaside SAM'!AH38</f>
        <v>0</v>
      </c>
      <c r="AI38">
        <f>'Seaside SAM'!AI38</f>
        <v>0</v>
      </c>
      <c r="AJ38">
        <f>'Seaside SAM'!AJ38</f>
        <v>0</v>
      </c>
      <c r="AK38">
        <f>'Seaside SAM'!AK38</f>
        <v>0</v>
      </c>
      <c r="AL38">
        <f>'Seaside SAM'!AL38</f>
        <v>0</v>
      </c>
      <c r="AM38">
        <f>'Seaside SAM'!AM38</f>
        <v>0</v>
      </c>
      <c r="AN38">
        <f>'Seaside SAM'!AN38</f>
        <v>0</v>
      </c>
      <c r="AO38">
        <f>'Seaside SAM'!AO38</f>
        <v>0</v>
      </c>
      <c r="AP38">
        <f>'Seaside SAM'!AP38</f>
        <v>0</v>
      </c>
      <c r="AQ38">
        <f>'Seaside SAM'!AQ38</f>
        <v>0</v>
      </c>
      <c r="AR38">
        <f>'Seaside SAM'!AR38</f>
        <v>0</v>
      </c>
      <c r="AS38">
        <f>'Seaside SAM'!AS38</f>
        <v>0</v>
      </c>
      <c r="AT38">
        <f>'Seaside SAM'!AT38</f>
        <v>0</v>
      </c>
      <c r="AU38">
        <f>'Seaside SAM'!AU38</f>
        <v>0</v>
      </c>
      <c r="AV38">
        <f>'Seaside SAM'!AV38</f>
        <v>16.663881612133029</v>
      </c>
      <c r="AW38">
        <f>'Seaside SAM'!AW38</f>
        <v>0</v>
      </c>
    </row>
    <row r="39" spans="1:49">
      <c r="A39" t="str">
        <f>'Seaside SAM'!A39</f>
        <v>USSOCL2</v>
      </c>
      <c r="B39">
        <f>'Seaside SAM'!B39</f>
        <v>8.1088020263671883</v>
      </c>
      <c r="C39">
        <f>'Seaside SAM'!C39</f>
        <v>155.44229998696039</v>
      </c>
      <c r="D39">
        <f>'Seaside SAM'!D39</f>
        <v>94.624433741060699</v>
      </c>
      <c r="E39">
        <f>'Seaside SAM'!E39</f>
        <v>239.22630583154296</v>
      </c>
      <c r="F39">
        <f>'Seaside SAM'!F39</f>
        <v>49.492679122301872</v>
      </c>
      <c r="G39">
        <f>'Seaside SAM'!G39</f>
        <v>159.17464284375001</v>
      </c>
      <c r="H39">
        <f>'Seaside SAM'!H39</f>
        <v>1.6358543833007813</v>
      </c>
      <c r="I39">
        <f>'Seaside SAM'!I39</f>
        <v>29.191687294921874</v>
      </c>
      <c r="J39">
        <f>'Seaside SAM'!J39</f>
        <v>204.21955429980468</v>
      </c>
      <c r="K39">
        <f>'Seaside SAM'!K39</f>
        <v>341.6314285427701</v>
      </c>
      <c r="L39">
        <f>'Seaside SAM'!L39</f>
        <v>116.59082014523551</v>
      </c>
      <c r="M39">
        <f>'Seaside SAM'!M39</f>
        <v>69.393890241210926</v>
      </c>
      <c r="N39">
        <f>'Seaside SAM'!N39</f>
        <v>128.3143532800419</v>
      </c>
      <c r="O39">
        <f>'Seaside SAM'!O39</f>
        <v>19.896830355468751</v>
      </c>
      <c r="P39">
        <f>'Seaside SAM'!P39</f>
        <v>29.445378899414063</v>
      </c>
      <c r="Q39">
        <f>'Seaside SAM'!Q39</f>
        <v>4.4938799999999999</v>
      </c>
      <c r="R39">
        <f>'Seaside SAM'!R39</f>
        <v>24.326406079101563</v>
      </c>
      <c r="S39">
        <f>'Seaside SAM'!S39</f>
        <v>3.4163142854277009</v>
      </c>
      <c r="T39">
        <f>'Seaside SAM'!T39</f>
        <v>54.071104994891826</v>
      </c>
      <c r="U39">
        <f>'Seaside SAM'!U39</f>
        <v>51.13234017773437</v>
      </c>
      <c r="V39">
        <f>'Seaside SAM'!V39</f>
        <v>0</v>
      </c>
      <c r="W39">
        <f>'Seaside SAM'!W39</f>
        <v>0</v>
      </c>
      <c r="X39">
        <f>'Seaside SAM'!X39</f>
        <v>0</v>
      </c>
      <c r="Y39">
        <f>'Seaside SAM'!Y39</f>
        <v>0</v>
      </c>
      <c r="Z39">
        <f>'Seaside SAM'!Z39</f>
        <v>1884.4972534307215</v>
      </c>
      <c r="AA39">
        <f>'Seaside SAM'!AA39</f>
        <v>0</v>
      </c>
      <c r="AB39">
        <f>'Seaside SAM'!AB39</f>
        <v>0</v>
      </c>
      <c r="AC39">
        <f>'Seaside SAM'!AC39</f>
        <v>0</v>
      </c>
      <c r="AD39">
        <f>'Seaside SAM'!AD39</f>
        <v>0</v>
      </c>
      <c r="AE39">
        <f>'Seaside SAM'!AE39</f>
        <v>0</v>
      </c>
      <c r="AF39">
        <f>'Seaside SAM'!AF39</f>
        <v>0</v>
      </c>
      <c r="AG39">
        <f>'Seaside SAM'!AG39</f>
        <v>0</v>
      </c>
      <c r="AH39">
        <f>'Seaside SAM'!AH39</f>
        <v>0</v>
      </c>
      <c r="AI39">
        <f>'Seaside SAM'!AI39</f>
        <v>0</v>
      </c>
      <c r="AJ39">
        <f>'Seaside SAM'!AJ39</f>
        <v>0</v>
      </c>
      <c r="AK39">
        <f>'Seaside SAM'!AK39</f>
        <v>0</v>
      </c>
      <c r="AL39">
        <f>'Seaside SAM'!AL39</f>
        <v>0</v>
      </c>
      <c r="AM39">
        <f>'Seaside SAM'!AM39</f>
        <v>0</v>
      </c>
      <c r="AN39">
        <f>'Seaside SAM'!AN39</f>
        <v>0</v>
      </c>
      <c r="AO39">
        <f>'Seaside SAM'!AO39</f>
        <v>0</v>
      </c>
      <c r="AP39">
        <f>'Seaside SAM'!AP39</f>
        <v>0</v>
      </c>
      <c r="AQ39">
        <f>'Seaside SAM'!AQ39</f>
        <v>0</v>
      </c>
      <c r="AR39">
        <f>'Seaside SAM'!AR39</f>
        <v>0</v>
      </c>
      <c r="AS39">
        <f>'Seaside SAM'!AS39</f>
        <v>0</v>
      </c>
      <c r="AT39">
        <f>'Seaside SAM'!AT39</f>
        <v>0</v>
      </c>
      <c r="AU39">
        <f>'Seaside SAM'!AU39</f>
        <v>0</v>
      </c>
      <c r="AV39">
        <f>'Seaside SAM'!AV39</f>
        <v>100.66824689941406</v>
      </c>
      <c r="AW39">
        <f>'Seaside SAM'!AW39</f>
        <v>0</v>
      </c>
    </row>
    <row r="40" spans="1:49">
      <c r="A40" t="str">
        <f>'Seaside SAM'!A40</f>
        <v>USSOCL3</v>
      </c>
      <c r="B40">
        <f>'Seaside SAM'!B40</f>
        <v>60.137933373134324</v>
      </c>
      <c r="C40">
        <f>'Seaside SAM'!C40</f>
        <v>168.77904381517101</v>
      </c>
      <c r="D40">
        <f>'Seaside SAM'!D40</f>
        <v>414.66052637964839</v>
      </c>
      <c r="E40">
        <f>'Seaside SAM'!E40</f>
        <v>417.46547486705208</v>
      </c>
      <c r="F40">
        <f>'Seaside SAM'!F40</f>
        <v>13.485743999999999</v>
      </c>
      <c r="G40">
        <f>'Seaside SAM'!G40</f>
        <v>46.366343999999998</v>
      </c>
      <c r="H40">
        <f>'Seaside SAM'!H40</f>
        <v>53.878058181818183</v>
      </c>
      <c r="I40">
        <f>'Seaside SAM'!I40</f>
        <v>233.03449182089548</v>
      </c>
      <c r="J40">
        <f>'Seaside SAM'!J40</f>
        <v>1038.5038818502328</v>
      </c>
      <c r="K40">
        <f>'Seaside SAM'!K40</f>
        <v>373.46852248463375</v>
      </c>
      <c r="L40">
        <f>'Seaside SAM'!L40</f>
        <v>506.80731001957025</v>
      </c>
      <c r="M40">
        <f>'Seaside SAM'!M40</f>
        <v>120.84526904046245</v>
      </c>
      <c r="N40">
        <f>'Seaside SAM'!N40</f>
        <v>33.714359999999999</v>
      </c>
      <c r="O40">
        <f>'Seaside SAM'!O40</f>
        <v>5.4548639999999997</v>
      </c>
      <c r="P40">
        <f>'Seaside SAM'!P40</f>
        <v>3.5918705454545456</v>
      </c>
      <c r="Q40">
        <f>'Seaside SAM'!Q40</f>
        <v>97.52827659960937</v>
      </c>
      <c r="R40">
        <f>'Seaside SAM'!R40</f>
        <v>210.48276680597013</v>
      </c>
      <c r="S40">
        <f>'Seaside SAM'!S40</f>
        <v>0</v>
      </c>
      <c r="T40">
        <f>'Seaside SAM'!T40</f>
        <v>233.91106616287857</v>
      </c>
      <c r="U40">
        <f>'Seaside SAM'!U40</f>
        <v>87.8874683930636</v>
      </c>
      <c r="V40">
        <f>'Seaside SAM'!V40</f>
        <v>0</v>
      </c>
      <c r="W40">
        <f>'Seaside SAM'!W40</f>
        <v>0</v>
      </c>
      <c r="X40">
        <f>'Seaside SAM'!X40</f>
        <v>0</v>
      </c>
      <c r="Y40">
        <f>'Seaside SAM'!Y40</f>
        <v>0</v>
      </c>
      <c r="Z40">
        <f>'Seaside SAM'!Z40</f>
        <v>0</v>
      </c>
      <c r="AA40">
        <f>'Seaside SAM'!AA40</f>
        <v>4590.1887031403767</v>
      </c>
      <c r="AB40">
        <f>'Seaside SAM'!AB40</f>
        <v>0</v>
      </c>
      <c r="AC40">
        <f>'Seaside SAM'!AC40</f>
        <v>0</v>
      </c>
      <c r="AD40">
        <f>'Seaside SAM'!AD40</f>
        <v>0</v>
      </c>
      <c r="AE40">
        <f>'Seaside SAM'!AE40</f>
        <v>0</v>
      </c>
      <c r="AF40">
        <f>'Seaside SAM'!AF40</f>
        <v>0</v>
      </c>
      <c r="AG40">
        <f>'Seaside SAM'!AG40</f>
        <v>0</v>
      </c>
      <c r="AH40">
        <f>'Seaside SAM'!AH40</f>
        <v>0</v>
      </c>
      <c r="AI40">
        <f>'Seaside SAM'!AI40</f>
        <v>0</v>
      </c>
      <c r="AJ40">
        <f>'Seaside SAM'!AJ40</f>
        <v>0</v>
      </c>
      <c r="AK40">
        <f>'Seaside SAM'!AK40</f>
        <v>0</v>
      </c>
      <c r="AL40">
        <f>'Seaside SAM'!AL40</f>
        <v>0</v>
      </c>
      <c r="AM40">
        <f>'Seaside SAM'!AM40</f>
        <v>0</v>
      </c>
      <c r="AN40">
        <f>'Seaside SAM'!AN40</f>
        <v>0</v>
      </c>
      <c r="AO40">
        <f>'Seaside SAM'!AO40</f>
        <v>0</v>
      </c>
      <c r="AP40">
        <f>'Seaside SAM'!AP40</f>
        <v>0</v>
      </c>
      <c r="AQ40">
        <f>'Seaside SAM'!AQ40</f>
        <v>0</v>
      </c>
      <c r="AR40">
        <f>'Seaside SAM'!AR40</f>
        <v>0</v>
      </c>
      <c r="AS40">
        <f>'Seaside SAM'!AS40</f>
        <v>0</v>
      </c>
      <c r="AT40">
        <f>'Seaside SAM'!AT40</f>
        <v>0</v>
      </c>
      <c r="AU40">
        <f>'Seaside SAM'!AU40</f>
        <v>0</v>
      </c>
      <c r="AV40">
        <f>'Seaside SAM'!AV40</f>
        <v>470.18543080078126</v>
      </c>
      <c r="AW40">
        <f>'Seaside SAM'!AW40</f>
        <v>0</v>
      </c>
    </row>
    <row r="41" spans="1:49">
      <c r="A41" t="str">
        <f>'Seaside SAM'!A41</f>
        <v>USSOCL4</v>
      </c>
      <c r="B41">
        <f>'Seaside SAM'!B41</f>
        <v>30.661174883720932</v>
      </c>
      <c r="C41">
        <f>'Seaside SAM'!C41</f>
        <v>18.479080799999998</v>
      </c>
      <c r="D41">
        <f>'Seaside SAM'!D41</f>
        <v>180.59636610000001</v>
      </c>
      <c r="E41">
        <f>'Seaside SAM'!E41</f>
        <v>255.75909974999999</v>
      </c>
      <c r="F41">
        <f>'Seaside SAM'!F41</f>
        <v>0</v>
      </c>
      <c r="G41">
        <f>'Seaside SAM'!G41</f>
        <v>0</v>
      </c>
      <c r="H41">
        <f>'Seaside SAM'!H41</f>
        <v>8.0438399999999994</v>
      </c>
      <c r="I41">
        <f>'Seaside SAM'!I41</f>
        <v>122.64469953488373</v>
      </c>
      <c r="J41">
        <f>'Seaside SAM'!J41</f>
        <v>488.38831199999998</v>
      </c>
      <c r="K41">
        <f>'Seaside SAM'!K41</f>
        <v>43.117855200000001</v>
      </c>
      <c r="L41">
        <f>'Seaside SAM'!L41</f>
        <v>217.96113149999999</v>
      </c>
      <c r="M41">
        <f>'Seaside SAM'!M41</f>
        <v>79.163530875000006</v>
      </c>
      <c r="N41">
        <f>'Seaside SAM'!N41</f>
        <v>0</v>
      </c>
      <c r="O41">
        <f>'Seaside SAM'!O41</f>
        <v>0</v>
      </c>
      <c r="P41">
        <f>'Seaside SAM'!P41</f>
        <v>56.306879999999992</v>
      </c>
      <c r="Q41">
        <f>'Seaside SAM'!Q41</f>
        <v>0</v>
      </c>
      <c r="R41">
        <f>'Seaside SAM'!R41</f>
        <v>110.38022958139535</v>
      </c>
      <c r="S41">
        <f>'Seaside SAM'!S41</f>
        <v>0</v>
      </c>
      <c r="T41">
        <f>'Seaside SAM'!T41</f>
        <v>99.639374399999994</v>
      </c>
      <c r="U41">
        <f>'Seaside SAM'!U41</f>
        <v>54.805521375000005</v>
      </c>
      <c r="V41">
        <f>'Seaside SAM'!V41</f>
        <v>0</v>
      </c>
      <c r="W41">
        <f>'Seaside SAM'!W41</f>
        <v>0</v>
      </c>
      <c r="X41">
        <f>'Seaside SAM'!X41</f>
        <v>0</v>
      </c>
      <c r="Y41">
        <f>'Seaside SAM'!Y41</f>
        <v>0</v>
      </c>
      <c r="Z41">
        <f>'Seaside SAM'!Z41</f>
        <v>0</v>
      </c>
      <c r="AA41">
        <f>'Seaside SAM'!AA41</f>
        <v>0</v>
      </c>
      <c r="AB41">
        <f>'Seaside SAM'!AB41</f>
        <v>1920.2451840000001</v>
      </c>
      <c r="AC41">
        <f>'Seaside SAM'!AC41</f>
        <v>0</v>
      </c>
      <c r="AD41">
        <f>'Seaside SAM'!AD41</f>
        <v>0</v>
      </c>
      <c r="AE41">
        <f>'Seaside SAM'!AE41</f>
        <v>0</v>
      </c>
      <c r="AF41">
        <f>'Seaside SAM'!AF41</f>
        <v>0</v>
      </c>
      <c r="AG41">
        <f>'Seaside SAM'!AG41</f>
        <v>0</v>
      </c>
      <c r="AH41">
        <f>'Seaside SAM'!AH41</f>
        <v>0</v>
      </c>
      <c r="AI41">
        <f>'Seaside SAM'!AI41</f>
        <v>0</v>
      </c>
      <c r="AJ41">
        <f>'Seaside SAM'!AJ41</f>
        <v>0</v>
      </c>
      <c r="AK41">
        <f>'Seaside SAM'!AK41</f>
        <v>0</v>
      </c>
      <c r="AL41">
        <f>'Seaside SAM'!AL41</f>
        <v>0</v>
      </c>
      <c r="AM41">
        <f>'Seaside SAM'!AM41</f>
        <v>0</v>
      </c>
      <c r="AN41">
        <f>'Seaside SAM'!AN41</f>
        <v>0</v>
      </c>
      <c r="AO41">
        <f>'Seaside SAM'!AO41</f>
        <v>0</v>
      </c>
      <c r="AP41">
        <f>'Seaside SAM'!AP41</f>
        <v>0</v>
      </c>
      <c r="AQ41">
        <f>'Seaside SAM'!AQ41</f>
        <v>0</v>
      </c>
      <c r="AR41">
        <f>'Seaside SAM'!AR41</f>
        <v>0</v>
      </c>
      <c r="AS41">
        <f>'Seaside SAM'!AS41</f>
        <v>0</v>
      </c>
      <c r="AT41">
        <f>'Seaside SAM'!AT41</f>
        <v>0</v>
      </c>
      <c r="AU41">
        <f>'Seaside SAM'!AU41</f>
        <v>0</v>
      </c>
      <c r="AV41">
        <f>'Seaside SAM'!AV41</f>
        <v>154.29808799999998</v>
      </c>
      <c r="AW41">
        <f>'Seaside SAM'!AW41</f>
        <v>0</v>
      </c>
    </row>
    <row r="42" spans="1:49">
      <c r="A42" t="str">
        <f>'Seaside SAM'!A42</f>
        <v>USSOCL5</v>
      </c>
      <c r="B42">
        <f>'Seaside SAM'!B42</f>
        <v>36.783219272727273</v>
      </c>
      <c r="C42">
        <f>'Seaside SAM'!C42</f>
        <v>56.863199999999992</v>
      </c>
      <c r="D42">
        <f>'Seaside SAM'!D42</f>
        <v>298.52667000000002</v>
      </c>
      <c r="E42">
        <f>'Seaside SAM'!E42</f>
        <v>411.49713600000001</v>
      </c>
      <c r="F42">
        <f>'Seaside SAM'!F42</f>
        <v>0</v>
      </c>
      <c r="G42">
        <f>'Seaside SAM'!G42</f>
        <v>0</v>
      </c>
      <c r="H42">
        <f>'Seaside SAM'!H42</f>
        <v>60.432978461538454</v>
      </c>
      <c r="I42">
        <f>'Seaside SAM'!I42</f>
        <v>122.61073090909089</v>
      </c>
      <c r="J42">
        <f>'Seaside SAM'!J42</f>
        <v>371.56961925000002</v>
      </c>
      <c r="K42">
        <f>'Seaside SAM'!K42</f>
        <v>147.84431999999995</v>
      </c>
      <c r="L42">
        <f>'Seaside SAM'!L42</f>
        <v>367.41744</v>
      </c>
      <c r="M42">
        <f>'Seaside SAM'!M42</f>
        <v>125.73523599999999</v>
      </c>
      <c r="N42">
        <f>'Seaside SAM'!N42</f>
        <v>0</v>
      </c>
      <c r="O42">
        <f>'Seaside SAM'!O42</f>
        <v>0</v>
      </c>
      <c r="P42">
        <f>'Seaside SAM'!P42</f>
        <v>382.7421969230769</v>
      </c>
      <c r="Q42">
        <f>'Seaside SAM'!Q42</f>
        <v>38.208240000000004</v>
      </c>
      <c r="R42">
        <f>'Seaside SAM'!R42</f>
        <v>110.34965781818181</v>
      </c>
      <c r="S42">
        <f>'Seaside SAM'!S42</f>
        <v>0</v>
      </c>
      <c r="T42">
        <f>'Seaside SAM'!T42</f>
        <v>172.22692499999999</v>
      </c>
      <c r="U42">
        <f>'Seaside SAM'!U42</f>
        <v>91.44380799999999</v>
      </c>
      <c r="V42">
        <f>'Seaside SAM'!V42</f>
        <v>0</v>
      </c>
      <c r="W42">
        <f>'Seaside SAM'!W42</f>
        <v>0</v>
      </c>
      <c r="X42">
        <f>'Seaside SAM'!X42</f>
        <v>0</v>
      </c>
      <c r="Y42">
        <f>'Seaside SAM'!Y42</f>
        <v>0</v>
      </c>
      <c r="Z42">
        <f>'Seaside SAM'!Z42</f>
        <v>0</v>
      </c>
      <c r="AA42">
        <f>'Seaside SAM'!AA42</f>
        <v>0</v>
      </c>
      <c r="AB42">
        <f>'Seaside SAM'!AB42</f>
        <v>0</v>
      </c>
      <c r="AC42">
        <f>'Seaside SAM'!AC42</f>
        <v>2879.0810576346162</v>
      </c>
      <c r="AD42">
        <f>'Seaside SAM'!AD42</f>
        <v>0</v>
      </c>
      <c r="AE42">
        <f>'Seaside SAM'!AE42</f>
        <v>0</v>
      </c>
      <c r="AF42">
        <f>'Seaside SAM'!AF42</f>
        <v>0</v>
      </c>
      <c r="AG42">
        <f>'Seaside SAM'!AG42</f>
        <v>0</v>
      </c>
      <c r="AH42">
        <f>'Seaside SAM'!AH42</f>
        <v>0</v>
      </c>
      <c r="AI42">
        <f>'Seaside SAM'!AI42</f>
        <v>0</v>
      </c>
      <c r="AJ42">
        <f>'Seaside SAM'!AJ42</f>
        <v>0</v>
      </c>
      <c r="AK42">
        <f>'Seaside SAM'!AK42</f>
        <v>0</v>
      </c>
      <c r="AL42">
        <f>'Seaside SAM'!AL42</f>
        <v>0</v>
      </c>
      <c r="AM42">
        <f>'Seaside SAM'!AM42</f>
        <v>0</v>
      </c>
      <c r="AN42">
        <f>'Seaside SAM'!AN42</f>
        <v>0</v>
      </c>
      <c r="AO42">
        <f>'Seaside SAM'!AO42</f>
        <v>0</v>
      </c>
      <c r="AP42">
        <f>'Seaside SAM'!AP42</f>
        <v>0</v>
      </c>
      <c r="AQ42">
        <f>'Seaside SAM'!AQ42</f>
        <v>0</v>
      </c>
      <c r="AR42">
        <f>'Seaside SAM'!AR42</f>
        <v>0</v>
      </c>
      <c r="AS42">
        <f>'Seaside SAM'!AS42</f>
        <v>0</v>
      </c>
      <c r="AT42">
        <f>'Seaside SAM'!AT42</f>
        <v>0</v>
      </c>
      <c r="AU42">
        <f>'Seaside SAM'!AU42</f>
        <v>0</v>
      </c>
      <c r="AV42">
        <f>'Seaside SAM'!AV42</f>
        <v>84.829679999999996</v>
      </c>
      <c r="AW42">
        <f>'Seaside SAM'!AW42</f>
        <v>0</v>
      </c>
    </row>
    <row r="43" spans="1:49">
      <c r="A43" t="str">
        <f>'Seaside SAM'!A43</f>
        <v>STPIT</v>
      </c>
      <c r="B43">
        <f>'Seaside SAM'!B43</f>
        <v>0</v>
      </c>
      <c r="C43">
        <f>'Seaside SAM'!C43</f>
        <v>0</v>
      </c>
      <c r="D43">
        <f>'Seaside SAM'!D43</f>
        <v>0</v>
      </c>
      <c r="E43">
        <f>'Seaside SAM'!E43</f>
        <v>0</v>
      </c>
      <c r="F43">
        <f>'Seaside SAM'!F43</f>
        <v>0</v>
      </c>
      <c r="G43">
        <f>'Seaside SAM'!G43</f>
        <v>0</v>
      </c>
      <c r="H43">
        <f>'Seaside SAM'!H43</f>
        <v>0</v>
      </c>
      <c r="I43">
        <f>'Seaside SAM'!I43</f>
        <v>0</v>
      </c>
      <c r="J43">
        <f>'Seaside SAM'!J43</f>
        <v>0</v>
      </c>
      <c r="K43">
        <f>'Seaside SAM'!K43</f>
        <v>0</v>
      </c>
      <c r="L43">
        <f>'Seaside SAM'!L43</f>
        <v>0</v>
      </c>
      <c r="M43">
        <f>'Seaside SAM'!M43</f>
        <v>0</v>
      </c>
      <c r="N43">
        <f>'Seaside SAM'!N43</f>
        <v>0</v>
      </c>
      <c r="O43">
        <f>'Seaside SAM'!O43</f>
        <v>0</v>
      </c>
      <c r="P43">
        <f>'Seaside SAM'!P43</f>
        <v>0</v>
      </c>
      <c r="Q43">
        <f>'Seaside SAM'!Q43</f>
        <v>0</v>
      </c>
      <c r="R43">
        <f>'Seaside SAM'!R43</f>
        <v>0</v>
      </c>
      <c r="S43">
        <f>'Seaside SAM'!S43</f>
        <v>0</v>
      </c>
      <c r="T43">
        <f>'Seaside SAM'!T43</f>
        <v>0</v>
      </c>
      <c r="U43">
        <f>'Seaside SAM'!U43</f>
        <v>0</v>
      </c>
      <c r="V43">
        <f>'Seaside SAM'!V43</f>
        <v>0</v>
      </c>
      <c r="W43">
        <f>'Seaside SAM'!W43</f>
        <v>0</v>
      </c>
      <c r="X43">
        <f>'Seaside SAM'!X43</f>
        <v>0</v>
      </c>
      <c r="Y43">
        <f>'Seaside SAM'!Y43</f>
        <v>0</v>
      </c>
      <c r="Z43">
        <f>'Seaside SAM'!Z43</f>
        <v>0</v>
      </c>
      <c r="AA43">
        <f>'Seaside SAM'!AA43</f>
        <v>0</v>
      </c>
      <c r="AB43">
        <f>'Seaside SAM'!AB43</f>
        <v>0</v>
      </c>
      <c r="AC43">
        <f>'Seaside SAM'!AC43</f>
        <v>0</v>
      </c>
      <c r="AD43">
        <f>'Seaside SAM'!AD43</f>
        <v>0</v>
      </c>
      <c r="AE43">
        <f>'Seaside SAM'!AE43</f>
        <v>0</v>
      </c>
      <c r="AF43">
        <f>'Seaside SAM'!AF43</f>
        <v>0</v>
      </c>
      <c r="AG43">
        <f>'Seaside SAM'!AG43</f>
        <v>28.201575953335531</v>
      </c>
      <c r="AH43">
        <f>'Seaside SAM'!AH43</f>
        <v>445.55309114154647</v>
      </c>
      <c r="AI43">
        <f>'Seaside SAM'!AI43</f>
        <v>2017.4033935969578</v>
      </c>
      <c r="AJ43">
        <f>'Seaside SAM'!AJ43</f>
        <v>2081.5569734945957</v>
      </c>
      <c r="AK43">
        <f>'Seaside SAM'!AK43</f>
        <v>9621.3649658135637</v>
      </c>
      <c r="AL43">
        <f>'Seaside SAM'!AL43</f>
        <v>0</v>
      </c>
      <c r="AM43">
        <f>'Seaside SAM'!AM43</f>
        <v>0</v>
      </c>
      <c r="AN43">
        <f>'Seaside SAM'!AN43</f>
        <v>0</v>
      </c>
      <c r="AO43">
        <f>'Seaside SAM'!AO43</f>
        <v>0</v>
      </c>
      <c r="AP43">
        <f>'Seaside SAM'!AP43</f>
        <v>0</v>
      </c>
      <c r="AQ43">
        <f>'Seaside SAM'!AQ43</f>
        <v>0</v>
      </c>
      <c r="AR43">
        <f>'Seaside SAM'!AR43</f>
        <v>0</v>
      </c>
      <c r="AS43">
        <f>'Seaside SAM'!AS43</f>
        <v>0</v>
      </c>
      <c r="AT43">
        <f>'Seaside SAM'!AT43</f>
        <v>0</v>
      </c>
      <c r="AU43">
        <f>'Seaside SAM'!AU43</f>
        <v>0</v>
      </c>
      <c r="AV43">
        <f>'Seaside SAM'!AV43</f>
        <v>0</v>
      </c>
      <c r="AW43">
        <f>'Seaside SAM'!AW43</f>
        <v>0</v>
      </c>
    </row>
    <row r="44" spans="1:49">
      <c r="A44" t="str">
        <f>'Seaside SAM'!A44</f>
        <v>LOCTAX</v>
      </c>
      <c r="B44">
        <f>'Seaside SAM'!B44</f>
        <v>10.685108165127017</v>
      </c>
      <c r="C44">
        <f>'Seaside SAM'!C44</f>
        <v>69.564187297691447</v>
      </c>
      <c r="D44">
        <f>'Seaside SAM'!D44</f>
        <v>205.742985440897</v>
      </c>
      <c r="E44">
        <f>'Seaside SAM'!E44</f>
        <v>110.14014552598368</v>
      </c>
      <c r="F44">
        <f>'Seaside SAM'!F44</f>
        <v>4.9647102440064019</v>
      </c>
      <c r="G44">
        <f>'Seaside SAM'!G44</f>
        <v>279.03655404978986</v>
      </c>
      <c r="H44">
        <f>'Seaside SAM'!H44</f>
        <v>4.9408900541904615</v>
      </c>
      <c r="I44">
        <f>'Seaside SAM'!I44</f>
        <v>77.693920054722312</v>
      </c>
      <c r="J44">
        <f>'Seaside SAM'!J44</f>
        <v>276.36656166431885</v>
      </c>
      <c r="K44">
        <f>'Seaside SAM'!K44</f>
        <v>75.456664856317289</v>
      </c>
      <c r="L44">
        <f>'Seaside SAM'!L44</f>
        <v>128.43479110957355</v>
      </c>
      <c r="M44">
        <f>'Seaside SAM'!M44</f>
        <v>20.660538274311733</v>
      </c>
      <c r="N44">
        <f>'Seaside SAM'!N44</f>
        <v>10.519219041930771</v>
      </c>
      <c r="O44">
        <f>'Seaside SAM'!O44</f>
        <v>24.301060440361564</v>
      </c>
      <c r="P44">
        <f>'Seaside SAM'!P44</f>
        <v>15.46600794390433</v>
      </c>
      <c r="Q44">
        <f>'Seaside SAM'!Q44</f>
        <v>3.2388583467944136</v>
      </c>
      <c r="R44">
        <f>'Seaside SAM'!R44</f>
        <v>69.60546986439347</v>
      </c>
      <c r="S44">
        <f>'Seaside SAM'!S44</f>
        <v>0.54180785793989006</v>
      </c>
      <c r="T44">
        <f>'Seaside SAM'!T44</f>
        <v>59.151740663648248</v>
      </c>
      <c r="U44">
        <f>'Seaside SAM'!U44</f>
        <v>14.988779104097535</v>
      </c>
      <c r="V44">
        <f>'Seaside SAM'!V44</f>
        <v>0</v>
      </c>
      <c r="W44">
        <f>'Seaside SAM'!W44</f>
        <v>0</v>
      </c>
      <c r="X44">
        <f>'Seaside SAM'!X44</f>
        <v>0</v>
      </c>
      <c r="Y44">
        <f>'Seaside SAM'!Y44</f>
        <v>0</v>
      </c>
      <c r="Z44">
        <f>'Seaside SAM'!Z44</f>
        <v>0</v>
      </c>
      <c r="AA44">
        <f>'Seaside SAM'!AA44</f>
        <v>0</v>
      </c>
      <c r="AB44">
        <f>'Seaside SAM'!AB44</f>
        <v>0</v>
      </c>
      <c r="AC44">
        <f>'Seaside SAM'!AC44</f>
        <v>0</v>
      </c>
      <c r="AD44">
        <f>'Seaside SAM'!AD44</f>
        <v>0</v>
      </c>
      <c r="AE44">
        <f>'Seaside SAM'!AE44</f>
        <v>0</v>
      </c>
      <c r="AF44">
        <f>'Seaside SAM'!AF44</f>
        <v>0</v>
      </c>
      <c r="AG44">
        <f>'Seaside SAM'!AG44</f>
        <v>0</v>
      </c>
      <c r="AH44">
        <f>'Seaside SAM'!AH44</f>
        <v>0</v>
      </c>
      <c r="AI44">
        <f>'Seaside SAM'!AI44</f>
        <v>0</v>
      </c>
      <c r="AJ44">
        <f>'Seaside SAM'!AJ44</f>
        <v>0</v>
      </c>
      <c r="AK44">
        <f>'Seaside SAM'!AK44</f>
        <v>0</v>
      </c>
      <c r="AL44">
        <f>'Seaside SAM'!AL44</f>
        <v>0</v>
      </c>
      <c r="AM44">
        <f>'Seaside SAM'!AM44</f>
        <v>0</v>
      </c>
      <c r="AN44">
        <f>'Seaside SAM'!AN44</f>
        <v>0</v>
      </c>
      <c r="AO44">
        <f>'Seaside SAM'!AO44</f>
        <v>0</v>
      </c>
      <c r="AP44">
        <f>'Seaside SAM'!AP44</f>
        <v>0</v>
      </c>
      <c r="AQ44">
        <f>'Seaside SAM'!AQ44</f>
        <v>0</v>
      </c>
      <c r="AR44">
        <f>'Seaside SAM'!AR44</f>
        <v>0</v>
      </c>
      <c r="AS44">
        <f>'Seaside SAM'!AS44</f>
        <v>0</v>
      </c>
      <c r="AT44">
        <f>'Seaside SAM'!AT44</f>
        <v>0</v>
      </c>
      <c r="AU44">
        <f>'Seaside SAM'!AU44</f>
        <v>0</v>
      </c>
      <c r="AV44">
        <f>'Seaside SAM'!AV44</f>
        <v>0</v>
      </c>
      <c r="AW44">
        <f>'Seaside SAM'!AW44</f>
        <v>0</v>
      </c>
    </row>
    <row r="45" spans="1:49">
      <c r="A45" t="str">
        <f>'Seaside SAM'!A45</f>
        <v>PROPTX</v>
      </c>
      <c r="B45">
        <f>'Seaside SAM'!B45</f>
        <v>4.8014472712224396</v>
      </c>
      <c r="C45">
        <f>'Seaside SAM'!C45</f>
        <v>60.345894709487347</v>
      </c>
      <c r="D45">
        <f>'Seaside SAM'!D45</f>
        <v>271.97451423699749</v>
      </c>
      <c r="E45">
        <f>'Seaside SAM'!E45</f>
        <v>104.35607625329074</v>
      </c>
      <c r="F45">
        <f>'Seaside SAM'!F45</f>
        <v>26.856535025398586</v>
      </c>
      <c r="G45">
        <f>'Seaside SAM'!G45</f>
        <v>744.38607752498729</v>
      </c>
      <c r="H45">
        <f>'Seaside SAM'!H45</f>
        <v>1.2906862633232052</v>
      </c>
      <c r="I45">
        <f>'Seaside SAM'!I45</f>
        <v>19.186453996675972</v>
      </c>
      <c r="J45">
        <f>'Seaside SAM'!J45</f>
        <v>12.556926650506634</v>
      </c>
      <c r="K45">
        <f>'Seaside SAM'!K45</f>
        <v>135.48067213190851</v>
      </c>
      <c r="L45">
        <f>'Seaside SAM'!L45</f>
        <v>333.85081037860255</v>
      </c>
      <c r="M45">
        <f>'Seaside SAM'!M45</f>
        <v>30.903731575648028</v>
      </c>
      <c r="N45">
        <f>'Seaside SAM'!N45</f>
        <v>69.528632956776804</v>
      </c>
      <c r="O45">
        <f>'Seaside SAM'!O45</f>
        <v>88.309053197287923</v>
      </c>
      <c r="P45">
        <f>'Seaside SAM'!P45</f>
        <v>1.2152898034685715</v>
      </c>
      <c r="Q45">
        <f>'Seaside SAM'!Q45</f>
        <v>0.62040263362427939</v>
      </c>
      <c r="R45">
        <f>'Seaside SAM'!R45</f>
        <v>17.137494158461124</v>
      </c>
      <c r="S45">
        <f>'Seaside SAM'!S45</f>
        <v>1.1223290047597001</v>
      </c>
      <c r="T45">
        <f>'Seaside SAM'!T45</f>
        <v>153.60787260047246</v>
      </c>
      <c r="U45">
        <f>'Seaside SAM'!U45</f>
        <v>22.46909962710042</v>
      </c>
      <c r="V45">
        <f>'Seaside SAM'!V45</f>
        <v>0</v>
      </c>
      <c r="W45">
        <f>'Seaside SAM'!W45</f>
        <v>0</v>
      </c>
      <c r="X45">
        <f>'Seaside SAM'!X45</f>
        <v>0</v>
      </c>
      <c r="Y45">
        <f>'Seaside SAM'!Y45</f>
        <v>0</v>
      </c>
      <c r="Z45">
        <f>'Seaside SAM'!Z45</f>
        <v>0</v>
      </c>
      <c r="AA45">
        <f>'Seaside SAM'!AA45</f>
        <v>0</v>
      </c>
      <c r="AB45">
        <f>'Seaside SAM'!AB45</f>
        <v>0</v>
      </c>
      <c r="AC45">
        <f>'Seaside SAM'!AC45</f>
        <v>0</v>
      </c>
      <c r="AD45">
        <f>'Seaside SAM'!AD45</f>
        <v>0</v>
      </c>
      <c r="AE45">
        <f>'Seaside SAM'!AE45</f>
        <v>0</v>
      </c>
      <c r="AF45">
        <f>'Seaside SAM'!AF45</f>
        <v>0</v>
      </c>
      <c r="AG45">
        <f>'Seaside SAM'!AG45</f>
        <v>6.1070966629562573</v>
      </c>
      <c r="AH45">
        <f>'Seaside SAM'!AH45</f>
        <v>73.253912637402564</v>
      </c>
      <c r="AI45">
        <f>'Seaside SAM'!AI45</f>
        <v>350.41368231888032</v>
      </c>
      <c r="AJ45">
        <f>'Seaside SAM'!AJ45</f>
        <v>216.3732392123143</v>
      </c>
      <c r="AK45">
        <f>'Seaside SAM'!AK45</f>
        <v>753.85206916844663</v>
      </c>
      <c r="AL45">
        <f>'Seaside SAM'!AL45</f>
        <v>0</v>
      </c>
      <c r="AM45">
        <f>'Seaside SAM'!AM45</f>
        <v>0</v>
      </c>
      <c r="AN45">
        <f>'Seaside SAM'!AN45</f>
        <v>0</v>
      </c>
      <c r="AO45">
        <f>'Seaside SAM'!AO45</f>
        <v>0</v>
      </c>
      <c r="AP45">
        <f>'Seaside SAM'!AP45</f>
        <v>0</v>
      </c>
      <c r="AQ45">
        <f>'Seaside SAM'!AQ45</f>
        <v>0</v>
      </c>
      <c r="AR45">
        <f>'Seaside SAM'!AR45</f>
        <v>0</v>
      </c>
      <c r="AS45">
        <f>'Seaside SAM'!AS45</f>
        <v>0</v>
      </c>
      <c r="AT45">
        <f>'Seaside SAM'!AT45</f>
        <v>0</v>
      </c>
      <c r="AU45">
        <f>'Seaside SAM'!AU45</f>
        <v>0</v>
      </c>
      <c r="AV45">
        <f>'Seaside SAM'!AV45</f>
        <v>0</v>
      </c>
      <c r="AW45">
        <f>'Seaside SAM'!AW45</f>
        <v>0</v>
      </c>
    </row>
    <row r="46" spans="1:49">
      <c r="A46" t="str">
        <f>'Seaside SAM'!A46</f>
        <v>acctax</v>
      </c>
      <c r="B46">
        <f>'Seaside SAM'!B46</f>
        <v>0</v>
      </c>
      <c r="C46">
        <f>'Seaside SAM'!C46</f>
        <v>0</v>
      </c>
      <c r="D46">
        <f>'Seaside SAM'!D46</f>
        <v>0</v>
      </c>
      <c r="E46">
        <f>'Seaside SAM'!E46</f>
        <v>0</v>
      </c>
      <c r="F46">
        <f>'Seaside SAM'!F46</f>
        <v>192.66922477733078</v>
      </c>
      <c r="G46">
        <f>'Seaside SAM'!G46</f>
        <v>0</v>
      </c>
      <c r="H46">
        <f>'Seaside SAM'!H46</f>
        <v>0</v>
      </c>
      <c r="I46">
        <f>'Seaside SAM'!I46</f>
        <v>0</v>
      </c>
      <c r="J46">
        <f>'Seaside SAM'!J46</f>
        <v>0</v>
      </c>
      <c r="K46">
        <f>'Seaside SAM'!K46</f>
        <v>0</v>
      </c>
      <c r="L46">
        <f>'Seaside SAM'!L46</f>
        <v>0</v>
      </c>
      <c r="M46">
        <f>'Seaside SAM'!M46</f>
        <v>0</v>
      </c>
      <c r="N46">
        <f>'Seaside SAM'!N46</f>
        <v>495.83077522266916</v>
      </c>
      <c r="O46">
        <f>'Seaside SAM'!O46</f>
        <v>0</v>
      </c>
      <c r="P46">
        <f>'Seaside SAM'!P46</f>
        <v>0</v>
      </c>
      <c r="Q46">
        <f>'Seaside SAM'!Q46</f>
        <v>0</v>
      </c>
      <c r="R46">
        <f>'Seaside SAM'!R46</f>
        <v>0</v>
      </c>
      <c r="S46">
        <f>'Seaside SAM'!S46</f>
        <v>0</v>
      </c>
      <c r="T46">
        <f>'Seaside SAM'!T46</f>
        <v>0</v>
      </c>
      <c r="U46">
        <f>'Seaside SAM'!U46</f>
        <v>0</v>
      </c>
      <c r="V46">
        <f>'Seaside SAM'!V46</f>
        <v>0</v>
      </c>
      <c r="W46">
        <f>'Seaside SAM'!W46</f>
        <v>0</v>
      </c>
      <c r="X46">
        <f>'Seaside SAM'!X46</f>
        <v>0</v>
      </c>
      <c r="Y46">
        <f>'Seaside SAM'!Y46</f>
        <v>0</v>
      </c>
      <c r="Z46">
        <f>'Seaside SAM'!Z46</f>
        <v>0</v>
      </c>
      <c r="AA46">
        <f>'Seaside SAM'!AA46</f>
        <v>0</v>
      </c>
      <c r="AB46">
        <f>'Seaside SAM'!AB46</f>
        <v>0</v>
      </c>
      <c r="AC46">
        <f>'Seaside SAM'!AC46</f>
        <v>0</v>
      </c>
      <c r="AD46">
        <f>'Seaside SAM'!AD46</f>
        <v>0</v>
      </c>
      <c r="AE46">
        <f>'Seaside SAM'!AE46</f>
        <v>0</v>
      </c>
      <c r="AF46">
        <f>'Seaside SAM'!AF46</f>
        <v>0</v>
      </c>
      <c r="AG46">
        <f>'Seaside SAM'!AG46</f>
        <v>0</v>
      </c>
      <c r="AH46">
        <f>'Seaside SAM'!AH46</f>
        <v>0</v>
      </c>
      <c r="AI46">
        <f>'Seaside SAM'!AI46</f>
        <v>0</v>
      </c>
      <c r="AJ46">
        <f>'Seaside SAM'!AJ46</f>
        <v>0</v>
      </c>
      <c r="AK46">
        <f>'Seaside SAM'!AK46</f>
        <v>0</v>
      </c>
      <c r="AL46">
        <f>'Seaside SAM'!AL46</f>
        <v>0</v>
      </c>
      <c r="AM46">
        <f>'Seaside SAM'!AM46</f>
        <v>0</v>
      </c>
      <c r="AN46">
        <f>'Seaside SAM'!AN46</f>
        <v>0</v>
      </c>
      <c r="AO46">
        <f>'Seaside SAM'!AO46</f>
        <v>0</v>
      </c>
      <c r="AP46">
        <f>'Seaside SAM'!AP46</f>
        <v>0</v>
      </c>
      <c r="AQ46">
        <f>'Seaside SAM'!AQ46</f>
        <v>0</v>
      </c>
      <c r="AR46">
        <f>'Seaside SAM'!AR46</f>
        <v>0</v>
      </c>
      <c r="AS46">
        <f>'Seaside SAM'!AS46</f>
        <v>0</v>
      </c>
      <c r="AT46">
        <f>'Seaside SAM'!AT46</f>
        <v>0</v>
      </c>
      <c r="AU46">
        <f>'Seaside SAM'!AU46</f>
        <v>0</v>
      </c>
      <c r="AV46">
        <f>'Seaside SAM'!AV46</f>
        <v>0</v>
      </c>
      <c r="AW46">
        <f>'Seaside SAM'!AW46</f>
        <v>0</v>
      </c>
    </row>
    <row r="47" spans="1:49">
      <c r="A47" t="str">
        <f>'Seaside SAM'!A47</f>
        <v>CYGF</v>
      </c>
      <c r="B47">
        <f>'Seaside SAM'!B47</f>
        <v>0</v>
      </c>
      <c r="C47">
        <f>'Seaside SAM'!C47</f>
        <v>0</v>
      </c>
      <c r="D47">
        <f>'Seaside SAM'!D47</f>
        <v>0</v>
      </c>
      <c r="E47">
        <f>'Seaside SAM'!E47</f>
        <v>0</v>
      </c>
      <c r="F47">
        <f>'Seaside SAM'!F47</f>
        <v>0</v>
      </c>
      <c r="G47">
        <f>'Seaside SAM'!G47</f>
        <v>0</v>
      </c>
      <c r="H47">
        <f>'Seaside SAM'!H47</f>
        <v>0</v>
      </c>
      <c r="I47">
        <f>'Seaside SAM'!I47</f>
        <v>0</v>
      </c>
      <c r="J47">
        <f>'Seaside SAM'!J47</f>
        <v>0</v>
      </c>
      <c r="K47">
        <f>'Seaside SAM'!K47</f>
        <v>0</v>
      </c>
      <c r="L47">
        <f>'Seaside SAM'!L47</f>
        <v>0</v>
      </c>
      <c r="M47">
        <f>'Seaside SAM'!M47</f>
        <v>0</v>
      </c>
      <c r="N47">
        <f>'Seaside SAM'!N47</f>
        <v>0</v>
      </c>
      <c r="O47">
        <f>'Seaside SAM'!O47</f>
        <v>0</v>
      </c>
      <c r="P47">
        <f>'Seaside SAM'!P47</f>
        <v>0</v>
      </c>
      <c r="Q47">
        <f>'Seaside SAM'!Q47</f>
        <v>0</v>
      </c>
      <c r="R47">
        <f>'Seaside SAM'!R47</f>
        <v>0</v>
      </c>
      <c r="S47">
        <f>'Seaside SAM'!S47</f>
        <v>0</v>
      </c>
      <c r="T47">
        <f>'Seaside SAM'!T47</f>
        <v>0</v>
      </c>
      <c r="U47">
        <f>'Seaside SAM'!U47</f>
        <v>0</v>
      </c>
      <c r="V47">
        <f>'Seaside SAM'!V47</f>
        <v>0</v>
      </c>
      <c r="W47">
        <f>'Seaside SAM'!W47</f>
        <v>0</v>
      </c>
      <c r="X47">
        <f>'Seaside SAM'!X47</f>
        <v>0</v>
      </c>
      <c r="Y47">
        <f>'Seaside SAM'!Y47</f>
        <v>0</v>
      </c>
      <c r="Z47">
        <f>'Seaside SAM'!Z47</f>
        <v>0</v>
      </c>
      <c r="AA47">
        <f>'Seaside SAM'!AA47</f>
        <v>0</v>
      </c>
      <c r="AB47">
        <f>'Seaside SAM'!AB47</f>
        <v>0</v>
      </c>
      <c r="AC47">
        <f>'Seaside SAM'!AC47</f>
        <v>0</v>
      </c>
      <c r="AD47">
        <f>'Seaside SAM'!AD47</f>
        <v>0</v>
      </c>
      <c r="AE47">
        <f>'Seaside SAM'!AE47</f>
        <v>0</v>
      </c>
      <c r="AF47">
        <f>'Seaside SAM'!AF47</f>
        <v>0</v>
      </c>
      <c r="AG47">
        <f>'Seaside SAM'!AG47</f>
        <v>0</v>
      </c>
      <c r="AH47">
        <f>'Seaside SAM'!AH47</f>
        <v>0</v>
      </c>
      <c r="AI47">
        <f>'Seaside SAM'!AI47</f>
        <v>0</v>
      </c>
      <c r="AJ47">
        <f>'Seaside SAM'!AJ47</f>
        <v>0</v>
      </c>
      <c r="AK47">
        <f>'Seaside SAM'!AK47</f>
        <v>0</v>
      </c>
      <c r="AL47">
        <f>'Seaside SAM'!AL47</f>
        <v>0</v>
      </c>
      <c r="AM47">
        <f>'Seaside SAM'!AM47</f>
        <v>0</v>
      </c>
      <c r="AN47">
        <f>'Seaside SAM'!AN47</f>
        <v>0</v>
      </c>
      <c r="AO47">
        <f>'Seaside SAM'!AO47</f>
        <v>0</v>
      </c>
      <c r="AP47">
        <f>'Seaside SAM'!AP47</f>
        <v>0</v>
      </c>
      <c r="AQ47">
        <f>'Seaside SAM'!AQ47</f>
        <v>0</v>
      </c>
      <c r="AR47">
        <f>'Seaside SAM'!AR47</f>
        <v>1461.4999999999998</v>
      </c>
      <c r="AS47">
        <f>'Seaside SAM'!AS47</f>
        <v>3500</v>
      </c>
      <c r="AT47">
        <f>'Seaside SAM'!AT47</f>
        <v>688.5</v>
      </c>
      <c r="AU47">
        <f>'Seaside SAM'!AU47</f>
        <v>0</v>
      </c>
      <c r="AV47">
        <f>'Seaside SAM'!AV47</f>
        <v>0</v>
      </c>
      <c r="AW47">
        <f>'Seaside SAM'!AW47</f>
        <v>0</v>
      </c>
    </row>
    <row r="48" spans="1:49">
      <c r="A48" t="str">
        <f>'Seaside SAM'!A48</f>
        <v>FED</v>
      </c>
      <c r="B48">
        <f>'Seaside SAM'!B48</f>
        <v>0</v>
      </c>
      <c r="C48">
        <f>'Seaside SAM'!C48</f>
        <v>0</v>
      </c>
      <c r="D48">
        <f>'Seaside SAM'!D48</f>
        <v>0</v>
      </c>
      <c r="E48">
        <f>'Seaside SAM'!E48</f>
        <v>0</v>
      </c>
      <c r="F48">
        <f>'Seaside SAM'!F48</f>
        <v>0</v>
      </c>
      <c r="G48">
        <f>'Seaside SAM'!G48</f>
        <v>0</v>
      </c>
      <c r="H48">
        <f>'Seaside SAM'!H48</f>
        <v>0</v>
      </c>
      <c r="I48">
        <f>'Seaside SAM'!I48</f>
        <v>0</v>
      </c>
      <c r="J48">
        <f>'Seaside SAM'!J48</f>
        <v>0</v>
      </c>
      <c r="K48">
        <f>'Seaside SAM'!K48</f>
        <v>0</v>
      </c>
      <c r="L48">
        <f>'Seaside SAM'!L48</f>
        <v>0</v>
      </c>
      <c r="M48">
        <f>'Seaside SAM'!M48</f>
        <v>0</v>
      </c>
      <c r="N48">
        <f>'Seaside SAM'!N48</f>
        <v>0</v>
      </c>
      <c r="O48">
        <f>'Seaside SAM'!O48</f>
        <v>0</v>
      </c>
      <c r="P48">
        <f>'Seaside SAM'!P48</f>
        <v>0</v>
      </c>
      <c r="Q48">
        <f>'Seaside SAM'!Q48</f>
        <v>0</v>
      </c>
      <c r="R48">
        <f>'Seaside SAM'!R48</f>
        <v>0</v>
      </c>
      <c r="S48">
        <f>'Seaside SAM'!S48</f>
        <v>0</v>
      </c>
      <c r="T48">
        <f>'Seaside SAM'!T48</f>
        <v>0</v>
      </c>
      <c r="U48">
        <f>'Seaside SAM'!U48</f>
        <v>0</v>
      </c>
      <c r="V48">
        <f>'Seaside SAM'!V48</f>
        <v>0</v>
      </c>
      <c r="W48">
        <f>'Seaside SAM'!W48</f>
        <v>0</v>
      </c>
      <c r="X48">
        <f>'Seaside SAM'!X48</f>
        <v>0</v>
      </c>
      <c r="Y48">
        <f>'Seaside SAM'!Y48</f>
        <v>0</v>
      </c>
      <c r="Z48">
        <f>'Seaside SAM'!Z48</f>
        <v>0</v>
      </c>
      <c r="AA48">
        <f>'Seaside SAM'!AA48</f>
        <v>0</v>
      </c>
      <c r="AB48">
        <f>'Seaside SAM'!AB48</f>
        <v>0</v>
      </c>
      <c r="AC48">
        <f>'Seaside SAM'!AC48</f>
        <v>0</v>
      </c>
      <c r="AD48">
        <f>'Seaside SAM'!AD48</f>
        <v>0</v>
      </c>
      <c r="AE48">
        <f>'Seaside SAM'!AE48</f>
        <v>0</v>
      </c>
      <c r="AF48">
        <f>'Seaside SAM'!AF48</f>
        <v>0</v>
      </c>
      <c r="AG48">
        <f>'Seaside SAM'!AG48</f>
        <v>0</v>
      </c>
      <c r="AH48">
        <f>'Seaside SAM'!AH48</f>
        <v>0</v>
      </c>
      <c r="AI48">
        <f>'Seaside SAM'!AI48</f>
        <v>0</v>
      </c>
      <c r="AJ48">
        <f>'Seaside SAM'!AJ48</f>
        <v>0</v>
      </c>
      <c r="AK48">
        <f>'Seaside SAM'!AK48</f>
        <v>0</v>
      </c>
      <c r="AL48">
        <f>'Seaside SAM'!AL48</f>
        <v>-13509.3173014565</v>
      </c>
      <c r="AM48">
        <f>'Seaside SAM'!AM48</f>
        <v>-17999.117373395198</v>
      </c>
      <c r="AN48">
        <f>'Seaside SAM'!AN48</f>
        <v>8284.8390090639605</v>
      </c>
      <c r="AO48">
        <f>'Seaside SAM'!AO48</f>
        <v>3840.4903680000002</v>
      </c>
      <c r="AP48">
        <f>'Seaside SAM'!AP48</f>
        <v>5758.1621152692296</v>
      </c>
      <c r="AQ48">
        <f>'Seaside SAM'!AQ48</f>
        <v>14194.079999999998</v>
      </c>
      <c r="AR48">
        <f>'Seaside SAM'!AR48</f>
        <v>0</v>
      </c>
      <c r="AS48">
        <f>'Seaside SAM'!AS48</f>
        <v>0</v>
      </c>
      <c r="AT48">
        <f>'Seaside SAM'!AT48</f>
        <v>0</v>
      </c>
      <c r="AU48">
        <f>'Seaside SAM'!AU48</f>
        <v>5650</v>
      </c>
      <c r="AV48">
        <f>'Seaside SAM'!AV48</f>
        <v>0</v>
      </c>
      <c r="AW48">
        <f>'Seaside SAM'!AW48</f>
        <v>6278.6936113909578</v>
      </c>
    </row>
    <row r="49" spans="1:49">
      <c r="A49" t="str">
        <f>'Seaside SAM'!A49</f>
        <v>ROW</v>
      </c>
      <c r="B49">
        <f>'Seaside SAM'!B49</f>
        <v>39192.137429205548</v>
      </c>
      <c r="C49">
        <f>'Seaside SAM'!C49</f>
        <v>38218.720191443688</v>
      </c>
      <c r="D49">
        <f>'Seaside SAM'!D49</f>
        <v>27522.760731351493</v>
      </c>
      <c r="E49">
        <f>'Seaside SAM'!E49</f>
        <v>57379.372986559501</v>
      </c>
      <c r="F49">
        <f>'Seaside SAM'!F49</f>
        <v>34936.347847082914</v>
      </c>
      <c r="G49">
        <f>'Seaside SAM'!G49</f>
        <v>15387.36372307612</v>
      </c>
      <c r="H49">
        <f>'Seaside SAM'!H49</f>
        <v>5953.4712091097017</v>
      </c>
      <c r="I49">
        <f>'Seaside SAM'!I49</f>
        <v>20568.123200688187</v>
      </c>
      <c r="J49">
        <f>'Seaside SAM'!J49</f>
        <v>265591.45563099696</v>
      </c>
      <c r="K49">
        <f>'Seaside SAM'!K49</f>
        <v>54344.124498579928</v>
      </c>
      <c r="L49">
        <f>'Seaside SAM'!L49</f>
        <v>92066.301421331576</v>
      </c>
      <c r="M49">
        <f>'Seaside SAM'!M49</f>
        <v>83809.348617096344</v>
      </c>
      <c r="N49">
        <f>'Seaside SAM'!N49</f>
        <v>14783.499856359391</v>
      </c>
      <c r="O49">
        <f>'Seaside SAM'!O49</f>
        <v>35038.147115319385</v>
      </c>
      <c r="P49">
        <f>'Seaside SAM'!P49</f>
        <v>4242.9944769127378</v>
      </c>
      <c r="Q49">
        <f>'Seaside SAM'!Q49</f>
        <v>65468.350898669167</v>
      </c>
      <c r="R49">
        <f>'Seaside SAM'!R49</f>
        <v>5058.3618765207057</v>
      </c>
      <c r="S49">
        <f>'Seaside SAM'!S49</f>
        <v>17445.537976239153</v>
      </c>
      <c r="T49">
        <f>'Seaside SAM'!T49</f>
        <v>21178.66361147361</v>
      </c>
      <c r="U49">
        <f>'Seaside SAM'!U49</f>
        <v>39889.481003201166</v>
      </c>
      <c r="V49">
        <f>'Seaside SAM'!V49</f>
        <v>0</v>
      </c>
      <c r="W49">
        <f>'Seaside SAM'!W49</f>
        <v>0</v>
      </c>
      <c r="X49">
        <f>'Seaside SAM'!X49</f>
        <v>0</v>
      </c>
      <c r="Y49">
        <f>'Seaside SAM'!Y49</f>
        <v>0</v>
      </c>
      <c r="Z49">
        <f>'Seaside SAM'!Z49</f>
        <v>0</v>
      </c>
      <c r="AA49">
        <f>'Seaside SAM'!AA49</f>
        <v>0</v>
      </c>
      <c r="AB49">
        <f>'Seaside SAM'!AB49</f>
        <v>0</v>
      </c>
      <c r="AC49">
        <f>'Seaside SAM'!AC49</f>
        <v>0</v>
      </c>
      <c r="AD49">
        <f>'Seaside SAM'!AD49</f>
        <v>0</v>
      </c>
      <c r="AE49">
        <f>'Seaside SAM'!AE49</f>
        <v>0</v>
      </c>
      <c r="AF49">
        <f>'Seaside SAM'!AF49</f>
        <v>0</v>
      </c>
      <c r="AG49">
        <f>'Seaside SAM'!AG49</f>
        <v>0</v>
      </c>
      <c r="AH49">
        <f>'Seaside SAM'!AH49</f>
        <v>0</v>
      </c>
      <c r="AI49">
        <f>'Seaside SAM'!AI49</f>
        <v>0</v>
      </c>
      <c r="AJ49">
        <f>'Seaside SAM'!AJ49</f>
        <v>0</v>
      </c>
      <c r="AK49">
        <f>'Seaside SAM'!AK49</f>
        <v>0</v>
      </c>
      <c r="AL49">
        <f>'Seaside SAM'!AL49</f>
        <v>0</v>
      </c>
      <c r="AM49">
        <f>'Seaside SAM'!AM49</f>
        <v>0</v>
      </c>
      <c r="AN49">
        <f>'Seaside SAM'!AN49</f>
        <v>0</v>
      </c>
      <c r="AO49">
        <f>'Seaside SAM'!AO49</f>
        <v>0</v>
      </c>
      <c r="AP49">
        <f>'Seaside SAM'!AP49</f>
        <v>0</v>
      </c>
      <c r="AQ49">
        <f>'Seaside SAM'!AQ49</f>
        <v>0</v>
      </c>
      <c r="AR49">
        <f>'Seaside SAM'!AR49</f>
        <v>0</v>
      </c>
      <c r="AS49">
        <f>'Seaside SAM'!AS49</f>
        <v>0</v>
      </c>
      <c r="AT49">
        <f>'Seaside SAM'!AT49</f>
        <v>0</v>
      </c>
      <c r="AU49">
        <f>'Seaside SAM'!AU49</f>
        <v>0</v>
      </c>
      <c r="AV49">
        <f>'Seaside SAM'!AV49</f>
        <v>0</v>
      </c>
      <c r="AW49">
        <f>'Seaside SAM'!AW49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9"/>
  <sheetViews>
    <sheetView workbookViewId="0">
      <selection activeCell="H4" sqref="H4:H26"/>
    </sheetView>
  </sheetViews>
  <sheetFormatPr defaultRowHeight="14.4"/>
  <sheetData>
    <row r="3" spans="2:17">
      <c r="C3" t="str">
        <f>employ!BD50</f>
        <v>L1</v>
      </c>
      <c r="D3" t="str">
        <f>employ!BE50</f>
        <v>L2</v>
      </c>
      <c r="E3" t="str">
        <f>employ!BF50</f>
        <v>L3</v>
      </c>
      <c r="F3" t="str">
        <f>employ!BG50</f>
        <v>L4</v>
      </c>
      <c r="G3" t="str">
        <f>employ!BH50</f>
        <v>L5</v>
      </c>
      <c r="H3" s="12" t="s">
        <v>647</v>
      </c>
      <c r="I3" s="12" t="s">
        <v>430</v>
      </c>
      <c r="M3">
        <f>'kap land'!N6</f>
        <v>0.108333333333333</v>
      </c>
    </row>
    <row r="4" spans="2:17">
      <c r="B4" t="str">
        <f>employ!BC51</f>
        <v>const1</v>
      </c>
      <c r="C4">
        <f>employ!BD51</f>
        <v>8</v>
      </c>
      <c r="D4">
        <f>employ!BE51</f>
        <v>5</v>
      </c>
      <c r="E4">
        <f>employ!BF51</f>
        <v>16</v>
      </c>
      <c r="F4">
        <f>employ!BG51</f>
        <v>5</v>
      </c>
      <c r="G4">
        <f>employ!BH51</f>
        <v>3</v>
      </c>
      <c r="H4">
        <f>ROUND(M3,1)</f>
        <v>0.1</v>
      </c>
      <c r="I4">
        <f t="shared" ref="I4:I27" si="0">10*Q4</f>
        <v>9811.9347011661193</v>
      </c>
      <c r="M4">
        <f>'kap land'!N7</f>
        <v>29.845833333333402</v>
      </c>
      <c r="Q4">
        <f>'Seaside SAM'!D61</f>
        <v>981.19347011661193</v>
      </c>
    </row>
    <row r="5" spans="2:17">
      <c r="B5" t="str">
        <f>employ!BC52</f>
        <v>Retail1</v>
      </c>
      <c r="C5">
        <f>employ!BD52</f>
        <v>82</v>
      </c>
      <c r="D5">
        <f>employ!BE52</f>
        <v>91</v>
      </c>
      <c r="E5">
        <f>employ!BF52</f>
        <v>47</v>
      </c>
      <c r="F5">
        <f>employ!BG52</f>
        <v>3</v>
      </c>
      <c r="G5">
        <f>employ!BH52</f>
        <v>5</v>
      </c>
      <c r="H5">
        <f>ROUND(M4,1)</f>
        <v>29.8</v>
      </c>
      <c r="I5">
        <f t="shared" si="0"/>
        <v>137288.78057721126</v>
      </c>
      <c r="M5">
        <f>'kap land'!N8</f>
        <v>11.375000000000009</v>
      </c>
      <c r="Q5">
        <f>'Seaside SAM'!D62</f>
        <v>13728.878057721126</v>
      </c>
    </row>
    <row r="6" spans="2:17">
      <c r="B6" t="str">
        <f>employ!BC53</f>
        <v>Serv1</v>
      </c>
      <c r="C6">
        <f>employ!BD53</f>
        <v>97</v>
      </c>
      <c r="D6">
        <f>employ!BE53</f>
        <v>56</v>
      </c>
      <c r="E6">
        <f>employ!BF53</f>
        <v>117</v>
      </c>
      <c r="F6">
        <f>employ!BG53</f>
        <v>29</v>
      </c>
      <c r="G6">
        <f>employ!BH53</f>
        <v>26</v>
      </c>
      <c r="H6">
        <f>ROUND(M5,1)</f>
        <v>11.4</v>
      </c>
      <c r="I6">
        <f t="shared" si="0"/>
        <v>614175.01288697426</v>
      </c>
      <c r="M6">
        <f>'kap land'!N9</f>
        <v>3.0874999999999999</v>
      </c>
      <c r="Q6">
        <f>'Seaside SAM'!D63</f>
        <v>61417.501288697422</v>
      </c>
    </row>
    <row r="7" spans="2:17">
      <c r="B7" t="str">
        <f>employ!BC54</f>
        <v>HC1</v>
      </c>
      <c r="C7">
        <f>employ!BD54</f>
        <v>57</v>
      </c>
      <c r="D7">
        <f>employ!BE54</f>
        <v>131</v>
      </c>
      <c r="E7">
        <f>employ!BF54</f>
        <v>114</v>
      </c>
      <c r="F7">
        <f>employ!BG54</f>
        <v>42</v>
      </c>
      <c r="G7">
        <f>employ!BH54</f>
        <v>36</v>
      </c>
      <c r="H7">
        <f>ROUND(M6,1)</f>
        <v>3.1</v>
      </c>
      <c r="I7">
        <f t="shared" si="0"/>
        <v>286408.73816422198</v>
      </c>
      <c r="M7">
        <f>'kap land'!N10</f>
        <v>1.8958333333333339</v>
      </c>
      <c r="Q7">
        <f>'Seaside SAM'!D64</f>
        <v>28640.873816422201</v>
      </c>
    </row>
    <row r="8" spans="2:17">
      <c r="B8" t="str">
        <f>employ!BC55</f>
        <v>Accom1</v>
      </c>
      <c r="C8">
        <f>employ!BD55</f>
        <v>8</v>
      </c>
      <c r="D8">
        <f>employ!BE55</f>
        <v>27</v>
      </c>
      <c r="E8">
        <f>employ!BF55</f>
        <v>4</v>
      </c>
      <c r="F8">
        <f>employ!BG55</f>
        <v>0</v>
      </c>
      <c r="G8">
        <f>employ!BH55</f>
        <v>0</v>
      </c>
      <c r="H8">
        <f>ROUND(M7,1)</f>
        <v>1.9</v>
      </c>
      <c r="I8">
        <f t="shared" si="0"/>
        <v>34965.090765435998</v>
      </c>
      <c r="M8">
        <f>'kap land'!N11</f>
        <v>16.358333333333309</v>
      </c>
      <c r="Q8">
        <f>'Seaside SAM'!D65</f>
        <v>3496.5090765435998</v>
      </c>
    </row>
    <row r="9" spans="2:17">
      <c r="B9" t="str">
        <f>employ!BC56</f>
        <v>Rest1</v>
      </c>
      <c r="C9">
        <f>employ!BD56</f>
        <v>165</v>
      </c>
      <c r="D9">
        <f>employ!BE56</f>
        <v>96</v>
      </c>
      <c r="E9">
        <f>employ!BF56</f>
        <v>17</v>
      </c>
      <c r="F9">
        <f>employ!BG56</f>
        <v>0</v>
      </c>
      <c r="G9">
        <f>employ!BH56</f>
        <v>0</v>
      </c>
      <c r="H9">
        <f>ROUND(M8,1)</f>
        <v>16.399999999999999</v>
      </c>
      <c r="I9">
        <f t="shared" si="0"/>
        <v>1614829.8570247497</v>
      </c>
      <c r="M9">
        <f>'kap land'!N12</f>
        <v>0.17328605200945599</v>
      </c>
      <c r="Q9">
        <f>'Seaside SAM'!D66</f>
        <v>161482.98570247498</v>
      </c>
    </row>
    <row r="10" spans="2:17">
      <c r="B10" t="str">
        <f>employ!BC57</f>
        <v>ag2</v>
      </c>
      <c r="C10">
        <f>employ!BD57</f>
        <v>10</v>
      </c>
      <c r="D10">
        <f>employ!BE57</f>
        <v>1</v>
      </c>
      <c r="E10">
        <f>employ!BF57</f>
        <v>15</v>
      </c>
      <c r="F10">
        <f>employ!BG57</f>
        <v>1</v>
      </c>
      <c r="G10">
        <f>employ!BH57</f>
        <v>6</v>
      </c>
      <c r="H10">
        <f>ROUND(M9,1)</f>
        <v>0.2</v>
      </c>
      <c r="I10">
        <f t="shared" si="0"/>
        <v>2376.2852530569799</v>
      </c>
      <c r="M10">
        <f>'kap land'!N13</f>
        <v>6.9314420803782486</v>
      </c>
      <c r="Q10">
        <f>'Seaside SAM'!D67</f>
        <v>237.62852530569799</v>
      </c>
    </row>
    <row r="11" spans="2:17">
      <c r="B11" t="str">
        <f>employ!BC58</f>
        <v>const2</v>
      </c>
      <c r="C11">
        <f>employ!BD58</f>
        <v>35</v>
      </c>
      <c r="D11">
        <f>employ!BE58</f>
        <v>18</v>
      </c>
      <c r="E11">
        <f>employ!BF58</f>
        <v>62</v>
      </c>
      <c r="F11">
        <f>employ!BG58</f>
        <v>20</v>
      </c>
      <c r="G11">
        <f>employ!BH58</f>
        <v>10</v>
      </c>
      <c r="H11">
        <f>ROUND(M10,1)</f>
        <v>6.9</v>
      </c>
      <c r="I11">
        <f t="shared" si="0"/>
        <v>28434.478677572919</v>
      </c>
      <c r="M11">
        <f>'kap land'!N14</f>
        <v>10.570449172576822</v>
      </c>
      <c r="Q11">
        <f>'Seaside SAM'!D68</f>
        <v>2843.447867757292</v>
      </c>
    </row>
    <row r="12" spans="2:17">
      <c r="B12" t="str">
        <f>employ!BC59</f>
        <v>manuf2</v>
      </c>
      <c r="C12">
        <f>employ!BD59</f>
        <v>109</v>
      </c>
      <c r="D12">
        <f>employ!BE59</f>
        <v>118</v>
      </c>
      <c r="E12">
        <f>employ!BF59</f>
        <v>262</v>
      </c>
      <c r="F12">
        <f>employ!BG59</f>
        <v>82</v>
      </c>
      <c r="G12">
        <f>employ!BH59</f>
        <v>31</v>
      </c>
      <c r="H12">
        <f>ROUND(M11,1)</f>
        <v>10.6</v>
      </c>
      <c r="I12">
        <f t="shared" si="0"/>
        <v>11742.362107676508</v>
      </c>
      <c r="M12">
        <f>'kap land'!N15</f>
        <v>20.79432624113473</v>
      </c>
      <c r="Q12">
        <f>'Seaside SAM'!D69</f>
        <v>1174.2362107676508</v>
      </c>
    </row>
    <row r="13" spans="2:17">
      <c r="B13" t="str">
        <f>employ!BC60</f>
        <v>Retail2</v>
      </c>
      <c r="C13">
        <f>employ!BD60</f>
        <v>184</v>
      </c>
      <c r="D13">
        <f>employ!BE60</f>
        <v>200</v>
      </c>
      <c r="E13">
        <f>employ!BF60</f>
        <v>104</v>
      </c>
      <c r="F13">
        <f>employ!BG60</f>
        <v>7</v>
      </c>
      <c r="G13">
        <f>employ!BH60</f>
        <v>13</v>
      </c>
      <c r="H13">
        <f>ROUND(M12,1)</f>
        <v>20.8</v>
      </c>
      <c r="I13">
        <f t="shared" si="0"/>
        <v>186015.40621301465</v>
      </c>
      <c r="M13">
        <f>'kap land'!N16</f>
        <v>80.404728132387532</v>
      </c>
      <c r="Q13">
        <f>'Seaside SAM'!D70</f>
        <v>18601.540621301465</v>
      </c>
    </row>
    <row r="14" spans="2:17">
      <c r="B14" t="str">
        <f>employ!BC61</f>
        <v>Serv2</v>
      </c>
      <c r="C14">
        <f>employ!BD61</f>
        <v>119</v>
      </c>
      <c r="D14">
        <f>employ!BE61</f>
        <v>69</v>
      </c>
      <c r="E14">
        <f>employ!BF61</f>
        <v>143</v>
      </c>
      <c r="F14">
        <f>employ!BG61</f>
        <v>35</v>
      </c>
      <c r="G14">
        <f>employ!BH61</f>
        <v>32</v>
      </c>
      <c r="H14">
        <f>ROUND(M13,1)</f>
        <v>80.400000000000006</v>
      </c>
      <c r="I14">
        <f t="shared" si="0"/>
        <v>744011.81116886449</v>
      </c>
      <c r="M14">
        <f>'kap land'!N17</f>
        <v>5.71843971631204</v>
      </c>
      <c r="Q14">
        <f>'Seaside SAM'!D71</f>
        <v>74401.181116886451</v>
      </c>
    </row>
    <row r="15" spans="2:17">
      <c r="B15" t="str">
        <f>employ!BC62</f>
        <v>HC2</v>
      </c>
      <c r="C15">
        <f>employ!BD62</f>
        <v>17</v>
      </c>
      <c r="D15">
        <f>employ!BE62</f>
        <v>38</v>
      </c>
      <c r="E15">
        <f>employ!BF62</f>
        <v>33</v>
      </c>
      <c r="F15">
        <f>employ!BG62</f>
        <v>13</v>
      </c>
      <c r="G15">
        <f>employ!BH62</f>
        <v>11</v>
      </c>
      <c r="H15">
        <f>ROUND(M14,1)</f>
        <v>5.7</v>
      </c>
      <c r="I15">
        <f t="shared" si="0"/>
        <v>51611.807600793705</v>
      </c>
      <c r="M15">
        <f>'kap land'!N18</f>
        <v>8.6643026004728103</v>
      </c>
      <c r="Q15">
        <f>'Seaside SAM'!D72</f>
        <v>5161.1807600793709</v>
      </c>
    </row>
    <row r="16" spans="2:17">
      <c r="B16" t="str">
        <f>employ!BC63</f>
        <v>Accom2</v>
      </c>
      <c r="C16">
        <f>employ!BD63</f>
        <v>21</v>
      </c>
      <c r="D16">
        <f>employ!BE63</f>
        <v>70</v>
      </c>
      <c r="E16">
        <f>employ!BF63</f>
        <v>10</v>
      </c>
      <c r="F16">
        <f>employ!BG63</f>
        <v>0</v>
      </c>
      <c r="G16">
        <f>employ!BH63</f>
        <v>0</v>
      </c>
      <c r="H16">
        <f>ROUND(M15,1)</f>
        <v>8.6999999999999993</v>
      </c>
      <c r="I16">
        <f t="shared" si="0"/>
        <v>175769.43334329597</v>
      </c>
      <c r="M16">
        <f>'kap land'!N19</f>
        <v>13.169739952718601</v>
      </c>
      <c r="Q16">
        <f>'Seaside SAM'!D73</f>
        <v>17576.943334329597</v>
      </c>
    </row>
    <row r="17" spans="2:17">
      <c r="B17" t="str">
        <f>employ!BC64</f>
        <v>Rest2</v>
      </c>
      <c r="C17">
        <f>employ!BD64</f>
        <v>20</v>
      </c>
      <c r="D17">
        <f>employ!BE64</f>
        <v>12</v>
      </c>
      <c r="E17">
        <f>employ!BF64</f>
        <v>2</v>
      </c>
      <c r="F17">
        <f>employ!BG64</f>
        <v>0</v>
      </c>
      <c r="G17">
        <f>employ!BH64</f>
        <v>0</v>
      </c>
      <c r="H17">
        <f>ROUND(M16,1)</f>
        <v>13.2</v>
      </c>
      <c r="I17">
        <f t="shared" si="0"/>
        <v>137549.43049257199</v>
      </c>
      <c r="M17">
        <f>'kap land'!N20</f>
        <v>2.5409493161705501</v>
      </c>
      <c r="Q17">
        <f>'Seaside SAM'!D74</f>
        <v>13754.943049257199</v>
      </c>
    </row>
    <row r="18" spans="2:17">
      <c r="B18" t="str">
        <f>employ!BC65</f>
        <v>ag3</v>
      </c>
      <c r="C18">
        <f>employ!BD65</f>
        <v>10</v>
      </c>
      <c r="D18">
        <f>employ!BE65</f>
        <v>2</v>
      </c>
      <c r="E18">
        <f>employ!BF65</f>
        <v>18</v>
      </c>
      <c r="F18">
        <f>employ!BG65</f>
        <v>1</v>
      </c>
      <c r="G18">
        <f>employ!BH65</f>
        <v>7</v>
      </c>
      <c r="H18">
        <f>ROUND(M17,1)</f>
        <v>2.5</v>
      </c>
      <c r="I18">
        <f t="shared" si="0"/>
        <v>2663.9560956211499</v>
      </c>
      <c r="M18">
        <f>'kap land'!N21</f>
        <v>1.2704746580852699</v>
      </c>
      <c r="Q18">
        <f>'Seaside SAM'!D75</f>
        <v>266.395609562115</v>
      </c>
    </row>
    <row r="19" spans="2:17">
      <c r="B19" t="str">
        <f>employ!BC66</f>
        <v>util</v>
      </c>
      <c r="C19">
        <f>employ!BD66</f>
        <v>7</v>
      </c>
      <c r="D19">
        <f>employ!BE66</f>
        <v>4</v>
      </c>
      <c r="E19">
        <f>employ!BF66</f>
        <v>30</v>
      </c>
      <c r="F19">
        <f>employ!BG66</f>
        <v>0</v>
      </c>
      <c r="G19">
        <f>employ!BH66</f>
        <v>4</v>
      </c>
      <c r="H19">
        <f>ROUND(M18,1)</f>
        <v>1.3</v>
      </c>
      <c r="I19">
        <f t="shared" si="0"/>
        <v>1019.8128412475601</v>
      </c>
      <c r="M19">
        <f>'kap land'!N22</f>
        <v>5.4448913917940303</v>
      </c>
      <c r="Q19">
        <f>'Seaside SAM'!D76</f>
        <v>101.981284124756</v>
      </c>
    </row>
    <row r="20" spans="2:17">
      <c r="B20" t="str">
        <f>employ!BC67</f>
        <v>const3</v>
      </c>
      <c r="C20">
        <f>employ!BD67</f>
        <v>32</v>
      </c>
      <c r="D20">
        <f>employ!BE67</f>
        <v>15</v>
      </c>
      <c r="E20">
        <f>employ!BF67</f>
        <v>56</v>
      </c>
      <c r="F20">
        <f>employ!BG67</f>
        <v>18</v>
      </c>
      <c r="G20">
        <f>employ!BH67</f>
        <v>9</v>
      </c>
      <c r="H20">
        <f>ROUND(M19,1)</f>
        <v>5.4</v>
      </c>
      <c r="I20">
        <f t="shared" si="0"/>
        <v>41167.632878341421</v>
      </c>
      <c r="M20">
        <f>'kap land'!N23</f>
        <v>0.36299275945293602</v>
      </c>
      <c r="Q20">
        <f>'Seaside SAM'!D77</f>
        <v>4116.7632878341419</v>
      </c>
    </row>
    <row r="21" spans="2:17">
      <c r="B21" t="str">
        <f>employ!BC68</f>
        <v>Retail3</v>
      </c>
      <c r="C21">
        <f>employ!BD68</f>
        <v>1</v>
      </c>
      <c r="D21">
        <f>employ!BE68</f>
        <v>2</v>
      </c>
      <c r="E21">
        <f>employ!BF68</f>
        <v>0</v>
      </c>
      <c r="F21">
        <f>employ!BG68</f>
        <v>0</v>
      </c>
      <c r="G21">
        <f>employ!BH68</f>
        <v>0</v>
      </c>
      <c r="H21">
        <f>ROUND(M20,1)</f>
        <v>0.4</v>
      </c>
      <c r="I21">
        <f t="shared" si="0"/>
        <v>2318.8924209994798</v>
      </c>
      <c r="M21">
        <f>'kap land'!N24</f>
        <v>174.05502815768287</v>
      </c>
      <c r="Q21">
        <f>'Seaside SAM'!D78</f>
        <v>231.88924209994798</v>
      </c>
    </row>
    <row r="22" spans="2:17">
      <c r="B22" t="str">
        <f>employ!BC69</f>
        <v>Serv3</v>
      </c>
      <c r="C22">
        <f>employ!BD69</f>
        <v>55</v>
      </c>
      <c r="D22">
        <f>employ!BE69</f>
        <v>32</v>
      </c>
      <c r="E22">
        <f>employ!BF69</f>
        <v>66</v>
      </c>
      <c r="F22">
        <f>employ!BG69</f>
        <v>16</v>
      </c>
      <c r="G22">
        <f>employ!BH69</f>
        <v>15</v>
      </c>
      <c r="H22">
        <f>ROUND(M21,1)</f>
        <v>174.1</v>
      </c>
      <c r="I22">
        <f t="shared" si="0"/>
        <v>392219.64850381692</v>
      </c>
      <c r="M22">
        <f>'kap land'!N25</f>
        <v>19.783105390184971</v>
      </c>
      <c r="Q22">
        <f>'Seaside SAM'!D79</f>
        <v>39221.964850381693</v>
      </c>
    </row>
    <row r="23" spans="2:17">
      <c r="B23" t="str">
        <f>employ!BC70</f>
        <v>HC3</v>
      </c>
      <c r="C23">
        <f>employ!BD70</f>
        <v>13</v>
      </c>
      <c r="D23">
        <f>employ!BE70</f>
        <v>28</v>
      </c>
      <c r="E23">
        <f>employ!BF70</f>
        <v>24</v>
      </c>
      <c r="F23">
        <f>employ!BG70</f>
        <v>9</v>
      </c>
      <c r="G23">
        <f>employ!BH70</f>
        <v>8</v>
      </c>
      <c r="H23">
        <f>ROUND(M22,1)</f>
        <v>19.8</v>
      </c>
      <c r="I23">
        <f t="shared" si="0"/>
        <v>54078.007259971273</v>
      </c>
      <c r="M23">
        <f>'kap land'!I134</f>
        <v>315.99999999999699</v>
      </c>
      <c r="Q23">
        <f>'Seaside SAM'!D80</f>
        <v>5407.8007259971273</v>
      </c>
    </row>
    <row r="24" spans="2:17">
      <c r="B24" s="12" t="s">
        <v>692</v>
      </c>
      <c r="C24">
        <v>0</v>
      </c>
      <c r="D24">
        <v>0</v>
      </c>
      <c r="E24">
        <v>0</v>
      </c>
      <c r="F24">
        <v>0</v>
      </c>
      <c r="G24">
        <v>0</v>
      </c>
      <c r="H24">
        <f>ROUND(M23,1)</f>
        <v>316</v>
      </c>
      <c r="I24">
        <f t="shared" si="0"/>
        <v>165277.6465</v>
      </c>
      <c r="M24">
        <f>'kap land'!I135</f>
        <v>214.09999999999599</v>
      </c>
      <c r="Q24">
        <f>'Seaside SAM'!D81</f>
        <v>16527.764650000001</v>
      </c>
    </row>
    <row r="25" spans="2:17">
      <c r="B25" s="12" t="s">
        <v>693</v>
      </c>
      <c r="C25">
        <v>0</v>
      </c>
      <c r="D25">
        <v>0</v>
      </c>
      <c r="E25">
        <v>0</v>
      </c>
      <c r="F25">
        <v>0</v>
      </c>
      <c r="G25">
        <v>0</v>
      </c>
      <c r="H25">
        <f>ROUND(M24,1)</f>
        <v>214.1</v>
      </c>
      <c r="I25">
        <f t="shared" si="0"/>
        <v>94409.290949999995</v>
      </c>
      <c r="M25">
        <f>'kap land'!I136</f>
        <v>563.599999999999</v>
      </c>
      <c r="Q25">
        <f>'Seaside SAM'!D82</f>
        <v>9440.9290949999995</v>
      </c>
    </row>
    <row r="26" spans="2:17">
      <c r="B26" s="12" t="s">
        <v>694</v>
      </c>
      <c r="C26">
        <v>0</v>
      </c>
      <c r="D26">
        <v>0</v>
      </c>
      <c r="E26">
        <v>0</v>
      </c>
      <c r="F26">
        <v>0</v>
      </c>
      <c r="G26">
        <v>0</v>
      </c>
      <c r="H26">
        <f>ROUND(M25,1)</f>
        <v>563.6</v>
      </c>
      <c r="I26">
        <f t="shared" si="0"/>
        <v>89563.507200000007</v>
      </c>
      <c r="M26">
        <f>employ!BI71</f>
        <v>0</v>
      </c>
      <c r="Q26">
        <f>'Seaside SAM'!D83</f>
        <v>8956.3507200000004</v>
      </c>
    </row>
    <row r="27" spans="2:17">
      <c r="B27" t="str">
        <f>employ!BC71</f>
        <v>fed</v>
      </c>
      <c r="C27">
        <f>employ!BD71</f>
        <v>35</v>
      </c>
      <c r="D27">
        <f>employ!BE71</f>
        <v>51</v>
      </c>
      <c r="E27">
        <f>employ!BF71</f>
        <v>131</v>
      </c>
      <c r="F27">
        <f>employ!BG71</f>
        <v>25</v>
      </c>
      <c r="G27">
        <f>employ!BH71</f>
        <v>10</v>
      </c>
      <c r="I27">
        <f t="shared" si="0"/>
        <v>0</v>
      </c>
      <c r="Q27">
        <f>'Seaside SAM'!D84</f>
        <v>0</v>
      </c>
    </row>
    <row r="30" spans="2:17">
      <c r="B30" s="12" t="s">
        <v>666</v>
      </c>
    </row>
    <row r="33" spans="2:7">
      <c r="C33" t="str">
        <f>'job core'!AT24</f>
        <v>HH</v>
      </c>
      <c r="D33" t="str">
        <f>'job core'!AU24</f>
        <v>HHW</v>
      </c>
      <c r="E33" t="str">
        <f>'job core'!AV24</f>
        <v>HN</v>
      </c>
    </row>
    <row r="34" spans="2:7">
      <c r="B34" t="str">
        <f>'job core'!AS25</f>
        <v>HH1</v>
      </c>
      <c r="C34">
        <f>'job core'!AT25</f>
        <v>473</v>
      </c>
      <c r="D34">
        <f>'job core'!AU25</f>
        <v>84</v>
      </c>
      <c r="E34">
        <f>'job core'!AV25</f>
        <v>389</v>
      </c>
    </row>
    <row r="35" spans="2:7">
      <c r="B35" t="str">
        <f>'job core'!AS26</f>
        <v>HH2</v>
      </c>
      <c r="C35">
        <f>'job core'!AT26</f>
        <v>850</v>
      </c>
      <c r="D35">
        <f>'job core'!AU26</f>
        <v>421</v>
      </c>
      <c r="E35">
        <f>'job core'!AV26</f>
        <v>429</v>
      </c>
    </row>
    <row r="36" spans="2:7">
      <c r="B36" t="str">
        <f>'job core'!AS27</f>
        <v>HH3</v>
      </c>
      <c r="C36">
        <f>'job core'!AT27</f>
        <v>1328</v>
      </c>
      <c r="D36">
        <f>'job core'!AU27</f>
        <v>838</v>
      </c>
      <c r="E36">
        <f>'job core'!AV27</f>
        <v>489</v>
      </c>
    </row>
    <row r="37" spans="2:7">
      <c r="B37" t="str">
        <f>'job core'!AS28</f>
        <v>HH4</v>
      </c>
      <c r="C37">
        <f>'job core'!AT28</f>
        <v>466</v>
      </c>
      <c r="D37">
        <f>'job core'!AU28</f>
        <v>357</v>
      </c>
      <c r="E37">
        <f>'job core'!AV28</f>
        <v>108</v>
      </c>
    </row>
    <row r="38" spans="2:7">
      <c r="B38" t="str">
        <f>'job core'!AS29</f>
        <v>HH5</v>
      </c>
      <c r="C38">
        <f>'job core'!AT29</f>
        <v>714</v>
      </c>
      <c r="D38">
        <f>'job core'!AU29</f>
        <v>607</v>
      </c>
      <c r="E38">
        <f>'job core'!AV29</f>
        <v>107</v>
      </c>
    </row>
    <row r="39" spans="2:7">
      <c r="C39">
        <f>'job core'!AT30</f>
        <v>3831</v>
      </c>
      <c r="D39">
        <f>'job core'!AU30</f>
        <v>2307</v>
      </c>
      <c r="E39">
        <f>'job core'!AV30</f>
        <v>1522</v>
      </c>
    </row>
    <row r="42" spans="2:7">
      <c r="B42" s="12" t="s">
        <v>1346</v>
      </c>
    </row>
    <row r="44" spans="2:7">
      <c r="B44">
        <f>'job core'!AK25</f>
        <v>0</v>
      </c>
      <c r="C44" t="str">
        <f>'job core'!AL25</f>
        <v>L1</v>
      </c>
      <c r="D44" t="str">
        <f>'job core'!AM25</f>
        <v>L2</v>
      </c>
      <c r="E44" t="str">
        <f>'job core'!AN25</f>
        <v>L3</v>
      </c>
      <c r="F44" t="str">
        <f>'job core'!AO25</f>
        <v>L4</v>
      </c>
      <c r="G44" t="str">
        <f>'job core'!AP25</f>
        <v>L5</v>
      </c>
    </row>
    <row r="45" spans="2:7">
      <c r="B45" t="str">
        <f>'job core'!AK26</f>
        <v>HH1</v>
      </c>
      <c r="C45">
        <f>'job core'!AL26</f>
        <v>1.4523809523809523</v>
      </c>
      <c r="D45">
        <f>'job core'!AM26</f>
        <v>0</v>
      </c>
      <c r="E45">
        <f>'job core'!AN26</f>
        <v>0</v>
      </c>
      <c r="F45">
        <f>'job core'!AO26</f>
        <v>0</v>
      </c>
      <c r="G45">
        <f>'job core'!AP26</f>
        <v>0</v>
      </c>
    </row>
    <row r="46" spans="2:7">
      <c r="B46" t="str">
        <f>'job core'!AK27</f>
        <v>HH2</v>
      </c>
      <c r="C46">
        <f>'job core'!AL27</f>
        <v>0.48218527315914489</v>
      </c>
      <c r="D46">
        <f>'job core'!AM27</f>
        <v>0.7102137767220903</v>
      </c>
      <c r="E46">
        <f>'job core'!AN27</f>
        <v>0</v>
      </c>
      <c r="F46">
        <f>'job core'!AO27</f>
        <v>0</v>
      </c>
      <c r="G46">
        <f>'job core'!AP27</f>
        <v>0</v>
      </c>
    </row>
    <row r="47" spans="2:7">
      <c r="B47" t="str">
        <f>'job core'!AK28</f>
        <v>HH3</v>
      </c>
      <c r="C47">
        <f>'job core'!AL28</f>
        <v>0.49164677804295942</v>
      </c>
      <c r="D47">
        <f>'job core'!AM28</f>
        <v>0.56324582338902152</v>
      </c>
      <c r="E47">
        <f>'job core'!AN28</f>
        <v>0.63723150357995229</v>
      </c>
      <c r="F47">
        <f>'job core'!AO28</f>
        <v>0</v>
      </c>
      <c r="G47">
        <f>'job core'!AP28</f>
        <v>0</v>
      </c>
    </row>
    <row r="48" spans="2:7">
      <c r="B48" t="str">
        <f>'job core'!AK29</f>
        <v>HH4</v>
      </c>
      <c r="C48">
        <f>'job core'!AL29</f>
        <v>0.38655462184873951</v>
      </c>
      <c r="D48">
        <f>'job core'!AM29</f>
        <v>0.29131652661064428</v>
      </c>
      <c r="E48">
        <f>'job core'!AN29</f>
        <v>0.82913165266106448</v>
      </c>
      <c r="F48">
        <f>'job core'!AO29</f>
        <v>0.22408963585434175</v>
      </c>
      <c r="G48">
        <f>'job core'!AP29</f>
        <v>0</v>
      </c>
    </row>
    <row r="49" spans="2:7">
      <c r="B49" t="str">
        <f>'job core'!AK30</f>
        <v>HH5</v>
      </c>
      <c r="C49">
        <f>'job core'!AL30</f>
        <v>0.34596375617792424</v>
      </c>
      <c r="D49">
        <f>'job core'!AM30</f>
        <v>0.31466227347611203</v>
      </c>
      <c r="E49">
        <f>'job core'!AN30</f>
        <v>0.72652388797364087</v>
      </c>
      <c r="F49">
        <f>'job core'!AO30</f>
        <v>0.37232289950576608</v>
      </c>
      <c r="G49">
        <f>'job core'!AP30</f>
        <v>0.37232289950576608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C3" sqref="C3:C21"/>
    </sheetView>
  </sheetViews>
  <sheetFormatPr defaultRowHeight="14.4"/>
  <sheetData>
    <row r="3" spans="2:3">
      <c r="B3" t="s">
        <v>621</v>
      </c>
      <c r="C3">
        <v>10</v>
      </c>
    </row>
    <row r="4" spans="2:3">
      <c r="B4" t="s">
        <v>623</v>
      </c>
      <c r="C4">
        <v>10</v>
      </c>
    </row>
    <row r="5" spans="2:3">
      <c r="B5" t="s">
        <v>624</v>
      </c>
      <c r="C5">
        <v>10</v>
      </c>
    </row>
    <row r="6" spans="2:3">
      <c r="B6" t="s">
        <v>625</v>
      </c>
      <c r="C6">
        <v>10</v>
      </c>
    </row>
    <row r="7" spans="2:3">
      <c r="B7" t="s">
        <v>626</v>
      </c>
      <c r="C7">
        <v>10</v>
      </c>
    </row>
    <row r="8" spans="2:3">
      <c r="B8" t="s">
        <v>627</v>
      </c>
      <c r="C8">
        <v>10</v>
      </c>
    </row>
    <row r="9" spans="2:3">
      <c r="B9" t="s">
        <v>639</v>
      </c>
      <c r="C9">
        <v>10</v>
      </c>
    </row>
    <row r="10" spans="2:3">
      <c r="B10" t="s">
        <v>640</v>
      </c>
      <c r="C10">
        <v>10</v>
      </c>
    </row>
    <row r="11" spans="2:3">
      <c r="B11" t="s">
        <v>641</v>
      </c>
      <c r="C11">
        <v>10</v>
      </c>
    </row>
    <row r="12" spans="2:3">
      <c r="B12" t="s">
        <v>642</v>
      </c>
      <c r="C12">
        <v>10</v>
      </c>
    </row>
    <row r="13" spans="2:3">
      <c r="B13" t="s">
        <v>643</v>
      </c>
      <c r="C13">
        <v>10</v>
      </c>
    </row>
    <row r="14" spans="2:3">
      <c r="B14" t="s">
        <v>644</v>
      </c>
      <c r="C14">
        <v>10</v>
      </c>
    </row>
    <row r="15" spans="2:3">
      <c r="B15" t="s">
        <v>645</v>
      </c>
      <c r="C15">
        <v>10</v>
      </c>
    </row>
    <row r="16" spans="2:3">
      <c r="B16" t="s">
        <v>646</v>
      </c>
      <c r="C16">
        <v>10</v>
      </c>
    </row>
    <row r="17" spans="2:3">
      <c r="B17" t="s">
        <v>648</v>
      </c>
      <c r="C17">
        <v>10</v>
      </c>
    </row>
    <row r="18" spans="2:3">
      <c r="B18" t="s">
        <v>290</v>
      </c>
      <c r="C18">
        <v>10</v>
      </c>
    </row>
    <row r="19" spans="2:3">
      <c r="B19" t="s">
        <v>649</v>
      </c>
      <c r="C19">
        <v>10</v>
      </c>
    </row>
    <row r="20" spans="2:3">
      <c r="B20" t="s">
        <v>651</v>
      </c>
      <c r="C20">
        <v>10</v>
      </c>
    </row>
    <row r="21" spans="2:3">
      <c r="B21" t="s">
        <v>652</v>
      </c>
      <c r="C2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topLeftCell="J1" workbookViewId="0">
      <selection activeCell="N26" sqref="N26"/>
    </sheetView>
  </sheetViews>
  <sheetFormatPr defaultRowHeight="14.4"/>
  <cols>
    <col min="1" max="1" width="19.5546875" customWidth="1"/>
    <col min="2" max="2" width="18.33203125" customWidth="1"/>
    <col min="3" max="6" width="16.21875" customWidth="1"/>
    <col min="7" max="7" width="16.21875" style="182" customWidth="1"/>
    <col min="8" max="9" width="8.88671875" style="182"/>
    <col min="10" max="10" width="5.6640625" customWidth="1"/>
    <col min="11" max="11" width="32" customWidth="1"/>
  </cols>
  <sheetData>
    <row r="1" spans="1:45" ht="15" thickBot="1">
      <c r="A1" t="s">
        <v>618</v>
      </c>
      <c r="B1" t="s">
        <v>272</v>
      </c>
      <c r="C1" t="s">
        <v>423</v>
      </c>
      <c r="D1" t="s">
        <v>424</v>
      </c>
      <c r="E1" t="s">
        <v>425</v>
      </c>
      <c r="F1" t="s">
        <v>426</v>
      </c>
      <c r="G1" s="182" t="s">
        <v>427</v>
      </c>
      <c r="H1" s="182" t="s">
        <v>428</v>
      </c>
      <c r="I1" t="s">
        <v>723</v>
      </c>
    </row>
    <row r="2" spans="1:45" ht="15" thickBot="1">
      <c r="A2">
        <v>1</v>
      </c>
      <c r="B2">
        <v>236</v>
      </c>
      <c r="C2">
        <v>1.0444268886558099</v>
      </c>
      <c r="D2">
        <v>0.92721898736087105</v>
      </c>
      <c r="E2">
        <v>0.22226395874732299</v>
      </c>
      <c r="F2">
        <v>1.6595782049850401</v>
      </c>
      <c r="G2" s="182">
        <v>0.98119347011661195</v>
      </c>
      <c r="H2" s="182">
        <v>0.54878370729930304</v>
      </c>
      <c r="I2">
        <v>0.108333333333333</v>
      </c>
      <c r="J2" s="183">
        <v>11</v>
      </c>
      <c r="K2" t="s">
        <v>619</v>
      </c>
      <c r="M2" t="s">
        <v>620</v>
      </c>
      <c r="N2" t="s">
        <v>621</v>
      </c>
      <c r="P2" t="s">
        <v>622</v>
      </c>
      <c r="Q2" t="s">
        <v>623</v>
      </c>
      <c r="S2" t="s">
        <v>624</v>
      </c>
      <c r="U2" t="s">
        <v>625</v>
      </c>
      <c r="W2" t="s">
        <v>626</v>
      </c>
      <c r="Y2" t="s">
        <v>627</v>
      </c>
    </row>
    <row r="3" spans="1:45" ht="15" thickBot="1">
      <c r="A3">
        <v>1</v>
      </c>
      <c r="B3">
        <v>312</v>
      </c>
      <c r="C3">
        <v>0.21296668819501899</v>
      </c>
      <c r="D3">
        <v>0.33098014053643798</v>
      </c>
      <c r="E3">
        <v>0</v>
      </c>
      <c r="F3">
        <v>0.208518951583607</v>
      </c>
      <c r="G3" s="182">
        <v>0.34424280195295398</v>
      </c>
      <c r="H3" s="182">
        <v>0</v>
      </c>
      <c r="I3">
        <v>0</v>
      </c>
      <c r="J3" s="184">
        <v>21</v>
      </c>
      <c r="K3" t="s">
        <v>346</v>
      </c>
      <c r="N3">
        <f>H2</f>
        <v>0.54878370729930304</v>
      </c>
      <c r="O3">
        <f>I2</f>
        <v>0.108333333333333</v>
      </c>
      <c r="Q3">
        <f>SUM(H5:H10)</f>
        <v>5.5002910741837496</v>
      </c>
      <c r="R3">
        <f>SUM(I5:I10)</f>
        <v>29.845833333333402</v>
      </c>
      <c r="S3">
        <f>SUM(H12:H17)+SUM(H19:H20) +SUM(H23:H24)</f>
        <v>25.246951347360337</v>
      </c>
      <c r="T3">
        <f>SUM(I12:I17)+SUM(I19:I20) +SUM(I23:I24)</f>
        <v>11.375000000000009</v>
      </c>
      <c r="U3">
        <f>H18</f>
        <v>4.6121030410243602</v>
      </c>
      <c r="V3">
        <f>I18</f>
        <v>3.0874999999999999</v>
      </c>
      <c r="W3">
        <f>H19+H20</f>
        <v>5.0613034604395599</v>
      </c>
      <c r="X3">
        <f>I19+I20</f>
        <v>1.8958333333333339</v>
      </c>
      <c r="Y3">
        <f>H21+H22</f>
        <v>75.715018454597413</v>
      </c>
      <c r="Z3">
        <f>I21+I22</f>
        <v>16.358333333333309</v>
      </c>
    </row>
    <row r="4" spans="1:45" ht="15" thickBot="1">
      <c r="A4">
        <v>1</v>
      </c>
      <c r="B4">
        <v>425</v>
      </c>
      <c r="C4">
        <v>2.0321775781157401</v>
      </c>
      <c r="D4">
        <v>2.0765733047116002</v>
      </c>
      <c r="E4">
        <v>0.34545670162388198</v>
      </c>
      <c r="F4">
        <v>2.5581600833876998</v>
      </c>
      <c r="G4" s="182">
        <v>2.4803004339365402</v>
      </c>
      <c r="H4" s="182">
        <v>0.543902173579494</v>
      </c>
      <c r="I4">
        <v>0.21666666666666701</v>
      </c>
      <c r="J4" s="183">
        <v>22</v>
      </c>
      <c r="K4" t="s">
        <v>275</v>
      </c>
      <c r="N4">
        <f>G2</f>
        <v>0.98119347011661195</v>
      </c>
      <c r="Q4">
        <f>SUM(G5:G10)</f>
        <v>13.728878057721126</v>
      </c>
      <c r="S4">
        <f>SUM(G12:G17)+SUM(G19:G20) +SUM(G23:G24)</f>
        <v>61.417501288697423</v>
      </c>
      <c r="U4">
        <f>G18</f>
        <v>28.6408738164222</v>
      </c>
      <c r="W4">
        <f>G19+G20</f>
        <v>3.4965090765436</v>
      </c>
      <c r="Y4">
        <f>G21+G22</f>
        <v>161.48298570247499</v>
      </c>
    </row>
    <row r="5" spans="1:45" ht="15" thickBot="1">
      <c r="A5">
        <v>1</v>
      </c>
      <c r="B5">
        <v>442</v>
      </c>
      <c r="C5">
        <v>1.10568741072845</v>
      </c>
      <c r="D5">
        <v>0.83310275265263201</v>
      </c>
      <c r="E5">
        <v>0.28272634921109102</v>
      </c>
      <c r="F5">
        <v>1.7150816533717099</v>
      </c>
      <c r="G5" s="182">
        <v>1.3659340122986201</v>
      </c>
      <c r="H5" s="182">
        <v>0.45731632058237398</v>
      </c>
      <c r="I5">
        <v>5.41666666666668E-2</v>
      </c>
      <c r="J5" s="184">
        <v>23</v>
      </c>
      <c r="K5" t="s">
        <v>276</v>
      </c>
      <c r="N5" s="12" t="s">
        <v>1345</v>
      </c>
    </row>
    <row r="6" spans="1:45" ht="15" thickBot="1">
      <c r="A6">
        <v>1</v>
      </c>
      <c r="B6">
        <v>445</v>
      </c>
      <c r="C6">
        <v>0.92355902415410596</v>
      </c>
      <c r="D6">
        <v>0.60122727862542102</v>
      </c>
      <c r="E6">
        <v>0.26638227220609401</v>
      </c>
      <c r="F6">
        <v>1.4335050465782999</v>
      </c>
      <c r="G6" s="182">
        <v>0.98582332742927503</v>
      </c>
      <c r="H6" s="182">
        <v>0.43087171257702001</v>
      </c>
      <c r="I6">
        <v>5.41666666666668E-2</v>
      </c>
      <c r="J6" s="183" t="s">
        <v>628</v>
      </c>
      <c r="K6" t="s">
        <v>278</v>
      </c>
      <c r="M6" t="s">
        <v>621</v>
      </c>
      <c r="N6">
        <f>O3</f>
        <v>0.108333333333333</v>
      </c>
      <c r="U6" t="str">
        <f>'Seaside SAM'!A30</f>
        <v>Land</v>
      </c>
      <c r="V6">
        <f>'Seaside SAM'!B30</f>
        <v>548.78370729930305</v>
      </c>
      <c r="W6">
        <f>'Seaside SAM'!C30</f>
        <v>5500.2910741837495</v>
      </c>
      <c r="X6">
        <f>'Seaside SAM'!D30</f>
        <v>25246.951347360337</v>
      </c>
      <c r="Y6">
        <f>'Seaside SAM'!E30</f>
        <v>4612.1030410243602</v>
      </c>
      <c r="Z6">
        <f>'Seaside SAM'!F30</f>
        <v>5061.3034604395598</v>
      </c>
      <c r="AA6">
        <f>'Seaside SAM'!G30</f>
        <v>75715.018454597419</v>
      </c>
      <c r="AB6">
        <f>'Seaside SAM'!H30</f>
        <v>173.64757844832098</v>
      </c>
      <c r="AC6">
        <f>'Seaside SAM'!I30</f>
        <v>3270.299732136878</v>
      </c>
      <c r="AD6">
        <f>'Seaside SAM'!J30</f>
        <v>2827.0180170788476</v>
      </c>
      <c r="AE6">
        <f>'Seaside SAM'!K30</f>
        <v>24569.262812308811</v>
      </c>
      <c r="AF6">
        <f>'Seaside SAM'!L30</f>
        <v>31980.10179388586</v>
      </c>
      <c r="AG6">
        <f>'Seaside SAM'!M30</f>
        <v>4686.267589736859</v>
      </c>
      <c r="AH6">
        <f>'Seaside SAM'!N30</f>
        <v>4578.2976985919304</v>
      </c>
      <c r="AI6">
        <f>'Seaside SAM'!O30</f>
        <v>14384.663265040499</v>
      </c>
      <c r="AJ6">
        <f>'Seaside SAM'!P30</f>
        <v>120.855475000935</v>
      </c>
      <c r="AK6">
        <f>'Seaside SAM'!Q30</f>
        <v>95.7094988070765</v>
      </c>
      <c r="AL6">
        <f>'Seaside SAM'!R30</f>
        <v>1344.0849646696329</v>
      </c>
      <c r="AM6">
        <f>'Seaside SAM'!S30</f>
        <v>125.739961312522</v>
      </c>
      <c r="AN6">
        <f>'Seaside SAM'!T30</f>
        <v>9725.0559278553428</v>
      </c>
      <c r="AO6">
        <f>'Seaside SAM'!U30</f>
        <v>1751.9591723544609</v>
      </c>
      <c r="AP6">
        <f>'Seaside SAM'!V30</f>
        <v>29111.62501</v>
      </c>
      <c r="AQ6">
        <f>'Seaside SAM'!W30</f>
        <v>10937.04125</v>
      </c>
      <c r="AR6">
        <f>'Seaside SAM'!X30</f>
        <v>7082.9665850000001</v>
      </c>
      <c r="AS6">
        <f>SUM(V6:AR6)</f>
        <v>263449.04741713271</v>
      </c>
    </row>
    <row r="7" spans="1:45" ht="15" thickBot="1">
      <c r="A7">
        <v>1</v>
      </c>
      <c r="B7">
        <v>447</v>
      </c>
      <c r="C7">
        <v>2.2193026537251201</v>
      </c>
      <c r="D7">
        <v>0.81886493688730999</v>
      </c>
      <c r="E7">
        <v>0.83999410203025204</v>
      </c>
      <c r="F7">
        <v>3.4075203441503898</v>
      </c>
      <c r="G7" s="182">
        <v>0.93261900085314597</v>
      </c>
      <c r="H7" s="182">
        <v>1.46443762903115</v>
      </c>
      <c r="I7">
        <v>5.41666666666668E-2</v>
      </c>
      <c r="J7" s="184">
        <v>42</v>
      </c>
      <c r="K7" t="s">
        <v>277</v>
      </c>
      <c r="M7" t="s">
        <v>623</v>
      </c>
      <c r="N7">
        <f>R3</f>
        <v>29.845833333333402</v>
      </c>
      <c r="U7" t="str">
        <f>'Seaside SAM'!A31</f>
        <v>Kap</v>
      </c>
      <c r="V7">
        <f>'Seaside SAM'!B31</f>
        <v>981.19347011661193</v>
      </c>
      <c r="W7">
        <f>'Seaside SAM'!C31</f>
        <v>13728.878057721126</v>
      </c>
      <c r="X7">
        <f>'Seaside SAM'!D31</f>
        <v>61417.501288697422</v>
      </c>
      <c r="Y7">
        <f>'Seaside SAM'!E31</f>
        <v>28640.873816422201</v>
      </c>
      <c r="Z7">
        <f>'Seaside SAM'!F31</f>
        <v>3496.5090765435998</v>
      </c>
      <c r="AA7">
        <f>'Seaside SAM'!G31</f>
        <v>161482.98570247498</v>
      </c>
      <c r="AB7">
        <f>'Seaside SAM'!H31</f>
        <v>237.62852530569799</v>
      </c>
      <c r="AC7">
        <f>'Seaside SAM'!I31</f>
        <v>2843.447867757292</v>
      </c>
      <c r="AD7">
        <f>'Seaside SAM'!J31</f>
        <v>1174.2362107676508</v>
      </c>
      <c r="AE7">
        <f>'Seaside SAM'!K31</f>
        <v>18601.540621301465</v>
      </c>
      <c r="AF7">
        <f>'Seaside SAM'!L31</f>
        <v>74401.181116886451</v>
      </c>
      <c r="AG7">
        <f>'Seaside SAM'!M31</f>
        <v>5161.1807600793709</v>
      </c>
      <c r="AH7">
        <f>'Seaside SAM'!N31</f>
        <v>17576.943334329597</v>
      </c>
      <c r="AI7">
        <f>'Seaside SAM'!O31</f>
        <v>13754.943049257199</v>
      </c>
      <c r="AJ7">
        <f>'Seaside SAM'!P31</f>
        <v>266.395609562115</v>
      </c>
      <c r="AK7">
        <f>'Seaside SAM'!Q31</f>
        <v>101.981284124756</v>
      </c>
      <c r="AL7">
        <f>'Seaside SAM'!R31</f>
        <v>4116.7632878341419</v>
      </c>
      <c r="AM7">
        <f>'Seaside SAM'!S31</f>
        <v>231.88924209994798</v>
      </c>
      <c r="AN7">
        <f>'Seaside SAM'!T31</f>
        <v>39221.964850381693</v>
      </c>
      <c r="AO7">
        <f>'Seaside SAM'!U31</f>
        <v>5407.8007259971273</v>
      </c>
      <c r="AP7">
        <f>'Seaside SAM'!V31</f>
        <v>16527.764650000001</v>
      </c>
      <c r="AQ7">
        <f>'Seaside SAM'!W31</f>
        <v>9440.9290949999995</v>
      </c>
      <c r="AR7">
        <f>'Seaside SAM'!X31</f>
        <v>8956.3507200000004</v>
      </c>
      <c r="AS7">
        <f>SUM(V7:AR7)</f>
        <v>487770.88236266049</v>
      </c>
    </row>
    <row r="8" spans="1:45" ht="15" thickBot="1">
      <c r="A8">
        <v>1</v>
      </c>
      <c r="B8">
        <v>448</v>
      </c>
      <c r="C8">
        <v>2.5192897463488499</v>
      </c>
      <c r="D8">
        <v>2.6537129242239201</v>
      </c>
      <c r="E8">
        <v>0.40290989379431102</v>
      </c>
      <c r="F8">
        <v>3.2984667439091702</v>
      </c>
      <c r="G8" s="182">
        <v>3.3569948418547502</v>
      </c>
      <c r="H8" s="182">
        <v>0.65171004937002597</v>
      </c>
      <c r="I8">
        <v>5.41666666666668E-2</v>
      </c>
      <c r="J8" s="183" t="s">
        <v>629</v>
      </c>
      <c r="K8" t="s">
        <v>279</v>
      </c>
      <c r="M8" t="s">
        <v>624</v>
      </c>
      <c r="N8">
        <f>T3</f>
        <v>11.375000000000009</v>
      </c>
    </row>
    <row r="9" spans="1:45" ht="15" thickBot="1">
      <c r="A9">
        <v>1</v>
      </c>
      <c r="B9">
        <v>451</v>
      </c>
      <c r="C9">
        <v>0.47756087640479999</v>
      </c>
      <c r="D9">
        <v>0.35805854927097203</v>
      </c>
      <c r="E9">
        <v>0.122678302727146</v>
      </c>
      <c r="F9">
        <v>0.72989999128795002</v>
      </c>
      <c r="G9" s="182">
        <v>0.42696772327493498</v>
      </c>
      <c r="H9" s="182">
        <v>0.24278743639382</v>
      </c>
      <c r="I9">
        <v>29.5208333333334</v>
      </c>
      <c r="J9" s="184" t="s">
        <v>630</v>
      </c>
      <c r="K9" t="s">
        <v>631</v>
      </c>
      <c r="M9" t="s">
        <v>625</v>
      </c>
      <c r="N9">
        <f>V3</f>
        <v>3.0874999999999999</v>
      </c>
      <c r="V9" s="12" t="s">
        <v>212</v>
      </c>
    </row>
    <row r="10" spans="1:45" ht="15" thickBot="1">
      <c r="A10">
        <v>1</v>
      </c>
      <c r="B10">
        <v>453</v>
      </c>
      <c r="C10">
        <v>5.4717311343628898</v>
      </c>
      <c r="D10">
        <v>4.1420034689418301</v>
      </c>
      <c r="E10">
        <v>1.3929951361908399</v>
      </c>
      <c r="F10">
        <v>8.4081013259061201</v>
      </c>
      <c r="G10" s="182">
        <v>6.6605391520103998</v>
      </c>
      <c r="H10" s="182">
        <v>2.2531679262293598</v>
      </c>
      <c r="I10">
        <v>0.108333333333333</v>
      </c>
      <c r="J10" s="183">
        <v>51</v>
      </c>
      <c r="K10" t="s">
        <v>281</v>
      </c>
      <c r="M10" t="s">
        <v>626</v>
      </c>
      <c r="N10">
        <f>X3</f>
        <v>1.8958333333333339</v>
      </c>
      <c r="U10" t="str">
        <f>U6</f>
        <v>Land</v>
      </c>
      <c r="V10">
        <f>AS6</f>
        <v>263449.04741713271</v>
      </c>
    </row>
    <row r="11" spans="1:45" ht="15" thickBot="1">
      <c r="A11">
        <v>1</v>
      </c>
      <c r="B11">
        <v>491</v>
      </c>
      <c r="C11">
        <v>1.6310827614939001</v>
      </c>
      <c r="D11">
        <v>0.62110594840644495</v>
      </c>
      <c r="E11">
        <v>0.61119915041834105</v>
      </c>
      <c r="F11">
        <v>2.5358481263522599</v>
      </c>
      <c r="G11" s="182">
        <v>1.0183524286779</v>
      </c>
      <c r="H11" s="182">
        <v>0.98862020195523603</v>
      </c>
      <c r="I11">
        <v>0.108333333333333</v>
      </c>
      <c r="J11" s="184">
        <v>52</v>
      </c>
      <c r="K11" t="s">
        <v>282</v>
      </c>
      <c r="M11" t="s">
        <v>627</v>
      </c>
      <c r="N11">
        <f>Z3</f>
        <v>16.358333333333309</v>
      </c>
      <c r="U11" t="str">
        <f>U7</f>
        <v>Kap</v>
      </c>
      <c r="V11">
        <f>AS7</f>
        <v>487770.88236266049</v>
      </c>
      <c r="AE11" s="12" t="s">
        <v>405</v>
      </c>
      <c r="AF11" s="12" t="s">
        <v>430</v>
      </c>
    </row>
    <row r="12" spans="1:45" ht="15" thickBot="1">
      <c r="A12">
        <v>1</v>
      </c>
      <c r="B12">
        <v>517</v>
      </c>
      <c r="C12">
        <v>0.69784985016714396</v>
      </c>
      <c r="D12">
        <v>0.61931034390400597</v>
      </c>
      <c r="E12">
        <v>0.14858100960510001</v>
      </c>
      <c r="F12">
        <v>1.08159521493369</v>
      </c>
      <c r="G12" s="182">
        <v>1.0153859571961199</v>
      </c>
      <c r="H12" s="182">
        <v>0.24035135430715901</v>
      </c>
      <c r="I12">
        <v>5.41666666666668E-2</v>
      </c>
      <c r="J12" s="183">
        <v>53</v>
      </c>
      <c r="K12" t="s">
        <v>632</v>
      </c>
      <c r="M12" t="s">
        <v>639</v>
      </c>
      <c r="N12">
        <f>N34</f>
        <v>0.17328605200945599</v>
      </c>
      <c r="W12" s="12" t="s">
        <v>1</v>
      </c>
      <c r="X12">
        <f>'Seaside SAM'!Y33</f>
        <v>659.45437526326043</v>
      </c>
      <c r="Y12">
        <f>'Seaside SAM'!Z33</f>
        <v>0</v>
      </c>
      <c r="Z12">
        <f>'Seaside SAM'!AA33</f>
        <v>0</v>
      </c>
      <c r="AA12">
        <f>'Seaside SAM'!AB33</f>
        <v>0</v>
      </c>
      <c r="AB12">
        <f>'Seaside SAM'!AC33</f>
        <v>0</v>
      </c>
      <c r="AC12">
        <f>SUM(X12:AB12)</f>
        <v>659.45437526326043</v>
      </c>
      <c r="AD12">
        <f>AC12/$AC$18</f>
        <v>4.3622119021116124E-3</v>
      </c>
      <c r="AE12">
        <f>AD12*$V$10*0.5</f>
        <v>574.61028512149142</v>
      </c>
      <c r="AF12">
        <f>AD12*$V$11*0.5</f>
        <v>1063.8799742729404</v>
      </c>
    </row>
    <row r="13" spans="1:45" ht="15" thickBot="1">
      <c r="A13">
        <v>1</v>
      </c>
      <c r="B13">
        <v>522</v>
      </c>
      <c r="C13">
        <v>3.6194083564352799</v>
      </c>
      <c r="D13">
        <v>3.7351980103007798</v>
      </c>
      <c r="E13">
        <v>0.60354892755126899</v>
      </c>
      <c r="F13">
        <v>5.6250647965121798</v>
      </c>
      <c r="G13" s="182">
        <v>5.8500619121683703</v>
      </c>
      <c r="H13" s="182">
        <v>1.0723333519993901</v>
      </c>
      <c r="I13">
        <v>0.108333333333333</v>
      </c>
      <c r="J13" s="184">
        <v>54</v>
      </c>
      <c r="K13" t="s">
        <v>633</v>
      </c>
      <c r="M13" t="s">
        <v>640</v>
      </c>
      <c r="N13">
        <f>P34</f>
        <v>6.9314420803782486</v>
      </c>
      <c r="W13" s="12" t="s">
        <v>2</v>
      </c>
      <c r="X13">
        <f>'Seaside SAM'!Y34</f>
        <v>1097.2888375282121</v>
      </c>
      <c r="Y13">
        <f>'Seaside SAM'!Z34</f>
        <v>6812.7895286628254</v>
      </c>
      <c r="Z13">
        <f>'Seaside SAM'!AA34</f>
        <v>0</v>
      </c>
      <c r="AA13">
        <f>'Seaside SAM'!AB34</f>
        <v>0</v>
      </c>
      <c r="AB13">
        <f>'Seaside SAM'!AC34</f>
        <v>0</v>
      </c>
      <c r="AC13">
        <f>SUM(X13:AB13)</f>
        <v>7910.0783661910373</v>
      </c>
      <c r="AD13">
        <f t="shared" ref="AD13:AD16" si="0">AC13/$AC$18</f>
        <v>5.2324223312430404E-2</v>
      </c>
      <c r="AE13">
        <f t="shared" ref="AE13:AE16" si="1">AD13*$V$10*0.5</f>
        <v>6892.3833942505589</v>
      </c>
      <c r="AF13">
        <f t="shared" ref="AF13:AF16" si="2">AD13*$V$11*0.5</f>
        <v>12761.116287022534</v>
      </c>
    </row>
    <row r="14" spans="1:45" ht="15" thickBot="1">
      <c r="A14">
        <v>1</v>
      </c>
      <c r="B14">
        <v>531</v>
      </c>
      <c r="C14">
        <v>4.8472490252759401</v>
      </c>
      <c r="D14">
        <v>2.0843446348089798</v>
      </c>
      <c r="E14">
        <v>1.74017954541329</v>
      </c>
      <c r="F14">
        <v>6.2769565989213998</v>
      </c>
      <c r="G14" s="182">
        <v>2.4560582368273001</v>
      </c>
      <c r="H14" s="182">
        <v>2.46729766773757</v>
      </c>
      <c r="I14">
        <v>6.2833333333333403</v>
      </c>
      <c r="J14" s="183">
        <v>55</v>
      </c>
      <c r="K14" t="s">
        <v>634</v>
      </c>
      <c r="M14" t="s">
        <v>641</v>
      </c>
      <c r="N14">
        <f>R34</f>
        <v>10.570449172576822</v>
      </c>
      <c r="W14" s="12" t="s">
        <v>3</v>
      </c>
      <c r="X14">
        <f>'Seaside SAM'!Y35</f>
        <v>2227.0098574464205</v>
      </c>
      <c r="Y14">
        <f>'Seaside SAM'!Z35</f>
        <v>10754.637650598173</v>
      </c>
      <c r="Z14">
        <f>'Seaside SAM'!AA35</f>
        <v>24856.600142261341</v>
      </c>
      <c r="AA14">
        <f>'Seaside SAM'!AB35</f>
        <v>0</v>
      </c>
      <c r="AB14">
        <f>'Seaside SAM'!AC35</f>
        <v>0</v>
      </c>
      <c r="AC14">
        <f>SUM(X14:AB14)</f>
        <v>37838.247650305937</v>
      </c>
      <c r="AD14">
        <f t="shared" si="0"/>
        <v>0.25029548737062879</v>
      </c>
      <c r="AE14">
        <f t="shared" si="1"/>
        <v>32970.053860299566</v>
      </c>
      <c r="AF14">
        <f t="shared" si="2"/>
        <v>61043.425363081871</v>
      </c>
    </row>
    <row r="15" spans="1:45" ht="15" thickBot="1">
      <c r="A15">
        <v>1</v>
      </c>
      <c r="B15">
        <v>541</v>
      </c>
      <c r="C15">
        <v>3.5955617044532202</v>
      </c>
      <c r="D15">
        <v>2.4337542594990702</v>
      </c>
      <c r="E15">
        <v>1.00734203579564</v>
      </c>
      <c r="F15">
        <v>5.2237296514998404</v>
      </c>
      <c r="G15" s="182">
        <v>3.02628131165981</v>
      </c>
      <c r="H15" s="182">
        <v>1.7467589298728801</v>
      </c>
      <c r="I15">
        <v>0.21666666666666701</v>
      </c>
      <c r="J15" s="184">
        <v>56</v>
      </c>
      <c r="K15" t="s">
        <v>635</v>
      </c>
      <c r="M15" t="s">
        <v>642</v>
      </c>
      <c r="N15">
        <f>T34</f>
        <v>20.79432624113473</v>
      </c>
      <c r="W15" s="12" t="s">
        <v>4</v>
      </c>
      <c r="X15">
        <f>'Seaside SAM'!Y36</f>
        <v>745.94019496991757</v>
      </c>
      <c r="Y15">
        <f>'Seaside SAM'!Z36</f>
        <v>2369.6659230131563</v>
      </c>
      <c r="Z15">
        <f>'Seaside SAM'!AA36</f>
        <v>13778.190341028758</v>
      </c>
      <c r="AA15">
        <f>'Seaside SAM'!AB36</f>
        <v>6470.5429584313733</v>
      </c>
      <c r="AB15">
        <f>'Seaside SAM'!AC36</f>
        <v>0</v>
      </c>
      <c r="AC15">
        <f>SUM(X15:AB15)</f>
        <v>23364.339417443203</v>
      </c>
      <c r="AD15">
        <f t="shared" si="0"/>
        <v>0.15455231372308165</v>
      </c>
      <c r="AE15">
        <f t="shared" si="1"/>
        <v>20358.329913229853</v>
      </c>
      <c r="AF15">
        <f t="shared" si="2"/>
        <v>37693.059217949129</v>
      </c>
    </row>
    <row r="16" spans="1:45" ht="15" thickBot="1">
      <c r="A16">
        <v>1</v>
      </c>
      <c r="B16">
        <v>551</v>
      </c>
      <c r="C16">
        <v>3.8055972494150501</v>
      </c>
      <c r="D16">
        <v>2.12288373466036</v>
      </c>
      <c r="E16">
        <v>1.2108685723267201</v>
      </c>
      <c r="F16">
        <v>5.0849037381945301</v>
      </c>
      <c r="G16" s="182">
        <v>1.99649535727074</v>
      </c>
      <c r="H16" s="182">
        <v>1.9965922652250401</v>
      </c>
      <c r="I16">
        <v>0.108333333333333</v>
      </c>
      <c r="J16" s="183">
        <v>61</v>
      </c>
      <c r="K16" t="s">
        <v>286</v>
      </c>
      <c r="M16" t="s">
        <v>643</v>
      </c>
      <c r="N16">
        <f>V34</f>
        <v>80.404728132387532</v>
      </c>
      <c r="W16" s="12" t="s">
        <v>5</v>
      </c>
      <c r="X16">
        <f>'Seaside SAM'!Y37</f>
        <v>1135.1263836498747</v>
      </c>
      <c r="Y16">
        <f>'Seaside SAM'!Z37</f>
        <v>4351.9826086107005</v>
      </c>
      <c r="Z16">
        <f>'Seaside SAM'!AA37</f>
        <v>20527.641690519198</v>
      </c>
      <c r="AA16">
        <f>'Seaside SAM'!AB37</f>
        <v>18279.283857568629</v>
      </c>
      <c r="AB16">
        <f>'Seaside SAM'!AC37</f>
        <v>37108.155853957272</v>
      </c>
      <c r="AC16">
        <f>SUM(X16:AB16)</f>
        <v>81402.190394305682</v>
      </c>
      <c r="AD16">
        <f t="shared" si="0"/>
        <v>0.53846576369174759</v>
      </c>
      <c r="AE16">
        <f t="shared" si="1"/>
        <v>70929.146255664891</v>
      </c>
      <c r="AF16">
        <f t="shared" si="2"/>
        <v>131323.96033900377</v>
      </c>
    </row>
    <row r="17" spans="1:32" ht="15" thickBot="1">
      <c r="A17">
        <v>1</v>
      </c>
      <c r="B17">
        <v>561</v>
      </c>
      <c r="C17">
        <v>4.5042532568465798</v>
      </c>
      <c r="D17">
        <v>3.3554363185067602</v>
      </c>
      <c r="E17">
        <v>1.1640047341995801</v>
      </c>
      <c r="F17">
        <v>6.2628906814359002</v>
      </c>
      <c r="G17" s="182">
        <v>3.62098077871855</v>
      </c>
      <c r="H17" s="182">
        <v>2.0965278480570699</v>
      </c>
      <c r="I17">
        <v>0.65000000000000102</v>
      </c>
      <c r="J17" s="184">
        <v>62</v>
      </c>
      <c r="K17" t="s">
        <v>636</v>
      </c>
      <c r="M17" t="s">
        <v>644</v>
      </c>
      <c r="N17">
        <f>X34</f>
        <v>5.71843971631204</v>
      </c>
      <c r="AE17">
        <f>SUM(AE12:AE16)</f>
        <v>131724.52370856635</v>
      </c>
      <c r="AF17">
        <f>SUM(AF12:AF16)</f>
        <v>243885.44118133024</v>
      </c>
    </row>
    <row r="18" spans="1:32" ht="15" thickBot="1">
      <c r="A18">
        <v>1</v>
      </c>
      <c r="B18">
        <v>623</v>
      </c>
      <c r="C18">
        <v>18.572786018478499</v>
      </c>
      <c r="D18">
        <v>20.988930728322799</v>
      </c>
      <c r="E18">
        <v>2.5152103666402899</v>
      </c>
      <c r="F18">
        <v>26.3011996412191</v>
      </c>
      <c r="G18" s="182">
        <v>28.6408738164222</v>
      </c>
      <c r="H18" s="182">
        <v>4.6121030410243602</v>
      </c>
      <c r="I18">
        <v>3.0874999999999999</v>
      </c>
      <c r="J18" s="183">
        <v>71</v>
      </c>
      <c r="K18" t="s">
        <v>287</v>
      </c>
      <c r="M18" t="s">
        <v>645</v>
      </c>
      <c r="N18">
        <f>Z34</f>
        <v>8.6643026004728103</v>
      </c>
      <c r="AC18">
        <f>SUM(AC12:AC17)</f>
        <v>151174.31020350911</v>
      </c>
    </row>
    <row r="19" spans="1:32" ht="15" thickBot="1">
      <c r="A19">
        <v>1</v>
      </c>
      <c r="B19">
        <v>712</v>
      </c>
      <c r="C19">
        <v>4.3250820185784704</v>
      </c>
      <c r="D19">
        <v>1.15864411685049</v>
      </c>
      <c r="E19">
        <v>1.77664394826198</v>
      </c>
      <c r="F19">
        <v>6.8840571657690797</v>
      </c>
      <c r="G19" s="182">
        <v>2.15609032199013</v>
      </c>
      <c r="H19" s="182">
        <v>2.87366801625067</v>
      </c>
      <c r="I19">
        <v>1.625</v>
      </c>
      <c r="J19" s="184">
        <v>72</v>
      </c>
      <c r="K19" t="s">
        <v>452</v>
      </c>
      <c r="M19" t="s">
        <v>646</v>
      </c>
      <c r="N19">
        <f>AB34</f>
        <v>13.169739952718601</v>
      </c>
    </row>
    <row r="20" spans="1:32" ht="15" thickBot="1">
      <c r="A20">
        <v>1</v>
      </c>
      <c r="B20">
        <v>713</v>
      </c>
      <c r="C20">
        <v>3.6004989533212899</v>
      </c>
      <c r="D20">
        <v>1.00777292311017</v>
      </c>
      <c r="E20">
        <v>1.4651937687729299</v>
      </c>
      <c r="F20">
        <v>5.0583287205712901</v>
      </c>
      <c r="G20" s="182">
        <v>1.34041875455347</v>
      </c>
      <c r="H20" s="182">
        <v>2.1876354441888899</v>
      </c>
      <c r="I20">
        <v>0.27083333333333398</v>
      </c>
      <c r="J20" s="183">
        <v>81</v>
      </c>
      <c r="K20" t="s">
        <v>288</v>
      </c>
      <c r="M20" t="s">
        <v>648</v>
      </c>
      <c r="N20">
        <f>N66</f>
        <v>2.5409493161705501</v>
      </c>
    </row>
    <row r="21" spans="1:32">
      <c r="A21">
        <v>1</v>
      </c>
      <c r="B21">
        <v>721</v>
      </c>
      <c r="C21">
        <v>95.363678883853495</v>
      </c>
      <c r="D21">
        <v>58.636123223016199</v>
      </c>
      <c r="E21">
        <v>28.605839096593701</v>
      </c>
      <c r="F21">
        <v>113.323615583148</v>
      </c>
      <c r="G21" s="182">
        <v>50.456040873330998</v>
      </c>
      <c r="H21" s="182">
        <v>42.636267454735503</v>
      </c>
      <c r="I21">
        <v>4.7125000000000101</v>
      </c>
      <c r="J21" s="185">
        <v>92</v>
      </c>
      <c r="K21" t="s">
        <v>637</v>
      </c>
      <c r="M21" t="s">
        <v>290</v>
      </c>
      <c r="N21">
        <f>P66</f>
        <v>1.2704746580852699</v>
      </c>
    </row>
    <row r="22" spans="1:32">
      <c r="A22">
        <v>1</v>
      </c>
      <c r="B22">
        <v>722</v>
      </c>
      <c r="C22">
        <v>99.536274584118303</v>
      </c>
      <c r="D22">
        <v>76.823731944448298</v>
      </c>
      <c r="E22">
        <v>24.868431411110599</v>
      </c>
      <c r="F22">
        <v>131.46137792944799</v>
      </c>
      <c r="G22" s="182">
        <v>111.026944829144</v>
      </c>
      <c r="H22" s="182">
        <v>33.078750999861903</v>
      </c>
      <c r="I22">
        <v>11.6458333333333</v>
      </c>
      <c r="M22" t="s">
        <v>649</v>
      </c>
      <c r="N22">
        <f>R66</f>
        <v>5.4448913917940303</v>
      </c>
    </row>
    <row r="23" spans="1:32">
      <c r="A23">
        <v>1</v>
      </c>
      <c r="B23">
        <v>813</v>
      </c>
      <c r="C23">
        <v>21.205665923886901</v>
      </c>
      <c r="D23">
        <v>21.760971380596601</v>
      </c>
      <c r="E23">
        <v>3.5754291055352398</v>
      </c>
      <c r="F23">
        <v>29.7806536766529</v>
      </c>
      <c r="G23" s="182">
        <v>30.616850078443399</v>
      </c>
      <c r="H23" s="182">
        <v>5.78801110771139</v>
      </c>
      <c r="I23">
        <v>0.59583333333333399</v>
      </c>
      <c r="J23" t="s">
        <v>638</v>
      </c>
      <c r="M23" t="s">
        <v>651</v>
      </c>
      <c r="N23">
        <f>U66</f>
        <v>0.36299275945293602</v>
      </c>
    </row>
    <row r="24" spans="1:32">
      <c r="A24">
        <v>1</v>
      </c>
      <c r="B24">
        <v>814</v>
      </c>
      <c r="C24">
        <v>11.010841412984799</v>
      </c>
      <c r="D24">
        <v>8.2270960903578096</v>
      </c>
      <c r="E24">
        <v>2.8376076112442599</v>
      </c>
      <c r="F24">
        <v>14.9309441301811</v>
      </c>
      <c r="G24" s="182">
        <v>9.3388785798695402</v>
      </c>
      <c r="H24" s="182">
        <v>4.7777753620102796</v>
      </c>
      <c r="I24">
        <v>1.4624999999999999</v>
      </c>
      <c r="M24" t="s">
        <v>652</v>
      </c>
      <c r="N24">
        <f>W66</f>
        <v>174.05502815768287</v>
      </c>
    </row>
    <row r="25" spans="1:32">
      <c r="A25">
        <v>2</v>
      </c>
      <c r="B25">
        <v>114</v>
      </c>
      <c r="C25">
        <v>0.26458882096463299</v>
      </c>
      <c r="D25">
        <v>0.20043764144666701</v>
      </c>
      <c r="E25">
        <v>6.4369392759257502E-2</v>
      </c>
      <c r="F25">
        <v>0.41267257092152598</v>
      </c>
      <c r="G25" s="182">
        <v>0.237628525305698</v>
      </c>
      <c r="H25" s="182">
        <v>0.17364757844832099</v>
      </c>
      <c r="I25">
        <v>0.17328605200945599</v>
      </c>
      <c r="M25" t="s">
        <v>653</v>
      </c>
      <c r="N25">
        <f>Y66</f>
        <v>19.783105390184971</v>
      </c>
    </row>
    <row r="26" spans="1:32">
      <c r="A26">
        <v>2</v>
      </c>
      <c r="B26">
        <v>236</v>
      </c>
      <c r="C26">
        <v>0.79320234953473701</v>
      </c>
      <c r="D26">
        <v>0.57984619330576703</v>
      </c>
      <c r="E26">
        <v>0.21382534843149101</v>
      </c>
      <c r="F26">
        <v>1.0845550321226201</v>
      </c>
      <c r="G26" s="182">
        <v>0.66899431399556797</v>
      </c>
      <c r="H26" s="182">
        <v>0.41708582808314698</v>
      </c>
      <c r="I26">
        <v>0.51985815602836805</v>
      </c>
    </row>
    <row r="27" spans="1:32">
      <c r="A27">
        <v>2</v>
      </c>
      <c r="B27">
        <v>237</v>
      </c>
      <c r="C27">
        <v>0.96853939554181001</v>
      </c>
      <c r="D27">
        <v>0.51936714337755796</v>
      </c>
      <c r="E27">
        <v>0.44808647930663398</v>
      </c>
      <c r="F27">
        <v>1.0954966606124801</v>
      </c>
      <c r="G27" s="182">
        <v>0.60063337444060405</v>
      </c>
      <c r="H27" s="182">
        <v>0.48763041084111097</v>
      </c>
      <c r="I27">
        <v>2.7725768321512998</v>
      </c>
    </row>
    <row r="28" spans="1:32">
      <c r="A28">
        <v>2</v>
      </c>
      <c r="B28">
        <v>238</v>
      </c>
      <c r="C28">
        <v>2.0652838710999499</v>
      </c>
      <c r="D28">
        <v>1.10444547041138</v>
      </c>
      <c r="E28">
        <v>0.95849642823057601</v>
      </c>
      <c r="F28">
        <v>4.0410490846912399</v>
      </c>
      <c r="G28" s="182">
        <v>1.5738201793211199</v>
      </c>
      <c r="H28" s="182">
        <v>2.3655834932126201</v>
      </c>
      <c r="I28">
        <v>3.6390070921985802</v>
      </c>
    </row>
    <row r="29" spans="1:32">
      <c r="A29">
        <v>2</v>
      </c>
      <c r="B29">
        <v>323</v>
      </c>
      <c r="C29">
        <v>1.7752352580056201</v>
      </c>
      <c r="D29">
        <v>0.85588757569861196</v>
      </c>
      <c r="E29">
        <v>0.91651299107224304</v>
      </c>
      <c r="F29">
        <v>3.1873615390740899</v>
      </c>
      <c r="G29" s="182">
        <v>1.0475852088558</v>
      </c>
      <c r="H29" s="182">
        <v>2.0369715249628602</v>
      </c>
      <c r="I29">
        <v>1.3862884160756499</v>
      </c>
    </row>
    <row r="30" spans="1:32">
      <c r="A30">
        <v>2</v>
      </c>
      <c r="B30">
        <v>339</v>
      </c>
      <c r="C30">
        <v>0.39252658593969397</v>
      </c>
      <c r="D30">
        <v>0.25749037320631202</v>
      </c>
      <c r="E30">
        <v>0.13500943247411601</v>
      </c>
      <c r="F30">
        <v>0.49615387270297601</v>
      </c>
      <c r="G30" s="182">
        <v>0.126651001911851</v>
      </c>
      <c r="H30" s="182">
        <v>0.34924597929179302</v>
      </c>
      <c r="I30">
        <v>0.34657210401891198</v>
      </c>
    </row>
    <row r="31" spans="1:32">
      <c r="A31">
        <v>2</v>
      </c>
      <c r="B31">
        <v>424</v>
      </c>
      <c r="C31">
        <v>5.0190364551209003E-2</v>
      </c>
      <c r="D31">
        <v>1.4446524475973501E-2</v>
      </c>
      <c r="E31">
        <v>3.5577958591657799E-2</v>
      </c>
      <c r="F31">
        <v>9.0419308815487501E-2</v>
      </c>
      <c r="G31" s="182">
        <v>2.4805603626335999E-2</v>
      </c>
      <c r="H31" s="182">
        <v>6.2123532752231002E-2</v>
      </c>
      <c r="I31">
        <v>0</v>
      </c>
    </row>
    <row r="32" spans="1:32">
      <c r="A32">
        <v>2</v>
      </c>
      <c r="B32">
        <v>425</v>
      </c>
      <c r="C32">
        <v>1.6074026886720001</v>
      </c>
      <c r="D32">
        <v>0.78896791503582298</v>
      </c>
      <c r="E32">
        <v>0.81599113981327298</v>
      </c>
      <c r="F32">
        <v>2.8770863426889699</v>
      </c>
      <c r="G32" s="182">
        <v>0.94728368961984699</v>
      </c>
      <c r="H32" s="182">
        <v>1.8372012153794799</v>
      </c>
      <c r="I32">
        <v>1.0397163120567301</v>
      </c>
    </row>
    <row r="33" spans="1:28">
      <c r="A33">
        <v>2</v>
      </c>
      <c r="B33">
        <v>441</v>
      </c>
      <c r="C33">
        <v>1.29719537658267</v>
      </c>
      <c r="D33">
        <v>0.52594575311777703</v>
      </c>
      <c r="E33">
        <v>0.76830373928211404</v>
      </c>
      <c r="F33">
        <v>2.4736192585664698</v>
      </c>
      <c r="G33" s="182">
        <v>0.66944758399968596</v>
      </c>
      <c r="H33" s="182">
        <v>1.7076198698882801</v>
      </c>
      <c r="I33">
        <v>1.0397163120567301</v>
      </c>
      <c r="M33" t="s">
        <v>639</v>
      </c>
      <c r="O33" t="s">
        <v>640</v>
      </c>
      <c r="Q33" t="s">
        <v>641</v>
      </c>
      <c r="S33" t="s">
        <v>642</v>
      </c>
      <c r="U33" t="s">
        <v>643</v>
      </c>
      <c r="W33" t="s">
        <v>644</v>
      </c>
      <c r="Y33" t="s">
        <v>645</v>
      </c>
      <c r="AA33" t="s">
        <v>646</v>
      </c>
    </row>
    <row r="34" spans="1:28">
      <c r="A34">
        <v>2</v>
      </c>
      <c r="B34">
        <v>442</v>
      </c>
      <c r="C34">
        <v>0.97824529020223105</v>
      </c>
      <c r="D34">
        <v>0.36051845940157001</v>
      </c>
      <c r="E34">
        <v>0.61518778929768303</v>
      </c>
      <c r="F34">
        <v>2.2700774177919598</v>
      </c>
      <c r="G34" s="182">
        <v>0.64319473756832501</v>
      </c>
      <c r="H34" s="182">
        <v>1.5416434940875501</v>
      </c>
      <c r="I34">
        <v>0.86643026004728096</v>
      </c>
      <c r="L34" t="s">
        <v>647</v>
      </c>
      <c r="M34">
        <f>H25</f>
        <v>0.17364757844832099</v>
      </c>
      <c r="N34">
        <f>I25</f>
        <v>0.17328605200945599</v>
      </c>
      <c r="O34">
        <f>SUM(H26:H28)</f>
        <v>3.2702997321368779</v>
      </c>
      <c r="P34">
        <f>SUM(I26:I28)</f>
        <v>6.9314420803782486</v>
      </c>
      <c r="Q34">
        <f>SUM(H29:H30)+H43+H44</f>
        <v>2.8270180170788475</v>
      </c>
      <c r="R34">
        <f>SUM(I29:I30)+I43+I44</f>
        <v>10.570449172576822</v>
      </c>
      <c r="S34">
        <f>SUM(H31:H42)</f>
        <v>24.569262812308811</v>
      </c>
      <c r="T34">
        <f>SUM(I31:I42)</f>
        <v>20.79432624113473</v>
      </c>
      <c r="U34">
        <f>SUM(H45:H54)+SUM(H61:H64)+H58</f>
        <v>31.980101793885861</v>
      </c>
      <c r="V34">
        <f>SUM(I45:I54)+SUM(I61:I64)+I58</f>
        <v>80.404728132387532</v>
      </c>
      <c r="W34">
        <f>H55+H56+H57</f>
        <v>4.6862675897368593</v>
      </c>
      <c r="X34">
        <f>I55+I56+I57</f>
        <v>5.71843971631204</v>
      </c>
      <c r="Y34">
        <f>H59</f>
        <v>4.5782976985919301</v>
      </c>
      <c r="Z34">
        <f>I59</f>
        <v>8.6643026004728103</v>
      </c>
      <c r="AA34">
        <f>H60</f>
        <v>14.3846632650405</v>
      </c>
      <c r="AB34">
        <f>I60</f>
        <v>13.169739952718601</v>
      </c>
    </row>
    <row r="35" spans="1:28">
      <c r="A35">
        <v>2</v>
      </c>
      <c r="B35">
        <v>443</v>
      </c>
      <c r="C35">
        <v>0.39964581446542302</v>
      </c>
      <c r="D35">
        <v>0.31274714647829099</v>
      </c>
      <c r="E35">
        <v>8.7316169698997095E-2</v>
      </c>
      <c r="F35">
        <v>0.48716704354763501</v>
      </c>
      <c r="G35" s="182">
        <v>0.30208720127191702</v>
      </c>
      <c r="H35" s="182">
        <v>0.18594995217773799</v>
      </c>
      <c r="I35">
        <v>0.34657210401891198</v>
      </c>
      <c r="L35" t="s">
        <v>430</v>
      </c>
      <c r="M35">
        <f>G25</f>
        <v>0.237628525305698</v>
      </c>
      <c r="O35">
        <f>SUM(G26:G28)</f>
        <v>2.8434478677572921</v>
      </c>
      <c r="Q35">
        <f>SUM(G29:G30)+G43+G44</f>
        <v>1.1742362107676509</v>
      </c>
      <c r="S35">
        <f>SUM(G31:G42)</f>
        <v>18.601540621301464</v>
      </c>
      <c r="U35">
        <f>SUM(G45:G54)+SUM(G61:G64)+G58</f>
        <v>74.401181116886448</v>
      </c>
      <c r="W35">
        <f>G55+G56+G57</f>
        <v>5.1611807600793709</v>
      </c>
      <c r="Y35">
        <f>G59</f>
        <v>17.576943334329599</v>
      </c>
      <c r="AA35">
        <f>G60</f>
        <v>13.7549430492572</v>
      </c>
    </row>
    <row r="36" spans="1:28">
      <c r="A36">
        <v>2</v>
      </c>
      <c r="B36">
        <v>444</v>
      </c>
      <c r="C36">
        <v>0.47188573881829499</v>
      </c>
      <c r="D36">
        <v>0.30225527922104001</v>
      </c>
      <c r="E36">
        <v>0.16953414123434099</v>
      </c>
      <c r="F36">
        <v>0.75706054629752095</v>
      </c>
      <c r="G36" s="182">
        <v>0.369962658741253</v>
      </c>
      <c r="H36" s="182">
        <v>0.37682979511655501</v>
      </c>
      <c r="I36">
        <v>0.34657210401891198</v>
      </c>
    </row>
    <row r="37" spans="1:28">
      <c r="A37">
        <v>2</v>
      </c>
      <c r="B37">
        <v>445</v>
      </c>
      <c r="C37">
        <v>9.1654445790681507</v>
      </c>
      <c r="D37">
        <v>6.1279680730635597</v>
      </c>
      <c r="E37">
        <v>3.0378675801325499</v>
      </c>
      <c r="F37">
        <v>14.328661629415601</v>
      </c>
      <c r="G37" s="182">
        <v>7.5302159939334503</v>
      </c>
      <c r="H37" s="182">
        <v>6.66578333094923</v>
      </c>
      <c r="I37">
        <v>6.4115839243498796</v>
      </c>
    </row>
    <row r="38" spans="1:28">
      <c r="A38">
        <v>2</v>
      </c>
      <c r="B38">
        <v>446</v>
      </c>
      <c r="C38">
        <v>5.8215948311002697</v>
      </c>
      <c r="D38">
        <v>3.30285440104874</v>
      </c>
      <c r="E38">
        <v>2.5138064191076901</v>
      </c>
      <c r="F38">
        <v>9.1471336336536009</v>
      </c>
      <c r="G38" s="182">
        <v>3.4531098284728001</v>
      </c>
      <c r="H38" s="182">
        <v>5.4511748903420099</v>
      </c>
      <c r="I38">
        <v>5.5451536643025996</v>
      </c>
    </row>
    <row r="39" spans="1:28">
      <c r="A39">
        <v>2</v>
      </c>
      <c r="B39">
        <v>447</v>
      </c>
      <c r="C39">
        <v>2.04800470545399</v>
      </c>
      <c r="D39">
        <v>1.0644139302900499</v>
      </c>
      <c r="E39">
        <v>0.98099767462937604</v>
      </c>
      <c r="F39">
        <v>3.5402946551651899</v>
      </c>
      <c r="G39" s="182">
        <v>1.6453931235753101</v>
      </c>
      <c r="H39" s="182">
        <v>1.8369919083933399</v>
      </c>
      <c r="I39">
        <v>2.2527186761229299</v>
      </c>
    </row>
    <row r="40" spans="1:28">
      <c r="A40">
        <v>2</v>
      </c>
      <c r="B40">
        <v>451</v>
      </c>
      <c r="C40">
        <v>0.212739530716097</v>
      </c>
      <c r="D40">
        <v>0.122681116012531</v>
      </c>
      <c r="E40">
        <v>8.9895557041282395E-2</v>
      </c>
      <c r="F40">
        <v>0.49255914104083898</v>
      </c>
      <c r="G40" s="182">
        <v>0.29206924392203598</v>
      </c>
      <c r="H40" s="182">
        <v>0.19980891960995201</v>
      </c>
      <c r="I40">
        <v>0.17328605200945599</v>
      </c>
    </row>
    <row r="41" spans="1:28">
      <c r="A41">
        <v>2</v>
      </c>
      <c r="B41">
        <v>452</v>
      </c>
      <c r="C41">
        <v>1.9132130614427001</v>
      </c>
      <c r="D41">
        <v>0.62488709733177294</v>
      </c>
      <c r="E41">
        <v>1.2826550702283199</v>
      </c>
      <c r="F41">
        <v>4.0194916276006101</v>
      </c>
      <c r="G41" s="182">
        <v>1.0018417522473999</v>
      </c>
      <c r="H41" s="182">
        <v>2.85071644496661</v>
      </c>
      <c r="I41">
        <v>1.3862884160756499</v>
      </c>
    </row>
    <row r="42" spans="1:28">
      <c r="A42">
        <v>2</v>
      </c>
      <c r="B42">
        <v>453</v>
      </c>
      <c r="C42">
        <v>1.7605584829085399</v>
      </c>
      <c r="D42">
        <v>1.0345292599118701</v>
      </c>
      <c r="E42">
        <v>0.724850832971206</v>
      </c>
      <c r="F42">
        <v>3.6308954498249402</v>
      </c>
      <c r="G42" s="182">
        <v>1.7221292043231</v>
      </c>
      <c r="H42" s="182">
        <v>1.8534194586458299</v>
      </c>
      <c r="I42">
        <v>1.3862884160756499</v>
      </c>
    </row>
    <row r="43" spans="1:28">
      <c r="A43">
        <v>2</v>
      </c>
      <c r="B43">
        <v>485</v>
      </c>
      <c r="C43">
        <v>0.42636355973053303</v>
      </c>
      <c r="D43">
        <v>0</v>
      </c>
      <c r="E43">
        <v>0.42387541175290999</v>
      </c>
      <c r="F43">
        <v>0.47430778752268099</v>
      </c>
      <c r="G43" s="182">
        <v>0</v>
      </c>
      <c r="H43" s="182">
        <v>0.44080051282419402</v>
      </c>
      <c r="I43">
        <v>6.5848699763593297</v>
      </c>
    </row>
    <row r="44" spans="1:28">
      <c r="A44">
        <v>2</v>
      </c>
      <c r="B44">
        <v>487</v>
      </c>
      <c r="C44">
        <v>2.3663277808185001E-2</v>
      </c>
      <c r="D44">
        <v>0</v>
      </c>
      <c r="E44">
        <v>0</v>
      </c>
      <c r="F44">
        <v>2.6324193722907101E-2</v>
      </c>
      <c r="G44" s="182">
        <v>0</v>
      </c>
      <c r="H44" s="182">
        <v>0</v>
      </c>
      <c r="I44">
        <v>2.2527186761229299</v>
      </c>
    </row>
    <row r="45" spans="1:28">
      <c r="A45">
        <v>2</v>
      </c>
      <c r="B45">
        <v>511</v>
      </c>
      <c r="C45">
        <v>0.752037798730117</v>
      </c>
      <c r="D45">
        <v>0.36041988868325697</v>
      </c>
      <c r="E45">
        <v>0.39039809058015901</v>
      </c>
      <c r="F45">
        <v>1.30251297134509</v>
      </c>
      <c r="G45" s="182">
        <v>0.51194661145228004</v>
      </c>
      <c r="H45" s="182">
        <v>0.758349692408118</v>
      </c>
      <c r="I45">
        <v>0.86643026004728096</v>
      </c>
    </row>
    <row r="46" spans="1:28">
      <c r="A46">
        <v>2</v>
      </c>
      <c r="B46">
        <v>512</v>
      </c>
      <c r="C46">
        <v>1.2858836261228299</v>
      </c>
      <c r="D46">
        <v>0.90058742503925404</v>
      </c>
      <c r="E46">
        <v>0.38571024949368699</v>
      </c>
      <c r="F46">
        <v>2.0397718814307502</v>
      </c>
      <c r="G46" s="182">
        <v>1.1757524794616301</v>
      </c>
      <c r="H46" s="182">
        <v>0.85725638784224101</v>
      </c>
      <c r="I46">
        <v>0.86643026004728096</v>
      </c>
    </row>
    <row r="47" spans="1:28">
      <c r="A47">
        <v>2</v>
      </c>
      <c r="B47">
        <v>515</v>
      </c>
      <c r="C47">
        <v>0.17939984152410199</v>
      </c>
      <c r="D47">
        <v>7.6465249024233795E-2</v>
      </c>
      <c r="E47">
        <v>0.102559958075639</v>
      </c>
      <c r="F47">
        <v>0.338667891417266</v>
      </c>
      <c r="G47" s="182">
        <v>0.116573222124878</v>
      </c>
      <c r="H47" s="182">
        <v>0.21178615627351099</v>
      </c>
      <c r="I47">
        <v>0.34657210401891198</v>
      </c>
    </row>
    <row r="48" spans="1:28">
      <c r="A48">
        <v>2</v>
      </c>
      <c r="B48">
        <v>522</v>
      </c>
      <c r="C48">
        <v>4.4833410435087799</v>
      </c>
      <c r="D48">
        <v>1.0110970287544701</v>
      </c>
      <c r="E48">
        <v>3.4549701460306399</v>
      </c>
      <c r="F48">
        <v>8.5607703634730701</v>
      </c>
      <c r="G48" s="182">
        <v>1.2375927733736101</v>
      </c>
      <c r="H48" s="182">
        <v>6.8629647366457096</v>
      </c>
      <c r="I48">
        <v>12.4765957446808</v>
      </c>
    </row>
    <row r="49" spans="1:9">
      <c r="A49">
        <v>2</v>
      </c>
      <c r="B49">
        <v>524</v>
      </c>
      <c r="C49">
        <v>0.228426599425054</v>
      </c>
      <c r="D49">
        <v>0.116220791134288</v>
      </c>
      <c r="E49">
        <v>0.111894604540864</v>
      </c>
      <c r="F49">
        <v>0.40278924542708799</v>
      </c>
      <c r="G49" s="182">
        <v>0.14225545454090299</v>
      </c>
      <c r="H49" s="182">
        <v>0.24869530956842301</v>
      </c>
      <c r="I49">
        <v>0.17328605200945599</v>
      </c>
    </row>
    <row r="50" spans="1:9">
      <c r="A50">
        <v>2</v>
      </c>
      <c r="B50">
        <v>531</v>
      </c>
      <c r="C50">
        <v>1.7237613881459399</v>
      </c>
      <c r="D50">
        <v>0.83288905570179095</v>
      </c>
      <c r="E50">
        <v>0.86948997818985396</v>
      </c>
      <c r="F50">
        <v>2.96048455456582</v>
      </c>
      <c r="G50" s="182">
        <v>1.0197424661155801</v>
      </c>
      <c r="H50" s="182">
        <v>1.83132233080743</v>
      </c>
      <c r="I50">
        <v>23.047044917257601</v>
      </c>
    </row>
    <row r="51" spans="1:9">
      <c r="A51">
        <v>2</v>
      </c>
      <c r="B51">
        <v>532</v>
      </c>
      <c r="C51">
        <v>0.39276441770435799</v>
      </c>
      <c r="D51">
        <v>0.126655487374917</v>
      </c>
      <c r="E51">
        <v>0.26493043719117798</v>
      </c>
      <c r="F51">
        <v>0.789566191607325</v>
      </c>
      <c r="G51" s="182">
        <v>0.16413666133864499</v>
      </c>
      <c r="H51" s="182">
        <v>0.58882322626955097</v>
      </c>
      <c r="I51">
        <v>0.34657210401891198</v>
      </c>
    </row>
    <row r="52" spans="1:9">
      <c r="A52">
        <v>2</v>
      </c>
      <c r="B52">
        <v>541</v>
      </c>
      <c r="C52">
        <v>3.0393523637822599</v>
      </c>
      <c r="D52">
        <v>1.65294223246484</v>
      </c>
      <c r="E52">
        <v>1.38320623270709</v>
      </c>
      <c r="F52">
        <v>5.1740564640774203</v>
      </c>
      <c r="G52" s="182">
        <v>2.2343312115645002</v>
      </c>
      <c r="H52" s="182">
        <v>2.8351911500718701</v>
      </c>
      <c r="I52">
        <v>2.42600472813238</v>
      </c>
    </row>
    <row r="53" spans="1:9">
      <c r="A53">
        <v>2</v>
      </c>
      <c r="B53">
        <v>561</v>
      </c>
      <c r="C53">
        <v>1.89073894245783</v>
      </c>
      <c r="D53">
        <v>1.0112724846330701</v>
      </c>
      <c r="E53">
        <v>0.87732389020138601</v>
      </c>
      <c r="F53">
        <v>2.9818058614012801</v>
      </c>
      <c r="G53" s="182">
        <v>1.2382324132778899</v>
      </c>
      <c r="H53" s="182">
        <v>1.67755891604301</v>
      </c>
      <c r="I53">
        <v>2.5992907801418399</v>
      </c>
    </row>
    <row r="54" spans="1:9">
      <c r="A54">
        <v>2</v>
      </c>
      <c r="B54">
        <v>611</v>
      </c>
      <c r="C54">
        <v>42.6525069119809</v>
      </c>
      <c r="D54">
        <v>39.968364176550402</v>
      </c>
      <c r="E54">
        <v>2.7866430693192399</v>
      </c>
      <c r="F54">
        <v>51.017868329757803</v>
      </c>
      <c r="G54" s="182">
        <v>49.886293827049002</v>
      </c>
      <c r="H54" s="182">
        <v>3.35449397534091</v>
      </c>
      <c r="I54">
        <v>24.086761229314401</v>
      </c>
    </row>
    <row r="55" spans="1:9">
      <c r="A55">
        <v>2</v>
      </c>
      <c r="B55">
        <v>621</v>
      </c>
      <c r="C55">
        <v>2.6755365926065902</v>
      </c>
      <c r="D55">
        <v>1.4482108505284499</v>
      </c>
      <c r="E55">
        <v>1.2244449417894301</v>
      </c>
      <c r="F55">
        <v>4.6544340664780197</v>
      </c>
      <c r="G55" s="182">
        <v>1.9069943401139899</v>
      </c>
      <c r="H55" s="182">
        <v>2.6413789772203402</v>
      </c>
      <c r="I55">
        <v>2.9458628841607499</v>
      </c>
    </row>
    <row r="56" spans="1:9">
      <c r="A56">
        <v>2</v>
      </c>
      <c r="B56">
        <v>623</v>
      </c>
      <c r="C56">
        <v>1.21167421889232</v>
      </c>
      <c r="D56">
        <v>0.83643563014669697</v>
      </c>
      <c r="E56">
        <v>0.37552166949166099</v>
      </c>
      <c r="F56">
        <v>1.7183320257592101</v>
      </c>
      <c r="G56" s="182">
        <v>0.88273527999799095</v>
      </c>
      <c r="H56" s="182">
        <v>0.81731533140819901</v>
      </c>
      <c r="I56">
        <v>1.0397163120567301</v>
      </c>
    </row>
    <row r="57" spans="1:9">
      <c r="A57">
        <v>2</v>
      </c>
      <c r="B57">
        <v>624</v>
      </c>
      <c r="C57">
        <v>2.1072346426142099</v>
      </c>
      <c r="D57">
        <v>1.33896886625073</v>
      </c>
      <c r="E57">
        <v>0.76774096386197899</v>
      </c>
      <c r="F57">
        <v>3.5745451884715802</v>
      </c>
      <c r="G57" s="182">
        <v>2.3714511399673901</v>
      </c>
      <c r="H57" s="182">
        <v>1.22757328110832</v>
      </c>
      <c r="I57">
        <v>1.7328605200945599</v>
      </c>
    </row>
    <row r="58" spans="1:9">
      <c r="A58">
        <v>2</v>
      </c>
      <c r="B58">
        <v>713</v>
      </c>
      <c r="C58">
        <v>5.8443873694725399</v>
      </c>
      <c r="D58">
        <v>4.9944067838768396</v>
      </c>
      <c r="E58">
        <v>0.859786010355166</v>
      </c>
      <c r="F58">
        <v>8.2495024613856298</v>
      </c>
      <c r="G58" s="182">
        <v>6.5169481562015497</v>
      </c>
      <c r="H58" s="182">
        <v>1.91099513668937</v>
      </c>
      <c r="I58">
        <v>1.5595744680851</v>
      </c>
    </row>
    <row r="59" spans="1:9">
      <c r="A59">
        <v>2</v>
      </c>
      <c r="B59">
        <v>721</v>
      </c>
      <c r="C59">
        <v>15.7076146216508</v>
      </c>
      <c r="D59">
        <v>12.9291879521064</v>
      </c>
      <c r="E59">
        <v>2.79162011444105</v>
      </c>
      <c r="F59">
        <v>21.644751781721101</v>
      </c>
      <c r="G59" s="182">
        <v>17.576943334329599</v>
      </c>
      <c r="H59" s="182">
        <v>4.5782976985919301</v>
      </c>
      <c r="I59">
        <v>8.6643026004728103</v>
      </c>
    </row>
    <row r="60" spans="1:9">
      <c r="A60">
        <v>2</v>
      </c>
      <c r="B60">
        <v>722</v>
      </c>
      <c r="C60">
        <v>16.394138614198901</v>
      </c>
      <c r="D60">
        <v>9.5725849097758999</v>
      </c>
      <c r="E60">
        <v>6.8100457009059996</v>
      </c>
      <c r="F60">
        <v>28.5498267880442</v>
      </c>
      <c r="G60" s="182">
        <v>13.7549430492572</v>
      </c>
      <c r="H60" s="182">
        <v>14.3846632650405</v>
      </c>
      <c r="I60">
        <v>13.169739952718601</v>
      </c>
    </row>
    <row r="61" spans="1:9">
      <c r="A61">
        <v>2</v>
      </c>
      <c r="B61">
        <v>811</v>
      </c>
      <c r="C61">
        <v>2.6020092318416999</v>
      </c>
      <c r="D61">
        <v>1.0806623274967899</v>
      </c>
      <c r="E61">
        <v>1.5156636349774</v>
      </c>
      <c r="F61">
        <v>4.7285961794857396</v>
      </c>
      <c r="G61" s="182">
        <v>1.5555996455007901</v>
      </c>
      <c r="H61" s="182">
        <v>3.0206513645441602</v>
      </c>
      <c r="I61">
        <v>3.4657210401891199</v>
      </c>
    </row>
    <row r="62" spans="1:9">
      <c r="A62">
        <v>2</v>
      </c>
      <c r="B62">
        <v>812</v>
      </c>
      <c r="C62">
        <v>5.2949586476148998</v>
      </c>
      <c r="D62">
        <v>3.4461998824484401</v>
      </c>
      <c r="E62">
        <v>1.84815838788589</v>
      </c>
      <c r="F62">
        <v>9.2366608192828608</v>
      </c>
      <c r="G62" s="182">
        <v>5.4262976952286701</v>
      </c>
      <c r="H62" s="182">
        <v>3.7916712419874399</v>
      </c>
      <c r="I62">
        <v>3.8122931442080299</v>
      </c>
    </row>
    <row r="63" spans="1:9">
      <c r="A63">
        <v>2</v>
      </c>
      <c r="B63">
        <v>813</v>
      </c>
      <c r="C63">
        <v>2.84852480424364</v>
      </c>
      <c r="D63">
        <v>1.4608614165167599</v>
      </c>
      <c r="E63">
        <v>1.3838842989250999</v>
      </c>
      <c r="F63">
        <v>4.9068874355678096</v>
      </c>
      <c r="G63" s="182">
        <v>1.8167107782279099</v>
      </c>
      <c r="H63" s="182">
        <v>2.9557357172388699</v>
      </c>
      <c r="I63">
        <v>2.9458628841607499</v>
      </c>
    </row>
    <row r="64" spans="1:9">
      <c r="A64">
        <v>2</v>
      </c>
      <c r="B64">
        <v>814</v>
      </c>
      <c r="C64">
        <v>1.59176082765385</v>
      </c>
      <c r="D64">
        <v>1.0244829323014</v>
      </c>
      <c r="E64">
        <v>0.56699623578598601</v>
      </c>
      <c r="F64">
        <v>2.4475683868981601</v>
      </c>
      <c r="G64" s="182">
        <v>1.35876772142861</v>
      </c>
      <c r="H64" s="182">
        <v>1.0746064521552501</v>
      </c>
      <c r="I64">
        <v>1.3862884160756499</v>
      </c>
    </row>
    <row r="65" spans="1:41">
      <c r="A65">
        <v>2</v>
      </c>
      <c r="B65">
        <v>999</v>
      </c>
      <c r="C65">
        <v>0.175629913221411</v>
      </c>
      <c r="D65">
        <v>9.6463276355603297E-2</v>
      </c>
      <c r="E65">
        <v>7.89898291948474E-2</v>
      </c>
      <c r="F65">
        <v>0.347427316623177</v>
      </c>
      <c r="G65" s="182">
        <v>0.134149514314989</v>
      </c>
      <c r="H65" s="182">
        <v>0.204403512771864</v>
      </c>
      <c r="I65">
        <v>0.17328605200945599</v>
      </c>
      <c r="M65" t="s">
        <v>648</v>
      </c>
      <c r="O65" t="s">
        <v>290</v>
      </c>
      <c r="Q65" t="s">
        <v>649</v>
      </c>
      <c r="S65" t="s">
        <v>650</v>
      </c>
      <c r="T65" t="s">
        <v>651</v>
      </c>
      <c r="V65" t="s">
        <v>652</v>
      </c>
      <c r="X65" t="s">
        <v>653</v>
      </c>
      <c r="Z65" t="s">
        <v>654</v>
      </c>
      <c r="AA65" t="s">
        <v>655</v>
      </c>
    </row>
    <row r="66" spans="1:41">
      <c r="A66">
        <v>3</v>
      </c>
      <c r="B66">
        <v>113</v>
      </c>
      <c r="C66">
        <v>0.30020921627836</v>
      </c>
      <c r="D66">
        <v>0.22872074253196001</v>
      </c>
      <c r="E66">
        <v>7.1508839319435996E-2</v>
      </c>
      <c r="F66">
        <v>0.39391024226983901</v>
      </c>
      <c r="G66" s="182">
        <v>0.266395609562115</v>
      </c>
      <c r="H66" s="182">
        <v>0.12085547500093501</v>
      </c>
      <c r="I66">
        <v>2.5409493161705501</v>
      </c>
      <c r="L66" t="s">
        <v>647</v>
      </c>
      <c r="M66">
        <f>H66</f>
        <v>0.12085547500093501</v>
      </c>
      <c r="N66">
        <f>I66</f>
        <v>2.5409493161705501</v>
      </c>
      <c r="O66">
        <f>H67</f>
        <v>9.5709498807076507E-2</v>
      </c>
      <c r="P66">
        <f>I67</f>
        <v>1.2704746580852699</v>
      </c>
      <c r="Q66">
        <f>H68+H69</f>
        <v>1.3440849646696329</v>
      </c>
      <c r="R66">
        <f>I68+I69</f>
        <v>5.4448913917940303</v>
      </c>
      <c r="T66">
        <f>H70</f>
        <v>0.12573996131252199</v>
      </c>
      <c r="U66">
        <f>I70</f>
        <v>0.36299275945293602</v>
      </c>
      <c r="V66">
        <f>SUM(H71:H76)+H80+H81</f>
        <v>9.7250559278553421</v>
      </c>
      <c r="W66">
        <f>SUM(I71:I76)+I80+I81</f>
        <v>174.05502815768287</v>
      </c>
      <c r="X66">
        <f>H77+H78</f>
        <v>1.751959172354461</v>
      </c>
      <c r="Y66">
        <f>I77+I78</f>
        <v>19.783105390184971</v>
      </c>
    </row>
    <row r="67" spans="1:41">
      <c r="A67">
        <v>3</v>
      </c>
      <c r="B67">
        <v>221</v>
      </c>
      <c r="C67">
        <v>0.17671718192549099</v>
      </c>
      <c r="D67">
        <v>0.102287505682938</v>
      </c>
      <c r="E67">
        <v>7.3927087237676894E-2</v>
      </c>
      <c r="F67">
        <v>0.20700440398845199</v>
      </c>
      <c r="G67" s="182">
        <v>0.101981284124756</v>
      </c>
      <c r="H67" s="182">
        <v>9.5709498807076507E-2</v>
      </c>
      <c r="I67">
        <v>1.2704746580852699</v>
      </c>
      <c r="L67" t="s">
        <v>430</v>
      </c>
      <c r="M67">
        <f>G66</f>
        <v>0.266395609562115</v>
      </c>
      <c r="O67">
        <f>G67</f>
        <v>0.101981284124756</v>
      </c>
      <c r="Q67">
        <f>G68+G69</f>
        <v>4.116763287834142</v>
      </c>
      <c r="T67">
        <f>G70</f>
        <v>0.23188924209994799</v>
      </c>
      <c r="V67">
        <f>SUM(G71:G76)+SUM(G80:G81)</f>
        <v>39.221964850381696</v>
      </c>
      <c r="X67">
        <f>G77+G78</f>
        <v>5.4078007259971272</v>
      </c>
    </row>
    <row r="68" spans="1:41">
      <c r="A68">
        <v>3</v>
      </c>
      <c r="B68">
        <v>236</v>
      </c>
      <c r="C68">
        <v>0.39696882972619701</v>
      </c>
      <c r="D68">
        <v>0.27138739905004999</v>
      </c>
      <c r="E68">
        <v>0.125114407329319</v>
      </c>
      <c r="F68">
        <v>0.47116844128204399</v>
      </c>
      <c r="G68" s="182">
        <v>0.26332261761001202</v>
      </c>
      <c r="H68" s="182">
        <v>0.19141899761415301</v>
      </c>
      <c r="I68">
        <v>1.2704746580852699</v>
      </c>
    </row>
    <row r="69" spans="1:41">
      <c r="A69">
        <v>3</v>
      </c>
      <c r="B69">
        <v>238</v>
      </c>
      <c r="C69">
        <v>2.87551276243761</v>
      </c>
      <c r="D69">
        <v>2.4207014216641398</v>
      </c>
      <c r="E69">
        <v>0.45866402479521501</v>
      </c>
      <c r="F69">
        <v>5.0209591301543099</v>
      </c>
      <c r="G69" s="182">
        <v>3.8534406702241299</v>
      </c>
      <c r="H69" s="182">
        <v>1.15266596705548</v>
      </c>
      <c r="I69">
        <v>4.1744167337087603</v>
      </c>
    </row>
    <row r="70" spans="1:41">
      <c r="A70">
        <v>3</v>
      </c>
      <c r="B70">
        <v>445</v>
      </c>
      <c r="C70">
        <v>0.28798481016887201</v>
      </c>
      <c r="D70">
        <v>0.20725728914422401</v>
      </c>
      <c r="E70">
        <v>8.0553781506448902E-2</v>
      </c>
      <c r="F70">
        <v>0.366235720531284</v>
      </c>
      <c r="G70" s="182">
        <v>0.23188924209994799</v>
      </c>
      <c r="H70" s="182">
        <v>0.12573996131252199</v>
      </c>
      <c r="I70">
        <v>0.36299275945293602</v>
      </c>
    </row>
    <row r="71" spans="1:41">
      <c r="A71">
        <v>3</v>
      </c>
      <c r="B71">
        <v>484</v>
      </c>
      <c r="C71">
        <v>4.33208253592339E-2</v>
      </c>
      <c r="D71">
        <v>0</v>
      </c>
      <c r="E71">
        <v>4.27987410969142E-2</v>
      </c>
      <c r="F71">
        <v>8.6998713909833505E-2</v>
      </c>
      <c r="G71" s="182">
        <v>0</v>
      </c>
      <c r="H71" s="182">
        <v>7.6528845726151706E-2</v>
      </c>
      <c r="I71">
        <v>0.36299275945293602</v>
      </c>
    </row>
    <row r="72" spans="1:41">
      <c r="A72">
        <v>3</v>
      </c>
      <c r="B72">
        <v>519</v>
      </c>
      <c r="C72">
        <v>0.22303288256666401</v>
      </c>
      <c r="D72">
        <v>0.14852573734128499</v>
      </c>
      <c r="E72">
        <v>7.4181910594681599E-2</v>
      </c>
      <c r="F72">
        <v>0.30365450390142601</v>
      </c>
      <c r="G72" s="182">
        <v>0.158893782666262</v>
      </c>
      <c r="H72" s="182">
        <v>0.13252067218854599</v>
      </c>
      <c r="I72">
        <v>0.544489139179404</v>
      </c>
    </row>
    <row r="73" spans="1:41">
      <c r="A73">
        <v>3</v>
      </c>
      <c r="B73">
        <v>524</v>
      </c>
      <c r="C73">
        <v>0.68151324597614804</v>
      </c>
      <c r="D73">
        <v>0.43831897620238902</v>
      </c>
      <c r="E73">
        <v>0.241953490489246</v>
      </c>
      <c r="F73">
        <v>0.66612389200562705</v>
      </c>
      <c r="G73" s="182">
        <v>0.44317727309242599</v>
      </c>
      <c r="H73" s="182">
        <v>0.21056716958912999</v>
      </c>
      <c r="I73">
        <v>0.544489139179404</v>
      </c>
      <c r="M73" t="str">
        <f>N2</f>
        <v>const1</v>
      </c>
      <c r="N73" t="str">
        <f>Q2</f>
        <v>Retail1</v>
      </c>
      <c r="O73" t="str">
        <f>S2</f>
        <v>Serv1</v>
      </c>
      <c r="P73" t="str">
        <f>U2</f>
        <v>HC1</v>
      </c>
      <c r="Q73" t="str">
        <f>W2</f>
        <v>Accom1</v>
      </c>
      <c r="R73" t="str">
        <f>Y2</f>
        <v>Rest1</v>
      </c>
      <c r="S73" t="str">
        <f t="shared" ref="S73:S75" si="3">M33</f>
        <v>ag2</v>
      </c>
      <c r="T73" t="str">
        <f>O33</f>
        <v>const2</v>
      </c>
      <c r="U73" t="str">
        <f>Q33</f>
        <v>manuf2</v>
      </c>
      <c r="V73" t="str">
        <f>S33</f>
        <v>Retail2</v>
      </c>
      <c r="W73" t="str">
        <f>U33</f>
        <v>Serv2</v>
      </c>
      <c r="X73" t="str">
        <f>W33</f>
        <v>HC2</v>
      </c>
      <c r="Y73" t="str">
        <f>Y33</f>
        <v>Accom2</v>
      </c>
      <c r="Z73" t="str">
        <f>AA33</f>
        <v>Rest2</v>
      </c>
      <c r="AA73" t="str">
        <f t="shared" ref="AA73:AA75" si="4">M65</f>
        <v>ag3</v>
      </c>
      <c r="AB73" t="str">
        <f>O65</f>
        <v>util</v>
      </c>
      <c r="AC73" t="str">
        <f>Q65</f>
        <v>const3</v>
      </c>
      <c r="AD73" t="str">
        <f>T65</f>
        <v>Retail3</v>
      </c>
      <c r="AE73" t="str">
        <f>V65</f>
        <v>Serv3</v>
      </c>
      <c r="AF73" t="str">
        <f>X65</f>
        <v>HC3</v>
      </c>
      <c r="AM73" t="str">
        <f>S65</f>
        <v>manuf3</v>
      </c>
      <c r="AN73" t="str">
        <f>Z65</f>
        <v>Accom3</v>
      </c>
      <c r="AO73" t="str">
        <f>AA65</f>
        <v>Rest3</v>
      </c>
    </row>
    <row r="74" spans="1:41">
      <c r="A74">
        <v>3</v>
      </c>
      <c r="B74">
        <v>541</v>
      </c>
      <c r="C74">
        <v>13.8851146067377</v>
      </c>
      <c r="D74">
        <v>12.810617519950499</v>
      </c>
      <c r="E74">
        <v>1.1109436084345401</v>
      </c>
      <c r="F74">
        <v>25.5489071062268</v>
      </c>
      <c r="G74" s="182">
        <v>24.225301324126999</v>
      </c>
      <c r="H74" s="182">
        <v>1.95425262023213</v>
      </c>
      <c r="I74">
        <v>33.939823008849501</v>
      </c>
      <c r="L74" t="s">
        <v>647</v>
      </c>
      <c r="M74">
        <f>N3</f>
        <v>0.54878370729930304</v>
      </c>
      <c r="N74">
        <f>Q3</f>
        <v>5.5002910741837496</v>
      </c>
      <c r="O74">
        <f>S3</f>
        <v>25.246951347360337</v>
      </c>
      <c r="P74">
        <f>U3</f>
        <v>4.6121030410243602</v>
      </c>
      <c r="Q74">
        <f>W3</f>
        <v>5.0613034604395599</v>
      </c>
      <c r="R74">
        <f>Y3</f>
        <v>75.715018454597413</v>
      </c>
      <c r="S74">
        <f t="shared" si="3"/>
        <v>0.17364757844832099</v>
      </c>
      <c r="T74">
        <f>O34</f>
        <v>3.2702997321368779</v>
      </c>
      <c r="U74">
        <f>Q34</f>
        <v>2.8270180170788475</v>
      </c>
      <c r="V74">
        <f>S34</f>
        <v>24.569262812308811</v>
      </c>
      <c r="W74">
        <f>U34</f>
        <v>31.980101793885861</v>
      </c>
      <c r="X74">
        <f>W34</f>
        <v>4.6862675897368593</v>
      </c>
      <c r="Y74">
        <f>Y34</f>
        <v>4.5782976985919301</v>
      </c>
      <c r="Z74">
        <f>AA34</f>
        <v>14.3846632650405</v>
      </c>
      <c r="AA74">
        <f t="shared" si="4"/>
        <v>0.12085547500093501</v>
      </c>
      <c r="AB74">
        <f>O66</f>
        <v>9.5709498807076507E-2</v>
      </c>
      <c r="AC74">
        <f>Q66</f>
        <v>1.3440849646696329</v>
      </c>
      <c r="AD74">
        <f>T66</f>
        <v>0.12573996131252199</v>
      </c>
      <c r="AE74">
        <f>V66</f>
        <v>9.7250559278553421</v>
      </c>
      <c r="AF74">
        <f>X66</f>
        <v>1.751959172354461</v>
      </c>
      <c r="AM74">
        <f>S66</f>
        <v>0</v>
      </c>
      <c r="AN74">
        <f>Y66</f>
        <v>19.783105390184971</v>
      </c>
      <c r="AO74">
        <f>Z66</f>
        <v>0</v>
      </c>
    </row>
    <row r="75" spans="1:41">
      <c r="A75">
        <v>3</v>
      </c>
      <c r="B75">
        <v>561</v>
      </c>
      <c r="C75">
        <v>0.40681322838022599</v>
      </c>
      <c r="D75">
        <v>0.249539455332312</v>
      </c>
      <c r="E75">
        <v>0.15634056445559899</v>
      </c>
      <c r="F75">
        <v>0.55872102760762499</v>
      </c>
      <c r="G75" s="182">
        <v>0.224748899354098</v>
      </c>
      <c r="H75" s="182">
        <v>0.30110881243618398</v>
      </c>
      <c r="I75">
        <v>4.90040225261464</v>
      </c>
      <c r="L75" t="s">
        <v>430</v>
      </c>
      <c r="M75">
        <f>N4</f>
        <v>0.98119347011661195</v>
      </c>
      <c r="N75">
        <f>Q4</f>
        <v>13.728878057721126</v>
      </c>
      <c r="O75">
        <f>S4</f>
        <v>61.417501288697423</v>
      </c>
      <c r="P75">
        <f>U4</f>
        <v>28.6408738164222</v>
      </c>
      <c r="Q75">
        <f>W4</f>
        <v>3.4965090765436</v>
      </c>
      <c r="R75">
        <f>Y4</f>
        <v>161.48298570247499</v>
      </c>
      <c r="S75">
        <f t="shared" si="3"/>
        <v>0.237628525305698</v>
      </c>
      <c r="T75">
        <f>O35</f>
        <v>2.8434478677572921</v>
      </c>
      <c r="U75">
        <f>Q35</f>
        <v>1.1742362107676509</v>
      </c>
      <c r="V75">
        <f>S35</f>
        <v>18.601540621301464</v>
      </c>
      <c r="W75">
        <f>U35</f>
        <v>74.401181116886448</v>
      </c>
      <c r="X75">
        <f>W35</f>
        <v>5.1611807600793709</v>
      </c>
      <c r="Y75">
        <f>Y35</f>
        <v>17.576943334329599</v>
      </c>
      <c r="Z75">
        <f>AA35</f>
        <v>13.7549430492572</v>
      </c>
      <c r="AA75">
        <f t="shared" si="4"/>
        <v>0.266395609562115</v>
      </c>
      <c r="AB75">
        <f>O67</f>
        <v>0.101981284124756</v>
      </c>
      <c r="AC75">
        <f>Q67</f>
        <v>4.116763287834142</v>
      </c>
      <c r="AD75">
        <f>T67</f>
        <v>0.23188924209994799</v>
      </c>
      <c r="AE75">
        <f>V67</f>
        <v>39.221964850381696</v>
      </c>
      <c r="AF75">
        <f>X67</f>
        <v>5.4078007259971272</v>
      </c>
      <c r="AM75">
        <f>S67</f>
        <v>0</v>
      </c>
      <c r="AN75">
        <f>Y67</f>
        <v>0</v>
      </c>
      <c r="AO75">
        <f>Z67</f>
        <v>0</v>
      </c>
    </row>
    <row r="76" spans="1:41">
      <c r="A76">
        <v>3</v>
      </c>
      <c r="B76">
        <v>611</v>
      </c>
      <c r="C76">
        <v>13.374093005943999</v>
      </c>
      <c r="D76">
        <v>9.6264909312136595</v>
      </c>
      <c r="E76">
        <v>3.7395559298026901</v>
      </c>
      <c r="F76">
        <v>18.929717925320102</v>
      </c>
      <c r="G76" s="182">
        <v>12.244627336006401</v>
      </c>
      <c r="H76" s="182">
        <v>6.2798443820507499</v>
      </c>
      <c r="I76">
        <v>88.933226065969393</v>
      </c>
      <c r="M76">
        <f>SUM(M74:M75)</f>
        <v>1.529977177415915</v>
      </c>
      <c r="N76">
        <f t="shared" ref="N76:AF76" si="5">SUM(N74:N75)</f>
        <v>19.229169131904875</v>
      </c>
      <c r="O76">
        <f t="shared" si="5"/>
        <v>86.66445263605776</v>
      </c>
      <c r="P76">
        <f t="shared" si="5"/>
        <v>33.252976857446562</v>
      </c>
      <c r="Q76">
        <f t="shared" si="5"/>
        <v>8.5578125369831604</v>
      </c>
      <c r="R76">
        <f t="shared" si="5"/>
        <v>237.1980041570724</v>
      </c>
      <c r="S76">
        <f t="shared" si="5"/>
        <v>0.41127610375401902</v>
      </c>
      <c r="T76">
        <f t="shared" si="5"/>
        <v>6.1137475998941699</v>
      </c>
      <c r="U76">
        <f t="shared" si="5"/>
        <v>4.0012542278464984</v>
      </c>
      <c r="V76">
        <f t="shared" si="5"/>
        <v>43.170803433610274</v>
      </c>
      <c r="W76">
        <f t="shared" si="5"/>
        <v>106.38128291077231</v>
      </c>
      <c r="X76">
        <f t="shared" si="5"/>
        <v>9.8474483498162293</v>
      </c>
      <c r="Y76">
        <f t="shared" si="5"/>
        <v>22.155241032921531</v>
      </c>
      <c r="Z76">
        <f t="shared" si="5"/>
        <v>28.139606314297701</v>
      </c>
      <c r="AA76">
        <f t="shared" si="5"/>
        <v>0.38725108456305002</v>
      </c>
      <c r="AB76">
        <f t="shared" si="5"/>
        <v>0.19769078293183251</v>
      </c>
      <c r="AC76">
        <f t="shared" si="5"/>
        <v>5.4608482525037747</v>
      </c>
      <c r="AD76">
        <f t="shared" si="5"/>
        <v>0.35762920341246995</v>
      </c>
      <c r="AE76">
        <f t="shared" si="5"/>
        <v>48.947020778237039</v>
      </c>
      <c r="AF76">
        <f t="shared" si="5"/>
        <v>7.159759898351588</v>
      </c>
      <c r="AG76">
        <f>SUM(M76:AF76)</f>
        <v>669.16325246979318</v>
      </c>
    </row>
    <row r="77" spans="1:41">
      <c r="A77">
        <v>3</v>
      </c>
      <c r="B77">
        <v>623</v>
      </c>
      <c r="C77">
        <v>6.7851081511498501</v>
      </c>
      <c r="D77">
        <v>5.1339202092553604</v>
      </c>
      <c r="E77">
        <v>1.6510841841653501</v>
      </c>
      <c r="F77">
        <v>6.7688060362741203</v>
      </c>
      <c r="G77" s="182">
        <v>5.2202754912057001</v>
      </c>
      <c r="H77" s="182">
        <v>1.53239473641794</v>
      </c>
      <c r="I77">
        <v>19.057119871279099</v>
      </c>
      <c r="M77">
        <f>M76/$AG$76</f>
        <v>2.2864034624868763E-3</v>
      </c>
      <c r="N77">
        <f t="shared" ref="N77:AF77" si="6">N76/$AG$76</f>
        <v>2.8736140337851119E-2</v>
      </c>
      <c r="O77">
        <f t="shared" si="6"/>
        <v>0.12951167344618927</v>
      </c>
      <c r="P77">
        <f t="shared" si="6"/>
        <v>4.9693369644424161E-2</v>
      </c>
      <c r="Q77">
        <f t="shared" si="6"/>
        <v>1.2788826202570755E-2</v>
      </c>
      <c r="R77">
        <f t="shared" si="6"/>
        <v>0.35446956072618441</v>
      </c>
      <c r="S77">
        <f t="shared" si="6"/>
        <v>6.1461250634438347E-4</v>
      </c>
      <c r="T77">
        <f t="shared" si="6"/>
        <v>9.1364066650837968E-3</v>
      </c>
      <c r="U77">
        <f t="shared" si="6"/>
        <v>5.9794888811936361E-3</v>
      </c>
      <c r="V77">
        <f t="shared" si="6"/>
        <v>6.451460577709929E-2</v>
      </c>
      <c r="W77">
        <f t="shared" si="6"/>
        <v>0.15897657637076312</v>
      </c>
      <c r="X77">
        <f t="shared" si="6"/>
        <v>1.4716062655070489E-2</v>
      </c>
      <c r="Y77">
        <f t="shared" si="6"/>
        <v>3.3108872836560381E-2</v>
      </c>
      <c r="Z77">
        <f t="shared" si="6"/>
        <v>4.205193009394663E-2</v>
      </c>
      <c r="AA77">
        <f t="shared" si="6"/>
        <v>5.7870943022312932E-4</v>
      </c>
      <c r="AB77">
        <f t="shared" si="6"/>
        <v>2.9542982553537112E-4</v>
      </c>
      <c r="AC77">
        <f t="shared" si="6"/>
        <v>8.160711504029106E-3</v>
      </c>
      <c r="AD77">
        <f t="shared" si="6"/>
        <v>5.3444238321890484E-4</v>
      </c>
      <c r="AE77">
        <f t="shared" si="6"/>
        <v>7.314660600022499E-2</v>
      </c>
      <c r="AF77">
        <f t="shared" si="6"/>
        <v>1.0699571251000201E-2</v>
      </c>
      <c r="AG77">
        <f>SUM(M77:AF77)</f>
        <v>0.99999999999999989</v>
      </c>
    </row>
    <row r="78" spans="1:41">
      <c r="A78">
        <v>3</v>
      </c>
      <c r="B78">
        <v>624</v>
      </c>
      <c r="C78">
        <v>0.35739452951305101</v>
      </c>
      <c r="D78">
        <v>0.29946957883282199</v>
      </c>
      <c r="E78">
        <v>5.8381575473742897E-2</v>
      </c>
      <c r="F78">
        <v>0.43017678943704601</v>
      </c>
      <c r="G78" s="182">
        <v>0.18752523479142699</v>
      </c>
      <c r="H78" s="182">
        <v>0.219564435936521</v>
      </c>
      <c r="I78">
        <v>0.72598551890587204</v>
      </c>
      <c r="M78">
        <f>M77*0.6*Taxes!$C$44</f>
        <v>4.8014472712224396</v>
      </c>
      <c r="N78">
        <f>N77*0.6*Taxes!$C$44</f>
        <v>60.345894709487347</v>
      </c>
      <c r="O78">
        <f>O77*0.6*Taxes!$C$44</f>
        <v>271.97451423699749</v>
      </c>
      <c r="P78">
        <f>P77*0.6*Taxes!$C$44</f>
        <v>104.35607625329074</v>
      </c>
      <c r="Q78">
        <f>Q77*0.6*Taxes!$C$44</f>
        <v>26.856535025398586</v>
      </c>
      <c r="R78">
        <f>R77*0.6*Taxes!$C$44</f>
        <v>744.38607752498729</v>
      </c>
      <c r="S78">
        <f>S77*0.6*Taxes!$C$44</f>
        <v>1.2906862633232052</v>
      </c>
      <c r="T78">
        <f>T77*0.6*Taxes!$C$44</f>
        <v>19.186453996675972</v>
      </c>
      <c r="U78">
        <f>U77*0.6*Taxes!$C$44</f>
        <v>12.556926650506634</v>
      </c>
      <c r="V78">
        <f>V77*0.6*Taxes!$C$44</f>
        <v>135.48067213190851</v>
      </c>
      <c r="W78">
        <f>W77*0.6*Taxes!$C$44</f>
        <v>333.85081037860255</v>
      </c>
      <c r="X78">
        <f>X77*0.6*Taxes!$C$44</f>
        <v>30.903731575648028</v>
      </c>
      <c r="Y78">
        <f>Y77*0.6*Taxes!$C$44</f>
        <v>69.528632956776804</v>
      </c>
      <c r="Z78">
        <f>Z77*0.6*Taxes!$C$44</f>
        <v>88.309053197287923</v>
      </c>
      <c r="AA78">
        <f>AA77*0.6*Taxes!$C$44</f>
        <v>1.2152898034685715</v>
      </c>
      <c r="AB78">
        <f>AB77*0.6*Taxes!$C$44</f>
        <v>0.62040263362427939</v>
      </c>
      <c r="AC78">
        <f>AC77*0.6*Taxes!$C$44</f>
        <v>17.137494158461124</v>
      </c>
      <c r="AD78">
        <f>AD77*0.6*Taxes!$C$44</f>
        <v>1.1223290047597001</v>
      </c>
      <c r="AE78">
        <f>AE77*0.6*Taxes!$C$44</f>
        <v>153.60787260047246</v>
      </c>
      <c r="AF78">
        <f>AF77*0.6*Taxes!$C$44</f>
        <v>22.46909962710042</v>
      </c>
      <c r="AG78">
        <f>SUM(M78:AF78)</f>
        <v>2100</v>
      </c>
    </row>
    <row r="79" spans="1:41">
      <c r="A79">
        <v>3</v>
      </c>
      <c r="B79">
        <v>721</v>
      </c>
      <c r="C79">
        <v>2.9012121532867099E-2</v>
      </c>
      <c r="D79">
        <v>0</v>
      </c>
      <c r="E79">
        <v>0</v>
      </c>
      <c r="F79">
        <v>2.8356994416349299E-2</v>
      </c>
      <c r="G79" s="182">
        <v>0</v>
      </c>
      <c r="H79" s="182">
        <v>0</v>
      </c>
      <c r="I79">
        <v>22.1425583266291</v>
      </c>
    </row>
    <row r="80" spans="1:41">
      <c r="A80">
        <v>3</v>
      </c>
      <c r="B80">
        <v>813</v>
      </c>
      <c r="C80">
        <v>1.75450840793881</v>
      </c>
      <c r="D80">
        <v>1.39178437393472</v>
      </c>
      <c r="E80">
        <v>0.36371915855126202</v>
      </c>
      <c r="F80">
        <v>1.71488958747795</v>
      </c>
      <c r="G80" s="182">
        <v>1.4072108146379601</v>
      </c>
      <c r="H80" s="182">
        <v>0.31653733776113202</v>
      </c>
      <c r="I80">
        <v>23.231536604987902</v>
      </c>
    </row>
    <row r="81" spans="1:23">
      <c r="A81">
        <v>3</v>
      </c>
      <c r="B81">
        <v>814</v>
      </c>
      <c r="C81">
        <v>0.61611319436481204</v>
      </c>
      <c r="D81">
        <v>0.43881985986358202</v>
      </c>
      <c r="E81">
        <v>0.17684869674786499</v>
      </c>
      <c r="F81">
        <v>1.0145694851970799</v>
      </c>
      <c r="G81" s="182">
        <v>0.51800542049754705</v>
      </c>
      <c r="H81" s="182">
        <v>0.45369608787131999</v>
      </c>
      <c r="I81">
        <v>21.598069187449699</v>
      </c>
      <c r="M81">
        <f>SUM(M74:R75)</f>
        <v>386.43239249688065</v>
      </c>
      <c r="N81">
        <f>SUM(S74:Z75)</f>
        <v>220.2206599729127</v>
      </c>
      <c r="O81">
        <f>SUM(AA74:AF75)</f>
        <v>62.510199999999756</v>
      </c>
      <c r="P81">
        <f>SUM(M81:O81)</f>
        <v>669.16325246979306</v>
      </c>
    </row>
    <row r="82" spans="1:23">
      <c r="M82">
        <f>M81/$P$81</f>
        <v>0.57748597381970668</v>
      </c>
      <c r="N82">
        <f>N81/$P$81</f>
        <v>0.32909855578606173</v>
      </c>
      <c r="O82">
        <f>O81/$P$81</f>
        <v>9.3415470394231717E-2</v>
      </c>
      <c r="P82">
        <f>SUM(M82:O82)</f>
        <v>1.0000000000000002</v>
      </c>
      <c r="S82" t="str">
        <f>S73</f>
        <v>ag2</v>
      </c>
      <c r="T82" t="str">
        <f>AA73</f>
        <v>ag3</v>
      </c>
      <c r="W82" s="12" t="s">
        <v>625</v>
      </c>
    </row>
    <row r="83" spans="1:23">
      <c r="G83" s="182">
        <f>SUM(G2:G82)</f>
        <v>453.32637399999913</v>
      </c>
      <c r="H83" s="182">
        <f>SUM(H2:H82)</f>
        <v>212.99303699999973</v>
      </c>
      <c r="S83">
        <f>S74</f>
        <v>0.17364757844832099</v>
      </c>
      <c r="T83">
        <f>AA74</f>
        <v>0.12085547500093501</v>
      </c>
    </row>
    <row r="84" spans="1:23">
      <c r="M84" t="str">
        <f>M73</f>
        <v>const1</v>
      </c>
      <c r="N84" t="str">
        <f>T73</f>
        <v>const2</v>
      </c>
      <c r="O84" t="str">
        <f>AC73</f>
        <v>const3</v>
      </c>
      <c r="S84">
        <f>S75</f>
        <v>0.237628525305698</v>
      </c>
      <c r="T84">
        <f>AA75</f>
        <v>0.266395609562115</v>
      </c>
      <c r="U84">
        <f>SUM(S84:T84)</f>
        <v>0.50402413486781295</v>
      </c>
    </row>
    <row r="85" spans="1:23">
      <c r="M85">
        <f>M74</f>
        <v>0.54878370729930304</v>
      </c>
      <c r="N85">
        <f>T74</f>
        <v>3.2702997321368779</v>
      </c>
      <c r="O85">
        <f>AC74</f>
        <v>1.3440849646696329</v>
      </c>
      <c r="S85">
        <f>SUM(S84)</f>
        <v>0.237628525305698</v>
      </c>
      <c r="T85">
        <f>SUM(T84)</f>
        <v>0.266395609562115</v>
      </c>
      <c r="U85">
        <f>SUM(S85:T85)</f>
        <v>0.50402413486781295</v>
      </c>
    </row>
    <row r="86" spans="1:23">
      <c r="M86">
        <f>M75</f>
        <v>0.98119347011661195</v>
      </c>
      <c r="N86">
        <f>T75</f>
        <v>2.8434478677572921</v>
      </c>
      <c r="O86">
        <f>AC75</f>
        <v>4.116763287834142</v>
      </c>
      <c r="S86">
        <f>S85/$U$85</f>
        <v>0.4714625924967249</v>
      </c>
      <c r="T86">
        <f>T85/$U$85</f>
        <v>0.52853740750327527</v>
      </c>
      <c r="U86">
        <f>SUM(S86:T86)</f>
        <v>1.0000000000000002</v>
      </c>
    </row>
    <row r="87" spans="1:23">
      <c r="M87">
        <f>SUM(M85:M86)</f>
        <v>1.529977177415915</v>
      </c>
      <c r="N87">
        <f>SUM(N85:N86)</f>
        <v>6.1137475998941699</v>
      </c>
      <c r="O87">
        <f>SUM(O85:O86)</f>
        <v>5.4608482525037747</v>
      </c>
      <c r="P87">
        <f>SUM(M87:O87)</f>
        <v>13.10457302981386</v>
      </c>
    </row>
    <row r="88" spans="1:23">
      <c r="A88" t="s">
        <v>618</v>
      </c>
      <c r="B88" t="s">
        <v>423</v>
      </c>
      <c r="C88" t="s">
        <v>424</v>
      </c>
      <c r="D88" t="s">
        <v>425</v>
      </c>
      <c r="E88" t="s">
        <v>426</v>
      </c>
      <c r="F88" t="s">
        <v>427</v>
      </c>
      <c r="G88" t="s">
        <v>428</v>
      </c>
      <c r="M88">
        <f>M87/$P87</f>
        <v>0.1167513946417869</v>
      </c>
      <c r="N88">
        <f>N87/$P87</f>
        <v>0.46653542896704442</v>
      </c>
      <c r="O88">
        <f>O87/$P87</f>
        <v>0.41671317639116867</v>
      </c>
      <c r="P88">
        <f>SUM(M88:O88)</f>
        <v>1</v>
      </c>
    </row>
    <row r="89" spans="1:23">
      <c r="A89">
        <v>1</v>
      </c>
      <c r="B89" s="191">
        <v>324136183</v>
      </c>
      <c r="C89" s="191">
        <v>152299770</v>
      </c>
      <c r="D89" s="191">
        <v>171646708</v>
      </c>
      <c r="E89" s="191">
        <v>480639815</v>
      </c>
      <c r="F89" s="191">
        <v>173976470</v>
      </c>
      <c r="G89" s="191">
        <v>306438158</v>
      </c>
    </row>
    <row r="90" spans="1:23">
      <c r="A90">
        <v>2</v>
      </c>
      <c r="B90" s="191">
        <v>147824639</v>
      </c>
      <c r="C90" s="191">
        <v>89677353</v>
      </c>
      <c r="D90" s="191">
        <v>57244740</v>
      </c>
      <c r="E90" s="191">
        <v>215470315</v>
      </c>
      <c r="F90" s="191">
        <v>99378201</v>
      </c>
      <c r="G90" s="191">
        <v>115126750</v>
      </c>
      <c r="M90" t="str">
        <f>N73</f>
        <v>Retail1</v>
      </c>
      <c r="N90" t="str">
        <f>V73</f>
        <v>Retail2</v>
      </c>
      <c r="O90" t="str">
        <f>AD73</f>
        <v>Retail3</v>
      </c>
    </row>
    <row r="91" spans="1:23">
      <c r="A91">
        <v>3</v>
      </c>
      <c r="B91" s="191">
        <v>120162142</v>
      </c>
      <c r="C91" s="191">
        <v>82239464</v>
      </c>
      <c r="D91" s="191">
        <v>34429757</v>
      </c>
      <c r="E91" s="191">
        <v>172623619</v>
      </c>
      <c r="F91" s="191">
        <v>94277376</v>
      </c>
      <c r="G91" s="191">
        <v>74557543</v>
      </c>
      <c r="M91">
        <f>N74</f>
        <v>5.5002910741837496</v>
      </c>
      <c r="N91">
        <f>V74</f>
        <v>24.569262812308811</v>
      </c>
      <c r="O91">
        <f>AD74</f>
        <v>0.12573996131252199</v>
      </c>
    </row>
    <row r="92" spans="1:23">
      <c r="M92">
        <f>N75</f>
        <v>13.728878057721126</v>
      </c>
      <c r="N92">
        <f>V75</f>
        <v>18.601540621301464</v>
      </c>
      <c r="O92">
        <f>AD75</f>
        <v>0.23188924209994799</v>
      </c>
    </row>
    <row r="93" spans="1:23">
      <c r="F93">
        <f>F89/1000</f>
        <v>173976.47</v>
      </c>
      <c r="G93">
        <f>G89/1000</f>
        <v>306438.158</v>
      </c>
      <c r="M93">
        <f>SUM(M91:M92)</f>
        <v>19.229169131904875</v>
      </c>
      <c r="N93">
        <f>SUM(N91:N92)</f>
        <v>43.170803433610274</v>
      </c>
      <c r="O93">
        <f>SUM(O91:O92)</f>
        <v>0.35762920341246995</v>
      </c>
      <c r="P93">
        <f>SUM(M93:O93)</f>
        <v>62.757601768927621</v>
      </c>
    </row>
    <row r="94" spans="1:23">
      <c r="C94" s="12" t="s">
        <v>692</v>
      </c>
      <c r="D94" s="12" t="s">
        <v>693</v>
      </c>
      <c r="E94" s="12" t="s">
        <v>694</v>
      </c>
      <c r="F94">
        <f t="shared" ref="F94:G95" si="7">F90/1000</f>
        <v>99378.201000000001</v>
      </c>
      <c r="G94">
        <f t="shared" si="7"/>
        <v>115126.75</v>
      </c>
      <c r="M94">
        <f>M93/$P93</f>
        <v>0.30640382343968997</v>
      </c>
      <c r="N94">
        <f>N93/$P93</f>
        <v>0.68789759673361017</v>
      </c>
      <c r="O94">
        <f>O93/$P93</f>
        <v>5.698579826699789E-3</v>
      </c>
      <c r="P94">
        <f>SUM(M94:O94)</f>
        <v>0.99999999999999989</v>
      </c>
    </row>
    <row r="95" spans="1:23">
      <c r="B95" s="12" t="s">
        <v>647</v>
      </c>
      <c r="C95" s="192">
        <f>G93</f>
        <v>306438.158</v>
      </c>
      <c r="D95" s="192">
        <f>G94</f>
        <v>115126.75</v>
      </c>
      <c r="E95" s="192">
        <f>G95</f>
        <v>74557.543000000005</v>
      </c>
      <c r="F95">
        <f t="shared" si="7"/>
        <v>94277.376000000004</v>
      </c>
      <c r="G95">
        <f t="shared" si="7"/>
        <v>74557.543000000005</v>
      </c>
    </row>
    <row r="96" spans="1:23">
      <c r="B96" s="12" t="s">
        <v>695</v>
      </c>
      <c r="C96" s="192">
        <f>F93</f>
        <v>173976.47</v>
      </c>
      <c r="D96" s="192">
        <f>F94</f>
        <v>99378.201000000001</v>
      </c>
      <c r="E96" s="192">
        <f>F95</f>
        <v>94277.376000000004</v>
      </c>
      <c r="M96" t="str">
        <f>O73</f>
        <v>Serv1</v>
      </c>
      <c r="N96" t="str">
        <f>W73</f>
        <v>Serv2</v>
      </c>
      <c r="O96" t="str">
        <f>AE73</f>
        <v>Serv3</v>
      </c>
    </row>
    <row r="97" spans="1:16">
      <c r="M97">
        <f>O74</f>
        <v>25.246951347360337</v>
      </c>
      <c r="N97">
        <f>W74</f>
        <v>31.980101793885861</v>
      </c>
      <c r="O97">
        <f>AE74</f>
        <v>9.7250559278553421</v>
      </c>
    </row>
    <row r="98" spans="1:16">
      <c r="C98">
        <f>0.1*C95</f>
        <v>30643.8158</v>
      </c>
      <c r="D98">
        <f t="shared" ref="D98:E98" si="8">0.1*D95</f>
        <v>11512.675000000001</v>
      </c>
      <c r="E98">
        <f t="shared" si="8"/>
        <v>7455.7543000000005</v>
      </c>
      <c r="M98">
        <f>O75</f>
        <v>61.417501288697423</v>
      </c>
      <c r="N98">
        <f>W75</f>
        <v>74.401181116886448</v>
      </c>
      <c r="O98">
        <f>AE75</f>
        <v>39.221964850381696</v>
      </c>
    </row>
    <row r="99" spans="1:16">
      <c r="C99">
        <f>0.1*C96</f>
        <v>17397.647000000001</v>
      </c>
      <c r="D99">
        <f t="shared" ref="D99:E99" si="9">0.1*D96</f>
        <v>9937.8201000000008</v>
      </c>
      <c r="E99">
        <f t="shared" si="9"/>
        <v>9427.7376000000004</v>
      </c>
      <c r="M99">
        <f>SUM(M97:M98)</f>
        <v>86.66445263605776</v>
      </c>
      <c r="N99">
        <f>SUM(N97:N98)</f>
        <v>106.38128291077231</v>
      </c>
      <c r="O99">
        <f>SUM(O97:O98)</f>
        <v>48.947020778237039</v>
      </c>
      <c r="P99">
        <f>SUM(M99:O99)</f>
        <v>241.99275632506712</v>
      </c>
    </row>
    <row r="100" spans="1:16">
      <c r="M100">
        <f>M99/$P99</f>
        <v>0.35812829256608836</v>
      </c>
      <c r="N100">
        <f>N99/$P99</f>
        <v>0.43960523664547674</v>
      </c>
      <c r="O100">
        <f>O99/$P99</f>
        <v>0.20226647078843493</v>
      </c>
      <c r="P100">
        <f>SUM(M100:O100)</f>
        <v>1</v>
      </c>
    </row>
    <row r="102" spans="1:16">
      <c r="A102" s="12" t="s">
        <v>1</v>
      </c>
      <c r="B102">
        <f>'Seaside SAM'!Y33</f>
        <v>659.45437526326043</v>
      </c>
      <c r="C102">
        <f>'Seaside SAM'!Z33</f>
        <v>0</v>
      </c>
      <c r="D102">
        <f>'Seaside SAM'!AA33</f>
        <v>0</v>
      </c>
      <c r="E102">
        <f>'Seaside SAM'!AB33</f>
        <v>0</v>
      </c>
      <c r="F102">
        <f>'Seaside SAM'!AC33</f>
        <v>0</v>
      </c>
      <c r="G102" s="182">
        <f>SUM(B102:F102)</f>
        <v>659.45437526326043</v>
      </c>
      <c r="H102" s="182">
        <f>G102/$G$108</f>
        <v>4.3622119021116124E-3</v>
      </c>
      <c r="M102" t="str">
        <f>P73</f>
        <v>HC1</v>
      </c>
      <c r="N102" t="str">
        <f>X73</f>
        <v>HC2</v>
      </c>
      <c r="O102" t="str">
        <f>AF73</f>
        <v>HC3</v>
      </c>
    </row>
    <row r="103" spans="1:16">
      <c r="A103" s="12" t="s">
        <v>2</v>
      </c>
      <c r="B103">
        <f>'Seaside SAM'!Y34</f>
        <v>1097.2888375282121</v>
      </c>
      <c r="C103">
        <f>'Seaside SAM'!Z34</f>
        <v>6812.7895286628254</v>
      </c>
      <c r="D103">
        <f>'Seaside SAM'!AA34</f>
        <v>0</v>
      </c>
      <c r="E103">
        <f>'Seaside SAM'!AB34</f>
        <v>0</v>
      </c>
      <c r="F103">
        <f>'Seaside SAM'!AC34</f>
        <v>0</v>
      </c>
      <c r="G103" s="182">
        <f>SUM(B103:F103)</f>
        <v>7910.0783661910373</v>
      </c>
      <c r="H103" s="182">
        <f t="shared" ref="H103:H106" si="10">G103/$G$108</f>
        <v>5.2324223312430404E-2</v>
      </c>
      <c r="M103">
        <f>P74</f>
        <v>4.6121030410243602</v>
      </c>
      <c r="N103">
        <f>X74</f>
        <v>4.6862675897368593</v>
      </c>
      <c r="O103">
        <f>AF74</f>
        <v>1.751959172354461</v>
      </c>
    </row>
    <row r="104" spans="1:16">
      <c r="A104" s="12" t="s">
        <v>3</v>
      </c>
      <c r="B104">
        <f>'Seaside SAM'!Y35</f>
        <v>2227.0098574464205</v>
      </c>
      <c r="C104">
        <f>'Seaside SAM'!Z35</f>
        <v>10754.637650598173</v>
      </c>
      <c r="D104">
        <f>'Seaside SAM'!AA35</f>
        <v>24856.600142261341</v>
      </c>
      <c r="E104">
        <f>'Seaside SAM'!AB35</f>
        <v>0</v>
      </c>
      <c r="F104">
        <f>'Seaside SAM'!AC35</f>
        <v>0</v>
      </c>
      <c r="G104" s="182">
        <f>SUM(B104:F104)</f>
        <v>37838.247650305937</v>
      </c>
      <c r="H104" s="182">
        <f t="shared" si="10"/>
        <v>0.25029548737062879</v>
      </c>
      <c r="M104">
        <f>P75</f>
        <v>28.6408738164222</v>
      </c>
      <c r="N104">
        <f>X75</f>
        <v>5.1611807600793709</v>
      </c>
      <c r="O104">
        <f>AF75</f>
        <v>5.4078007259971272</v>
      </c>
    </row>
    <row r="105" spans="1:16">
      <c r="A105" s="12" t="s">
        <v>4</v>
      </c>
      <c r="B105">
        <f>'Seaside SAM'!Y36</f>
        <v>745.94019496991757</v>
      </c>
      <c r="C105">
        <f>'Seaside SAM'!Z36</f>
        <v>2369.6659230131563</v>
      </c>
      <c r="D105">
        <f>'Seaside SAM'!AA36</f>
        <v>13778.190341028758</v>
      </c>
      <c r="E105">
        <f>'Seaside SAM'!AB36</f>
        <v>6470.5429584313733</v>
      </c>
      <c r="F105">
        <f>'Seaside SAM'!AC36</f>
        <v>0</v>
      </c>
      <c r="G105" s="182">
        <f>SUM(B105:F105)</f>
        <v>23364.339417443203</v>
      </c>
      <c r="H105" s="182">
        <f t="shared" si="10"/>
        <v>0.15455231372308165</v>
      </c>
      <c r="M105">
        <f>SUM(M103:M104)</f>
        <v>33.252976857446562</v>
      </c>
      <c r="N105">
        <f>SUM(N103:N104)</f>
        <v>9.8474483498162293</v>
      </c>
      <c r="O105">
        <f>SUM(O103:O104)</f>
        <v>7.159759898351588</v>
      </c>
      <c r="P105">
        <f>SUM(M105:O105)</f>
        <v>50.260185105614376</v>
      </c>
    </row>
    <row r="106" spans="1:16">
      <c r="A106" s="12" t="s">
        <v>5</v>
      </c>
      <c r="B106">
        <f>'Seaside SAM'!Y37</f>
        <v>1135.1263836498747</v>
      </c>
      <c r="C106">
        <f>'Seaside SAM'!Z37</f>
        <v>4351.9826086107005</v>
      </c>
      <c r="D106">
        <f>'Seaside SAM'!AA37</f>
        <v>20527.641690519198</v>
      </c>
      <c r="E106">
        <f>'Seaside SAM'!AB37</f>
        <v>18279.283857568629</v>
      </c>
      <c r="F106">
        <f>'Seaside SAM'!AC37</f>
        <v>37108.155853957272</v>
      </c>
      <c r="G106" s="182">
        <f>SUM(B106:F106)</f>
        <v>81402.190394305682</v>
      </c>
      <c r="H106" s="182">
        <f t="shared" si="10"/>
        <v>0.53846576369174759</v>
      </c>
      <c r="M106">
        <f>M105/$P105</f>
        <v>0.66161668102833937</v>
      </c>
      <c r="N106">
        <f>N105/$P105</f>
        <v>0.19592940871831782</v>
      </c>
      <c r="O106">
        <f>O105/$P105</f>
        <v>0.14245391025334284</v>
      </c>
      <c r="P106">
        <f>SUM(M106:O106)</f>
        <v>1</v>
      </c>
    </row>
    <row r="107" spans="1:16">
      <c r="H107" s="182">
        <f>SUM(H102:H106)</f>
        <v>1</v>
      </c>
    </row>
    <row r="108" spans="1:16">
      <c r="G108" s="182">
        <f>SUM(G102:G107)</f>
        <v>151174.31020350911</v>
      </c>
      <c r="M108" t="str">
        <f>Q73</f>
        <v>Accom1</v>
      </c>
      <c r="N108" t="str">
        <f>Y73</f>
        <v>Accom2</v>
      </c>
    </row>
    <row r="109" spans="1:16">
      <c r="B109" s="12" t="s">
        <v>1</v>
      </c>
      <c r="C109" s="12" t="s">
        <v>2</v>
      </c>
      <c r="D109" s="12" t="s">
        <v>3</v>
      </c>
      <c r="E109" s="12" t="s">
        <v>4</v>
      </c>
      <c r="F109" s="12" t="s">
        <v>5</v>
      </c>
      <c r="M109">
        <f>Q74</f>
        <v>5.0613034604395599</v>
      </c>
      <c r="N109">
        <f>Y74</f>
        <v>4.5782976985919301</v>
      </c>
    </row>
    <row r="110" spans="1:16">
      <c r="A110" s="12" t="s">
        <v>696</v>
      </c>
      <c r="B110">
        <f>G102</f>
        <v>659.45437526326043</v>
      </c>
      <c r="C110">
        <f>G103</f>
        <v>7910.0783661910373</v>
      </c>
      <c r="D110">
        <f>G104</f>
        <v>37838.247650305937</v>
      </c>
      <c r="E110">
        <f>G105</f>
        <v>23364.339417443203</v>
      </c>
      <c r="F110">
        <f>G106</f>
        <v>81402.190394305682</v>
      </c>
      <c r="M110">
        <f>Q75</f>
        <v>3.4965090765436</v>
      </c>
      <c r="N110">
        <f>Y75</f>
        <v>17.576943334329599</v>
      </c>
    </row>
    <row r="111" spans="1:16">
      <c r="B111">
        <f>B110/1000</f>
        <v>0.65945437526326045</v>
      </c>
      <c r="C111">
        <f>C110/1000</f>
        <v>7.910078366191037</v>
      </c>
      <c r="D111">
        <f>D110/1000</f>
        <v>37.838247650305938</v>
      </c>
      <c r="E111">
        <f>E110/1000</f>
        <v>23.364339417443205</v>
      </c>
      <c r="F111">
        <f>F110/1000</f>
        <v>81.402190394305677</v>
      </c>
      <c r="M111">
        <f>SUM(M109:M110)</f>
        <v>8.5578125369831604</v>
      </c>
      <c r="N111">
        <f>SUM(N109:N110)</f>
        <v>22.155241032921531</v>
      </c>
      <c r="O111">
        <f>SUM(M111:N111)</f>
        <v>30.713053569904691</v>
      </c>
    </row>
    <row r="112" spans="1:16">
      <c r="M112">
        <f>M111/O111</f>
        <v>0.27863763261132868</v>
      </c>
      <c r="N112">
        <f>N111/O111</f>
        <v>0.72136236738867132</v>
      </c>
      <c r="O112">
        <f>SUM(M112:N112)</f>
        <v>1</v>
      </c>
    </row>
    <row r="113" spans="1:15">
      <c r="B113">
        <f>H102</f>
        <v>4.3622119021116124E-3</v>
      </c>
      <c r="C113">
        <f>H103</f>
        <v>5.2324223312430404E-2</v>
      </c>
      <c r="D113">
        <f>H104</f>
        <v>0.25029548737062879</v>
      </c>
      <c r="E113">
        <f>H105</f>
        <v>0.15455231372308165</v>
      </c>
      <c r="F113">
        <f>H106</f>
        <v>0.53846576369174759</v>
      </c>
    </row>
    <row r="114" spans="1:15">
      <c r="A114" s="12" t="s">
        <v>692</v>
      </c>
      <c r="B114">
        <f>B113*$B$128</f>
        <v>209.56704082101228</v>
      </c>
      <c r="C114">
        <f>C113*$B$128</f>
        <v>2513.7322278030183</v>
      </c>
      <c r="D114">
        <f>D113*$B$128</f>
        <v>12024.561345523933</v>
      </c>
      <c r="E114">
        <f>E113*$B$128</f>
        <v>7424.919230381357</v>
      </c>
      <c r="F114">
        <f>F113*$B$128</f>
        <v>25868.682955470682</v>
      </c>
      <c r="G114" s="182">
        <f>SUM(B114:F114)</f>
        <v>48041.462800000001</v>
      </c>
      <c r="M114" t="str">
        <f>R73</f>
        <v>Rest1</v>
      </c>
      <c r="N114" t="str">
        <f>Z73</f>
        <v>Rest2</v>
      </c>
    </row>
    <row r="115" spans="1:15">
      <c r="A115" s="12" t="s">
        <v>693</v>
      </c>
      <c r="B115">
        <f>B113*$C$128</f>
        <v>93.571605031406818</v>
      </c>
      <c r="C115">
        <f>C113*$C$128</f>
        <v>1122.3804957745942</v>
      </c>
      <c r="D115">
        <f>D113*$C$128</f>
        <v>5368.9621253957848</v>
      </c>
      <c r="E115">
        <f>E113*$C$128</f>
        <v>3315.2236482106255</v>
      </c>
      <c r="F115">
        <f>F113*$C$128</f>
        <v>11550.35722558759</v>
      </c>
      <c r="G115" s="182">
        <f>SUM(B115:F115)</f>
        <v>21450.4951</v>
      </c>
      <c r="M115">
        <f>R74</f>
        <v>75.715018454597413</v>
      </c>
      <c r="N115">
        <f>Z74</f>
        <v>14.3846632650405</v>
      </c>
    </row>
    <row r="116" spans="1:15">
      <c r="A116" s="12" t="s">
        <v>694</v>
      </c>
      <c r="B116">
        <f>B113*$D$128</f>
        <v>73.649369315385002</v>
      </c>
      <c r="C116">
        <f>C113*$D$128</f>
        <v>883.41560046920995</v>
      </c>
      <c r="D116">
        <f>D113*$D$128</f>
        <v>4225.8618336285635</v>
      </c>
      <c r="E116">
        <f>E113*$D$128</f>
        <v>2609.3827368699081</v>
      </c>
      <c r="F116">
        <f>F113*$D$128</f>
        <v>9091.182359716935</v>
      </c>
      <c r="G116" s="182">
        <f>SUM(B116:F116)</f>
        <v>16883.491900000001</v>
      </c>
      <c r="M116">
        <f>R75</f>
        <v>161.48298570247499</v>
      </c>
      <c r="N116">
        <f>Z75</f>
        <v>13.7549430492572</v>
      </c>
    </row>
    <row r="117" spans="1:15">
      <c r="M117">
        <f>SUM(M115:M116)</f>
        <v>237.1980041570724</v>
      </c>
      <c r="N117">
        <f>SUM(N115:N116)</f>
        <v>28.139606314297701</v>
      </c>
      <c r="O117">
        <f>SUM(M117:N117)</f>
        <v>265.33761047137011</v>
      </c>
    </row>
    <row r="118" spans="1:15">
      <c r="A118" s="12" t="s">
        <v>692</v>
      </c>
      <c r="B118">
        <f>B114</f>
        <v>209.56704082101228</v>
      </c>
      <c r="C118">
        <f t="shared" ref="C118:F118" si="11">C114</f>
        <v>2513.7322278030183</v>
      </c>
      <c r="D118">
        <f t="shared" si="11"/>
        <v>12024.561345523933</v>
      </c>
      <c r="E118">
        <f t="shared" si="11"/>
        <v>7424.919230381357</v>
      </c>
      <c r="F118">
        <f t="shared" si="11"/>
        <v>25868.682955470682</v>
      </c>
      <c r="M118">
        <f>M117/O117</f>
        <v>0.89394791690364617</v>
      </c>
      <c r="N118">
        <f>N117/O117</f>
        <v>0.10605208309635381</v>
      </c>
      <c r="O118">
        <f>SUM(M118:N118)</f>
        <v>1</v>
      </c>
    </row>
    <row r="119" spans="1:15">
      <c r="A119" s="12" t="s">
        <v>693</v>
      </c>
      <c r="B119">
        <f t="shared" ref="B119:F120" si="12">B115</f>
        <v>93.571605031406818</v>
      </c>
      <c r="C119">
        <f t="shared" si="12"/>
        <v>1122.3804957745942</v>
      </c>
      <c r="D119">
        <f t="shared" si="12"/>
        <v>5368.9621253957848</v>
      </c>
      <c r="E119">
        <f t="shared" si="12"/>
        <v>3315.2236482106255</v>
      </c>
      <c r="F119">
        <f t="shared" si="12"/>
        <v>11550.35722558759</v>
      </c>
    </row>
    <row r="120" spans="1:15">
      <c r="A120" s="12" t="s">
        <v>694</v>
      </c>
      <c r="B120">
        <f t="shared" si="12"/>
        <v>73.649369315385002</v>
      </c>
      <c r="C120">
        <f t="shared" si="12"/>
        <v>883.41560046920995</v>
      </c>
      <c r="D120">
        <f t="shared" si="12"/>
        <v>4225.8618336285635</v>
      </c>
      <c r="E120">
        <f t="shared" si="12"/>
        <v>2609.3827368699081</v>
      </c>
      <c r="F120">
        <f t="shared" si="12"/>
        <v>9091.182359716935</v>
      </c>
    </row>
    <row r="121" spans="1:15">
      <c r="B121">
        <f>SUM(B118:B120)</f>
        <v>376.78801516780413</v>
      </c>
      <c r="C121">
        <f>SUM(C118:C120)</f>
        <v>4519.5283240468225</v>
      </c>
      <c r="D121">
        <f>SUM(D118:D120)</f>
        <v>21619.385304548283</v>
      </c>
      <c r="E121">
        <f>SUM(E118:E120)</f>
        <v>13349.525615461889</v>
      </c>
      <c r="F121">
        <f>SUM(F118:F120)</f>
        <v>46510.222540775205</v>
      </c>
      <c r="G121" s="182">
        <f>SUM(B121:F121)</f>
        <v>86375.449800000002</v>
      </c>
    </row>
    <row r="122" spans="1:15">
      <c r="B122">
        <f>B121/$G$121</f>
        <v>4.3622119021116124E-3</v>
      </c>
      <c r="C122">
        <f t="shared" ref="C122:F122" si="13">C121/$G$121</f>
        <v>5.2324223312430404E-2</v>
      </c>
      <c r="D122">
        <f t="shared" si="13"/>
        <v>0.25029548737062879</v>
      </c>
      <c r="E122">
        <f t="shared" si="13"/>
        <v>0.15455231372308165</v>
      </c>
      <c r="F122">
        <f t="shared" si="13"/>
        <v>0.53846576369174759</v>
      </c>
      <c r="G122" s="182">
        <f>SUM(B122:F122)</f>
        <v>1</v>
      </c>
    </row>
    <row r="123" spans="1:15">
      <c r="A123" s="12" t="s">
        <v>786</v>
      </c>
      <c r="B123">
        <f>0.4*Taxes!$C$44*'kap land'!B122</f>
        <v>6.1070966629562573</v>
      </c>
      <c r="C123">
        <f>0.4*Taxes!$C$44*'kap land'!C122</f>
        <v>73.253912637402564</v>
      </c>
      <c r="D123">
        <f>0.4*Taxes!$C$44*'kap land'!D122</f>
        <v>350.41368231888032</v>
      </c>
      <c r="E123">
        <f>0.4*Taxes!$C$44*'kap land'!E122</f>
        <v>216.3732392123143</v>
      </c>
      <c r="F123">
        <f>0.4*Taxes!$C$44*'kap land'!F122</f>
        <v>753.85206916844663</v>
      </c>
      <c r="G123" s="182">
        <f>SUM(B123:F123)</f>
        <v>1400</v>
      </c>
    </row>
    <row r="127" spans="1:15">
      <c r="B127" s="12" t="s">
        <v>692</v>
      </c>
      <c r="C127" s="12" t="s">
        <v>693</v>
      </c>
      <c r="D127" s="12" t="s">
        <v>694</v>
      </c>
    </row>
    <row r="128" spans="1:15">
      <c r="B128">
        <f>SUM(C98:C99)</f>
        <v>48041.462800000001</v>
      </c>
      <c r="C128">
        <f>SUM(D98:D99)</f>
        <v>21450.4951</v>
      </c>
      <c r="D128">
        <f>SUM(E98:E99)</f>
        <v>16883.491900000001</v>
      </c>
    </row>
    <row r="133" spans="2:9">
      <c r="B133" t="s">
        <v>618</v>
      </c>
      <c r="C133" t="s">
        <v>423</v>
      </c>
      <c r="D133" t="s">
        <v>424</v>
      </c>
      <c r="E133" t="s">
        <v>425</v>
      </c>
      <c r="F133" t="s">
        <v>426</v>
      </c>
      <c r="G133" t="s">
        <v>427</v>
      </c>
      <c r="H133" t="s">
        <v>428</v>
      </c>
      <c r="I133" t="s">
        <v>723</v>
      </c>
    </row>
    <row r="134" spans="2:9">
      <c r="B134">
        <v>1</v>
      </c>
      <c r="C134">
        <v>324136183</v>
      </c>
      <c r="D134">
        <v>152299770</v>
      </c>
      <c r="E134">
        <v>171646708</v>
      </c>
      <c r="F134">
        <v>480639815</v>
      </c>
      <c r="G134">
        <v>173976470</v>
      </c>
      <c r="H134">
        <v>306438158</v>
      </c>
      <c r="I134">
        <v>315.99999999999699</v>
      </c>
    </row>
    <row r="135" spans="2:9">
      <c r="B135">
        <v>2</v>
      </c>
      <c r="C135">
        <v>147824639</v>
      </c>
      <c r="D135">
        <v>89677353</v>
      </c>
      <c r="E135">
        <v>57244740</v>
      </c>
      <c r="F135">
        <v>215470315</v>
      </c>
      <c r="G135">
        <v>99378201</v>
      </c>
      <c r="H135">
        <v>115126750</v>
      </c>
      <c r="I135">
        <v>214.09999999999599</v>
      </c>
    </row>
    <row r="136" spans="2:9">
      <c r="B136">
        <v>3</v>
      </c>
      <c r="C136">
        <v>120162142</v>
      </c>
      <c r="D136">
        <v>82239464</v>
      </c>
      <c r="E136">
        <v>34429757</v>
      </c>
      <c r="F136">
        <v>172623619</v>
      </c>
      <c r="G136">
        <v>94277376</v>
      </c>
      <c r="H136">
        <v>74557543</v>
      </c>
      <c r="I136">
        <v>563.599999999999</v>
      </c>
    </row>
  </sheetData>
  <hyperlinks>
    <hyperlink ref="J2" r:id="rId1" display="https://www.naics.com/six-digit-naics/?code=11"/>
    <hyperlink ref="J3" r:id="rId2" display="https://www.naics.com/six-digit-naics/?code=21"/>
    <hyperlink ref="J4" r:id="rId3" display="https://www.naics.com/six-digit-naics/?code=22"/>
    <hyperlink ref="J5" r:id="rId4" display="https://www.naics.com/six-digit-naics/?code=23"/>
    <hyperlink ref="J6" r:id="rId5" display="https://www.naics.com/six-digit-naics/?code=31-33"/>
    <hyperlink ref="J7" r:id="rId6" display="https://www.naics.com/six-digit-naics/?code=42"/>
    <hyperlink ref="J8" r:id="rId7" display="https://www.naics.com/six-digit-naics/?code=44-45"/>
    <hyperlink ref="J9" r:id="rId8" display="https://www.naics.com/six-digit-naics/?code=48-49"/>
    <hyperlink ref="J10" r:id="rId9" display="https://www.naics.com/six-digit-naics/?code=51"/>
    <hyperlink ref="J11" r:id="rId10" display="https://www.naics.com/six-digit-naics/?code=52"/>
    <hyperlink ref="J12" r:id="rId11" display="https://www.naics.com/six-digit-naics/?code=53"/>
    <hyperlink ref="J13" r:id="rId12" display="https://www.naics.com/six-digit-naics/?code=54"/>
    <hyperlink ref="J14" r:id="rId13" display="https://www.naics.com/six-digit-naics/?code=55"/>
    <hyperlink ref="J15" r:id="rId14" display="https://www.naics.com/six-digit-naics/?code=56"/>
    <hyperlink ref="J16" r:id="rId15" display="https://www.naics.com/six-digit-naics/?code=61"/>
    <hyperlink ref="J17" r:id="rId16" display="https://www.naics.com/six-digit-naics/?code=62"/>
    <hyperlink ref="J18" r:id="rId17" display="https://www.naics.com/six-digit-naics/?code=71"/>
    <hyperlink ref="J19" r:id="rId18" display="https://www.naics.com/six-digit-naics/?code=72"/>
    <hyperlink ref="J20" r:id="rId19" display="https://www.naics.com/six-digit-naics/?code=81"/>
    <hyperlink ref="J21" r:id="rId20" display="https://www.naics.com/six-digit-naics/?code=9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opLeftCell="A16" workbookViewId="0">
      <selection activeCell="N25" sqref="N25:P27"/>
    </sheetView>
  </sheetViews>
  <sheetFormatPr defaultRowHeight="14.4"/>
  <cols>
    <col min="2" max="5" width="12" bestFit="1" customWidth="1"/>
    <col min="6" max="7" width="10" bestFit="1" customWidth="1"/>
    <col min="9" max="10" width="10" bestFit="1" customWidth="1"/>
  </cols>
  <sheetData>
    <row r="1" spans="1:10">
      <c r="B1" t="s">
        <v>443</v>
      </c>
      <c r="C1" t="s">
        <v>444</v>
      </c>
      <c r="D1" s="11" t="s">
        <v>445</v>
      </c>
      <c r="E1" s="160" t="s">
        <v>446</v>
      </c>
      <c r="F1" s="19" t="s">
        <v>447</v>
      </c>
      <c r="G1" s="115" t="s">
        <v>617</v>
      </c>
    </row>
    <row r="2" spans="1:10">
      <c r="A2" s="16" t="s">
        <v>271</v>
      </c>
      <c r="B2">
        <f>SUM(SAM!C2:AW2)</f>
        <v>5674.2766774814199</v>
      </c>
      <c r="C2">
        <f>SUM(SAM!C2:C48)</f>
        <v>8365.9576374043554</v>
      </c>
      <c r="D2" s="11">
        <f>B2*F2</f>
        <v>2269.7106709925679</v>
      </c>
      <c r="E2" s="161">
        <f>C2+D2-B2</f>
        <v>4961.3916309155038</v>
      </c>
      <c r="F2" s="19">
        <v>0.4</v>
      </c>
    </row>
    <row r="3" spans="1:10">
      <c r="A3" s="16" t="s">
        <v>290</v>
      </c>
      <c r="B3">
        <f>SUM(SAM!C3:AW3)</f>
        <v>181771.28281340987</v>
      </c>
      <c r="C3">
        <f>SUM(SAM!D2:D48)</f>
        <v>3734.4780175048245</v>
      </c>
      <c r="D3" s="11">
        <f t="shared" ref="D3:D10" si="0">B3*F3</f>
        <v>163594.15453206887</v>
      </c>
      <c r="E3" s="161">
        <f t="shared" ref="E3:E10" si="1">C3+D3-B3</f>
        <v>-14442.650263836171</v>
      </c>
      <c r="F3" s="19">
        <v>0.9</v>
      </c>
    </row>
    <row r="4" spans="1:10">
      <c r="A4" s="16" t="s">
        <v>311</v>
      </c>
      <c r="B4">
        <f>SUM(SAM!C4:AW4)</f>
        <v>414031.73741832754</v>
      </c>
      <c r="C4">
        <f>SUM(SAM!E2:E48)</f>
        <v>55456.762759992234</v>
      </c>
      <c r="D4" s="11">
        <f t="shared" si="0"/>
        <v>372628.56367649481</v>
      </c>
      <c r="E4" s="161">
        <f t="shared" si="1"/>
        <v>14053.589018159488</v>
      </c>
      <c r="F4" s="19">
        <v>0.9</v>
      </c>
    </row>
    <row r="5" spans="1:10">
      <c r="A5" s="16" t="s">
        <v>296</v>
      </c>
      <c r="B5">
        <f>SUM(SAM!C5:AW5)</f>
        <v>240798.85509731824</v>
      </c>
      <c r="C5">
        <f>SUM(SAM!F2:F48)</f>
        <v>56499.743272743362</v>
      </c>
      <c r="D5" s="11">
        <f t="shared" si="0"/>
        <v>168559.19856812275</v>
      </c>
      <c r="E5" s="161">
        <f t="shared" si="1"/>
        <v>-15739.913256452128</v>
      </c>
      <c r="F5" s="19">
        <v>0.7</v>
      </c>
    </row>
    <row r="6" spans="1:10">
      <c r="A6" s="16" t="s">
        <v>295</v>
      </c>
      <c r="B6">
        <f>SUM(SAM!C6:AW6)</f>
        <v>46174.400562052353</v>
      </c>
      <c r="C6">
        <f>SUM(SAM!G2:G48)</f>
        <v>127504.14708569042</v>
      </c>
      <c r="D6" s="11">
        <f t="shared" si="0"/>
        <v>27704.640337231413</v>
      </c>
      <c r="E6" s="161">
        <f t="shared" si="1"/>
        <v>109034.38686086948</v>
      </c>
      <c r="F6" s="19">
        <v>0.6</v>
      </c>
    </row>
    <row r="7" spans="1:10">
      <c r="A7" s="16" t="s">
        <v>293</v>
      </c>
      <c r="B7">
        <f>SUM(SAM!C7:AW7)</f>
        <v>343355.63035381975</v>
      </c>
      <c r="C7">
        <f>SUM(SAM!H2:H48)</f>
        <v>519214.43824330845</v>
      </c>
      <c r="D7" s="11">
        <f t="shared" si="0"/>
        <v>206013.37821229183</v>
      </c>
      <c r="E7" s="161">
        <f t="shared" si="1"/>
        <v>381872.18610178056</v>
      </c>
      <c r="F7" s="19">
        <v>0.6</v>
      </c>
    </row>
    <row r="8" spans="1:10">
      <c r="A8" s="16" t="s">
        <v>269</v>
      </c>
      <c r="B8">
        <f>SUM(SAM!C8:AW8)</f>
        <v>2782.0838808727212</v>
      </c>
      <c r="C8">
        <f>SUM(SAM!I2:I48)</f>
        <v>116842.69451122316</v>
      </c>
      <c r="D8" s="11">
        <f t="shared" si="0"/>
        <v>1669.2503285236328</v>
      </c>
      <c r="E8" s="161">
        <f t="shared" si="1"/>
        <v>115729.86095887407</v>
      </c>
      <c r="F8" s="19">
        <v>0.6</v>
      </c>
    </row>
    <row r="9" spans="1:10">
      <c r="A9" s="16" t="s">
        <v>294</v>
      </c>
      <c r="B9">
        <f>SUM(SAM!C9:AW9)</f>
        <v>9569.0596736212228</v>
      </c>
      <c r="C9">
        <f>SUM(SAM!J2:J48)</f>
        <v>153050.08191384649</v>
      </c>
      <c r="D9" s="11">
        <f t="shared" si="0"/>
        <v>3827.6238694484891</v>
      </c>
      <c r="E9" s="161">
        <f t="shared" si="1"/>
        <v>147308.64610967375</v>
      </c>
      <c r="F9" s="19">
        <v>0.4</v>
      </c>
    </row>
    <row r="10" spans="1:10" ht="15" thickBot="1">
      <c r="A10" s="16" t="s">
        <v>312</v>
      </c>
      <c r="B10">
        <f>SUM(SAM!C10:AW10)</f>
        <v>17065.797139348815</v>
      </c>
      <c r="C10">
        <f>SUM(SAM!K2:K48)</f>
        <v>194676.14814256135</v>
      </c>
      <c r="D10" s="11">
        <f t="shared" si="0"/>
        <v>6826.318855739526</v>
      </c>
      <c r="E10" s="162">
        <f t="shared" si="1"/>
        <v>184436.66985895205</v>
      </c>
      <c r="F10" s="19">
        <v>0.4</v>
      </c>
    </row>
    <row r="14" spans="1:10" ht="15" thickBot="1"/>
    <row r="15" spans="1:10">
      <c r="A15" s="163"/>
      <c r="B15" s="165" t="s">
        <v>271</v>
      </c>
      <c r="C15" s="165" t="s">
        <v>290</v>
      </c>
      <c r="D15" s="165" t="s">
        <v>311</v>
      </c>
      <c r="E15" s="165" t="s">
        <v>296</v>
      </c>
      <c r="F15" s="165" t="s">
        <v>295</v>
      </c>
      <c r="G15" s="165" t="s">
        <v>293</v>
      </c>
      <c r="H15" s="165" t="s">
        <v>269</v>
      </c>
      <c r="I15" s="165" t="s">
        <v>294</v>
      </c>
      <c r="J15" s="166" t="s">
        <v>312</v>
      </c>
    </row>
    <row r="16" spans="1:10" ht="15" thickBot="1">
      <c r="A16" s="168" t="s">
        <v>472</v>
      </c>
      <c r="B16" s="167">
        <f>D2</f>
        <v>2269.7106709925679</v>
      </c>
      <c r="C16" s="167">
        <f>D3</f>
        <v>163594.15453206887</v>
      </c>
      <c r="D16" s="167">
        <f>D4</f>
        <v>372628.56367649481</v>
      </c>
      <c r="E16" s="167">
        <f>D5</f>
        <v>168559.19856812275</v>
      </c>
      <c r="F16" s="167">
        <f>D6</f>
        <v>27704.640337231413</v>
      </c>
      <c r="G16" s="167">
        <f>D7</f>
        <v>206013.37821229183</v>
      </c>
      <c r="H16" s="167">
        <f>D8</f>
        <v>1669.2503285236328</v>
      </c>
      <c r="I16" s="167">
        <f>D9</f>
        <v>3827.6238694484891</v>
      </c>
      <c r="J16" s="164">
        <f>D10</f>
        <v>6826.318855739526</v>
      </c>
    </row>
    <row r="18" spans="1:30" ht="15" thickBot="1"/>
    <row r="19" spans="1:30">
      <c r="B19" t="s">
        <v>443</v>
      </c>
      <c r="C19" t="s">
        <v>444</v>
      </c>
      <c r="D19" s="11" t="s">
        <v>445</v>
      </c>
      <c r="E19" s="160" t="s">
        <v>446</v>
      </c>
      <c r="F19" s="19" t="s">
        <v>447</v>
      </c>
    </row>
    <row r="20" spans="1:30">
      <c r="A20" t="s">
        <v>621</v>
      </c>
      <c r="B20">
        <f>SUM('Seaside SAM'!B2:AV2)</f>
        <v>43546.819365783944</v>
      </c>
      <c r="C20">
        <f>'Seaside SAM'!B61</f>
        <v>7429.9995954520136</v>
      </c>
      <c r="D20">
        <f>(1-F20)*B20</f>
        <v>39192.137429205548</v>
      </c>
      <c r="E20">
        <f>C20+D20-B20</f>
        <v>3075.3176588736169</v>
      </c>
      <c r="F20">
        <v>0.1</v>
      </c>
      <c r="I20" t="s">
        <v>697</v>
      </c>
      <c r="K20">
        <f>D20</f>
        <v>39192.137429205548</v>
      </c>
      <c r="L20">
        <f>D21</f>
        <v>38218.720191443688</v>
      </c>
      <c r="M20">
        <f>D22</f>
        <v>27522.760731351493</v>
      </c>
      <c r="N20">
        <f>D23</f>
        <v>57379.372986559501</v>
      </c>
      <c r="O20">
        <f>D24</f>
        <v>34936.347847082914</v>
      </c>
      <c r="P20">
        <f>D25</f>
        <v>15387.36372307612</v>
      </c>
      <c r="Q20">
        <f>D26</f>
        <v>5953.4712091097017</v>
      </c>
      <c r="R20">
        <f>D27</f>
        <v>20568.123200688187</v>
      </c>
      <c r="S20">
        <f>D28</f>
        <v>265591.45563099696</v>
      </c>
      <c r="T20">
        <f>D29</f>
        <v>54344.124498579928</v>
      </c>
      <c r="U20">
        <f>D30</f>
        <v>92066.301421331576</v>
      </c>
      <c r="V20">
        <f>D31</f>
        <v>83809.348617096344</v>
      </c>
      <c r="W20">
        <f>D32</f>
        <v>14783.499856359391</v>
      </c>
      <c r="X20">
        <f>D33</f>
        <v>35038.147115319385</v>
      </c>
      <c r="Y20">
        <f>D34</f>
        <v>4242.9944769127378</v>
      </c>
      <c r="Z20">
        <f>D35</f>
        <v>65468.350898669167</v>
      </c>
      <c r="AA20">
        <f>D36</f>
        <v>5058.3618765207057</v>
      </c>
      <c r="AB20">
        <f>D37</f>
        <v>17445.537976239153</v>
      </c>
      <c r="AC20">
        <f>D38</f>
        <v>21178.66361147361</v>
      </c>
      <c r="AD20">
        <f>D39</f>
        <v>39889.481003201166</v>
      </c>
    </row>
    <row r="21" spans="1:30">
      <c r="A21" t="s">
        <v>623</v>
      </c>
      <c r="B21">
        <f>SUM('Seaside SAM'!B3:AV3)</f>
        <v>63697.866985739485</v>
      </c>
      <c r="C21">
        <f>'Seaside SAM'!B62</f>
        <v>52006.106596911006</v>
      </c>
      <c r="D21">
        <f t="shared" ref="D21:D39" si="2">(1-F21)*B21</f>
        <v>38218.720191443688</v>
      </c>
      <c r="E21">
        <f t="shared" ref="E21:E39" si="3">C21+D21-B21</f>
        <v>26526.959802615209</v>
      </c>
      <c r="F21">
        <v>0.4</v>
      </c>
      <c r="I21" t="s">
        <v>698</v>
      </c>
    </row>
    <row r="22" spans="1:30">
      <c r="A22" t="s">
        <v>624</v>
      </c>
      <c r="B22">
        <f>SUM('Seaside SAM'!B4:AV4)</f>
        <v>68806.90182837873</v>
      </c>
      <c r="C22">
        <f>'Seaside SAM'!B63</f>
        <v>180932.71026163228</v>
      </c>
      <c r="D22">
        <f t="shared" si="2"/>
        <v>27522.760731351493</v>
      </c>
      <c r="E22">
        <f t="shared" si="3"/>
        <v>139648.56916460505</v>
      </c>
      <c r="F22">
        <v>0.6</v>
      </c>
      <c r="I22" t="s">
        <v>699</v>
      </c>
    </row>
    <row r="23" spans="1:30">
      <c r="A23" t="s">
        <v>625</v>
      </c>
      <c r="B23">
        <f>SUM('Seaside SAM'!B5:AV5)</f>
        <v>143448.43246639875</v>
      </c>
      <c r="C23">
        <f>'Seaside SAM'!B64</f>
        <v>95152.506364878893</v>
      </c>
      <c r="D23">
        <f t="shared" si="2"/>
        <v>57379.372986559501</v>
      </c>
      <c r="E23">
        <f t="shared" si="3"/>
        <v>9083.4468850396515</v>
      </c>
      <c r="F23">
        <v>0.6</v>
      </c>
      <c r="I23" t="s">
        <v>700</v>
      </c>
    </row>
    <row r="24" spans="1:30">
      <c r="A24" t="s">
        <v>626</v>
      </c>
      <c r="B24">
        <f>SUM('Seaside SAM'!B6:AV6)</f>
        <v>43670.434808853643</v>
      </c>
      <c r="C24">
        <f>'Seaside SAM'!B65</f>
        <v>11685.155037939225</v>
      </c>
      <c r="D24">
        <f t="shared" si="2"/>
        <v>34936.347847082914</v>
      </c>
      <c r="E24">
        <f t="shared" si="3"/>
        <v>2951.0680761684998</v>
      </c>
      <c r="F24">
        <v>0.2</v>
      </c>
      <c r="I24" t="s">
        <v>701</v>
      </c>
    </row>
    <row r="25" spans="1:30">
      <c r="A25" t="s">
        <v>627</v>
      </c>
      <c r="B25">
        <f>SUM('Seaside SAM'!B7:AV7)</f>
        <v>21981.948175823029</v>
      </c>
      <c r="C25">
        <f>'Seaside SAM'!B66</f>
        <v>347543.57687189907</v>
      </c>
      <c r="D25">
        <f t="shared" si="2"/>
        <v>15387.36372307612</v>
      </c>
      <c r="E25">
        <f t="shared" si="3"/>
        <v>340948.99241915217</v>
      </c>
      <c r="F25">
        <v>0.3</v>
      </c>
      <c r="I25" t="s">
        <v>702</v>
      </c>
    </row>
    <row r="26" spans="1:30">
      <c r="A26" t="s">
        <v>639</v>
      </c>
      <c r="B26">
        <f>SUM('Seaside SAM'!B8:AV8)</f>
        <v>8504.9588701567172</v>
      </c>
      <c r="C26">
        <f>'Seaside SAM'!B67</f>
        <v>3480.7720757407337</v>
      </c>
      <c r="D26">
        <f t="shared" si="2"/>
        <v>5953.4712091097017</v>
      </c>
      <c r="E26">
        <f t="shared" si="3"/>
        <v>929.28441469371865</v>
      </c>
      <c r="F26">
        <v>0.3</v>
      </c>
      <c r="I26" t="s">
        <v>703</v>
      </c>
    </row>
    <row r="27" spans="1:30">
      <c r="A27" t="s">
        <v>640</v>
      </c>
      <c r="B27">
        <f>SUM('Seaside SAM'!B9:AV9)</f>
        <v>51420.308001720463</v>
      </c>
      <c r="C27">
        <f>'Seaside SAM'!B68</f>
        <v>39377.297694248722</v>
      </c>
      <c r="D27">
        <f t="shared" si="2"/>
        <v>20568.123200688187</v>
      </c>
      <c r="E27">
        <f t="shared" si="3"/>
        <v>8525.1128932164429</v>
      </c>
      <c r="F27">
        <v>0.6</v>
      </c>
      <c r="I27" t="s">
        <v>704</v>
      </c>
    </row>
    <row r="28" spans="1:30">
      <c r="A28" t="s">
        <v>641</v>
      </c>
      <c r="B28">
        <f>SUM('Seaside SAM'!B10:AV10)</f>
        <v>379416.36518713855</v>
      </c>
      <c r="C28">
        <f>'Seaside SAM'!B69</f>
        <v>131377.84094022357</v>
      </c>
      <c r="D28">
        <f t="shared" si="2"/>
        <v>265591.45563099696</v>
      </c>
      <c r="E28">
        <f t="shared" si="3"/>
        <v>17552.931384081952</v>
      </c>
      <c r="F28">
        <v>0.3</v>
      </c>
      <c r="I28" t="s">
        <v>705</v>
      </c>
    </row>
    <row r="29" spans="1:30">
      <c r="A29" t="s">
        <v>642</v>
      </c>
      <c r="B29">
        <f>SUM('Seaside SAM'!B11:AV11)</f>
        <v>90573.540830966551</v>
      </c>
      <c r="C29">
        <f>'Seaside SAM'!B70</f>
        <v>85746.776892875219</v>
      </c>
      <c r="D29">
        <f t="shared" si="2"/>
        <v>54344.124498579928</v>
      </c>
      <c r="E29">
        <f t="shared" si="3"/>
        <v>49517.360560488596</v>
      </c>
      <c r="F29">
        <v>0.4</v>
      </c>
      <c r="I29" t="s">
        <v>706</v>
      </c>
    </row>
    <row r="30" spans="1:30">
      <c r="A30" t="s">
        <v>643</v>
      </c>
      <c r="B30">
        <f>SUM('Seaside SAM'!B12:AV12)</f>
        <v>230165.75355332892</v>
      </c>
      <c r="C30">
        <f>'Seaside SAM'!B71</f>
        <v>177106.07195352035</v>
      </c>
      <c r="D30">
        <f t="shared" si="2"/>
        <v>92066.301421331576</v>
      </c>
      <c r="E30">
        <f t="shared" si="3"/>
        <v>39006.619821523025</v>
      </c>
      <c r="F30">
        <v>0.6</v>
      </c>
      <c r="I30" t="s">
        <v>707</v>
      </c>
    </row>
    <row r="31" spans="1:30">
      <c r="A31" t="s">
        <v>644</v>
      </c>
      <c r="B31">
        <f>SUM('Seaside SAM'!B13:AV13)</f>
        <v>93121.498463440381</v>
      </c>
      <c r="C31">
        <f>'Seaside SAM'!B72</f>
        <v>24004.477825868871</v>
      </c>
      <c r="D31">
        <f t="shared" si="2"/>
        <v>83809.348617096344</v>
      </c>
      <c r="E31">
        <f t="shared" si="3"/>
        <v>14692.327979524838</v>
      </c>
      <c r="F31">
        <v>0.1</v>
      </c>
      <c r="I31" t="s">
        <v>708</v>
      </c>
    </row>
    <row r="32" spans="1:30">
      <c r="A32" t="s">
        <v>645</v>
      </c>
      <c r="B32">
        <f>SUM('Seaside SAM'!B14:AV14)</f>
        <v>18479.374820449237</v>
      </c>
      <c r="C32">
        <f>'Seaside SAM'!B73</f>
        <v>30065.541033196423</v>
      </c>
      <c r="D32">
        <f t="shared" si="2"/>
        <v>14783.499856359391</v>
      </c>
      <c r="E32">
        <f t="shared" si="3"/>
        <v>26369.666069106577</v>
      </c>
      <c r="F32">
        <v>0.2</v>
      </c>
      <c r="I32" t="s">
        <v>709</v>
      </c>
    </row>
    <row r="33" spans="1:9">
      <c r="A33" t="s">
        <v>646</v>
      </c>
      <c r="B33">
        <f>SUM('Seaside SAM'!B15:AV15)</f>
        <v>50054.495879027694</v>
      </c>
      <c r="C33">
        <f>'Seaside SAM'!B74</f>
        <v>37676.26473057476</v>
      </c>
      <c r="D33">
        <f t="shared" si="2"/>
        <v>35038.147115319385</v>
      </c>
      <c r="E33">
        <f t="shared" si="3"/>
        <v>22659.915966866458</v>
      </c>
      <c r="F33">
        <v>0.3</v>
      </c>
      <c r="I33" t="s">
        <v>710</v>
      </c>
    </row>
    <row r="34" spans="1:9">
      <c r="A34" t="s">
        <v>648</v>
      </c>
      <c r="B34">
        <f>SUM('Seaside SAM'!B16:AV16)</f>
        <v>7071.6574615212303</v>
      </c>
      <c r="C34">
        <f>'Seaside SAM'!B75</f>
        <v>10895.536630828128</v>
      </c>
      <c r="D34">
        <f t="shared" si="2"/>
        <v>4242.9944769127378</v>
      </c>
      <c r="E34">
        <f t="shared" si="3"/>
        <v>8066.8736462196357</v>
      </c>
      <c r="F34">
        <v>0.4</v>
      </c>
      <c r="I34" t="s">
        <v>711</v>
      </c>
    </row>
    <row r="35" spans="1:9">
      <c r="A35" t="s">
        <v>290</v>
      </c>
      <c r="B35">
        <f>SUM('Seaside SAM'!B17:AV17)</f>
        <v>68914.053577546496</v>
      </c>
      <c r="C35">
        <f>'Seaside SAM'!B76</f>
        <v>3504.3881399657434</v>
      </c>
      <c r="D35">
        <f t="shared" si="2"/>
        <v>65468.350898669167</v>
      </c>
      <c r="E35">
        <f t="shared" si="3"/>
        <v>58.685461088418378</v>
      </c>
      <c r="F35">
        <v>0.05</v>
      </c>
      <c r="I35" t="s">
        <v>712</v>
      </c>
    </row>
    <row r="36" spans="1:9">
      <c r="A36" t="s">
        <v>649</v>
      </c>
      <c r="B36">
        <f>SUM('Seaside SAM'!B18:AV18)</f>
        <v>25291.809382603533</v>
      </c>
      <c r="C36">
        <f>'Seaside SAM'!B77</f>
        <v>35277.860945461296</v>
      </c>
      <c r="D36">
        <f t="shared" si="2"/>
        <v>5058.3618765207057</v>
      </c>
      <c r="E36">
        <f t="shared" si="3"/>
        <v>15044.41343937847</v>
      </c>
      <c r="F36">
        <v>0.8</v>
      </c>
      <c r="I36" t="s">
        <v>713</v>
      </c>
    </row>
    <row r="37" spans="1:9">
      <c r="A37" t="s">
        <v>651</v>
      </c>
      <c r="B37">
        <f>SUM('Seaside SAM'!B19:AV19)</f>
        <v>19383.93108471017</v>
      </c>
      <c r="C37">
        <f>'Seaside SAM'!B78</f>
        <v>2209.9073607667779</v>
      </c>
      <c r="D37">
        <f t="shared" si="2"/>
        <v>17445.537976239153</v>
      </c>
      <c r="E37">
        <f t="shared" si="3"/>
        <v>271.51425229576125</v>
      </c>
      <c r="F37" s="12">
        <v>0.1</v>
      </c>
      <c r="I37" t="s">
        <v>714</v>
      </c>
    </row>
    <row r="38" spans="1:9">
      <c r="A38" t="s">
        <v>652</v>
      </c>
      <c r="B38">
        <f>SUM('Seaside SAM'!B20:AV20)</f>
        <v>52946.659028684022</v>
      </c>
      <c r="C38">
        <f>'Seaside SAM'!B79</f>
        <v>81567.715006554557</v>
      </c>
      <c r="D38">
        <f t="shared" si="2"/>
        <v>21178.66361147361</v>
      </c>
      <c r="E38">
        <f t="shared" si="3"/>
        <v>49799.719589344139</v>
      </c>
      <c r="F38">
        <v>0.6</v>
      </c>
      <c r="I38" t="s">
        <v>715</v>
      </c>
    </row>
    <row r="39" spans="1:9">
      <c r="A39" t="s">
        <v>653</v>
      </c>
      <c r="B39">
        <f>SUM('Seaside SAM'!B21:AV21)</f>
        <v>66482.468338668608</v>
      </c>
      <c r="C39">
        <f>'Seaside SAM'!B80</f>
        <v>31760.838667854005</v>
      </c>
      <c r="D39">
        <f t="shared" si="2"/>
        <v>39889.481003201166</v>
      </c>
      <c r="E39">
        <f t="shared" si="3"/>
        <v>5167.8513323865627</v>
      </c>
      <c r="F39">
        <v>0.4</v>
      </c>
      <c r="I39" t="s">
        <v>716</v>
      </c>
    </row>
    <row r="40" spans="1:9">
      <c r="A40" s="12"/>
    </row>
    <row r="41" spans="1:9">
      <c r="A41" s="12"/>
    </row>
    <row r="42" spans="1:9">
      <c r="A42" s="12"/>
    </row>
    <row r="44" spans="1:9">
      <c r="B44">
        <v>37268.456372918648</v>
      </c>
    </row>
    <row r="45" spans="1:9">
      <c r="C45">
        <v>3361.3087595883308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opLeftCell="G84" zoomScale="110" zoomScaleNormal="110" workbookViewId="0">
      <selection activeCell="V86" sqref="V86:V104"/>
    </sheetView>
  </sheetViews>
  <sheetFormatPr defaultRowHeight="14.4"/>
  <cols>
    <col min="1" max="1" width="8.88671875" style="79"/>
    <col min="2" max="2" width="21.44140625" style="79" customWidth="1"/>
    <col min="3" max="3" width="12.109375" style="79" bestFit="1" customWidth="1"/>
    <col min="4" max="8" width="9.5546875" style="79" bestFit="1" customWidth="1"/>
    <col min="9" max="9" width="8.88671875" style="79"/>
    <col min="10" max="10" width="12.109375" style="79" bestFit="1" customWidth="1"/>
    <col min="11" max="18" width="8.88671875" style="79"/>
    <col min="19" max="19" width="12.109375" style="79" bestFit="1" customWidth="1"/>
    <col min="20" max="20" width="8.88671875" style="79"/>
    <col min="21" max="21" width="33.21875" style="79" bestFit="1" customWidth="1"/>
    <col min="22" max="16384" width="8.88671875" style="79"/>
  </cols>
  <sheetData>
    <row r="1" spans="1:17">
      <c r="A1" s="80" t="s">
        <v>349</v>
      </c>
    </row>
    <row r="2" spans="1:17">
      <c r="A2" s="79" t="s">
        <v>350</v>
      </c>
    </row>
    <row r="3" spans="1:17">
      <c r="A3" s="79" t="s">
        <v>351</v>
      </c>
    </row>
    <row r="4" spans="1:17">
      <c r="A4" s="79" t="s">
        <v>352</v>
      </c>
    </row>
    <row r="5" spans="1:17">
      <c r="A5" s="79">
        <v>2017</v>
      </c>
    </row>
    <row r="6" spans="1:17">
      <c r="B6" s="79" t="s">
        <v>353</v>
      </c>
      <c r="C6" s="79">
        <v>11</v>
      </c>
      <c r="D6" s="79">
        <v>21</v>
      </c>
      <c r="E6" s="79">
        <v>22</v>
      </c>
      <c r="F6" s="79">
        <v>23</v>
      </c>
      <c r="G6" s="79" t="s">
        <v>354</v>
      </c>
      <c r="H6" s="79">
        <v>42</v>
      </c>
      <c r="I6" s="79" t="s">
        <v>355</v>
      </c>
      <c r="J6" s="79" t="s">
        <v>356</v>
      </c>
      <c r="K6" s="79">
        <v>51</v>
      </c>
      <c r="L6" s="79" t="s">
        <v>357</v>
      </c>
      <c r="M6" s="79" t="s">
        <v>358</v>
      </c>
      <c r="N6" s="79">
        <v>6</v>
      </c>
      <c r="O6" s="79">
        <v>7</v>
      </c>
      <c r="P6" s="79">
        <v>81</v>
      </c>
      <c r="Q6" s="79" t="s">
        <v>359</v>
      </c>
    </row>
    <row r="7" spans="1:17">
      <c r="A7" s="79" t="s">
        <v>360</v>
      </c>
      <c r="B7" s="79" t="s">
        <v>361</v>
      </c>
      <c r="C7" s="79" t="s">
        <v>362</v>
      </c>
      <c r="D7" s="79" t="s">
        <v>346</v>
      </c>
      <c r="E7" s="79" t="s">
        <v>275</v>
      </c>
      <c r="F7" s="79" t="s">
        <v>276</v>
      </c>
      <c r="G7" s="79" t="s">
        <v>278</v>
      </c>
      <c r="H7" s="79" t="s">
        <v>363</v>
      </c>
      <c r="I7" s="79" t="s">
        <v>364</v>
      </c>
      <c r="J7" s="79" t="s">
        <v>365</v>
      </c>
      <c r="K7" s="79" t="s">
        <v>281</v>
      </c>
      <c r="L7" s="79" t="s">
        <v>366</v>
      </c>
      <c r="M7" s="79" t="s">
        <v>367</v>
      </c>
      <c r="N7" s="79" t="s">
        <v>368</v>
      </c>
      <c r="O7" s="79" t="s">
        <v>369</v>
      </c>
      <c r="P7" s="79" t="s">
        <v>370</v>
      </c>
      <c r="Q7" s="79" t="s">
        <v>371</v>
      </c>
    </row>
    <row r="8" spans="1:17">
      <c r="A8" s="79" t="s">
        <v>372</v>
      </c>
      <c r="B8" s="79" t="s">
        <v>362</v>
      </c>
      <c r="C8" s="79">
        <v>0.195191</v>
      </c>
      <c r="D8" s="79">
        <v>2.4800000000000001E-4</v>
      </c>
      <c r="E8" s="79">
        <v>0</v>
      </c>
      <c r="F8" s="79">
        <v>1.3960999999999999E-3</v>
      </c>
      <c r="G8" s="79">
        <v>4.5828399999999998E-2</v>
      </c>
      <c r="H8" s="79">
        <v>2.1100000000000001E-5</v>
      </c>
      <c r="I8" s="79">
        <v>1.6165999999999999E-3</v>
      </c>
      <c r="J8" s="79">
        <v>1.4320000000000001E-4</v>
      </c>
      <c r="K8" s="79">
        <v>0</v>
      </c>
      <c r="L8" s="79">
        <v>1.5999999999999999E-6</v>
      </c>
      <c r="M8" s="79">
        <v>7.4960000000000001E-4</v>
      </c>
      <c r="N8" s="79">
        <v>7.6600000000000005E-5</v>
      </c>
      <c r="O8" s="79">
        <v>4.7051999999999997E-3</v>
      </c>
      <c r="P8" s="79">
        <v>2.8640000000000002E-4</v>
      </c>
      <c r="Q8" s="79">
        <v>1.6511E-3</v>
      </c>
    </row>
    <row r="9" spans="1:17">
      <c r="A9" s="79" t="s">
        <v>373</v>
      </c>
      <c r="B9" s="79" t="s">
        <v>346</v>
      </c>
      <c r="C9" s="79">
        <v>3.9205999999999998E-3</v>
      </c>
      <c r="D9" s="79">
        <v>8.4529800000000002E-2</v>
      </c>
      <c r="E9" s="79">
        <v>6.4445000000000002E-2</v>
      </c>
      <c r="F9" s="79">
        <v>9.7944E-3</v>
      </c>
      <c r="G9" s="79">
        <v>5.3993399999999997E-2</v>
      </c>
      <c r="H9" s="79">
        <v>7.9999999999999996E-6</v>
      </c>
      <c r="I9" s="79">
        <v>2.3999999999999999E-6</v>
      </c>
      <c r="J9" s="79">
        <v>1.205E-4</v>
      </c>
      <c r="K9" s="79">
        <v>2.5010000000000001E-4</v>
      </c>
      <c r="L9" s="79">
        <v>3.1999999999999999E-6</v>
      </c>
      <c r="M9" s="79">
        <v>3.2360000000000001E-4</v>
      </c>
      <c r="N9" s="79">
        <v>1.4249999999999999E-4</v>
      </c>
      <c r="O9" s="79">
        <v>8.7250000000000001E-4</v>
      </c>
      <c r="P9" s="79">
        <v>7.494E-4</v>
      </c>
      <c r="Q9" s="79">
        <v>7.4272000000000001E-3</v>
      </c>
    </row>
    <row r="10" spans="1:17">
      <c r="A10" s="79" t="s">
        <v>374</v>
      </c>
      <c r="B10" s="79" t="s">
        <v>275</v>
      </c>
      <c r="C10" s="79">
        <v>1.00559E-2</v>
      </c>
      <c r="D10" s="79">
        <v>1.4117299999999999E-2</v>
      </c>
      <c r="E10" s="79">
        <v>5.4019299999999999E-2</v>
      </c>
      <c r="F10" s="79">
        <v>3.0574999999999999E-3</v>
      </c>
      <c r="G10" s="79">
        <v>9.9206999999999993E-3</v>
      </c>
      <c r="H10" s="79">
        <v>7.9836000000000004E-3</v>
      </c>
      <c r="I10" s="79">
        <v>2.1295600000000001E-2</v>
      </c>
      <c r="J10" s="79">
        <v>1.14372E-2</v>
      </c>
      <c r="K10" s="79">
        <v>2.9337E-3</v>
      </c>
      <c r="L10" s="79">
        <v>1.6198000000000001E-2</v>
      </c>
      <c r="M10" s="79">
        <v>3.1830000000000001E-3</v>
      </c>
      <c r="N10" s="79">
        <v>6.2113000000000003E-3</v>
      </c>
      <c r="O10" s="79">
        <v>2.2288700000000002E-2</v>
      </c>
      <c r="P10" s="79">
        <v>4.4796999999999997E-3</v>
      </c>
      <c r="Q10" s="79">
        <v>6.4955000000000004E-3</v>
      </c>
    </row>
    <row r="11" spans="1:17">
      <c r="A11" s="79" t="s">
        <v>375</v>
      </c>
      <c r="B11" s="79" t="s">
        <v>276</v>
      </c>
      <c r="C11" s="79">
        <v>3.8923E-3</v>
      </c>
      <c r="D11" s="79">
        <v>8.9554999999999999E-3</v>
      </c>
      <c r="E11" s="79">
        <v>1.3889800000000001E-2</v>
      </c>
      <c r="F11" s="79">
        <v>1.3909999999999999E-4</v>
      </c>
      <c r="G11" s="79">
        <v>3.0227000000000001E-3</v>
      </c>
      <c r="H11" s="79">
        <v>1.0252E-3</v>
      </c>
      <c r="I11" s="79">
        <v>2.6716999999999999E-3</v>
      </c>
      <c r="J11" s="79">
        <v>4.8024000000000001E-3</v>
      </c>
      <c r="K11" s="79">
        <v>1.4025999999999999E-3</v>
      </c>
      <c r="L11" s="79">
        <v>2.3928700000000001E-2</v>
      </c>
      <c r="M11" s="79">
        <v>3.7419999999999999E-4</v>
      </c>
      <c r="N11" s="79">
        <v>5.0650000000000001E-4</v>
      </c>
      <c r="O11" s="79">
        <v>2.3465999999999999E-3</v>
      </c>
      <c r="P11" s="79">
        <v>4.1216999999999998E-3</v>
      </c>
      <c r="Q11" s="79">
        <v>2.46901E-2</v>
      </c>
    </row>
    <row r="12" spans="1:17">
      <c r="A12" s="79" t="s">
        <v>376</v>
      </c>
      <c r="B12" s="79" t="s">
        <v>278</v>
      </c>
      <c r="C12" s="79">
        <v>0.16801199999999999</v>
      </c>
      <c r="D12" s="79">
        <v>0.118896</v>
      </c>
      <c r="E12" s="79">
        <v>4.4089999999999997E-2</v>
      </c>
      <c r="F12" s="79">
        <v>0.23210900000000001</v>
      </c>
      <c r="G12" s="79">
        <v>0.35030899999999998</v>
      </c>
      <c r="H12" s="79">
        <v>3.3751700000000003E-2</v>
      </c>
      <c r="I12" s="79">
        <v>3.1668500000000002E-2</v>
      </c>
      <c r="J12" s="79">
        <v>7.9367599999999996E-2</v>
      </c>
      <c r="K12" s="79">
        <v>5.1720799999999997E-2</v>
      </c>
      <c r="L12" s="79">
        <v>1.1693500000000001E-2</v>
      </c>
      <c r="M12" s="79">
        <v>3.4653999999999997E-2</v>
      </c>
      <c r="N12" s="79">
        <v>7.75951E-2</v>
      </c>
      <c r="O12" s="79">
        <v>7.6590400000000003E-2</v>
      </c>
      <c r="P12" s="79">
        <v>7.74947E-2</v>
      </c>
      <c r="Q12" s="79">
        <v>0.110098</v>
      </c>
    </row>
    <row r="13" spans="1:17">
      <c r="A13" s="79" t="s">
        <v>377</v>
      </c>
      <c r="B13" s="79" t="s">
        <v>363</v>
      </c>
      <c r="C13" s="79">
        <v>9.5344499999999999E-2</v>
      </c>
      <c r="D13" s="79">
        <v>2.71203E-2</v>
      </c>
      <c r="E13" s="79">
        <v>1.37584E-2</v>
      </c>
      <c r="F13" s="79">
        <v>4.8972300000000003E-2</v>
      </c>
      <c r="G13" s="79">
        <v>6.5224599999999994E-2</v>
      </c>
      <c r="H13" s="79">
        <v>2.8629399999999999E-2</v>
      </c>
      <c r="I13" s="79">
        <v>1.6268000000000001E-2</v>
      </c>
      <c r="J13" s="79">
        <v>2.0127800000000001E-2</v>
      </c>
      <c r="K13" s="79">
        <v>1.33086E-2</v>
      </c>
      <c r="L13" s="79">
        <v>4.4333999999999997E-3</v>
      </c>
      <c r="M13" s="79">
        <v>8.1306E-3</v>
      </c>
      <c r="N13" s="79">
        <v>2.23106E-2</v>
      </c>
      <c r="O13" s="79">
        <v>1.8324E-2</v>
      </c>
      <c r="P13" s="79">
        <v>1.6490999999999999E-2</v>
      </c>
      <c r="Q13" s="79">
        <v>1.9569199999999998E-2</v>
      </c>
    </row>
    <row r="14" spans="1:17">
      <c r="A14" s="79" t="s">
        <v>378</v>
      </c>
      <c r="B14" s="79" t="s">
        <v>364</v>
      </c>
      <c r="C14" s="79">
        <v>3.3175000000000001E-3</v>
      </c>
      <c r="D14" s="79">
        <v>1.0217E-3</v>
      </c>
      <c r="E14" s="79">
        <v>4.5976000000000003E-3</v>
      </c>
      <c r="F14" s="79">
        <v>5.7205699999999998E-2</v>
      </c>
      <c r="G14" s="79">
        <v>3.1005E-3</v>
      </c>
      <c r="H14" s="79">
        <v>4.2569999999999999E-4</v>
      </c>
      <c r="I14" s="79">
        <v>3.7079999999999999E-3</v>
      </c>
      <c r="J14" s="79">
        <v>1.03683E-2</v>
      </c>
      <c r="K14" s="79">
        <v>2.8949999999999999E-4</v>
      </c>
      <c r="L14" s="79">
        <v>1.6233E-3</v>
      </c>
      <c r="M14" s="79">
        <v>9.3000000000000005E-4</v>
      </c>
      <c r="N14" s="79">
        <v>3.77E-4</v>
      </c>
      <c r="O14" s="79">
        <v>6.2420000000000002E-3</v>
      </c>
      <c r="P14" s="79">
        <v>1.17696E-2</v>
      </c>
      <c r="Q14" s="79">
        <v>1.136E-4</v>
      </c>
    </row>
    <row r="15" spans="1:17">
      <c r="A15" s="79" t="s">
        <v>379</v>
      </c>
      <c r="B15" s="79" t="s">
        <v>365</v>
      </c>
      <c r="C15" s="79">
        <v>2.7110700000000001E-2</v>
      </c>
      <c r="D15" s="79">
        <v>2.9237900000000001E-2</v>
      </c>
      <c r="E15" s="79">
        <v>5.6097399999999999E-2</v>
      </c>
      <c r="F15" s="79">
        <v>1.65638E-2</v>
      </c>
      <c r="G15" s="79">
        <v>3.4731699999999997E-2</v>
      </c>
      <c r="H15" s="79">
        <v>3.7842300000000002E-2</v>
      </c>
      <c r="I15" s="79">
        <v>3.69933E-2</v>
      </c>
      <c r="J15" s="79">
        <v>0.11620999999999999</v>
      </c>
      <c r="K15" s="79">
        <v>9.7608E-3</v>
      </c>
      <c r="L15" s="79">
        <v>5.1603999999999999E-3</v>
      </c>
      <c r="M15" s="79">
        <v>1.32038E-2</v>
      </c>
      <c r="N15" s="79">
        <v>8.7641000000000004E-3</v>
      </c>
      <c r="O15" s="79">
        <v>9.2543999999999994E-3</v>
      </c>
      <c r="P15" s="79">
        <v>7.3990000000000002E-3</v>
      </c>
      <c r="Q15" s="79">
        <v>1.7493999999999999E-2</v>
      </c>
    </row>
    <row r="16" spans="1:17">
      <c r="A16" s="79" t="s">
        <v>380</v>
      </c>
      <c r="B16" s="79" t="s">
        <v>281</v>
      </c>
      <c r="C16" s="79">
        <v>1.2814E-3</v>
      </c>
      <c r="D16" s="79">
        <v>3.9068999999999996E-3</v>
      </c>
      <c r="E16" s="79">
        <v>6.3222E-3</v>
      </c>
      <c r="F16" s="79">
        <v>5.3144999999999998E-3</v>
      </c>
      <c r="G16" s="79">
        <v>3.6911000000000001E-3</v>
      </c>
      <c r="H16" s="79">
        <v>1.243E-2</v>
      </c>
      <c r="I16" s="79">
        <v>1.55935E-2</v>
      </c>
      <c r="J16" s="79">
        <v>1.00213E-2</v>
      </c>
      <c r="K16" s="79">
        <v>0.12833800000000001</v>
      </c>
      <c r="L16" s="79">
        <v>1.00553E-2</v>
      </c>
      <c r="M16" s="79">
        <v>2.5406399999999999E-2</v>
      </c>
      <c r="N16" s="79">
        <v>1.4116E-2</v>
      </c>
      <c r="O16" s="79">
        <v>1.23534E-2</v>
      </c>
      <c r="P16" s="79">
        <v>1.8804399999999999E-2</v>
      </c>
      <c r="Q16" s="79">
        <v>2.44113E-2</v>
      </c>
    </row>
    <row r="17" spans="1:17">
      <c r="A17" s="79" t="s">
        <v>381</v>
      </c>
      <c r="B17" s="79" t="s">
        <v>366</v>
      </c>
      <c r="C17" s="79">
        <v>8.8568300000000003E-2</v>
      </c>
      <c r="D17" s="79">
        <v>7.2097999999999995E-2</v>
      </c>
      <c r="E17" s="79">
        <v>2.7483E-2</v>
      </c>
      <c r="F17" s="79">
        <v>3.1683999999999997E-2</v>
      </c>
      <c r="G17" s="79">
        <v>1.36343E-2</v>
      </c>
      <c r="H17" s="79">
        <v>8.5205299999999998E-2</v>
      </c>
      <c r="I17" s="79">
        <v>0.12760199999999999</v>
      </c>
      <c r="J17" s="79">
        <v>9.4509999999999997E-2</v>
      </c>
      <c r="K17" s="79">
        <v>4.4024000000000001E-2</v>
      </c>
      <c r="L17" s="79">
        <v>0.19692100000000001</v>
      </c>
      <c r="M17" s="79">
        <v>7.1272699999999994E-2</v>
      </c>
      <c r="N17" s="79">
        <v>0.1062</v>
      </c>
      <c r="O17" s="79">
        <v>9.9006200000000003E-2</v>
      </c>
      <c r="P17" s="79">
        <v>0.100365</v>
      </c>
      <c r="Q17" s="79">
        <v>3.6617799999999999E-2</v>
      </c>
    </row>
    <row r="18" spans="1:17">
      <c r="A18" s="79" t="s">
        <v>382</v>
      </c>
      <c r="B18" s="79" t="s">
        <v>367</v>
      </c>
      <c r="C18" s="79">
        <v>9.0924999999999999E-3</v>
      </c>
      <c r="D18" s="79">
        <v>0.100851</v>
      </c>
      <c r="E18" s="79">
        <v>6.7008399999999996E-2</v>
      </c>
      <c r="F18" s="79">
        <v>5.3451199999999997E-2</v>
      </c>
      <c r="G18" s="79">
        <v>5.1370699999999998E-2</v>
      </c>
      <c r="H18" s="79">
        <v>0.14812800000000001</v>
      </c>
      <c r="I18" s="79">
        <v>0.12776399999999999</v>
      </c>
      <c r="J18" s="79">
        <v>6.8973499999999993E-2</v>
      </c>
      <c r="K18" s="79">
        <v>0.118426</v>
      </c>
      <c r="L18" s="79">
        <v>8.7009900000000001E-2</v>
      </c>
      <c r="M18" s="79">
        <v>0.16219</v>
      </c>
      <c r="N18" s="79">
        <v>0.105571</v>
      </c>
      <c r="O18" s="79">
        <v>0.124998</v>
      </c>
      <c r="P18" s="79">
        <v>6.8319400000000002E-2</v>
      </c>
      <c r="Q18" s="79">
        <v>6.7220600000000005E-2</v>
      </c>
    </row>
    <row r="19" spans="1:17">
      <c r="A19" s="79" t="s">
        <v>383</v>
      </c>
      <c r="B19" s="79" t="s">
        <v>368</v>
      </c>
      <c r="C19" s="79">
        <v>4.2799999999999997E-5</v>
      </c>
      <c r="D19" s="79">
        <v>0</v>
      </c>
      <c r="E19" s="79">
        <v>3.5589999999999998E-4</v>
      </c>
      <c r="F19" s="79">
        <v>4.6E-6</v>
      </c>
      <c r="G19" s="79">
        <v>1.3900000000000001E-5</v>
      </c>
      <c r="H19" s="79">
        <v>1.0547E-3</v>
      </c>
      <c r="I19" s="79">
        <v>3.4296000000000001E-3</v>
      </c>
      <c r="J19" s="79">
        <v>1.751E-4</v>
      </c>
      <c r="K19" s="79">
        <v>1.3119999999999999E-4</v>
      </c>
      <c r="L19" s="79">
        <v>6.7000000000000002E-6</v>
      </c>
      <c r="M19" s="79">
        <v>3.8329999999999999E-4</v>
      </c>
      <c r="N19" s="79">
        <v>1.4829699999999999E-2</v>
      </c>
      <c r="O19" s="79">
        <v>1.4346000000000001E-3</v>
      </c>
      <c r="P19" s="79">
        <v>4.9522999999999998E-3</v>
      </c>
      <c r="Q19" s="79">
        <v>1.0234200000000001E-2</v>
      </c>
    </row>
    <row r="20" spans="1:17">
      <c r="A20" s="79" t="s">
        <v>384</v>
      </c>
      <c r="B20" s="79" t="s">
        <v>369</v>
      </c>
      <c r="C20" s="79">
        <v>1.3369E-3</v>
      </c>
      <c r="D20" s="79">
        <v>1.8273E-3</v>
      </c>
      <c r="E20" s="79">
        <v>5.8335000000000001E-3</v>
      </c>
      <c r="F20" s="79">
        <v>6.8579999999999997E-4</v>
      </c>
      <c r="G20" s="79">
        <v>1.7746000000000001E-3</v>
      </c>
      <c r="H20" s="79">
        <v>5.0740999999999998E-3</v>
      </c>
      <c r="I20" s="79">
        <v>5.6378000000000001E-3</v>
      </c>
      <c r="J20" s="79">
        <v>9.5779999999999997E-3</v>
      </c>
      <c r="K20" s="79">
        <v>2.4838300000000001E-2</v>
      </c>
      <c r="L20" s="79">
        <v>1.19425E-2</v>
      </c>
      <c r="M20" s="79">
        <v>1.8327199999999998E-2</v>
      </c>
      <c r="N20" s="79">
        <v>2.2068899999999999E-2</v>
      </c>
      <c r="O20" s="79">
        <v>2.9141199999999999E-2</v>
      </c>
      <c r="P20" s="79">
        <v>8.9674999999999998E-3</v>
      </c>
      <c r="Q20" s="79">
        <v>5.5405000000000003E-3</v>
      </c>
    </row>
    <row r="21" spans="1:17">
      <c r="A21" s="79" t="s">
        <v>385</v>
      </c>
      <c r="B21" s="79" t="s">
        <v>370</v>
      </c>
      <c r="C21" s="79">
        <v>1.6884000000000001E-3</v>
      </c>
      <c r="D21" s="79">
        <v>2.2193999999999998E-3</v>
      </c>
      <c r="E21" s="79">
        <v>1.1091E-3</v>
      </c>
      <c r="F21" s="79">
        <v>4.9636000000000003E-3</v>
      </c>
      <c r="G21" s="79">
        <v>3.5371000000000001E-3</v>
      </c>
      <c r="H21" s="79">
        <v>1.4098100000000001E-2</v>
      </c>
      <c r="I21" s="79">
        <v>1.0857199999999999E-2</v>
      </c>
      <c r="J21" s="79">
        <v>1.57699E-2</v>
      </c>
      <c r="K21" s="79">
        <v>4.0489000000000002E-3</v>
      </c>
      <c r="L21" s="79">
        <v>5.6795999999999999E-3</v>
      </c>
      <c r="M21" s="79">
        <v>7.3051000000000001E-3</v>
      </c>
      <c r="N21" s="79">
        <v>9.9065000000000004E-3</v>
      </c>
      <c r="O21" s="79">
        <v>1.17129E-2</v>
      </c>
      <c r="P21" s="79">
        <v>1.14453E-2</v>
      </c>
      <c r="Q21" s="79">
        <v>8.0552000000000002E-3</v>
      </c>
    </row>
    <row r="22" spans="1:17">
      <c r="A22" s="79" t="s">
        <v>386</v>
      </c>
      <c r="B22" s="79" t="s">
        <v>371</v>
      </c>
      <c r="C22" s="79">
        <v>4.2500000000000003E-5</v>
      </c>
      <c r="D22" s="79">
        <v>1.0000000000000001E-5</v>
      </c>
      <c r="E22" s="79">
        <v>6.5639000000000001E-3</v>
      </c>
      <c r="F22" s="79">
        <v>4.4000000000000002E-6</v>
      </c>
      <c r="G22" s="79">
        <v>7.4339999999999996E-4</v>
      </c>
      <c r="H22" s="79">
        <v>8.0815999999999995E-3</v>
      </c>
      <c r="I22" s="79">
        <v>4.1117000000000003E-3</v>
      </c>
      <c r="J22" s="79">
        <v>9.7569000000000006E-3</v>
      </c>
      <c r="K22" s="79">
        <v>1.4293000000000001E-3</v>
      </c>
      <c r="L22" s="79">
        <v>2.7590000000000002E-3</v>
      </c>
      <c r="M22" s="79">
        <v>2.1316999999999998E-3</v>
      </c>
      <c r="N22" s="79">
        <v>3.0615999999999998E-3</v>
      </c>
      <c r="O22" s="79">
        <v>4.7223999999999999E-3</v>
      </c>
      <c r="P22" s="79">
        <v>2.7862999999999998E-3</v>
      </c>
      <c r="Q22" s="79">
        <v>2.3088000000000002E-3</v>
      </c>
    </row>
    <row r="23" spans="1:17">
      <c r="A23" s="79" t="s">
        <v>387</v>
      </c>
      <c r="B23" s="79" t="s">
        <v>388</v>
      </c>
      <c r="C23" s="79">
        <v>1.361E-4</v>
      </c>
      <c r="D23" s="79">
        <v>1.0179999999999999E-4</v>
      </c>
      <c r="E23" s="79">
        <v>7.4818000000000003E-3</v>
      </c>
      <c r="F23" s="79">
        <v>9.6909999999999997E-4</v>
      </c>
      <c r="G23" s="79">
        <v>2.8262000000000001E-3</v>
      </c>
      <c r="H23" s="79">
        <v>0</v>
      </c>
      <c r="I23" s="79">
        <v>1.9340000000000001E-4</v>
      </c>
      <c r="J23" s="79">
        <v>2.7374999999999999E-3</v>
      </c>
      <c r="K23" s="79">
        <v>9.48E-5</v>
      </c>
      <c r="L23" s="79">
        <v>-5.8000000000000004E-6</v>
      </c>
      <c r="M23" s="79">
        <v>1.0699999999999999E-5</v>
      </c>
      <c r="N23" s="79">
        <v>5.1099999999999995E-4</v>
      </c>
      <c r="O23" s="79">
        <v>1.9450000000000001E-4</v>
      </c>
      <c r="P23" s="79">
        <v>1.38198E-2</v>
      </c>
      <c r="Q23" s="79">
        <v>-1.38E-5</v>
      </c>
    </row>
    <row r="24" spans="1:17">
      <c r="A24" s="79" t="s">
        <v>389</v>
      </c>
      <c r="B24" s="79" t="s">
        <v>390</v>
      </c>
      <c r="C24" s="79">
        <v>2.3372000000000002E-3</v>
      </c>
      <c r="D24" s="79">
        <v>3.5056000000000002E-3</v>
      </c>
      <c r="E24" s="79">
        <v>2.4675000000000001E-3</v>
      </c>
      <c r="F24" s="79">
        <v>1.2202999999999999E-3</v>
      </c>
      <c r="G24" s="79">
        <v>2.8896E-3</v>
      </c>
      <c r="H24" s="79">
        <v>2.8934E-3</v>
      </c>
      <c r="I24" s="79">
        <v>2.3933000000000001E-3</v>
      </c>
      <c r="J24" s="79">
        <v>1.77042E-2</v>
      </c>
      <c r="K24" s="79">
        <v>6.1025000000000003E-3</v>
      </c>
      <c r="L24" s="79">
        <v>6.2360000000000002E-3</v>
      </c>
      <c r="M24" s="79">
        <v>1.7224E-3</v>
      </c>
      <c r="N24" s="79">
        <v>3.3389999999999998E-4</v>
      </c>
      <c r="O24" s="79">
        <v>1.9526000000000001E-3</v>
      </c>
      <c r="P24" s="79">
        <v>5.6260000000000001E-4</v>
      </c>
      <c r="Q24" s="79">
        <v>4.1917999999999999E-3</v>
      </c>
    </row>
    <row r="25" spans="1:17">
      <c r="A25" s="79" t="s">
        <v>391</v>
      </c>
      <c r="B25" s="79" t="s">
        <v>392</v>
      </c>
      <c r="C25" s="79">
        <v>0.12870799999999999</v>
      </c>
      <c r="D25" s="79">
        <v>0.138072</v>
      </c>
      <c r="E25" s="79">
        <v>0.16551299999999999</v>
      </c>
      <c r="F25" s="79">
        <v>0.364483</v>
      </c>
      <c r="G25" s="79">
        <v>0.16750200000000001</v>
      </c>
      <c r="H25" s="79">
        <v>0.24260899999999999</v>
      </c>
      <c r="I25" s="79">
        <v>0.325077</v>
      </c>
      <c r="J25" s="79">
        <v>0.30993500000000002</v>
      </c>
      <c r="K25" s="79">
        <v>0.174844</v>
      </c>
      <c r="L25" s="79">
        <v>0.14202000000000001</v>
      </c>
      <c r="M25" s="79">
        <v>0.48154200000000003</v>
      </c>
      <c r="N25" s="79">
        <v>0.50300999999999996</v>
      </c>
      <c r="O25" s="79">
        <v>0.32599299999999998</v>
      </c>
      <c r="P25" s="79">
        <v>0.48989500000000002</v>
      </c>
      <c r="Q25" s="79">
        <v>0.52727900000000005</v>
      </c>
    </row>
    <row r="26" spans="1:17">
      <c r="A26" s="79" t="s">
        <v>393</v>
      </c>
      <c r="B26" s="79" t="s">
        <v>394</v>
      </c>
      <c r="C26" s="79">
        <v>2.6237999999999999E-3</v>
      </c>
      <c r="D26" s="79">
        <v>7.5390499999999999E-2</v>
      </c>
      <c r="E26" s="79">
        <v>0.13303699999999999</v>
      </c>
      <c r="F26" s="79">
        <v>6.1228000000000003E-3</v>
      </c>
      <c r="G26" s="79">
        <v>1.4572999999999999E-2</v>
      </c>
      <c r="H26" s="79">
        <v>0.119327</v>
      </c>
      <c r="I26" s="79">
        <v>0.14129</v>
      </c>
      <c r="J26" s="79">
        <v>3.4610700000000001E-2</v>
      </c>
      <c r="K26" s="79">
        <v>3.1720499999999999E-2</v>
      </c>
      <c r="L26" s="79">
        <v>5.1465499999999997E-2</v>
      </c>
      <c r="M26" s="79">
        <v>1.4761099999999999E-2</v>
      </c>
      <c r="N26" s="79">
        <v>1.4731599999999999E-2</v>
      </c>
      <c r="O26" s="79">
        <v>6.9181599999999996E-2</v>
      </c>
      <c r="P26" s="79">
        <v>3.4825099999999998E-2</v>
      </c>
      <c r="Q26" s="79">
        <v>-7.1542999999999997E-3</v>
      </c>
    </row>
    <row r="27" spans="1:17">
      <c r="A27" s="79" t="s">
        <v>395</v>
      </c>
      <c r="B27" s="79" t="s">
        <v>396</v>
      </c>
      <c r="C27" s="79">
        <v>0.26006600000000002</v>
      </c>
      <c r="D27" s="79">
        <v>0.32423400000000002</v>
      </c>
      <c r="E27" s="79">
        <v>0.33221400000000001</v>
      </c>
      <c r="F27" s="79">
        <v>0.171902</v>
      </c>
      <c r="G27" s="79">
        <v>0.17351800000000001</v>
      </c>
      <c r="H27" s="79">
        <v>0.25494099999999997</v>
      </c>
      <c r="I27" s="79">
        <v>0.124662</v>
      </c>
      <c r="J27" s="79">
        <v>0.192219</v>
      </c>
      <c r="K27" s="79">
        <v>0.39101799999999998</v>
      </c>
      <c r="L27" s="79">
        <v>0.42644500000000002</v>
      </c>
      <c r="M27" s="79">
        <v>0.156975</v>
      </c>
      <c r="N27" s="79">
        <v>9.1748700000000002E-2</v>
      </c>
      <c r="O27" s="79">
        <v>0.18381400000000001</v>
      </c>
      <c r="P27" s="79">
        <v>0.12500900000000001</v>
      </c>
      <c r="Q27" s="79">
        <v>0.135629</v>
      </c>
    </row>
    <row r="28" spans="1:17">
      <c r="B28" s="79" t="s">
        <v>212</v>
      </c>
      <c r="C28" s="79">
        <v>1</v>
      </c>
      <c r="D28" s="79">
        <v>1</v>
      </c>
      <c r="E28" s="79">
        <v>1</v>
      </c>
      <c r="F28" s="79">
        <v>1</v>
      </c>
      <c r="G28" s="79">
        <v>1</v>
      </c>
      <c r="H28" s="79">
        <v>1</v>
      </c>
      <c r="I28" s="79">
        <v>1</v>
      </c>
      <c r="J28" s="79">
        <v>1</v>
      </c>
      <c r="K28" s="79">
        <v>1</v>
      </c>
      <c r="L28" s="79">
        <v>1</v>
      </c>
      <c r="M28" s="79">
        <v>1</v>
      </c>
      <c r="N28" s="79">
        <v>1</v>
      </c>
      <c r="O28" s="79">
        <v>1</v>
      </c>
      <c r="P28" s="79">
        <v>1</v>
      </c>
      <c r="Q28" s="79">
        <v>1</v>
      </c>
    </row>
    <row r="29" spans="1:17">
      <c r="A29" s="79" t="s">
        <v>397</v>
      </c>
    </row>
    <row r="30" spans="1:17">
      <c r="A30" s="79" t="s">
        <v>398</v>
      </c>
    </row>
    <row r="37" spans="2:23">
      <c r="C37" s="79" t="s">
        <v>362</v>
      </c>
      <c r="D37" s="79" t="s">
        <v>346</v>
      </c>
      <c r="E37" s="79" t="s">
        <v>275</v>
      </c>
      <c r="F37" s="79" t="s">
        <v>276</v>
      </c>
      <c r="G37" s="79" t="s">
        <v>278</v>
      </c>
      <c r="H37" s="79" t="s">
        <v>363</v>
      </c>
      <c r="I37" s="79" t="s">
        <v>364</v>
      </c>
      <c r="J37" s="79" t="s">
        <v>365</v>
      </c>
      <c r="K37" s="79" t="s">
        <v>281</v>
      </c>
      <c r="L37" s="79" t="s">
        <v>366</v>
      </c>
      <c r="M37" s="79" t="s">
        <v>367</v>
      </c>
      <c r="N37" s="79" t="s">
        <v>368</v>
      </c>
      <c r="O37" s="79" t="s">
        <v>369</v>
      </c>
      <c r="P37" s="79" t="s">
        <v>370</v>
      </c>
      <c r="Q37" s="79" t="s">
        <v>371</v>
      </c>
      <c r="S37" s="79" t="s">
        <v>403</v>
      </c>
    </row>
    <row r="38" spans="2:23">
      <c r="B38" s="16" t="s">
        <v>271</v>
      </c>
      <c r="C38" s="79">
        <f>C8+C9</f>
        <v>0.1991116</v>
      </c>
      <c r="D38" s="79">
        <f t="shared" ref="D38:Q38" si="0">D8+D9</f>
        <v>8.47778E-2</v>
      </c>
      <c r="E38" s="79">
        <f t="shared" si="0"/>
        <v>6.4445000000000002E-2</v>
      </c>
      <c r="F38" s="79">
        <f t="shared" si="0"/>
        <v>1.1190499999999999E-2</v>
      </c>
      <c r="G38" s="79">
        <f t="shared" si="0"/>
        <v>9.9821799999999988E-2</v>
      </c>
      <c r="H38" s="79">
        <f t="shared" si="0"/>
        <v>2.9100000000000003E-5</v>
      </c>
      <c r="I38" s="79">
        <f t="shared" si="0"/>
        <v>1.619E-3</v>
      </c>
      <c r="J38" s="79">
        <f t="shared" si="0"/>
        <v>2.6370000000000001E-4</v>
      </c>
      <c r="K38" s="79">
        <f t="shared" si="0"/>
        <v>2.5010000000000001E-4</v>
      </c>
      <c r="L38" s="79">
        <f t="shared" si="0"/>
        <v>4.7999999999999998E-6</v>
      </c>
      <c r="M38" s="79">
        <f t="shared" si="0"/>
        <v>1.0732000000000001E-3</v>
      </c>
      <c r="N38" s="79">
        <f t="shared" si="0"/>
        <v>2.1910000000000001E-4</v>
      </c>
      <c r="O38" s="79">
        <f t="shared" si="0"/>
        <v>5.5776999999999997E-3</v>
      </c>
      <c r="P38" s="79">
        <f t="shared" si="0"/>
        <v>1.0357999999999999E-3</v>
      </c>
      <c r="Q38" s="79">
        <f t="shared" si="0"/>
        <v>9.078300000000001E-3</v>
      </c>
      <c r="S38" s="79" t="s">
        <v>399</v>
      </c>
      <c r="T38" s="79">
        <v>1800</v>
      </c>
      <c r="U38" s="79" t="s">
        <v>400</v>
      </c>
      <c r="V38" s="79">
        <v>162676</v>
      </c>
    </row>
    <row r="39" spans="2:23">
      <c r="B39" s="16" t="s">
        <v>290</v>
      </c>
      <c r="C39" s="79">
        <f>C10</f>
        <v>1.00559E-2</v>
      </c>
      <c r="D39" s="79">
        <f t="shared" ref="D39:Q39" si="1">D10</f>
        <v>1.4117299999999999E-2</v>
      </c>
      <c r="E39" s="79">
        <f t="shared" si="1"/>
        <v>5.4019299999999999E-2</v>
      </c>
      <c r="F39" s="79">
        <f t="shared" si="1"/>
        <v>3.0574999999999999E-3</v>
      </c>
      <c r="G39" s="79">
        <f t="shared" si="1"/>
        <v>9.9206999999999993E-3</v>
      </c>
      <c r="H39" s="79">
        <f t="shared" si="1"/>
        <v>7.9836000000000004E-3</v>
      </c>
      <c r="I39" s="79">
        <f t="shared" si="1"/>
        <v>2.1295600000000001E-2</v>
      </c>
      <c r="J39" s="79">
        <f t="shared" si="1"/>
        <v>1.14372E-2</v>
      </c>
      <c r="K39" s="79">
        <f t="shared" si="1"/>
        <v>2.9337E-3</v>
      </c>
      <c r="L39" s="79">
        <f t="shared" si="1"/>
        <v>1.6198000000000001E-2</v>
      </c>
      <c r="M39" s="79">
        <f t="shared" si="1"/>
        <v>3.1830000000000001E-3</v>
      </c>
      <c r="N39" s="79">
        <f t="shared" si="1"/>
        <v>6.2113000000000003E-3</v>
      </c>
      <c r="O39" s="79">
        <f t="shared" si="1"/>
        <v>2.2288700000000002E-2</v>
      </c>
      <c r="P39" s="79">
        <f t="shared" si="1"/>
        <v>4.4796999999999997E-3</v>
      </c>
      <c r="Q39" s="79">
        <f t="shared" si="1"/>
        <v>6.4955000000000004E-3</v>
      </c>
      <c r="S39" s="79" t="s">
        <v>399</v>
      </c>
      <c r="T39" s="79">
        <v>1801</v>
      </c>
      <c r="U39" s="79" t="s">
        <v>401</v>
      </c>
      <c r="V39" s="79">
        <v>55918</v>
      </c>
      <c r="W39" s="81">
        <f>V39/V38</f>
        <v>0.34373847402198232</v>
      </c>
    </row>
    <row r="40" spans="2:23">
      <c r="B40" s="16" t="s">
        <v>311</v>
      </c>
      <c r="C40" s="79">
        <f>C11</f>
        <v>3.8923E-3</v>
      </c>
      <c r="D40" s="79">
        <f t="shared" ref="D40:Q40" si="2">D11</f>
        <v>8.9554999999999999E-3</v>
      </c>
      <c r="E40" s="79">
        <f t="shared" si="2"/>
        <v>1.3889800000000001E-2</v>
      </c>
      <c r="F40" s="79">
        <f t="shared" si="2"/>
        <v>1.3909999999999999E-4</v>
      </c>
      <c r="G40" s="79">
        <f t="shared" si="2"/>
        <v>3.0227000000000001E-3</v>
      </c>
      <c r="H40" s="79">
        <f t="shared" si="2"/>
        <v>1.0252E-3</v>
      </c>
      <c r="I40" s="79">
        <f t="shared" si="2"/>
        <v>2.6716999999999999E-3</v>
      </c>
      <c r="J40" s="79">
        <f t="shared" si="2"/>
        <v>4.8024000000000001E-3</v>
      </c>
      <c r="K40" s="79">
        <f t="shared" si="2"/>
        <v>1.4025999999999999E-3</v>
      </c>
      <c r="L40" s="79">
        <f t="shared" si="2"/>
        <v>2.3928700000000001E-2</v>
      </c>
      <c r="M40" s="79">
        <f t="shared" si="2"/>
        <v>3.7419999999999999E-4</v>
      </c>
      <c r="N40" s="79">
        <f t="shared" si="2"/>
        <v>5.0650000000000001E-4</v>
      </c>
      <c r="O40" s="79">
        <f t="shared" si="2"/>
        <v>2.3465999999999999E-3</v>
      </c>
      <c r="P40" s="79">
        <f t="shared" si="2"/>
        <v>4.1216999999999998E-3</v>
      </c>
      <c r="Q40" s="79">
        <f t="shared" si="2"/>
        <v>2.46901E-2</v>
      </c>
      <c r="S40" s="79" t="s">
        <v>399</v>
      </c>
      <c r="T40" s="79">
        <v>1802</v>
      </c>
      <c r="U40" s="79" t="s">
        <v>402</v>
      </c>
      <c r="V40" s="79">
        <v>106758</v>
      </c>
      <c r="W40" s="81">
        <f>V40/V38</f>
        <v>0.65626152597801768</v>
      </c>
    </row>
    <row r="41" spans="2:23">
      <c r="B41" s="16" t="s">
        <v>296</v>
      </c>
      <c r="C41" s="79">
        <f>C12+C15</f>
        <v>0.19512269999999998</v>
      </c>
      <c r="D41" s="79">
        <f t="shared" ref="D41:Q41" si="3">D12+D15</f>
        <v>0.14813390000000001</v>
      </c>
      <c r="E41" s="79">
        <f t="shared" si="3"/>
        <v>0.1001874</v>
      </c>
      <c r="F41" s="79">
        <f t="shared" si="3"/>
        <v>0.2486728</v>
      </c>
      <c r="G41" s="79">
        <f t="shared" si="3"/>
        <v>0.38504069999999996</v>
      </c>
      <c r="H41" s="79">
        <f t="shared" si="3"/>
        <v>7.1594000000000005E-2</v>
      </c>
      <c r="I41" s="79">
        <f t="shared" si="3"/>
        <v>6.8661799999999995E-2</v>
      </c>
      <c r="J41" s="79">
        <f t="shared" si="3"/>
        <v>0.19557759999999999</v>
      </c>
      <c r="K41" s="79">
        <f t="shared" si="3"/>
        <v>6.1481599999999997E-2</v>
      </c>
      <c r="L41" s="79">
        <f t="shared" si="3"/>
        <v>1.6853900000000002E-2</v>
      </c>
      <c r="M41" s="79">
        <f t="shared" si="3"/>
        <v>4.7857799999999999E-2</v>
      </c>
      <c r="N41" s="79">
        <f t="shared" si="3"/>
        <v>8.6359199999999997E-2</v>
      </c>
      <c r="O41" s="79">
        <f t="shared" si="3"/>
        <v>8.5844799999999999E-2</v>
      </c>
      <c r="P41" s="79">
        <f t="shared" si="3"/>
        <v>8.4893700000000002E-2</v>
      </c>
      <c r="Q41" s="79">
        <f t="shared" si="3"/>
        <v>0.12759200000000001</v>
      </c>
    </row>
    <row r="42" spans="2:23">
      <c r="B42" s="16" t="s">
        <v>295</v>
      </c>
      <c r="C42" s="79">
        <f>C13+C14</f>
        <v>9.8662E-2</v>
      </c>
      <c r="D42" s="79">
        <f t="shared" ref="D42:Q42" si="4">D13+D14</f>
        <v>2.8142E-2</v>
      </c>
      <c r="E42" s="79">
        <f t="shared" si="4"/>
        <v>1.8356000000000001E-2</v>
      </c>
      <c r="F42" s="79">
        <f t="shared" si="4"/>
        <v>0.10617799999999999</v>
      </c>
      <c r="G42" s="79">
        <f t="shared" si="4"/>
        <v>6.83251E-2</v>
      </c>
      <c r="H42" s="79">
        <f t="shared" si="4"/>
        <v>2.90551E-2</v>
      </c>
      <c r="I42" s="79">
        <f t="shared" si="4"/>
        <v>1.9976000000000001E-2</v>
      </c>
      <c r="J42" s="79">
        <f t="shared" si="4"/>
        <v>3.0496100000000002E-2</v>
      </c>
      <c r="K42" s="79">
        <f t="shared" si="4"/>
        <v>1.35981E-2</v>
      </c>
      <c r="L42" s="79">
        <f t="shared" si="4"/>
        <v>6.0566999999999999E-3</v>
      </c>
      <c r="M42" s="79">
        <f t="shared" si="4"/>
        <v>9.0606000000000003E-3</v>
      </c>
      <c r="N42" s="79">
        <f t="shared" si="4"/>
        <v>2.2687599999999999E-2</v>
      </c>
      <c r="O42" s="79">
        <f t="shared" si="4"/>
        <v>2.4566000000000001E-2</v>
      </c>
      <c r="P42" s="79">
        <f t="shared" si="4"/>
        <v>2.8260599999999997E-2</v>
      </c>
      <c r="Q42" s="79">
        <f t="shared" si="4"/>
        <v>1.9682799999999997E-2</v>
      </c>
    </row>
    <row r="43" spans="2:23">
      <c r="B43" s="16" t="s">
        <v>293</v>
      </c>
      <c r="C43" s="79">
        <f>C16+C17+C18+C21</f>
        <v>0.10063060000000001</v>
      </c>
      <c r="D43" s="79">
        <f t="shared" ref="D43:Q43" si="5">D16+D17+D18+D21</f>
        <v>0.17907530000000002</v>
      </c>
      <c r="E43" s="79">
        <f t="shared" si="5"/>
        <v>0.1019227</v>
      </c>
      <c r="F43" s="79">
        <f t="shared" si="5"/>
        <v>9.5413299999999993E-2</v>
      </c>
      <c r="G43" s="79">
        <f t="shared" si="5"/>
        <v>7.2233199999999997E-2</v>
      </c>
      <c r="H43" s="79">
        <f t="shared" si="5"/>
        <v>0.25986140000000002</v>
      </c>
      <c r="I43" s="79">
        <f t="shared" si="5"/>
        <v>0.28181670000000003</v>
      </c>
      <c r="J43" s="79">
        <f t="shared" si="5"/>
        <v>0.18927469999999999</v>
      </c>
      <c r="K43" s="79">
        <f t="shared" si="5"/>
        <v>0.29483690000000007</v>
      </c>
      <c r="L43" s="79">
        <f t="shared" si="5"/>
        <v>0.29966579999999998</v>
      </c>
      <c r="M43" s="79">
        <f t="shared" si="5"/>
        <v>0.26617419999999997</v>
      </c>
      <c r="N43" s="79">
        <f t="shared" si="5"/>
        <v>0.23579350000000002</v>
      </c>
      <c r="O43" s="79">
        <f t="shared" si="5"/>
        <v>0.2480705</v>
      </c>
      <c r="P43" s="79">
        <f t="shared" si="5"/>
        <v>0.1989341</v>
      </c>
      <c r="Q43" s="79">
        <f t="shared" si="5"/>
        <v>0.13630490000000003</v>
      </c>
    </row>
    <row r="44" spans="2:23">
      <c r="B44" s="16" t="s">
        <v>269</v>
      </c>
      <c r="C44" s="79">
        <f>C19</f>
        <v>4.2799999999999997E-5</v>
      </c>
      <c r="D44" s="79">
        <f t="shared" ref="D44:Q44" si="6">D19</f>
        <v>0</v>
      </c>
      <c r="E44" s="79">
        <f t="shared" si="6"/>
        <v>3.5589999999999998E-4</v>
      </c>
      <c r="F44" s="79">
        <f t="shared" si="6"/>
        <v>4.6E-6</v>
      </c>
      <c r="G44" s="79">
        <f t="shared" si="6"/>
        <v>1.3900000000000001E-5</v>
      </c>
      <c r="H44" s="79">
        <f t="shared" si="6"/>
        <v>1.0547E-3</v>
      </c>
      <c r="I44" s="79">
        <f t="shared" si="6"/>
        <v>3.4296000000000001E-3</v>
      </c>
      <c r="J44" s="79">
        <f t="shared" si="6"/>
        <v>1.751E-4</v>
      </c>
      <c r="K44" s="79">
        <f t="shared" si="6"/>
        <v>1.3119999999999999E-4</v>
      </c>
      <c r="L44" s="79">
        <f t="shared" si="6"/>
        <v>6.7000000000000002E-6</v>
      </c>
      <c r="M44" s="79">
        <f t="shared" si="6"/>
        <v>3.8329999999999999E-4</v>
      </c>
      <c r="N44" s="79">
        <f t="shared" si="6"/>
        <v>1.4829699999999999E-2</v>
      </c>
      <c r="O44" s="79">
        <f t="shared" si="6"/>
        <v>1.4346000000000001E-3</v>
      </c>
      <c r="P44" s="79">
        <f t="shared" si="6"/>
        <v>4.9522999999999998E-3</v>
      </c>
      <c r="Q44" s="79">
        <f t="shared" si="6"/>
        <v>1.0234200000000001E-2</v>
      </c>
    </row>
    <row r="45" spans="2:23">
      <c r="B45" s="16" t="s">
        <v>294</v>
      </c>
      <c r="C45" s="79">
        <f t="shared" ref="C45:Q45" si="7">C20*$W$39</f>
        <v>4.5954396591998817E-4</v>
      </c>
      <c r="D45" s="79">
        <f t="shared" si="7"/>
        <v>6.2811331358036829E-4</v>
      </c>
      <c r="E45" s="79">
        <f t="shared" si="7"/>
        <v>2.0051983882072339E-3</v>
      </c>
      <c r="F45" s="79">
        <f t="shared" si="7"/>
        <v>2.3573584548427547E-4</v>
      </c>
      <c r="G45" s="79">
        <f t="shared" si="7"/>
        <v>6.0999829599940982E-4</v>
      </c>
      <c r="H45" s="79">
        <f t="shared" si="7"/>
        <v>1.7441633910349405E-3</v>
      </c>
      <c r="I45" s="79">
        <f t="shared" si="7"/>
        <v>1.937928768841132E-3</v>
      </c>
      <c r="J45" s="79">
        <f t="shared" si="7"/>
        <v>3.2923271041825465E-3</v>
      </c>
      <c r="K45" s="79">
        <f t="shared" si="7"/>
        <v>8.5378793393002042E-3</v>
      </c>
      <c r="L45" s="79">
        <f t="shared" si="7"/>
        <v>4.105096726007524E-3</v>
      </c>
      <c r="M45" s="79">
        <f t="shared" si="7"/>
        <v>6.2997637610956742E-3</v>
      </c>
      <c r="N45" s="79">
        <f t="shared" si="7"/>
        <v>7.5859300093437249E-3</v>
      </c>
      <c r="O45" s="79">
        <f t="shared" si="7"/>
        <v>1.0016951619169391E-2</v>
      </c>
      <c r="P45" s="79">
        <f t="shared" si="7"/>
        <v>3.0824747657921263E-3</v>
      </c>
      <c r="Q45" s="79">
        <f t="shared" si="7"/>
        <v>1.9044830153187931E-3</v>
      </c>
    </row>
    <row r="46" spans="2:23">
      <c r="B46" s="16" t="s">
        <v>312</v>
      </c>
      <c r="C46" s="79">
        <f t="shared" ref="C46:Q46" si="8">C20*$W$40</f>
        <v>8.7735603408001185E-4</v>
      </c>
      <c r="D46" s="79">
        <f t="shared" si="8"/>
        <v>1.1991866864196317E-3</v>
      </c>
      <c r="E46" s="79">
        <f t="shared" si="8"/>
        <v>3.8283016117927663E-3</v>
      </c>
      <c r="F46" s="79">
        <f t="shared" si="8"/>
        <v>4.5006415451572451E-4</v>
      </c>
      <c r="G46" s="79">
        <f t="shared" si="8"/>
        <v>1.1646017040005902E-3</v>
      </c>
      <c r="H46" s="79">
        <f t="shared" si="8"/>
        <v>3.3299366089650593E-3</v>
      </c>
      <c r="I46" s="79">
        <f t="shared" si="8"/>
        <v>3.6998712311588681E-3</v>
      </c>
      <c r="J46" s="79">
        <f t="shared" si="8"/>
        <v>6.2856728958174532E-3</v>
      </c>
      <c r="K46" s="79">
        <f t="shared" si="8"/>
        <v>1.6300420660699796E-2</v>
      </c>
      <c r="L46" s="79">
        <f t="shared" si="8"/>
        <v>7.837403273992476E-3</v>
      </c>
      <c r="M46" s="79">
        <f t="shared" si="8"/>
        <v>1.2027436238904324E-2</v>
      </c>
      <c r="N46" s="79">
        <f t="shared" si="8"/>
        <v>1.4482969990656274E-2</v>
      </c>
      <c r="O46" s="79">
        <f t="shared" si="8"/>
        <v>1.9124248380830607E-2</v>
      </c>
      <c r="P46" s="79">
        <f t="shared" si="8"/>
        <v>5.885025234207873E-3</v>
      </c>
      <c r="Q46" s="79">
        <f t="shared" si="8"/>
        <v>3.636016984681207E-3</v>
      </c>
    </row>
    <row r="47" spans="2:23">
      <c r="B47" s="16" t="s">
        <v>270</v>
      </c>
      <c r="C47" s="79">
        <f>C22</f>
        <v>4.2500000000000003E-5</v>
      </c>
      <c r="D47" s="79">
        <f t="shared" ref="D47:Q47" si="9">D22</f>
        <v>1.0000000000000001E-5</v>
      </c>
      <c r="E47" s="79">
        <f t="shared" si="9"/>
        <v>6.5639000000000001E-3</v>
      </c>
      <c r="F47" s="79">
        <f t="shared" si="9"/>
        <v>4.4000000000000002E-6</v>
      </c>
      <c r="G47" s="79">
        <f t="shared" si="9"/>
        <v>7.4339999999999996E-4</v>
      </c>
      <c r="H47" s="79">
        <f t="shared" si="9"/>
        <v>8.0815999999999995E-3</v>
      </c>
      <c r="I47" s="79">
        <f t="shared" si="9"/>
        <v>4.1117000000000003E-3</v>
      </c>
      <c r="J47" s="79">
        <f t="shared" si="9"/>
        <v>9.7569000000000006E-3</v>
      </c>
      <c r="K47" s="79">
        <f t="shared" si="9"/>
        <v>1.4293000000000001E-3</v>
      </c>
      <c r="L47" s="79">
        <f t="shared" si="9"/>
        <v>2.7590000000000002E-3</v>
      </c>
      <c r="M47" s="79">
        <f t="shared" si="9"/>
        <v>2.1316999999999998E-3</v>
      </c>
      <c r="N47" s="79">
        <f t="shared" si="9"/>
        <v>3.0615999999999998E-3</v>
      </c>
      <c r="O47" s="79">
        <f t="shared" si="9"/>
        <v>4.7223999999999999E-3</v>
      </c>
      <c r="P47" s="79">
        <f t="shared" si="9"/>
        <v>2.7862999999999998E-3</v>
      </c>
      <c r="Q47" s="79">
        <f t="shared" si="9"/>
        <v>2.3088000000000002E-3</v>
      </c>
    </row>
    <row r="48" spans="2:23">
      <c r="B48" s="16"/>
    </row>
    <row r="49" spans="2:19" ht="18">
      <c r="B49" s="112"/>
    </row>
    <row r="50" spans="2:19">
      <c r="C50" s="16" t="s">
        <v>664</v>
      </c>
      <c r="D50" s="79" t="s">
        <v>275</v>
      </c>
      <c r="E50" s="79" t="s">
        <v>276</v>
      </c>
      <c r="F50" s="16" t="s">
        <v>296</v>
      </c>
      <c r="G50" s="16" t="s">
        <v>295</v>
      </c>
      <c r="H50" s="16" t="s">
        <v>293</v>
      </c>
      <c r="I50" s="16" t="s">
        <v>269</v>
      </c>
      <c r="J50" s="16" t="s">
        <v>294</v>
      </c>
      <c r="K50" s="16" t="s">
        <v>312</v>
      </c>
      <c r="L50" s="16"/>
      <c r="N50" s="79">
        <f>'kap land'!M88</f>
        <v>0.1167513946417869</v>
      </c>
      <c r="O50" s="79">
        <f>'kap land'!N88</f>
        <v>0.46653542896704442</v>
      </c>
      <c r="P50" s="79">
        <f>'kap land'!O88</f>
        <v>0.41671317639116867</v>
      </c>
      <c r="Q50" s="79" t="str">
        <f>'kap land'!M84</f>
        <v>const1</v>
      </c>
      <c r="R50" s="79" t="str">
        <f>'kap land'!N84</f>
        <v>const2</v>
      </c>
      <c r="S50" s="79" t="str">
        <f>'kap land'!O84</f>
        <v>const3</v>
      </c>
    </row>
    <row r="51" spans="2:19">
      <c r="B51" s="16" t="s">
        <v>271</v>
      </c>
      <c r="C51" s="79">
        <f t="shared" ref="C51:C59" si="10">AVERAGE(C38:D38)</f>
        <v>0.14194470000000001</v>
      </c>
      <c r="D51" s="79">
        <f>E38</f>
        <v>6.4445000000000002E-2</v>
      </c>
      <c r="E51" s="79">
        <f>F38</f>
        <v>1.1190499999999999E-2</v>
      </c>
      <c r="F51" s="79">
        <f t="shared" ref="F51:F59" si="11">AVERAGE(G38,J38)</f>
        <v>5.0042749999999997E-2</v>
      </c>
      <c r="G51" s="79">
        <f t="shared" ref="G51:G59" si="12">AVERAGE(H38:I38)</f>
        <v>8.2405E-4</v>
      </c>
      <c r="H51" s="79">
        <f t="shared" ref="H51:H59" si="13">AVERAGE(K38:M38,P38)</f>
        <v>5.9097499999999999E-4</v>
      </c>
      <c r="I51" s="79">
        <f t="shared" ref="I51:I59" si="14">N38</f>
        <v>2.1910000000000001E-4</v>
      </c>
      <c r="J51" s="79">
        <f t="shared" ref="J51:J59" si="15">O38*$W$39</f>
        <v>1.9172700865524106E-3</v>
      </c>
      <c r="K51" s="79">
        <f t="shared" ref="K51:K59" si="16">O38*$W$40</f>
        <v>3.660429913447589E-3</v>
      </c>
      <c r="N51" s="79">
        <f>'kap land'!M94</f>
        <v>0.30640382343968997</v>
      </c>
      <c r="O51" s="79">
        <f>'kap land'!N94</f>
        <v>0.68789759673361017</v>
      </c>
      <c r="P51" s="79">
        <f>'kap land'!O94</f>
        <v>5.698579826699789E-3</v>
      </c>
      <c r="Q51" s="79" t="str">
        <f>'kap land'!M90</f>
        <v>Retail1</v>
      </c>
      <c r="R51" s="79" t="str">
        <f>'kap land'!N90</f>
        <v>Retail2</v>
      </c>
      <c r="S51" s="79" t="str">
        <f>'kap land'!O90</f>
        <v>Retail3</v>
      </c>
    </row>
    <row r="52" spans="2:19">
      <c r="B52" s="16" t="s">
        <v>290</v>
      </c>
      <c r="C52" s="79">
        <f t="shared" si="10"/>
        <v>1.2086599999999999E-2</v>
      </c>
      <c r="D52" s="79">
        <f t="shared" ref="D52:E52" si="17">E39</f>
        <v>5.4019299999999999E-2</v>
      </c>
      <c r="E52" s="79">
        <f t="shared" si="17"/>
        <v>3.0574999999999999E-3</v>
      </c>
      <c r="F52" s="79">
        <f t="shared" si="11"/>
        <v>1.067895E-2</v>
      </c>
      <c r="G52" s="79">
        <f t="shared" si="12"/>
        <v>1.4639600000000001E-2</v>
      </c>
      <c r="H52" s="79">
        <f t="shared" si="13"/>
        <v>6.6985999999999999E-3</v>
      </c>
      <c r="I52" s="79">
        <f t="shared" si="14"/>
        <v>6.2113000000000003E-3</v>
      </c>
      <c r="J52" s="79">
        <f t="shared" si="15"/>
        <v>7.6614837259337577E-3</v>
      </c>
      <c r="K52" s="79">
        <f t="shared" si="16"/>
        <v>1.4627216274066244E-2</v>
      </c>
      <c r="N52" s="79">
        <f>'kap land'!M100</f>
        <v>0.35812829256608836</v>
      </c>
      <c r="O52" s="79">
        <f>'kap land'!N100</f>
        <v>0.43960523664547674</v>
      </c>
      <c r="P52" s="79">
        <f>'kap land'!O100</f>
        <v>0.20226647078843493</v>
      </c>
      <c r="Q52" s="79" t="str">
        <f>'kap land'!M96</f>
        <v>Serv1</v>
      </c>
      <c r="R52" s="79" t="str">
        <f>'kap land'!N96</f>
        <v>Serv2</v>
      </c>
      <c r="S52" s="79" t="str">
        <f>'kap land'!O96</f>
        <v>Serv3</v>
      </c>
    </row>
    <row r="53" spans="2:19">
      <c r="B53" s="16" t="s">
        <v>311</v>
      </c>
      <c r="C53" s="79">
        <f t="shared" si="10"/>
        <v>6.4238999999999997E-3</v>
      </c>
      <c r="D53" s="79">
        <f t="shared" ref="D53:E53" si="18">E40</f>
        <v>1.3889800000000001E-2</v>
      </c>
      <c r="E53" s="79">
        <f t="shared" si="18"/>
        <v>1.3909999999999999E-4</v>
      </c>
      <c r="F53" s="79">
        <f t="shared" si="11"/>
        <v>3.9125499999999999E-3</v>
      </c>
      <c r="G53" s="79">
        <f t="shared" si="12"/>
        <v>1.84845E-3</v>
      </c>
      <c r="H53" s="79">
        <f t="shared" si="13"/>
        <v>7.4568000000000004E-3</v>
      </c>
      <c r="I53" s="79">
        <f t="shared" si="14"/>
        <v>5.0650000000000001E-4</v>
      </c>
      <c r="J53" s="79">
        <f t="shared" si="15"/>
        <v>8.0661670313998365E-4</v>
      </c>
      <c r="K53" s="79">
        <f t="shared" si="16"/>
        <v>1.5399832968600161E-3</v>
      </c>
      <c r="N53" s="79">
        <f>'kap land'!M106</f>
        <v>0.66161668102833937</v>
      </c>
      <c r="O53" s="79">
        <f>'kap land'!N106</f>
        <v>0.19592940871831782</v>
      </c>
      <c r="P53" s="79">
        <f>'kap land'!O106</f>
        <v>0.14245391025334284</v>
      </c>
      <c r="Q53" s="79" t="str">
        <f>'kap land'!M102</f>
        <v>HC1</v>
      </c>
      <c r="R53" s="79" t="str">
        <f>'kap land'!N102</f>
        <v>HC2</v>
      </c>
      <c r="S53" s="79" t="str">
        <f>'kap land'!O102</f>
        <v>HC3</v>
      </c>
    </row>
    <row r="54" spans="2:19">
      <c r="B54" s="16" t="s">
        <v>296</v>
      </c>
      <c r="C54" s="79">
        <f t="shared" si="10"/>
        <v>0.17162830000000001</v>
      </c>
      <c r="D54" s="79">
        <f t="shared" ref="D54:E54" si="19">E41</f>
        <v>0.1001874</v>
      </c>
      <c r="E54" s="79">
        <f t="shared" si="19"/>
        <v>0.2486728</v>
      </c>
      <c r="F54" s="79">
        <f t="shared" si="11"/>
        <v>0.29030914999999996</v>
      </c>
      <c r="G54" s="79">
        <f t="shared" si="12"/>
        <v>7.0127899999999993E-2</v>
      </c>
      <c r="H54" s="79">
        <f t="shared" si="13"/>
        <v>5.2771750000000006E-2</v>
      </c>
      <c r="I54" s="79">
        <f t="shared" si="14"/>
        <v>8.6359199999999997E-2</v>
      </c>
      <c r="J54" s="79">
        <f t="shared" si="15"/>
        <v>2.9508160554722267E-2</v>
      </c>
      <c r="K54" s="79">
        <f t="shared" si="16"/>
        <v>5.6336639445277732E-2</v>
      </c>
      <c r="N54" s="79">
        <f>'kap land'!M112</f>
        <v>0.27863763261132868</v>
      </c>
      <c r="O54" s="79">
        <f>'kap land'!N112</f>
        <v>0.72136236738867132</v>
      </c>
      <c r="Q54" s="79" t="str">
        <f>'kap land'!M108</f>
        <v>Accom1</v>
      </c>
      <c r="R54" s="79" t="str">
        <f>'kap land'!N108</f>
        <v>Accom2</v>
      </c>
    </row>
    <row r="55" spans="2:19">
      <c r="B55" s="16" t="s">
        <v>295</v>
      </c>
      <c r="C55" s="79">
        <f>AVERAGE(C42:D42)/100</f>
        <v>6.3402E-4</v>
      </c>
      <c r="D55" s="79">
        <f t="shared" ref="D55:E55" si="20">E42</f>
        <v>1.8356000000000001E-2</v>
      </c>
      <c r="E55" s="79">
        <f t="shared" si="20"/>
        <v>0.10617799999999999</v>
      </c>
      <c r="F55" s="79">
        <f t="shared" si="11"/>
        <v>4.9410599999999999E-2</v>
      </c>
      <c r="G55" s="79">
        <f t="shared" si="12"/>
        <v>2.4515550000000001E-2</v>
      </c>
      <c r="H55" s="79">
        <f t="shared" si="13"/>
        <v>1.4244E-2</v>
      </c>
      <c r="I55" s="79">
        <f t="shared" si="14"/>
        <v>2.2687599999999999E-2</v>
      </c>
      <c r="J55" s="79">
        <f t="shared" si="15"/>
        <v>8.4442793528240172E-3</v>
      </c>
      <c r="K55" s="79">
        <f t="shared" si="16"/>
        <v>1.6121720647175982E-2</v>
      </c>
      <c r="N55" s="79">
        <f>'kap land'!M118</f>
        <v>0.89394791690364617</v>
      </c>
      <c r="O55" s="79">
        <f>'kap land'!N118</f>
        <v>0.10605208309635381</v>
      </c>
      <c r="Q55" s="79" t="str">
        <f>'kap land'!M114</f>
        <v>Rest1</v>
      </c>
      <c r="R55" s="79" t="str">
        <f>'kap land'!N114</f>
        <v>Rest2</v>
      </c>
    </row>
    <row r="56" spans="2:19">
      <c r="B56" s="16" t="s">
        <v>293</v>
      </c>
      <c r="C56" s="79">
        <f t="shared" si="10"/>
        <v>0.13985295000000003</v>
      </c>
      <c r="D56" s="79">
        <f t="shared" ref="D56:E56" si="21">E43</f>
        <v>0.1019227</v>
      </c>
      <c r="E56" s="79">
        <f t="shared" si="21"/>
        <v>9.5413299999999993E-2</v>
      </c>
      <c r="F56" s="79">
        <f t="shared" si="11"/>
        <v>0.13075395000000001</v>
      </c>
      <c r="G56" s="79">
        <f t="shared" si="12"/>
        <v>0.27083905000000003</v>
      </c>
      <c r="H56" s="79">
        <f t="shared" si="13"/>
        <v>0.26490275000000002</v>
      </c>
      <c r="I56" s="79">
        <f t="shared" si="14"/>
        <v>0.23579350000000002</v>
      </c>
      <c r="J56" s="79">
        <f t="shared" si="15"/>
        <v>8.5271375119870166E-2</v>
      </c>
      <c r="K56" s="79">
        <f t="shared" si="16"/>
        <v>0.16279912488012985</v>
      </c>
    </row>
    <row r="57" spans="2:19">
      <c r="B57" s="16" t="s">
        <v>269</v>
      </c>
      <c r="C57" s="79">
        <f t="shared" si="10"/>
        <v>2.1399999999999998E-5</v>
      </c>
      <c r="D57" s="79">
        <f t="shared" ref="D57:E57" si="22">E44</f>
        <v>3.5589999999999998E-4</v>
      </c>
      <c r="E57" s="79">
        <f t="shared" si="22"/>
        <v>4.6E-6</v>
      </c>
      <c r="F57" s="79">
        <f t="shared" si="11"/>
        <v>9.4500000000000007E-5</v>
      </c>
      <c r="G57" s="79">
        <f t="shared" si="12"/>
        <v>2.24215E-3</v>
      </c>
      <c r="H57" s="79">
        <f t="shared" si="13"/>
        <v>1.368375E-3</v>
      </c>
      <c r="I57" s="79">
        <f t="shared" si="14"/>
        <v>1.4829699999999999E-2</v>
      </c>
      <c r="J57" s="79">
        <f t="shared" si="15"/>
        <v>4.9312721483193587E-4</v>
      </c>
      <c r="K57" s="79">
        <f t="shared" si="16"/>
        <v>9.4147278516806419E-4</v>
      </c>
    </row>
    <row r="58" spans="2:19">
      <c r="B58" s="16" t="s">
        <v>294</v>
      </c>
      <c r="C58" s="79">
        <f t="shared" si="10"/>
        <v>5.4382863975017829E-4</v>
      </c>
      <c r="D58" s="79">
        <f t="shared" ref="D58:E58" si="23">E45</f>
        <v>2.0051983882072339E-3</v>
      </c>
      <c r="E58" s="79">
        <f t="shared" si="23"/>
        <v>2.3573584548427547E-4</v>
      </c>
      <c r="F58" s="79">
        <f t="shared" si="11"/>
        <v>1.9511627000909782E-3</v>
      </c>
      <c r="G58" s="79">
        <f t="shared" si="12"/>
        <v>1.8410460799380363E-3</v>
      </c>
      <c r="H58" s="79">
        <f t="shared" si="13"/>
        <v>5.5063036480488825E-3</v>
      </c>
      <c r="I58" s="79">
        <f t="shared" si="14"/>
        <v>7.5859300093437249E-3</v>
      </c>
      <c r="J58" s="79">
        <f t="shared" si="15"/>
        <v>3.4432116639253113E-3</v>
      </c>
      <c r="K58" s="79">
        <f t="shared" si="16"/>
        <v>6.5737399552440795E-3</v>
      </c>
    </row>
    <row r="59" spans="2:19">
      <c r="B59" s="16" t="s">
        <v>312</v>
      </c>
      <c r="C59" s="79">
        <f t="shared" si="10"/>
        <v>1.0382713602498218E-3</v>
      </c>
      <c r="D59" s="79">
        <f t="shared" ref="D59:E59" si="24">E46</f>
        <v>3.8283016117927663E-3</v>
      </c>
      <c r="E59" s="79">
        <f t="shared" si="24"/>
        <v>4.5006415451572451E-4</v>
      </c>
      <c r="F59" s="79">
        <f t="shared" si="11"/>
        <v>3.7251372999090216E-3</v>
      </c>
      <c r="G59" s="79">
        <f t="shared" si="12"/>
        <v>3.5149039200619639E-3</v>
      </c>
      <c r="H59" s="79">
        <f t="shared" si="13"/>
        <v>1.0512571351951116E-2</v>
      </c>
      <c r="I59" s="79">
        <f t="shared" si="14"/>
        <v>1.4482969990656274E-2</v>
      </c>
      <c r="J59" s="79">
        <f t="shared" si="15"/>
        <v>6.5737399552440786E-3</v>
      </c>
      <c r="K59" s="79">
        <f t="shared" si="16"/>
        <v>1.2550508425586528E-2</v>
      </c>
    </row>
    <row r="60" spans="2:19">
      <c r="B60" s="16"/>
    </row>
    <row r="61" spans="2:19">
      <c r="B61" s="16"/>
      <c r="C61" s="79">
        <f t="shared" ref="C61:K61" si="25">SUM(C51:C60)</f>
        <v>0.47417397000000006</v>
      </c>
      <c r="D61" s="79">
        <f t="shared" si="25"/>
        <v>0.35900960000000004</v>
      </c>
      <c r="E61" s="79">
        <f t="shared" si="25"/>
        <v>0.46534159999999997</v>
      </c>
      <c r="F61" s="79">
        <f t="shared" si="25"/>
        <v>0.54087874999999996</v>
      </c>
      <c r="G61" s="79">
        <f t="shared" si="25"/>
        <v>0.39039269999999998</v>
      </c>
      <c r="H61" s="79">
        <f t="shared" si="25"/>
        <v>0.364052125</v>
      </c>
      <c r="I61" s="79">
        <f t="shared" si="25"/>
        <v>0.38867580000000002</v>
      </c>
      <c r="J61" s="79">
        <f t="shared" si="25"/>
        <v>0.14411926437704392</v>
      </c>
      <c r="K61" s="79">
        <f t="shared" si="25"/>
        <v>0.27515083562295606</v>
      </c>
    </row>
    <row r="62" spans="2:19">
      <c r="B62" s="16"/>
    </row>
    <row r="63" spans="2:19">
      <c r="B63" s="16"/>
    </row>
    <row r="64" spans="2:19">
      <c r="B64" s="16"/>
    </row>
    <row r="65" spans="2:12">
      <c r="B65" s="16"/>
    </row>
    <row r="66" spans="2:12">
      <c r="B66" s="16"/>
    </row>
    <row r="67" spans="2:12">
      <c r="B67" s="16"/>
    </row>
    <row r="68" spans="2:12">
      <c r="B68" s="16"/>
    </row>
    <row r="69" spans="2:12" ht="18">
      <c r="B69" s="79" t="s">
        <v>212</v>
      </c>
      <c r="C69" s="79">
        <f>SUM(C51:C68)</f>
        <v>0.94834794000000011</v>
      </c>
      <c r="D69" s="79">
        <f t="shared" ref="D69:K69" si="26">SUM(D51:D68)</f>
        <v>0.71801920000000008</v>
      </c>
      <c r="E69" s="79">
        <f t="shared" si="26"/>
        <v>0.93068319999999993</v>
      </c>
      <c r="F69" s="79">
        <f t="shared" si="26"/>
        <v>1.0817574999999999</v>
      </c>
      <c r="G69" s="79">
        <f t="shared" si="26"/>
        <v>0.78078539999999996</v>
      </c>
      <c r="H69" s="79">
        <f t="shared" si="26"/>
        <v>0.72810425000000001</v>
      </c>
      <c r="I69" s="79">
        <f t="shared" si="26"/>
        <v>0.77735160000000003</v>
      </c>
      <c r="J69" s="79">
        <f t="shared" si="26"/>
        <v>0.28823852875408784</v>
      </c>
      <c r="K69" s="79">
        <f t="shared" si="26"/>
        <v>0.55030167124591212</v>
      </c>
      <c r="L69" s="112"/>
    </row>
    <row r="70" spans="2:12">
      <c r="B70" s="79" t="s">
        <v>347</v>
      </c>
      <c r="C70" s="79">
        <f>SUM(SAM!C12:C45)</f>
        <v>5577.3050916029042</v>
      </c>
      <c r="D70" s="79">
        <f>SUM(SAM!D12:D45)</f>
        <v>2489.652011669883</v>
      </c>
      <c r="E70" s="79">
        <f>SUM(SAM!E12:E45)</f>
        <v>36971.175173328156</v>
      </c>
      <c r="F70" s="79">
        <f>SUM(SAM!F12:F45)</f>
        <v>37666.495515162242</v>
      </c>
      <c r="G70" s="79">
        <f>SUM(SAM!G12:G45)</f>
        <v>85002.764723793603</v>
      </c>
      <c r="H70" s="79">
        <f>SUM(SAM!H12:H45)</f>
        <v>346142.95882887224</v>
      </c>
      <c r="I70" s="79">
        <f>SUM(SAM!I12:I45)</f>
        <v>77895.129674148775</v>
      </c>
      <c r="J70" s="79">
        <f>SUM(SAM!J12:J45)</f>
        <v>102033.3879425643</v>
      </c>
      <c r="K70" s="79">
        <f>SUM(SAM!K12:K45)</f>
        <v>129784.0987617076</v>
      </c>
    </row>
    <row r="71" spans="2:12">
      <c r="B71" s="79" t="s">
        <v>348</v>
      </c>
      <c r="C71" s="79">
        <f>C70/C69</f>
        <v>5881.0747156817815</v>
      </c>
      <c r="D71" s="79">
        <f t="shared" ref="D71:K71" si="27">D70/D69</f>
        <v>3467.3891891329408</v>
      </c>
      <c r="E71" s="79">
        <f t="shared" si="27"/>
        <v>39724.769044211993</v>
      </c>
      <c r="F71" s="79">
        <f t="shared" si="27"/>
        <v>34819.722086661975</v>
      </c>
      <c r="G71" s="79">
        <f t="shared" si="27"/>
        <v>108868.28150704868</v>
      </c>
      <c r="H71" s="79">
        <f t="shared" si="27"/>
        <v>475403.01931882999</v>
      </c>
      <c r="I71" s="79">
        <f t="shared" si="27"/>
        <v>100205.78805542919</v>
      </c>
      <c r="J71" s="79">
        <f t="shared" si="27"/>
        <v>353989.41419665166</v>
      </c>
      <c r="K71" s="79">
        <f t="shared" si="27"/>
        <v>235841.73107791864</v>
      </c>
    </row>
    <row r="72" spans="2:12" ht="15" thickBot="1"/>
    <row r="73" spans="2:12">
      <c r="B73" s="99"/>
      <c r="C73" s="100" t="s">
        <v>271</v>
      </c>
      <c r="D73" s="101" t="s">
        <v>275</v>
      </c>
      <c r="E73" s="101" t="s">
        <v>276</v>
      </c>
      <c r="F73" s="100" t="s">
        <v>296</v>
      </c>
      <c r="G73" s="100" t="s">
        <v>295</v>
      </c>
      <c r="H73" s="100" t="s">
        <v>293</v>
      </c>
      <c r="I73" s="100" t="s">
        <v>269</v>
      </c>
      <c r="J73" s="100" t="s">
        <v>294</v>
      </c>
      <c r="K73" s="102" t="s">
        <v>312</v>
      </c>
    </row>
    <row r="74" spans="2:12">
      <c r="B74" s="103" t="s">
        <v>271</v>
      </c>
      <c r="C74" s="104">
        <f t="shared" ref="C74:C82" si="28">C51*C$71</f>
        <v>834.78738619503577</v>
      </c>
      <c r="D74" s="104">
        <f t="shared" ref="D74:K74" si="29">D51*D$71</f>
        <v>223.45589629367237</v>
      </c>
      <c r="E74" s="104">
        <f t="shared" si="29"/>
        <v>444.54002798925427</v>
      </c>
      <c r="F74" s="104">
        <f t="shared" si="29"/>
        <v>1742.4746474523035</v>
      </c>
      <c r="G74" s="104">
        <f t="shared" si="29"/>
        <v>89.712907375883461</v>
      </c>
      <c r="H74" s="104">
        <f t="shared" si="29"/>
        <v>280.95129934194557</v>
      </c>
      <c r="I74" s="104">
        <f t="shared" si="29"/>
        <v>21.955088162944538</v>
      </c>
      <c r="J74" s="104">
        <f t="shared" si="29"/>
        <v>678.69331479545144</v>
      </c>
      <c r="K74" s="105">
        <f t="shared" si="29"/>
        <v>863.28212727687526</v>
      </c>
    </row>
    <row r="75" spans="2:12">
      <c r="B75" s="103" t="s">
        <v>290</v>
      </c>
      <c r="C75" s="104">
        <f t="shared" si="28"/>
        <v>71.082197658559423</v>
      </c>
      <c r="D75" s="104">
        <f t="shared" ref="D75:K82" si="30">D52*D$71</f>
        <v>187.30593682452906</v>
      </c>
      <c r="E75" s="104">
        <f t="shared" si="30"/>
        <v>121.45848135267816</v>
      </c>
      <c r="F75" s="104">
        <f t="shared" si="30"/>
        <v>371.83807117735887</v>
      </c>
      <c r="G75" s="104">
        <f t="shared" si="30"/>
        <v>1593.7880939505901</v>
      </c>
      <c r="H75" s="104">
        <f t="shared" si="30"/>
        <v>3184.5346652091143</v>
      </c>
      <c r="I75" s="104">
        <f t="shared" si="30"/>
        <v>622.40821134868736</v>
      </c>
      <c r="J75" s="104">
        <f t="shared" si="30"/>
        <v>2712.0841360204709</v>
      </c>
      <c r="K75" s="105">
        <f t="shared" si="30"/>
        <v>3449.7080069268859</v>
      </c>
    </row>
    <row r="76" spans="2:12">
      <c r="B76" s="103" t="s">
        <v>311</v>
      </c>
      <c r="C76" s="104">
        <f t="shared" si="28"/>
        <v>37.779435866068198</v>
      </c>
      <c r="D76" s="104">
        <f t="shared" si="30"/>
        <v>48.161342359218722</v>
      </c>
      <c r="E76" s="104">
        <f t="shared" si="30"/>
        <v>5.5257153740498879</v>
      </c>
      <c r="F76" s="104">
        <f t="shared" si="30"/>
        <v>136.23390365016931</v>
      </c>
      <c r="G76" s="104">
        <f t="shared" si="30"/>
        <v>201.23757495170415</v>
      </c>
      <c r="H76" s="104">
        <f t="shared" si="30"/>
        <v>3544.9852344566516</v>
      </c>
      <c r="I76" s="104">
        <f t="shared" si="30"/>
        <v>50.754231650074885</v>
      </c>
      <c r="J76" s="104">
        <f t="shared" si="30"/>
        <v>285.53377422575727</v>
      </c>
      <c r="K76" s="105">
        <f t="shared" si="30"/>
        <v>363.1923265625465</v>
      </c>
    </row>
    <row r="77" spans="2:12">
      <c r="B77" s="103" t="s">
        <v>296</v>
      </c>
      <c r="C77" s="104">
        <f t="shared" si="28"/>
        <v>1009.3588556254475</v>
      </c>
      <c r="D77" s="104">
        <f t="shared" si="30"/>
        <v>347.38870764733758</v>
      </c>
      <c r="E77" s="104">
        <f t="shared" si="30"/>
        <v>9878.4695475775206</v>
      </c>
      <c r="F77" s="104">
        <f t="shared" si="30"/>
        <v>10108.483922215062</v>
      </c>
      <c r="G77" s="104">
        <f t="shared" si="30"/>
        <v>7634.7039586981582</v>
      </c>
      <c r="H77" s="104">
        <f t="shared" si="30"/>
        <v>25087.84928473847</v>
      </c>
      <c r="I77" s="104">
        <f t="shared" si="30"/>
        <v>8653.6916918364204</v>
      </c>
      <c r="J77" s="104">
        <f t="shared" si="30"/>
        <v>10445.57646878688</v>
      </c>
      <c r="K77" s="105">
        <f t="shared" si="30"/>
        <v>13286.530569886854</v>
      </c>
    </row>
    <row r="78" spans="2:12">
      <c r="B78" s="103" t="s">
        <v>295</v>
      </c>
      <c r="C78" s="104">
        <f t="shared" si="28"/>
        <v>3.7287189912365633</v>
      </c>
      <c r="D78" s="104">
        <f t="shared" si="30"/>
        <v>63.647395955724264</v>
      </c>
      <c r="E78" s="104">
        <f t="shared" si="30"/>
        <v>4217.8965275763412</v>
      </c>
      <c r="F78" s="104">
        <f t="shared" si="30"/>
        <v>1720.4633601352202</v>
      </c>
      <c r="G78" s="104">
        <f t="shared" si="30"/>
        <v>2668.9657987001274</v>
      </c>
      <c r="H78" s="104">
        <f t="shared" si="30"/>
        <v>6771.6406071774145</v>
      </c>
      <c r="I78" s="104">
        <f t="shared" si="30"/>
        <v>2273.4288370863551</v>
      </c>
      <c r="J78" s="104">
        <f t="shared" si="30"/>
        <v>2989.1855014190546</v>
      </c>
      <c r="K78" s="105">
        <f t="shared" si="30"/>
        <v>3802.1745053846062</v>
      </c>
    </row>
    <row r="79" spans="2:12">
      <c r="B79" s="103" t="s">
        <v>293</v>
      </c>
      <c r="C79" s="104">
        <f t="shared" si="28"/>
        <v>822.48564815850864</v>
      </c>
      <c r="D79" s="104">
        <f t="shared" si="30"/>
        <v>353.40566810723999</v>
      </c>
      <c r="E79" s="104">
        <f t="shared" si="30"/>
        <v>3790.2713062461116</v>
      </c>
      <c r="F79" s="104">
        <f t="shared" si="30"/>
        <v>4552.8162007332958</v>
      </c>
      <c r="G79" s="104">
        <f t="shared" si="30"/>
        <v>29485.781938501637</v>
      </c>
      <c r="H79" s="104">
        <f t="shared" si="30"/>
        <v>125935.5671758612</v>
      </c>
      <c r="I79" s="104">
        <f t="shared" si="30"/>
        <v>23627.873485847846</v>
      </c>
      <c r="J79" s="104">
        <f t="shared" si="30"/>
        <v>30185.164126425778</v>
      </c>
      <c r="K79" s="105">
        <f t="shared" si="30"/>
        <v>38394.827429700075</v>
      </c>
    </row>
    <row r="80" spans="2:12">
      <c r="B80" s="103" t="s">
        <v>269</v>
      </c>
      <c r="C80" s="104">
        <f t="shared" si="28"/>
        <v>0.12585499891559013</v>
      </c>
      <c r="D80" s="104">
        <f t="shared" si="30"/>
        <v>1.2340438124124136</v>
      </c>
      <c r="E80" s="104">
        <f t="shared" si="30"/>
        <v>0.18273393760337517</v>
      </c>
      <c r="F80" s="104">
        <f t="shared" si="30"/>
        <v>3.2904637371895569</v>
      </c>
      <c r="G80" s="104">
        <f t="shared" si="30"/>
        <v>244.0990173810292</v>
      </c>
      <c r="H80" s="104">
        <f t="shared" si="30"/>
        <v>650.52960656040398</v>
      </c>
      <c r="I80" s="104">
        <f t="shared" si="30"/>
        <v>1486.0217751255982</v>
      </c>
      <c r="J80" s="104">
        <f t="shared" si="30"/>
        <v>174.56181390278337</v>
      </c>
      <c r="K80" s="105">
        <f t="shared" si="30"/>
        <v>222.03857141678566</v>
      </c>
    </row>
    <row r="81" spans="2:22">
      <c r="B81" s="103" t="s">
        <v>294</v>
      </c>
      <c r="C81" s="104">
        <f t="shared" si="28"/>
        <v>3.1982968628983897</v>
      </c>
      <c r="D81" s="104">
        <f t="shared" si="30"/>
        <v>6.9528032133365603</v>
      </c>
      <c r="E81" s="104">
        <f t="shared" si="30"/>
        <v>9.364552017304888</v>
      </c>
      <c r="F81" s="104">
        <f t="shared" si="30"/>
        <v>67.93894296302885</v>
      </c>
      <c r="G81" s="104">
        <f t="shared" si="30"/>
        <v>200.43152289814259</v>
      </c>
      <c r="H81" s="104">
        <f t="shared" si="30"/>
        <v>2617.7133795687269</v>
      </c>
      <c r="I81" s="104">
        <f t="shared" si="30"/>
        <v>760.15409471961732</v>
      </c>
      <c r="J81" s="104">
        <f t="shared" si="30"/>
        <v>1218.8604798679992</v>
      </c>
      <c r="K81" s="105">
        <f t="shared" si="30"/>
        <v>1550.362210700843</v>
      </c>
    </row>
    <row r="82" spans="2:22" ht="15" thickBot="1">
      <c r="B82" s="106" t="s">
        <v>312</v>
      </c>
      <c r="C82" s="107">
        <f t="shared" si="28"/>
        <v>6.1061514447817578</v>
      </c>
      <c r="D82" s="107">
        <f t="shared" si="30"/>
        <v>13.27421162147045</v>
      </c>
      <c r="E82" s="107">
        <f t="shared" si="30"/>
        <v>17.878694593215695</v>
      </c>
      <c r="F82" s="107">
        <f t="shared" si="30"/>
        <v>129.70824551749052</v>
      </c>
      <c r="G82" s="107">
        <f t="shared" si="30"/>
        <v>382.66154943953484</v>
      </c>
      <c r="H82" s="107">
        <f t="shared" si="30"/>
        <v>4997.708161522195</v>
      </c>
      <c r="I82" s="107">
        <f t="shared" si="30"/>
        <v>1451.2774212968438</v>
      </c>
      <c r="J82" s="107">
        <f t="shared" si="30"/>
        <v>2327.0343558379745</v>
      </c>
      <c r="K82" s="108">
        <f t="shared" si="30"/>
        <v>2959.9336329983298</v>
      </c>
    </row>
    <row r="85" spans="2:22">
      <c r="C85" t="s">
        <v>621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  <c r="N85" t="s">
        <v>644</v>
      </c>
      <c r="O85" t="s">
        <v>645</v>
      </c>
      <c r="P85" t="s">
        <v>646</v>
      </c>
      <c r="Q85" t="s">
        <v>648</v>
      </c>
      <c r="R85" t="s">
        <v>290</v>
      </c>
      <c r="S85" t="s">
        <v>649</v>
      </c>
      <c r="T85" t="s">
        <v>651</v>
      </c>
      <c r="U85" t="s">
        <v>652</v>
      </c>
      <c r="V85" t="s">
        <v>653</v>
      </c>
    </row>
    <row r="86" spans="2:22">
      <c r="B86" t="s">
        <v>621</v>
      </c>
      <c r="C86" s="79">
        <f>$N50*E53</f>
        <v>1.6240118994672555E-5</v>
      </c>
      <c r="D86" s="79">
        <f>$N50*G53</f>
        <v>2.1580911542561098E-4</v>
      </c>
      <c r="E86" s="79">
        <f t="shared" ref="E86:H86" si="31">$N50*H53</f>
        <v>8.7059179956487653E-4</v>
      </c>
      <c r="F86" s="79">
        <f t="shared" si="31"/>
        <v>5.9134581386065064E-5</v>
      </c>
      <c r="G86" s="79">
        <f t="shared" si="31"/>
        <v>9.4173625032953299E-5</v>
      </c>
      <c r="H86" s="79">
        <f t="shared" si="31"/>
        <v>1.797951976334638E-4</v>
      </c>
      <c r="I86" s="79">
        <f>0.33*C53</f>
        <v>2.119887E-3</v>
      </c>
      <c r="J86" s="79">
        <f>$O50*E53</f>
        <v>6.4895078169315877E-5</v>
      </c>
      <c r="K86" s="79">
        <f>0.33*F53</f>
        <v>1.2911414999999999E-3</v>
      </c>
      <c r="L86" s="79">
        <f t="shared" ref="L86:P86" si="32">$O50*G53</f>
        <v>8.623674136741332E-4</v>
      </c>
      <c r="M86" s="79">
        <f t="shared" si="32"/>
        <v>3.4788613867214571E-3</v>
      </c>
      <c r="N86" s="79">
        <f t="shared" si="32"/>
        <v>2.36300194771808E-4</v>
      </c>
      <c r="O86" s="79">
        <f t="shared" si="32"/>
        <v>3.7631526961139539E-4</v>
      </c>
      <c r="P86" s="79">
        <f t="shared" si="32"/>
        <v>7.1845676800267092E-4</v>
      </c>
      <c r="Q86" s="79">
        <f>I86</f>
        <v>2.119887E-3</v>
      </c>
      <c r="R86" s="79">
        <f>0.7*D53</f>
        <v>9.7228599999999998E-3</v>
      </c>
      <c r="S86" s="79">
        <f>J86</f>
        <v>6.4895078169315877E-5</v>
      </c>
      <c r="T86" s="79">
        <f>L86*2.5</f>
        <v>2.1559185341853328E-3</v>
      </c>
      <c r="U86" s="79">
        <f>M86</f>
        <v>3.4788613867214571E-3</v>
      </c>
      <c r="V86" s="79">
        <f>N86*2</f>
        <v>4.72600389543616E-4</v>
      </c>
    </row>
    <row r="87" spans="2:22">
      <c r="B87" t="s">
        <v>623</v>
      </c>
      <c r="C87" s="79">
        <f t="shared" ref="C87:C91" si="33">$N51*E54</f>
        <v>7.6194296705453329E-2</v>
      </c>
      <c r="D87" s="79">
        <f t="shared" ref="D87:D91" si="34">$N51*G54</f>
        <v>2.1487456689796233E-2</v>
      </c>
      <c r="E87" s="79">
        <f t="shared" ref="E87:E91" si="35">$N51*H54</f>
        <v>1.6169465969603461E-2</v>
      </c>
      <c r="F87" s="79">
        <f t="shared" ref="F87:F91" si="36">$N51*I54</f>
        <v>2.6460789069192872E-2</v>
      </c>
      <c r="G87" s="79">
        <f t="shared" ref="G87:G91" si="37">$N51*J54</f>
        <v>9.0414132166391457E-3</v>
      </c>
      <c r="H87" s="79">
        <f t="shared" ref="H87:H91" si="38">$N51*K54</f>
        <v>1.7261761725776353E-2</v>
      </c>
      <c r="I87" s="79">
        <f>0.33*C55</f>
        <v>2.0922660000000001E-4</v>
      </c>
      <c r="J87" s="79">
        <f>$O51*F51</f>
        <v>3.4424287458940869E-2</v>
      </c>
      <c r="K87" s="79">
        <f t="shared" ref="K87:K91" si="39">0.33*F54</f>
        <v>9.5802019499999988E-2</v>
      </c>
      <c r="L87" s="79">
        <f>$O51*G51</f>
        <v>5.6686201458833142E-4</v>
      </c>
      <c r="M87" s="79">
        <f>$O51*H51</f>
        <v>4.0653028222964525E-4</v>
      </c>
      <c r="N87" s="79">
        <f>$O51*I51</f>
        <v>1.50718363444334E-4</v>
      </c>
      <c r="O87" s="79">
        <f>$O51*J51</f>
        <v>1.3188854848286441E-3</v>
      </c>
      <c r="P87" s="79">
        <f>$O51*K51</f>
        <v>2.5180009404724133E-3</v>
      </c>
      <c r="Q87" s="79">
        <f t="shared" ref="Q87:Q105" si="40">I87</f>
        <v>2.0922660000000001E-4</v>
      </c>
      <c r="R87" s="79">
        <f>0.7*D53</f>
        <v>9.7228599999999998E-3</v>
      </c>
      <c r="S87" s="79">
        <f t="shared" ref="S87:S105" si="41">J87</f>
        <v>3.4424287458940869E-2</v>
      </c>
      <c r="T87" s="79">
        <f t="shared" ref="T87:T105" si="42">L87*2.5</f>
        <v>1.4171550364708285E-3</v>
      </c>
      <c r="U87" s="79">
        <f t="shared" ref="U87:U105" si="43">M87</f>
        <v>4.0653028222964525E-4</v>
      </c>
      <c r="V87" s="79">
        <f t="shared" ref="V87:V104" si="44">N87*2</f>
        <v>3.01436726888668E-4</v>
      </c>
    </row>
    <row r="88" spans="2:22">
      <c r="B88" t="s">
        <v>624</v>
      </c>
      <c r="C88" s="79">
        <f t="shared" si="33"/>
        <v>3.8025345848082127E-2</v>
      </c>
      <c r="D88" s="79">
        <f t="shared" si="34"/>
        <v>8.7797120628185683E-3</v>
      </c>
      <c r="E88" s="79">
        <f t="shared" si="35"/>
        <v>5.1011793993113626E-3</v>
      </c>
      <c r="F88" s="79">
        <f t="shared" si="36"/>
        <v>8.1250714504223862E-3</v>
      </c>
      <c r="G88" s="79">
        <f t="shared" si="37"/>
        <v>3.0241353465779389E-3</v>
      </c>
      <c r="H88" s="79">
        <f t="shared" si="38"/>
        <v>5.7736442886005875E-3</v>
      </c>
      <c r="I88" s="79">
        <f t="shared" ref="I88:I91" si="45">0.33*C56</f>
        <v>4.6151473500000012E-2</v>
      </c>
      <c r="J88" s="79">
        <f t="shared" ref="J88:J91" si="46">$O52*F52</f>
        <v>4.6945223418752135E-3</v>
      </c>
      <c r="K88" s="79">
        <f t="shared" si="39"/>
        <v>1.6305498000000002E-2</v>
      </c>
      <c r="L88" s="79">
        <f t="shared" ref="L88:P88" si="47">$O52*G52</f>
        <v>6.4356448223951215E-3</v>
      </c>
      <c r="M88" s="79">
        <f t="shared" si="47"/>
        <v>2.9447396381933905E-3</v>
      </c>
      <c r="N88" s="79">
        <f t="shared" si="47"/>
        <v>2.7305200063760496E-3</v>
      </c>
      <c r="O88" s="79">
        <f t="shared" si="47"/>
        <v>3.3680283663945782E-3</v>
      </c>
      <c r="P88" s="79">
        <f t="shared" si="47"/>
        <v>6.4302008716254598E-3</v>
      </c>
      <c r="Q88" s="79">
        <f t="shared" si="40"/>
        <v>4.6151473500000012E-2</v>
      </c>
      <c r="R88" s="79">
        <f>0.7*D55</f>
        <v>1.28492E-2</v>
      </c>
      <c r="S88" s="79">
        <f t="shared" si="41"/>
        <v>4.6945223418752135E-3</v>
      </c>
      <c r="T88" s="79">
        <f t="shared" si="42"/>
        <v>1.6089112055987804E-2</v>
      </c>
      <c r="U88" s="79">
        <f t="shared" si="43"/>
        <v>2.9447396381933905E-3</v>
      </c>
      <c r="V88" s="79">
        <f t="shared" si="44"/>
        <v>5.4610400127520992E-3</v>
      </c>
    </row>
    <row r="89" spans="2:22">
      <c r="B89" t="s">
        <v>625</v>
      </c>
      <c r="C89" s="79">
        <f t="shared" si="33"/>
        <v>6.3127030871961254E-2</v>
      </c>
      <c r="D89" s="79">
        <f t="shared" si="34"/>
        <v>0.17919163335386848</v>
      </c>
      <c r="E89" s="79">
        <f t="shared" si="35"/>
        <v>0.17526407825027995</v>
      </c>
      <c r="F89" s="79">
        <f t="shared" si="36"/>
        <v>0.15600491287805576</v>
      </c>
      <c r="G89" s="79">
        <f t="shared" si="37"/>
        <v>5.6416964193531011E-2</v>
      </c>
      <c r="H89" s="79">
        <f t="shared" si="38"/>
        <v>0.10771061667750965</v>
      </c>
      <c r="I89" s="79">
        <f t="shared" si="45"/>
        <v>7.0619999999999995E-6</v>
      </c>
      <c r="J89" s="79">
        <f t="shared" si="46"/>
        <v>7.6658360808085438E-4</v>
      </c>
      <c r="K89" s="79">
        <f t="shared" si="39"/>
        <v>4.3148803500000006E-2</v>
      </c>
      <c r="L89" s="79">
        <f t="shared" ref="L89:P89" si="48">$O53*G53</f>
        <v>3.6216571554537459E-4</v>
      </c>
      <c r="M89" s="79">
        <f t="shared" si="48"/>
        <v>1.4610064149307525E-3</v>
      </c>
      <c r="N89" s="79">
        <f t="shared" si="48"/>
        <v>9.9238245515827979E-5</v>
      </c>
      <c r="O89" s="79">
        <f t="shared" si="48"/>
        <v>1.580399337085359E-4</v>
      </c>
      <c r="P89" s="79">
        <f t="shared" si="48"/>
        <v>3.0172801678986867E-4</v>
      </c>
      <c r="Q89" s="79">
        <f t="shared" si="40"/>
        <v>7.0619999999999995E-6</v>
      </c>
      <c r="R89" s="79">
        <f t="shared" ref="R89:R90" si="49">0.33*D56</f>
        <v>3.3634491000000002E-2</v>
      </c>
      <c r="S89" s="79">
        <f t="shared" si="41"/>
        <v>7.6658360808085438E-4</v>
      </c>
      <c r="T89" s="79">
        <f t="shared" si="42"/>
        <v>9.0541428886343643E-4</v>
      </c>
      <c r="U89" s="79">
        <f t="shared" si="43"/>
        <v>1.4610064149307525E-3</v>
      </c>
      <c r="V89" s="79">
        <f t="shared" si="44"/>
        <v>1.9847649103165596E-4</v>
      </c>
    </row>
    <row r="90" spans="2:22">
      <c r="B90" t="s">
        <v>626</v>
      </c>
      <c r="C90" s="79">
        <f t="shared" si="33"/>
        <v>1.2817331100121119E-6</v>
      </c>
      <c r="D90" s="79">
        <f t="shared" si="34"/>
        <v>6.2474736795949061E-4</v>
      </c>
      <c r="E90" s="79">
        <f t="shared" si="35"/>
        <v>3.812807705245269E-4</v>
      </c>
      <c r="F90" s="79">
        <f t="shared" si="36"/>
        <v>4.1321125003362207E-3</v>
      </c>
      <c r="G90" s="79">
        <f t="shared" si="37"/>
        <v>1.374037997169887E-4</v>
      </c>
      <c r="H90" s="79">
        <f t="shared" si="38"/>
        <v>2.6232974802722344E-4</v>
      </c>
      <c r="I90" s="79">
        <f t="shared" si="45"/>
        <v>1.7946345111755885E-4</v>
      </c>
      <c r="J90" s="79">
        <f t="shared" si="46"/>
        <v>0.20941809571859285</v>
      </c>
      <c r="K90" s="79">
        <f t="shared" si="39"/>
        <v>3.1185E-5</v>
      </c>
      <c r="L90" s="79">
        <f t="shared" ref="L90:P90" si="50">$O54*G54</f>
        <v>5.0587627963995997E-2</v>
      </c>
      <c r="M90" s="79">
        <f t="shared" si="50"/>
        <v>3.8067554511243121E-2</v>
      </c>
      <c r="N90" s="79">
        <f t="shared" si="50"/>
        <v>6.2296276957791739E-2</v>
      </c>
      <c r="O90" s="79">
        <f t="shared" si="50"/>
        <v>2.1286076555039463E-2</v>
      </c>
      <c r="P90" s="79">
        <f t="shared" si="50"/>
        <v>4.0639131600967549E-2</v>
      </c>
      <c r="Q90" s="79">
        <f t="shared" si="40"/>
        <v>1.7946345111755885E-4</v>
      </c>
      <c r="R90" s="79">
        <f t="shared" si="49"/>
        <v>1.17447E-4</v>
      </c>
      <c r="S90" s="79">
        <f t="shared" si="41"/>
        <v>0.20941809571859285</v>
      </c>
      <c r="T90" s="79">
        <f t="shared" si="42"/>
        <v>0.12646906990998999</v>
      </c>
      <c r="U90" s="79">
        <f t="shared" si="43"/>
        <v>3.8067554511243121E-2</v>
      </c>
      <c r="V90" s="79">
        <f t="shared" si="44"/>
        <v>0.12459255391558348</v>
      </c>
    </row>
    <row r="91" spans="2:22">
      <c r="B91" t="s">
        <v>627</v>
      </c>
      <c r="C91" s="79">
        <f t="shared" si="33"/>
        <v>2.1073556801018786E-4</v>
      </c>
      <c r="D91" s="79">
        <f t="shared" si="34"/>
        <v>1.6457993080842312E-3</v>
      </c>
      <c r="E91" s="79">
        <f t="shared" si="35"/>
        <v>4.9223486760122462E-3</v>
      </c>
      <c r="F91" s="79">
        <f t="shared" si="36"/>
        <v>6.7814263296296796E-3</v>
      </c>
      <c r="G91" s="79">
        <f t="shared" si="37"/>
        <v>3.0780518944243693E-3</v>
      </c>
      <c r="H91" s="79">
        <f t="shared" si="38"/>
        <v>5.8765811392567134E-3</v>
      </c>
      <c r="I91" s="79">
        <f t="shared" si="45"/>
        <v>3.4262954888244124E-4</v>
      </c>
      <c r="J91" s="79">
        <f t="shared" si="46"/>
        <v>5.2400970570406994E-3</v>
      </c>
      <c r="K91" s="79">
        <f t="shared" si="39"/>
        <v>6.4388369103002285E-4</v>
      </c>
      <c r="L91" s="79">
        <f t="shared" ref="L91:P91" si="51">$O55*G55</f>
        <v>2.5999251457528164E-3</v>
      </c>
      <c r="M91" s="79">
        <f t="shared" si="51"/>
        <v>1.5106058716244635E-3</v>
      </c>
      <c r="N91" s="79">
        <f t="shared" si="51"/>
        <v>2.4060672404568363E-3</v>
      </c>
      <c r="O91" s="79">
        <f t="shared" si="51"/>
        <v>8.9553341561451742E-4</v>
      </c>
      <c r="P91" s="79">
        <f t="shared" si="51"/>
        <v>1.70974205773051E-3</v>
      </c>
      <c r="Q91" s="79">
        <f t="shared" si="40"/>
        <v>3.4262954888244124E-4</v>
      </c>
      <c r="R91" s="79">
        <f>0.5*D58</f>
        <v>1.0025991941036169E-3</v>
      </c>
      <c r="S91" s="79">
        <f t="shared" si="41"/>
        <v>5.2400970570406994E-3</v>
      </c>
      <c r="T91" s="79">
        <f t="shared" si="42"/>
        <v>6.4998128643820405E-3</v>
      </c>
      <c r="U91" s="79">
        <f t="shared" si="43"/>
        <v>1.5106058716244635E-3</v>
      </c>
      <c r="V91" s="79">
        <f t="shared" si="44"/>
        <v>4.8121344809136726E-3</v>
      </c>
    </row>
    <row r="92" spans="2:22">
      <c r="B92" t="s">
        <v>639</v>
      </c>
      <c r="C92" s="79">
        <f>0.5*E51</f>
        <v>5.5952499999999995E-3</v>
      </c>
      <c r="D92" s="79">
        <f t="shared" ref="D92:H92" si="52">0.5*F51</f>
        <v>2.5021374999999998E-2</v>
      </c>
      <c r="E92" s="79">
        <f t="shared" si="52"/>
        <v>4.12025E-4</v>
      </c>
      <c r="F92" s="79">
        <f t="shared" si="52"/>
        <v>2.9548749999999999E-4</v>
      </c>
      <c r="G92" s="79">
        <f t="shared" si="52"/>
        <v>1.0955000000000001E-4</v>
      </c>
      <c r="H92" s="79">
        <f t="shared" si="52"/>
        <v>9.5863504327620532E-4</v>
      </c>
      <c r="I92" s="79">
        <f>0.5*C51</f>
        <v>7.0972350000000003E-2</v>
      </c>
      <c r="J92" s="79">
        <f>0.5*E51</f>
        <v>5.5952499999999995E-3</v>
      </c>
      <c r="K92" s="79">
        <f t="shared" ref="K92:P92" si="53">0.5*F51</f>
        <v>2.5021374999999998E-2</v>
      </c>
      <c r="L92" s="79">
        <f t="shared" si="53"/>
        <v>4.12025E-4</v>
      </c>
      <c r="M92" s="79">
        <f t="shared" si="53"/>
        <v>2.9548749999999999E-4</v>
      </c>
      <c r="N92" s="79">
        <f t="shared" si="53"/>
        <v>1.0955000000000001E-4</v>
      </c>
      <c r="O92" s="79">
        <f t="shared" si="53"/>
        <v>9.5863504327620532E-4</v>
      </c>
      <c r="P92" s="79">
        <f t="shared" si="53"/>
        <v>1.8302149567237945E-3</v>
      </c>
      <c r="Q92" s="79">
        <f t="shared" si="40"/>
        <v>7.0972350000000003E-2</v>
      </c>
      <c r="R92" s="79">
        <f>0.5*D51</f>
        <v>3.2222500000000001E-2</v>
      </c>
      <c r="S92" s="79">
        <f t="shared" si="41"/>
        <v>5.5952499999999995E-3</v>
      </c>
      <c r="T92" s="79">
        <f t="shared" si="42"/>
        <v>1.0300624999999999E-3</v>
      </c>
      <c r="U92" s="79">
        <f t="shared" si="43"/>
        <v>2.9548749999999999E-4</v>
      </c>
      <c r="V92" s="79">
        <f t="shared" si="44"/>
        <v>2.1910000000000001E-4</v>
      </c>
    </row>
    <row r="93" spans="2:22">
      <c r="B93" t="s">
        <v>640</v>
      </c>
      <c r="C93" s="79">
        <f>$O50*E53</f>
        <v>6.4895078169315877E-5</v>
      </c>
      <c r="D93" s="79">
        <f>$O50*G53</f>
        <v>8.623674136741332E-4</v>
      </c>
      <c r="E93" s="79">
        <f t="shared" ref="E93:H93" si="54">$O50*H53</f>
        <v>3.4788613867214571E-3</v>
      </c>
      <c r="F93" s="79">
        <f t="shared" si="54"/>
        <v>2.36300194771808E-4</v>
      </c>
      <c r="G93" s="79">
        <f t="shared" si="54"/>
        <v>3.7631526961139539E-4</v>
      </c>
      <c r="H93" s="79">
        <f t="shared" si="54"/>
        <v>7.1845676800267092E-4</v>
      </c>
      <c r="I93" s="79">
        <f>0.33*C53</f>
        <v>2.119887E-3</v>
      </c>
      <c r="J93" s="79">
        <f>$O50*E53</f>
        <v>6.4895078169315877E-5</v>
      </c>
      <c r="K93" s="79">
        <f t="shared" ref="K93:P93" si="55">$O50*F53</f>
        <v>1.8253431926050095E-3</v>
      </c>
      <c r="L93" s="79">
        <f t="shared" si="55"/>
        <v>8.623674136741332E-4</v>
      </c>
      <c r="M93" s="79">
        <f t="shared" si="55"/>
        <v>3.4788613867214571E-3</v>
      </c>
      <c r="N93" s="79">
        <f t="shared" si="55"/>
        <v>2.36300194771808E-4</v>
      </c>
      <c r="O93" s="79">
        <f t="shared" si="55"/>
        <v>3.7631526961139539E-4</v>
      </c>
      <c r="P93" s="79">
        <f t="shared" si="55"/>
        <v>7.1845676800267092E-4</v>
      </c>
      <c r="Q93" s="79">
        <f t="shared" si="40"/>
        <v>2.119887E-3</v>
      </c>
      <c r="R93" s="79">
        <f>0.33*D51</f>
        <v>2.126685E-2</v>
      </c>
      <c r="S93" s="79">
        <f t="shared" si="41"/>
        <v>6.4895078169315877E-5</v>
      </c>
      <c r="T93" s="79">
        <f t="shared" si="42"/>
        <v>2.1559185341853328E-3</v>
      </c>
      <c r="U93" s="79">
        <f t="shared" si="43"/>
        <v>3.4788613867214571E-3</v>
      </c>
      <c r="V93" s="79">
        <f t="shared" si="44"/>
        <v>4.72600389543616E-4</v>
      </c>
    </row>
    <row r="94" spans="2:22">
      <c r="B94" t="s">
        <v>641</v>
      </c>
      <c r="C94" s="79">
        <f t="shared" ref="C94" si="56">$O51*E54</f>
        <v>0.1710614214930177</v>
      </c>
      <c r="D94" s="79">
        <f t="shared" ref="D94" si="57">$O51*G54</f>
        <v>4.8240813873974935E-2</v>
      </c>
      <c r="E94" s="79">
        <f t="shared" ref="E94" si="58">$O51*H54</f>
        <v>3.6301560000426898E-2</v>
      </c>
      <c r="F94" s="79">
        <f t="shared" ref="F94" si="59">$O51*I54</f>
        <v>5.9406286135837184E-2</v>
      </c>
      <c r="G94" s="79">
        <f t="shared" ref="G94" si="60">$O51*J54</f>
        <v>2.029859272962296E-2</v>
      </c>
      <c r="H94" s="79">
        <f t="shared" ref="H94" si="61">$O51*K54</f>
        <v>3.8753838882454456E-2</v>
      </c>
      <c r="I94" s="79">
        <f t="shared" ref="I94:I99" si="62">0.33*C54</f>
        <v>5.6637339000000009E-2</v>
      </c>
      <c r="J94" s="79">
        <f>E54</f>
        <v>0.2486728</v>
      </c>
      <c r="K94" s="79">
        <f t="shared" ref="K94:P94" si="63">F54</f>
        <v>0.29030914999999996</v>
      </c>
      <c r="L94" s="79">
        <f t="shared" si="63"/>
        <v>7.0127899999999993E-2</v>
      </c>
      <c r="M94" s="79">
        <f t="shared" si="63"/>
        <v>5.2771750000000006E-2</v>
      </c>
      <c r="N94" s="79">
        <f t="shared" si="63"/>
        <v>8.6359199999999997E-2</v>
      </c>
      <c r="O94" s="79">
        <f t="shared" si="63"/>
        <v>2.9508160554722267E-2</v>
      </c>
      <c r="P94" s="79">
        <f t="shared" si="63"/>
        <v>5.6336639445277732E-2</v>
      </c>
      <c r="Q94" s="79">
        <f t="shared" si="40"/>
        <v>5.6637339000000009E-2</v>
      </c>
      <c r="R94" s="79">
        <f t="shared" ref="R94:R98" si="64">0.33*D52</f>
        <v>1.7826369000000002E-2</v>
      </c>
      <c r="S94" s="79">
        <f t="shared" si="41"/>
        <v>0.2486728</v>
      </c>
      <c r="T94" s="79">
        <f t="shared" si="42"/>
        <v>0.17531975</v>
      </c>
      <c r="U94" s="79">
        <f t="shared" si="43"/>
        <v>5.2771750000000006E-2</v>
      </c>
      <c r="V94" s="79">
        <f t="shared" si="44"/>
        <v>0.17271839999999999</v>
      </c>
    </row>
    <row r="95" spans="2:22">
      <c r="B95" t="s">
        <v>642</v>
      </c>
      <c r="C95" s="79">
        <f>$O51*E55</f>
        <v>7.303959102598126E-2</v>
      </c>
      <c r="D95" s="79">
        <f>$O51*G55</f>
        <v>1.6864187927602657E-2</v>
      </c>
      <c r="E95" s="79">
        <f>$O51*H55</f>
        <v>9.798413367873543E-3</v>
      </c>
      <c r="F95" s="79">
        <f>$O51*I55</f>
        <v>1.5606745515653454E-2</v>
      </c>
      <c r="G95" s="79">
        <f>$O51*J55</f>
        <v>5.8087994729548861E-3</v>
      </c>
      <c r="H95" s="79">
        <f>$O51*K55</f>
        <v>1.1090092888402981E-2</v>
      </c>
      <c r="I95" s="79">
        <f t="shared" si="62"/>
        <v>2.0922660000000001E-4</v>
      </c>
      <c r="J95" s="79">
        <f>$O51*E55</f>
        <v>7.303959102598126E-2</v>
      </c>
      <c r="K95" s="79">
        <f t="shared" ref="K95:P95" si="65">$O51*F55</f>
        <v>3.3989432993165716E-2</v>
      </c>
      <c r="L95" s="79">
        <f t="shared" si="65"/>
        <v>1.6864187927602657E-2</v>
      </c>
      <c r="M95" s="79">
        <f t="shared" si="65"/>
        <v>9.798413367873543E-3</v>
      </c>
      <c r="N95" s="79">
        <f t="shared" si="65"/>
        <v>1.5606745515653454E-2</v>
      </c>
      <c r="O95" s="79">
        <f t="shared" si="65"/>
        <v>5.8087994729548861E-3</v>
      </c>
      <c r="P95" s="79">
        <f t="shared" si="65"/>
        <v>1.1090092888402981E-2</v>
      </c>
      <c r="Q95" s="79">
        <f t="shared" si="40"/>
        <v>2.0922660000000001E-4</v>
      </c>
      <c r="R95" s="79">
        <f>0.8*D53</f>
        <v>1.1111840000000001E-2</v>
      </c>
      <c r="S95" s="79">
        <f t="shared" si="41"/>
        <v>7.303959102598126E-2</v>
      </c>
      <c r="T95" s="79">
        <f t="shared" si="42"/>
        <v>4.2160469819006646E-2</v>
      </c>
      <c r="U95" s="79">
        <f t="shared" si="43"/>
        <v>9.798413367873543E-3</v>
      </c>
      <c r="V95" s="79">
        <f t="shared" si="44"/>
        <v>3.1213491031306908E-2</v>
      </c>
    </row>
    <row r="96" spans="2:22">
      <c r="B96" t="s">
        <v>643</v>
      </c>
      <c r="C96" s="79">
        <f t="shared" ref="C96:C99" si="66">$O52*E56</f>
        <v>4.1944186325625861E-2</v>
      </c>
      <c r="D96" s="79">
        <f t="shared" ref="D96:D99" si="67">$O52*G56</f>
        <v>0.11906226466808612</v>
      </c>
      <c r="E96" s="79">
        <f t="shared" ref="E96:E99" si="68">$O52*H56</f>
        <v>0.11645263610178758</v>
      </c>
      <c r="F96" s="79">
        <f t="shared" ref="F96:F99" si="69">$O52*I56</f>
        <v>0.10365605736696523</v>
      </c>
      <c r="G96" s="79">
        <f t="shared" ref="G96:H96" si="70">$O52*J56</f>
        <v>3.748574303865574E-2</v>
      </c>
      <c r="H96" s="79">
        <f t="shared" si="70"/>
        <v>7.1567347818606006E-2</v>
      </c>
      <c r="I96" s="79">
        <f t="shared" si="62"/>
        <v>4.6151473500000012E-2</v>
      </c>
      <c r="J96" s="79">
        <f t="shared" ref="J96:J99" si="71">$O52*E56</f>
        <v>4.1944186325625861E-2</v>
      </c>
      <c r="K96" s="79">
        <f t="shared" ref="K96:K99" si="72">$O52*F56</f>
        <v>5.7480121132080834E-2</v>
      </c>
      <c r="L96" s="79">
        <f t="shared" ref="L96:L99" si="73">$O52*G56</f>
        <v>0.11906226466808612</v>
      </c>
      <c r="M96" s="79">
        <f t="shared" ref="M96:M99" si="74">$O52*H56</f>
        <v>0.11645263610178758</v>
      </c>
      <c r="N96" s="79">
        <f t="shared" ref="N96:N99" si="75">$O52*I56</f>
        <v>0.10365605736696523</v>
      </c>
      <c r="O96" s="79">
        <f t="shared" ref="O96:O99" si="76">$O52*J56</f>
        <v>3.748574303865574E-2</v>
      </c>
      <c r="P96" s="79">
        <f t="shared" ref="P96:P99" si="77">$O52*K56</f>
        <v>7.1567347818606006E-2</v>
      </c>
      <c r="Q96" s="79">
        <f t="shared" si="40"/>
        <v>4.6151473500000012E-2</v>
      </c>
      <c r="R96" s="79">
        <f t="shared" si="64"/>
        <v>3.3061842000000001E-2</v>
      </c>
      <c r="S96" s="79">
        <f t="shared" si="41"/>
        <v>4.1944186325625861E-2</v>
      </c>
      <c r="T96" s="79">
        <f t="shared" si="42"/>
        <v>0.29765566167021529</v>
      </c>
      <c r="U96" s="79">
        <f t="shared" si="43"/>
        <v>0.11645263610178758</v>
      </c>
      <c r="V96" s="79">
        <f t="shared" si="44"/>
        <v>0.20731211473393046</v>
      </c>
    </row>
    <row r="97" spans="2:22">
      <c r="B97" t="s">
        <v>644</v>
      </c>
      <c r="C97" s="79">
        <f t="shared" si="66"/>
        <v>9.0127528010426199E-7</v>
      </c>
      <c r="D97" s="79">
        <f t="shared" si="67"/>
        <v>4.3930312375777632E-4</v>
      </c>
      <c r="E97" s="79">
        <f t="shared" si="68"/>
        <v>2.6810490465492814E-4</v>
      </c>
      <c r="F97" s="79">
        <f t="shared" si="69"/>
        <v>2.9055743524700377E-3</v>
      </c>
      <c r="G97" s="79">
        <f t="shared" ref="G97:H97" si="78">$O53*J57</f>
        <v>9.6618123624932084E-5</v>
      </c>
      <c r="H97" s="79">
        <f t="shared" si="78"/>
        <v>1.8446220612236669E-4</v>
      </c>
      <c r="I97" s="79">
        <f t="shared" si="62"/>
        <v>7.0619999999999995E-6</v>
      </c>
      <c r="J97" s="79">
        <f t="shared" si="71"/>
        <v>9.0127528010426199E-7</v>
      </c>
      <c r="K97" s="79">
        <f t="shared" si="72"/>
        <v>1.8515329123881037E-5</v>
      </c>
      <c r="L97" s="79">
        <f t="shared" si="73"/>
        <v>4.3930312375777632E-4</v>
      </c>
      <c r="M97" s="79">
        <f t="shared" si="74"/>
        <v>2.6810490465492814E-4</v>
      </c>
      <c r="N97" s="79">
        <f t="shared" si="75"/>
        <v>2.9055743524700377E-3</v>
      </c>
      <c r="O97" s="79">
        <f t="shared" si="76"/>
        <v>9.6618123624932084E-5</v>
      </c>
      <c r="P97" s="79">
        <f t="shared" si="77"/>
        <v>1.8446220612236669E-4</v>
      </c>
      <c r="Q97" s="79">
        <f t="shared" si="40"/>
        <v>7.0619999999999995E-6</v>
      </c>
      <c r="R97" s="79">
        <f>0.8*D55</f>
        <v>1.4684800000000001E-2</v>
      </c>
      <c r="S97" s="79">
        <f t="shared" si="41"/>
        <v>9.0127528010426199E-7</v>
      </c>
      <c r="T97" s="79">
        <f t="shared" si="42"/>
        <v>1.0982578093944408E-3</v>
      </c>
      <c r="U97" s="79">
        <f t="shared" si="43"/>
        <v>2.6810490465492814E-4</v>
      </c>
      <c r="V97" s="79">
        <f t="shared" si="44"/>
        <v>5.8111487049400754E-3</v>
      </c>
    </row>
    <row r="98" spans="2:22">
      <c r="B98" t="s">
        <v>645</v>
      </c>
      <c r="C98" s="79">
        <f t="shared" si="66"/>
        <v>1.7005096757690698E-4</v>
      </c>
      <c r="D98" s="79">
        <f t="shared" si="67"/>
        <v>1.328061358695735E-3</v>
      </c>
      <c r="E98" s="79">
        <f t="shared" si="68"/>
        <v>3.9720402351174191E-3</v>
      </c>
      <c r="F98" s="79">
        <f t="shared" si="69"/>
        <v>5.4722044303849547E-3</v>
      </c>
      <c r="G98" s="79">
        <f t="shared" ref="G98:H98" si="79">$O54*J58</f>
        <v>2.4838033173094488E-3</v>
      </c>
      <c r="H98" s="79">
        <f t="shared" si="79"/>
        <v>4.7420486167123674E-3</v>
      </c>
      <c r="I98" s="79">
        <f t="shared" si="62"/>
        <v>1.7946345111755885E-4</v>
      </c>
      <c r="J98" s="79">
        <f t="shared" si="71"/>
        <v>1.7005096757690698E-4</v>
      </c>
      <c r="K98" s="79">
        <f t="shared" si="72"/>
        <v>1.4074953444981001E-3</v>
      </c>
      <c r="L98" s="79">
        <f t="shared" si="73"/>
        <v>1.328061358695735E-3</v>
      </c>
      <c r="M98" s="79">
        <f t="shared" si="74"/>
        <v>3.9720402351174191E-3</v>
      </c>
      <c r="N98" s="79">
        <f t="shared" si="75"/>
        <v>5.4722044303849547E-3</v>
      </c>
      <c r="O98" s="79">
        <f t="shared" si="76"/>
        <v>2.4838033173094488E-3</v>
      </c>
      <c r="P98" s="79">
        <f t="shared" si="77"/>
        <v>4.7420486167123674E-3</v>
      </c>
      <c r="Q98" s="79">
        <f t="shared" si="40"/>
        <v>1.7946345111755885E-4</v>
      </c>
      <c r="R98" s="79">
        <f t="shared" si="64"/>
        <v>3.3634491000000002E-2</v>
      </c>
      <c r="S98" s="79">
        <f t="shared" si="41"/>
        <v>1.7005096757690698E-4</v>
      </c>
      <c r="T98" s="79">
        <f t="shared" si="42"/>
        <v>3.3201533967393373E-3</v>
      </c>
      <c r="U98" s="79">
        <f t="shared" si="43"/>
        <v>3.9720402351174191E-3</v>
      </c>
      <c r="V98" s="79">
        <f t="shared" si="44"/>
        <v>1.0944408860769909E-2</v>
      </c>
    </row>
    <row r="99" spans="2:22">
      <c r="B99" t="s">
        <v>646</v>
      </c>
      <c r="C99" s="79">
        <f t="shared" si="66"/>
        <v>4.7730241113391831E-5</v>
      </c>
      <c r="D99" s="79">
        <f t="shared" si="67"/>
        <v>3.7276288260611114E-4</v>
      </c>
      <c r="E99" s="79">
        <f t="shared" si="68"/>
        <v>1.1148800905734682E-3</v>
      </c>
      <c r="F99" s="79">
        <f t="shared" si="69"/>
        <v>1.5359491369310776E-3</v>
      </c>
      <c r="G99" s="79">
        <f>$O55*J59</f>
        <v>6.9715881598736613E-4</v>
      </c>
      <c r="H99" s="79">
        <f>$O55*K59</f>
        <v>1.331007562451791E-3</v>
      </c>
      <c r="I99" s="79">
        <f t="shared" si="62"/>
        <v>3.4262954888244124E-4</v>
      </c>
      <c r="J99" s="79">
        <f t="shared" si="71"/>
        <v>4.7730241113391831E-5</v>
      </c>
      <c r="K99" s="79">
        <f t="shared" si="72"/>
        <v>3.9505857047527861E-4</v>
      </c>
      <c r="L99" s="79">
        <f t="shared" si="73"/>
        <v>3.7276288260611114E-4</v>
      </c>
      <c r="M99" s="79">
        <f t="shared" si="74"/>
        <v>1.1148800905734682E-3</v>
      </c>
      <c r="N99" s="79">
        <f t="shared" si="75"/>
        <v>1.5359491369310776E-3</v>
      </c>
      <c r="O99" s="79">
        <f t="shared" si="76"/>
        <v>6.9715881598736613E-4</v>
      </c>
      <c r="P99" s="79">
        <f t="shared" si="77"/>
        <v>1.331007562451791E-3</v>
      </c>
      <c r="Q99" s="79">
        <f t="shared" si="40"/>
        <v>3.4262954888244124E-4</v>
      </c>
      <c r="R99" s="79">
        <f>D57*2</f>
        <v>7.1179999999999995E-4</v>
      </c>
      <c r="S99" s="79">
        <f t="shared" si="41"/>
        <v>4.7730241113391831E-5</v>
      </c>
      <c r="T99" s="79">
        <f t="shared" si="42"/>
        <v>9.319072065152778E-4</v>
      </c>
      <c r="U99" s="79">
        <f t="shared" si="43"/>
        <v>1.1148800905734682E-3</v>
      </c>
      <c r="V99" s="79">
        <f t="shared" si="44"/>
        <v>3.0718982738621552E-3</v>
      </c>
    </row>
    <row r="100" spans="2:22">
      <c r="B100" t="s">
        <v>648</v>
      </c>
      <c r="C100" s="79">
        <f>C92</f>
        <v>5.5952499999999995E-3</v>
      </c>
      <c r="D100" s="79">
        <f t="shared" ref="D100:H100" si="80">D92</f>
        <v>2.5021374999999998E-2</v>
      </c>
      <c r="E100" s="79">
        <f t="shared" si="80"/>
        <v>4.12025E-4</v>
      </c>
      <c r="F100" s="79">
        <f t="shared" si="80"/>
        <v>2.9548749999999999E-4</v>
      </c>
      <c r="G100" s="79">
        <f t="shared" si="80"/>
        <v>1.0955000000000001E-4</v>
      </c>
      <c r="H100" s="79">
        <f t="shared" si="80"/>
        <v>9.5863504327620532E-4</v>
      </c>
      <c r="I100" s="79">
        <f>I92</f>
        <v>7.0972350000000003E-2</v>
      </c>
      <c r="J100" s="79">
        <f>0.5*E52</f>
        <v>1.5287499999999999E-3</v>
      </c>
      <c r="K100" s="79">
        <f t="shared" ref="K100:P100" si="81">0.5*F52</f>
        <v>5.3394749999999998E-3</v>
      </c>
      <c r="L100" s="79">
        <f t="shared" si="81"/>
        <v>7.3198000000000004E-3</v>
      </c>
      <c r="M100" s="79">
        <f t="shared" si="81"/>
        <v>3.3492999999999999E-3</v>
      </c>
      <c r="N100" s="79">
        <f t="shared" si="81"/>
        <v>3.1056500000000002E-3</v>
      </c>
      <c r="O100" s="79">
        <f t="shared" si="81"/>
        <v>3.8307418629668789E-3</v>
      </c>
      <c r="P100" s="79">
        <f t="shared" si="81"/>
        <v>7.3136081370331219E-3</v>
      </c>
      <c r="Q100" s="79">
        <f t="shared" si="40"/>
        <v>7.0972350000000003E-2</v>
      </c>
      <c r="R100" s="79">
        <f>0.5*D51</f>
        <v>3.2222500000000001E-2</v>
      </c>
      <c r="S100" s="79">
        <f t="shared" si="41"/>
        <v>1.5287499999999999E-3</v>
      </c>
      <c r="T100" s="79">
        <f t="shared" si="42"/>
        <v>1.82995E-2</v>
      </c>
      <c r="U100" s="79">
        <f t="shared" si="43"/>
        <v>3.3492999999999999E-3</v>
      </c>
      <c r="V100" s="79">
        <f t="shared" si="44"/>
        <v>6.2113000000000003E-3</v>
      </c>
    </row>
    <row r="101" spans="2:22">
      <c r="B101" t="s">
        <v>290</v>
      </c>
      <c r="C101" s="79">
        <f>E52</f>
        <v>3.0574999999999999E-3</v>
      </c>
      <c r="D101" s="79">
        <f t="shared" ref="D101:H101" si="82">F52</f>
        <v>1.067895E-2</v>
      </c>
      <c r="E101" s="79">
        <f t="shared" si="82"/>
        <v>1.4639600000000001E-2</v>
      </c>
      <c r="F101" s="79">
        <f t="shared" si="82"/>
        <v>6.6985999999999999E-3</v>
      </c>
      <c r="G101" s="79">
        <f t="shared" si="82"/>
        <v>6.2113000000000003E-3</v>
      </c>
      <c r="H101" s="79">
        <f t="shared" si="82"/>
        <v>7.6614837259337577E-3</v>
      </c>
      <c r="I101" s="79">
        <f>C52</f>
        <v>1.2086599999999999E-2</v>
      </c>
      <c r="J101" s="79">
        <f>E52</f>
        <v>3.0574999999999999E-3</v>
      </c>
      <c r="K101" s="79">
        <f t="shared" ref="K101:P101" si="83">F52</f>
        <v>1.067895E-2</v>
      </c>
      <c r="L101" s="79">
        <f t="shared" si="83"/>
        <v>1.4639600000000001E-2</v>
      </c>
      <c r="M101" s="79">
        <f t="shared" si="83"/>
        <v>6.6985999999999999E-3</v>
      </c>
      <c r="N101" s="79">
        <f t="shared" si="83"/>
        <v>6.2113000000000003E-3</v>
      </c>
      <c r="O101" s="79">
        <f t="shared" si="83"/>
        <v>7.6614837259337577E-3</v>
      </c>
      <c r="P101" s="79">
        <f t="shared" si="83"/>
        <v>1.4627216274066244E-2</v>
      </c>
      <c r="Q101" s="79">
        <f t="shared" si="40"/>
        <v>1.2086599999999999E-2</v>
      </c>
      <c r="R101" s="79">
        <f>D52</f>
        <v>5.4019299999999999E-2</v>
      </c>
      <c r="S101" s="79">
        <f t="shared" si="41"/>
        <v>3.0574999999999999E-3</v>
      </c>
      <c r="T101" s="79">
        <f t="shared" si="42"/>
        <v>3.6599E-2</v>
      </c>
      <c r="U101" s="79">
        <f t="shared" si="43"/>
        <v>6.6985999999999999E-3</v>
      </c>
      <c r="V101" s="79">
        <f t="shared" si="44"/>
        <v>1.2422600000000001E-2</v>
      </c>
    </row>
    <row r="102" spans="2:22">
      <c r="B102" t="s">
        <v>649</v>
      </c>
      <c r="C102" s="79">
        <f>$P50*E53</f>
        <v>5.7964802836011561E-5</v>
      </c>
      <c r="D102" s="79">
        <f>$P50*G53</f>
        <v>7.7027347090025567E-4</v>
      </c>
      <c r="E102" s="79">
        <f t="shared" ref="E102:H102" si="84">$P50*H53</f>
        <v>3.1073468137136667E-3</v>
      </c>
      <c r="F102" s="79">
        <f t="shared" si="84"/>
        <v>2.1106522384212694E-4</v>
      </c>
      <c r="G102" s="79">
        <f t="shared" si="84"/>
        <v>3.3612780849563495E-4</v>
      </c>
      <c r="H102" s="79">
        <f t="shared" si="84"/>
        <v>6.4173133122388142E-4</v>
      </c>
      <c r="I102" s="79">
        <f>I86</f>
        <v>2.119887E-3</v>
      </c>
      <c r="J102" s="79">
        <f>$P50*E53</f>
        <v>5.7964802836011561E-5</v>
      </c>
      <c r="K102" s="79">
        <f>K86</f>
        <v>1.2911414999999999E-3</v>
      </c>
      <c r="L102" s="79">
        <f t="shared" ref="L102:P105" si="85">$P50*F53</f>
        <v>1.630411138289267E-3</v>
      </c>
      <c r="M102" s="79">
        <f t="shared" si="85"/>
        <v>7.7027347090025567E-4</v>
      </c>
      <c r="N102" s="79">
        <f t="shared" si="85"/>
        <v>3.1073468137136667E-3</v>
      </c>
      <c r="O102" s="79">
        <f t="shared" si="85"/>
        <v>2.1106522384212694E-4</v>
      </c>
      <c r="P102" s="79">
        <f t="shared" si="85"/>
        <v>3.3612780849563495E-4</v>
      </c>
      <c r="Q102" s="79">
        <f t="shared" si="40"/>
        <v>2.119887E-3</v>
      </c>
      <c r="R102" s="79">
        <f>0.7*D53</f>
        <v>9.7228599999999998E-3</v>
      </c>
      <c r="S102" s="79">
        <f t="shared" si="41"/>
        <v>5.7964802836011561E-5</v>
      </c>
      <c r="T102" s="79">
        <f t="shared" si="42"/>
        <v>4.0760278457231671E-3</v>
      </c>
      <c r="U102" s="79">
        <f t="shared" si="43"/>
        <v>7.7027347090025567E-4</v>
      </c>
      <c r="V102" s="79">
        <f t="shared" si="44"/>
        <v>6.2146936274273335E-3</v>
      </c>
    </row>
    <row r="103" spans="2:22">
      <c r="B103" t="s">
        <v>651</v>
      </c>
      <c r="C103" s="79">
        <f t="shared" ref="C103:C105" si="86">$P51*E54</f>
        <v>1.4170818015289512E-3</v>
      </c>
      <c r="D103" s="79">
        <f t="shared" ref="D103:D105" si="87">$P51*G54</f>
        <v>3.9962943622882008E-4</v>
      </c>
      <c r="E103" s="79">
        <f t="shared" ref="E103:E105" si="88">$P51*H54</f>
        <v>3.0072402996964465E-4</v>
      </c>
      <c r="F103" s="79">
        <f t="shared" ref="F103:F105" si="89">$P51*I54</f>
        <v>4.9212479496993236E-4</v>
      </c>
      <c r="G103" s="79">
        <f t="shared" ref="G103:G105" si="90">$P51*J54</f>
        <v>1.6815460846015875E-4</v>
      </c>
      <c r="H103" s="79">
        <f t="shared" ref="H103:H105" si="91">$P51*K54</f>
        <v>3.210388370469193E-4</v>
      </c>
      <c r="I103" s="79">
        <f t="shared" ref="I103:I105" si="92">I87</f>
        <v>2.0922660000000001E-4</v>
      </c>
      <c r="J103" s="79">
        <f t="shared" ref="J103:J105" si="93">$P51*E54</f>
        <v>1.4170818015289512E-3</v>
      </c>
      <c r="K103" s="79">
        <f t="shared" ref="K103:K105" si="94">K87</f>
        <v>9.5802019499999988E-2</v>
      </c>
      <c r="L103" s="79">
        <f t="shared" si="85"/>
        <v>1.6543498656963627E-3</v>
      </c>
      <c r="M103" s="79">
        <f t="shared" si="85"/>
        <v>3.9962943622882008E-4</v>
      </c>
      <c r="N103" s="79">
        <f t="shared" si="85"/>
        <v>3.0072402996964465E-4</v>
      </c>
      <c r="O103" s="79">
        <f t="shared" si="85"/>
        <v>4.9212479496993236E-4</v>
      </c>
      <c r="P103" s="79">
        <f t="shared" si="85"/>
        <v>1.6815460846015875E-4</v>
      </c>
      <c r="Q103" s="79">
        <f t="shared" si="40"/>
        <v>2.0922660000000001E-4</v>
      </c>
      <c r="R103" s="79">
        <f>0.7*D55</f>
        <v>1.28492E-2</v>
      </c>
      <c r="S103" s="79">
        <f t="shared" si="41"/>
        <v>1.4170818015289512E-3</v>
      </c>
      <c r="T103" s="79">
        <f t="shared" si="42"/>
        <v>4.1358746642409065E-3</v>
      </c>
      <c r="U103" s="79">
        <f t="shared" si="43"/>
        <v>3.9962943622882008E-4</v>
      </c>
      <c r="V103" s="79">
        <f t="shared" si="44"/>
        <v>6.014480599392893E-4</v>
      </c>
    </row>
    <row r="104" spans="2:22">
      <c r="B104" t="s">
        <v>652</v>
      </c>
      <c r="C104" s="79">
        <f t="shared" si="86"/>
        <v>2.1476249335374443E-2</v>
      </c>
      <c r="D104" s="79">
        <f t="shared" si="87"/>
        <v>4.9586737779374161E-3</v>
      </c>
      <c r="E104" s="79">
        <f t="shared" si="88"/>
        <v>2.8810836099104672E-3</v>
      </c>
      <c r="F104" s="79">
        <f t="shared" si="89"/>
        <v>4.5889407826596963E-3</v>
      </c>
      <c r="G104" s="79">
        <f t="shared" si="90"/>
        <v>1.7079945830473632E-3</v>
      </c>
      <c r="H104" s="79">
        <f t="shared" si="91"/>
        <v>3.260883538341329E-3</v>
      </c>
      <c r="I104" s="79">
        <f>I88/10</f>
        <v>4.6151473500000012E-3</v>
      </c>
      <c r="J104" s="79">
        <f>$P52*E55/10</f>
        <v>2.1476249335374443E-3</v>
      </c>
      <c r="K104" s="79">
        <f>K88/10</f>
        <v>1.6305498000000001E-3</v>
      </c>
      <c r="L104" s="79">
        <f t="shared" si="85"/>
        <v>9.9941076815390426E-3</v>
      </c>
      <c r="M104" s="79">
        <f t="shared" si="85"/>
        <v>4.9586737779374161E-3</v>
      </c>
      <c r="N104" s="79">
        <f t="shared" si="85"/>
        <v>2.8810836099104672E-3</v>
      </c>
      <c r="O104" s="79">
        <f t="shared" si="85"/>
        <v>4.5889407826596963E-3</v>
      </c>
      <c r="P104" s="79">
        <f t="shared" si="85"/>
        <v>1.7079945830473632E-3</v>
      </c>
      <c r="Q104" s="79">
        <f t="shared" si="40"/>
        <v>4.6151473500000012E-3</v>
      </c>
      <c r="R104" s="79">
        <f>0.33*D56/10</f>
        <v>3.3634491000000002E-3</v>
      </c>
      <c r="S104" s="79">
        <f t="shared" si="41"/>
        <v>2.1476249335374443E-3</v>
      </c>
      <c r="T104" s="79">
        <f t="shared" si="42"/>
        <v>2.4985269203847606E-2</v>
      </c>
      <c r="U104" s="79">
        <f t="shared" si="43"/>
        <v>4.9586737779374161E-3</v>
      </c>
      <c r="V104" s="79">
        <f t="shared" si="44"/>
        <v>5.7621672198209344E-3</v>
      </c>
    </row>
    <row r="105" spans="2:22">
      <c r="B105" t="s">
        <v>653</v>
      </c>
      <c r="C105" s="79">
        <f t="shared" si="86"/>
        <v>1.3591997675175275E-2</v>
      </c>
      <c r="D105" s="79">
        <f t="shared" si="87"/>
        <v>3.8582081721800637E-2</v>
      </c>
      <c r="E105" s="79">
        <f t="shared" si="88"/>
        <v>3.7736432574363717E-2</v>
      </c>
      <c r="F105" s="79">
        <f t="shared" si="89"/>
        <v>3.3589706087321598E-2</v>
      </c>
      <c r="G105" s="79">
        <f t="shared" si="90"/>
        <v>1.2147240818505116E-2</v>
      </c>
      <c r="H105" s="79">
        <f t="shared" si="91"/>
        <v>2.3191371924996769E-2</v>
      </c>
      <c r="I105" s="79">
        <f t="shared" si="92"/>
        <v>7.0619999999999995E-6</v>
      </c>
      <c r="J105" s="79">
        <f t="shared" si="93"/>
        <v>1.3591997675175275E-2</v>
      </c>
      <c r="K105" s="79">
        <f t="shared" si="94"/>
        <v>4.3148803500000006E-2</v>
      </c>
      <c r="L105" s="79">
        <f t="shared" si="85"/>
        <v>1.8626411458570077E-2</v>
      </c>
      <c r="M105" s="79">
        <f t="shared" si="85"/>
        <v>3.8582081721800637E-2</v>
      </c>
      <c r="N105" s="79">
        <f t="shared" si="85"/>
        <v>3.7736432574363717E-2</v>
      </c>
      <c r="O105" s="79">
        <f t="shared" si="85"/>
        <v>3.3589706087321598E-2</v>
      </c>
      <c r="P105" s="79">
        <f t="shared" si="85"/>
        <v>1.2147240818505116E-2</v>
      </c>
      <c r="Q105" s="79">
        <f t="shared" si="40"/>
        <v>7.0619999999999995E-6</v>
      </c>
      <c r="R105" s="79">
        <f>D57</f>
        <v>3.5589999999999998E-4</v>
      </c>
      <c r="S105" s="79">
        <f t="shared" si="41"/>
        <v>1.3591997675175275E-2</v>
      </c>
      <c r="T105" s="79">
        <f t="shared" si="42"/>
        <v>4.6566028646425194E-2</v>
      </c>
      <c r="U105" s="79">
        <f t="shared" si="43"/>
        <v>3.8582081721800637E-2</v>
      </c>
      <c r="V105" s="79">
        <f t="shared" ref="V105" si="95">N105</f>
        <v>3.7736432574363717E-2</v>
      </c>
    </row>
    <row r="107" spans="2:22">
      <c r="B107" s="190" t="s">
        <v>675</v>
      </c>
      <c r="C107" s="79">
        <f>SUM(C86:C106)</f>
        <v>0.5146950008672907</v>
      </c>
      <c r="D107" s="79">
        <f t="shared" ref="D107:T107" si="96">SUM(D86:D106)</f>
        <v>0.50454727755321727</v>
      </c>
      <c r="E107" s="79">
        <f t="shared" si="96"/>
        <v>0.43358467798040923</v>
      </c>
      <c r="F107" s="79">
        <f t="shared" si="96"/>
        <v>0.43655397583083</v>
      </c>
      <c r="G107" s="79">
        <f t="shared" si="96"/>
        <v>0.15982909066219739</v>
      </c>
      <c r="H107" s="79">
        <f t="shared" si="96"/>
        <v>0.30244576296365172</v>
      </c>
      <c r="I107" s="79">
        <f t="shared" si="96"/>
        <v>0.31563944615000006</v>
      </c>
      <c r="J107" s="79">
        <f t="shared" si="96"/>
        <v>0.64594480538952448</v>
      </c>
      <c r="K107" s="79">
        <f t="shared" si="96"/>
        <v>0.72555996205297879</v>
      </c>
      <c r="L107" s="79">
        <f t="shared" si="96"/>
        <v>0.32474814559446902</v>
      </c>
      <c r="M107" s="79">
        <f t="shared" si="96"/>
        <v>0.29078003009853837</v>
      </c>
      <c r="N107" s="79">
        <f t="shared" si="96"/>
        <v>0.33714323903349053</v>
      </c>
      <c r="O107" s="79">
        <f t="shared" si="96"/>
        <v>0.15519217513903336</v>
      </c>
      <c r="P107" s="79">
        <f t="shared" si="96"/>
        <v>0.23641787274749584</v>
      </c>
      <c r="Q107" s="79">
        <f t="shared" si="96"/>
        <v>0.31563944615000006</v>
      </c>
      <c r="R107" s="79">
        <f t="shared" si="96"/>
        <v>0.34410315829410371</v>
      </c>
      <c r="S107" s="79">
        <f t="shared" si="96"/>
        <v>0.64594480538952448</v>
      </c>
      <c r="T107" s="79">
        <f t="shared" si="96"/>
        <v>0.81187036398617263</v>
      </c>
      <c r="U107" s="79">
        <f t="shared" ref="U107" si="97">SUM(U86:U106)</f>
        <v>0.29078003009853837</v>
      </c>
      <c r="V107" s="79">
        <f t="shared" ref="V107" si="98">SUM(V86:V106)</f>
        <v>0.6365500454926174</v>
      </c>
    </row>
    <row r="108" spans="2:22">
      <c r="C108" s="79">
        <f>1-C107</f>
        <v>0.4853049991327093</v>
      </c>
      <c r="D108" s="79">
        <f t="shared" ref="D108:T108" si="99">1-D107</f>
        <v>0.49545272244678273</v>
      </c>
      <c r="E108" s="79">
        <f t="shared" si="99"/>
        <v>0.56641532201959077</v>
      </c>
      <c r="F108" s="79">
        <f t="shared" si="99"/>
        <v>0.56344602416917</v>
      </c>
      <c r="G108" s="79">
        <f t="shared" si="99"/>
        <v>0.84017090933780258</v>
      </c>
      <c r="H108" s="79">
        <f t="shared" si="99"/>
        <v>0.69755423703634833</v>
      </c>
      <c r="I108" s="79">
        <f t="shared" si="99"/>
        <v>0.68436055384999994</v>
      </c>
      <c r="J108" s="79">
        <f t="shared" si="99"/>
        <v>0.35405519461047552</v>
      </c>
      <c r="K108" s="79">
        <f t="shared" si="99"/>
        <v>0.27444003794702121</v>
      </c>
      <c r="L108" s="79">
        <f t="shared" si="99"/>
        <v>0.67525185440553104</v>
      </c>
      <c r="M108" s="79">
        <f t="shared" si="99"/>
        <v>0.70921996990146163</v>
      </c>
      <c r="N108" s="79">
        <f t="shared" si="99"/>
        <v>0.66285676096650947</v>
      </c>
      <c r="O108" s="79">
        <f t="shared" si="99"/>
        <v>0.84480782486096662</v>
      </c>
      <c r="P108" s="79">
        <f t="shared" si="99"/>
        <v>0.76358212725250418</v>
      </c>
      <c r="Q108" s="79">
        <f t="shared" si="99"/>
        <v>0.68436055384999994</v>
      </c>
      <c r="R108" s="79">
        <f t="shared" si="99"/>
        <v>0.65589684170589635</v>
      </c>
      <c r="S108" s="79">
        <f t="shared" si="99"/>
        <v>0.35405519461047552</v>
      </c>
      <c r="T108" s="79">
        <f t="shared" si="99"/>
        <v>0.18812963601382737</v>
      </c>
      <c r="U108" s="79">
        <f t="shared" ref="U108" si="100">1-U107</f>
        <v>0.70921996990146163</v>
      </c>
      <c r="V108" s="79">
        <f t="shared" ref="V108" si="101">1-V107</f>
        <v>0.3634499545073826</v>
      </c>
    </row>
    <row r="109" spans="2:22">
      <c r="B109" s="190" t="s">
        <v>347</v>
      </c>
      <c r="C109" s="79">
        <f>SUM('Seaside SAM'!B25:B48)</f>
        <v>3605.8159472268694</v>
      </c>
      <c r="D109" s="79">
        <f>SUM('Seaside SAM'!C25:C48)</f>
        <v>25766.567097297142</v>
      </c>
      <c r="E109" s="79">
        <f>SUM('Seaside SAM'!D25:D48)</f>
        <v>102483.05934671978</v>
      </c>
      <c r="F109" s="79">
        <f>SUM('Seaside SAM'!E25:E48)</f>
        <v>53613.301401022654</v>
      </c>
      <c r="G109" s="79">
        <f>SUM('Seaside SAM'!F25:F48)</f>
        <v>9817.5273339786036</v>
      </c>
      <c r="H109" s="79">
        <f>SUM('Seaside SAM'!G25:G48)</f>
        <v>242430.49460176099</v>
      </c>
      <c r="I109" s="79">
        <f>SUM('Seaside SAM'!H25:H48)</f>
        <v>2382.1031055795424</v>
      </c>
      <c r="J109" s="79">
        <f>SUM('Seaside SAM'!I25:I48)</f>
        <v>13941.736798371863</v>
      </c>
      <c r="K109" s="79">
        <f>SUM('Seaside SAM'!J25:J48)</f>
        <v>36055.339653032665</v>
      </c>
      <c r="L109" s="79">
        <f>SUM('Seaside SAM'!K25:K48)</f>
        <v>57900.670106211335</v>
      </c>
      <c r="M109" s="79">
        <f>SUM('Seaside SAM'!L25:L48)</f>
        <v>125607.16302024182</v>
      </c>
      <c r="N109" s="79">
        <f>SUM('Seaside SAM'!M25:M48)</f>
        <v>15911.530420347835</v>
      </c>
      <c r="O109" s="79">
        <f>SUM('Seaside SAM'!N25:N48)</f>
        <v>25399.60432352281</v>
      </c>
      <c r="P109" s="79">
        <f>SUM('Seaside SAM'!O25:O48)</f>
        <v>28768.922369900771</v>
      </c>
      <c r="Q109" s="79">
        <f>SUM('Seaside SAM'!P25:P48)</f>
        <v>7456.4754831665014</v>
      </c>
      <c r="R109" s="79">
        <f>SUM('Seaside SAM'!Q25:Q48)</f>
        <v>2298.5171131151319</v>
      </c>
      <c r="S109" s="79">
        <f>SUM('Seaside SAM'!R25:R48)</f>
        <v>12490.309922486593</v>
      </c>
      <c r="T109" s="79">
        <f>SUM('Seaside SAM'!S25:S48)</f>
        <v>415.7490674053318</v>
      </c>
      <c r="U109" s="79">
        <f>SUM('Seaside SAM'!T25:T48)</f>
        <v>57849.452381879637</v>
      </c>
      <c r="V109" s="79">
        <f>SUM('Seaside SAM'!U25:U48)</f>
        <v>11543.475368947853</v>
      </c>
    </row>
    <row r="111" spans="2:22">
      <c r="C111" s="79">
        <f>C109/C108</f>
        <v>7429.9995954520127</v>
      </c>
      <c r="D111" s="79">
        <f t="shared" ref="D111:T111" si="102">D109/D108</f>
        <v>52006.106596910999</v>
      </c>
      <c r="E111" s="79">
        <f t="shared" si="102"/>
        <v>180932.71026163231</v>
      </c>
      <c r="F111" s="79">
        <f t="shared" si="102"/>
        <v>95152.506364878893</v>
      </c>
      <c r="G111" s="79">
        <f t="shared" si="102"/>
        <v>11685.155037939225</v>
      </c>
      <c r="H111" s="79">
        <f t="shared" si="102"/>
        <v>347543.57687189901</v>
      </c>
      <c r="I111" s="79">
        <f t="shared" si="102"/>
        <v>3480.7720757407337</v>
      </c>
      <c r="J111" s="79">
        <f t="shared" si="102"/>
        <v>39377.297694248729</v>
      </c>
      <c r="K111" s="79">
        <f t="shared" si="102"/>
        <v>131377.84094022354</v>
      </c>
      <c r="L111" s="79">
        <f t="shared" si="102"/>
        <v>85746.776892875219</v>
      </c>
      <c r="M111" s="79">
        <f t="shared" si="102"/>
        <v>177106.07195352038</v>
      </c>
      <c r="N111" s="79">
        <f t="shared" si="102"/>
        <v>24004.477825868864</v>
      </c>
      <c r="O111" s="79">
        <f t="shared" si="102"/>
        <v>30065.541033196423</v>
      </c>
      <c r="P111" s="79">
        <f t="shared" si="102"/>
        <v>37676.26473057476</v>
      </c>
      <c r="Q111" s="79">
        <f t="shared" si="102"/>
        <v>10895.53663082813</v>
      </c>
      <c r="R111" s="79">
        <f t="shared" si="102"/>
        <v>3504.3881399657434</v>
      </c>
      <c r="S111" s="79">
        <f t="shared" si="102"/>
        <v>35277.860945461296</v>
      </c>
      <c r="T111" s="79">
        <f t="shared" si="102"/>
        <v>2209.9073607667779</v>
      </c>
      <c r="U111" s="79">
        <f t="shared" ref="U111:V111" si="103">U109/U108</f>
        <v>81567.715006554572</v>
      </c>
      <c r="V111" s="79">
        <f t="shared" si="103"/>
        <v>31760.838667853997</v>
      </c>
    </row>
    <row r="113" spans="2:22">
      <c r="B113" t="s">
        <v>621</v>
      </c>
      <c r="C113" s="79">
        <f>C$111*C86</f>
        <v>0.12066407756050963</v>
      </c>
      <c r="D113" s="79">
        <f t="shared" ref="D113:T128" si="104">D$111*D86</f>
        <v>11.223391861409395</v>
      </c>
      <c r="E113" s="79">
        <f t="shared" si="104"/>
        <v>157.51853382682486</v>
      </c>
      <c r="F113" s="79">
        <f t="shared" si="104"/>
        <v>5.6268036317220052</v>
      </c>
      <c r="G113" s="79">
        <f t="shared" si="104"/>
        <v>1.1004334089948138</v>
      </c>
      <c r="H113" s="79">
        <f t="shared" si="104"/>
        <v>62.486666089924</v>
      </c>
      <c r="I113" s="79">
        <f t="shared" si="104"/>
        <v>7.378843473325797</v>
      </c>
      <c r="J113" s="79">
        <f t="shared" si="104"/>
        <v>2.5553928119646931</v>
      </c>
      <c r="K113" s="79">
        <f t="shared" si="104"/>
        <v>169.62738261832163</v>
      </c>
      <c r="L113" s="79">
        <f t="shared" si="104"/>
        <v>73.945226220001729</v>
      </c>
      <c r="M113" s="79">
        <f t="shared" si="104"/>
        <v>616.12747507301412</v>
      </c>
      <c r="N113" s="79">
        <f t="shared" si="104"/>
        <v>5.6722627856483587</v>
      </c>
      <c r="O113" s="79">
        <f t="shared" si="104"/>
        <v>11.314122179919783</v>
      </c>
      <c r="P113" s="79">
        <f t="shared" si="104"/>
        <v>27.068767388741762</v>
      </c>
      <c r="Q113" s="79">
        <f t="shared" si="104"/>
        <v>23.09730646171635</v>
      </c>
      <c r="R113" s="79">
        <f t="shared" si="104"/>
        <v>34.072675270547329</v>
      </c>
      <c r="S113" s="79">
        <f t="shared" si="104"/>
        <v>2.2893595437019667</v>
      </c>
      <c r="T113" s="79">
        <f t="shared" si="104"/>
        <v>4.7643802379096893</v>
      </c>
      <c r="U113" s="79">
        <f t="shared" ref="U113:V127" si="105">U$111*U86</f>
        <v>283.76277413940306</v>
      </c>
      <c r="V113" s="79">
        <f t="shared" si="105"/>
        <v>15.010184726659741</v>
      </c>
    </row>
    <row r="114" spans="2:22">
      <c r="B114" t="s">
        <v>623</v>
      </c>
      <c r="C114" s="79">
        <f t="shared" ref="C114:R132" si="106">C$111*C87</f>
        <v>566.12359369726892</v>
      </c>
      <c r="D114" s="79">
        <f t="shared" si="106"/>
        <v>1117.4789631060512</v>
      </c>
      <c r="E114" s="79">
        <f t="shared" si="106"/>
        <v>2925.5853013635865</v>
      </c>
      <c r="F114" s="79">
        <f t="shared" si="106"/>
        <v>2517.8104003260928</v>
      </c>
      <c r="G114" s="79">
        <f t="shared" si="106"/>
        <v>105.6503151985012</v>
      </c>
      <c r="H114" s="79">
        <f t="shared" si="106"/>
        <v>5999.2144132867579</v>
      </c>
      <c r="I114" s="79">
        <f t="shared" si="106"/>
        <v>0.72827010678217619</v>
      </c>
      <c r="J114" s="79">
        <f t="shared" si="106"/>
        <v>1355.5354151831077</v>
      </c>
      <c r="K114" s="79">
        <f t="shared" si="106"/>
        <v>12586.262479623192</v>
      </c>
      <c r="L114" s="79">
        <f t="shared" si="106"/>
        <v>48.606590693951432</v>
      </c>
      <c r="M114" s="79">
        <f t="shared" si="106"/>
        <v>71.998981415848505</v>
      </c>
      <c r="N114" s="79">
        <f t="shared" si="106"/>
        <v>3.6179156132507599</v>
      </c>
      <c r="O114" s="79">
        <f t="shared" si="106"/>
        <v>39.653005662202759</v>
      </c>
      <c r="P114" s="79">
        <f t="shared" si="106"/>
        <v>94.868870025074855</v>
      </c>
      <c r="Q114" s="79">
        <f t="shared" si="106"/>
        <v>2.279636084443625</v>
      </c>
      <c r="R114" s="79">
        <f t="shared" si="106"/>
        <v>34.072675270547329</v>
      </c>
      <c r="S114" s="79">
        <f t="shared" si="104"/>
        <v>1214.4152261231031</v>
      </c>
      <c r="T114" s="79">
        <f t="shared" si="104"/>
        <v>3.1317813464445954</v>
      </c>
      <c r="U114" s="79">
        <f t="shared" si="105"/>
        <v>33.159746202441902</v>
      </c>
      <c r="V114" s="79">
        <f t="shared" si="105"/>
        <v>9.5738832512769516</v>
      </c>
    </row>
    <row r="115" spans="2:22">
      <c r="B115" t="s">
        <v>624</v>
      </c>
      <c r="C115" s="79">
        <f t="shared" si="106"/>
        <v>282.52830426817309</v>
      </c>
      <c r="D115" s="79">
        <f t="shared" si="104"/>
        <v>456.59864142912784</v>
      </c>
      <c r="E115" s="79">
        <f t="shared" si="104"/>
        <v>922.97021424821037</v>
      </c>
      <c r="F115" s="79">
        <f t="shared" si="104"/>
        <v>773.12091290141188</v>
      </c>
      <c r="G115" s="79">
        <f t="shared" si="104"/>
        <v>35.337490380475288</v>
      </c>
      <c r="H115" s="79">
        <f t="shared" si="104"/>
        <v>2006.592987646259</v>
      </c>
      <c r="I115" s="79">
        <f t="shared" si="104"/>
        <v>160.64276021308851</v>
      </c>
      <c r="J115" s="79">
        <f t="shared" si="104"/>
        <v>184.857603788322</v>
      </c>
      <c r="K115" s="79">
        <f t="shared" si="104"/>
        <v>2142.1811226951331</v>
      </c>
      <c r="L115" s="79">
        <f t="shared" si="104"/>
        <v>551.83580074770202</v>
      </c>
      <c r="M115" s="79">
        <f t="shared" si="104"/>
        <v>521.53127024626224</v>
      </c>
      <c r="N115" s="79">
        <f t="shared" si="104"/>
        <v>65.544706946145197</v>
      </c>
      <c r="O115" s="79">
        <f t="shared" si="104"/>
        <v>101.26159505080571</v>
      </c>
      <c r="P115" s="79">
        <f t="shared" si="104"/>
        <v>242.26595031013338</v>
      </c>
      <c r="Q115" s="79">
        <f t="shared" si="104"/>
        <v>502.84507008594386</v>
      </c>
      <c r="R115" s="79">
        <f t="shared" si="104"/>
        <v>45.028584088047829</v>
      </c>
      <c r="S115" s="79">
        <f t="shared" si="104"/>
        <v>165.6127063820351</v>
      </c>
      <c r="T115" s="79">
        <f t="shared" si="104"/>
        <v>35.555447160728953</v>
      </c>
      <c r="U115" s="79">
        <f t="shared" si="105"/>
        <v>240.1956835766631</v>
      </c>
      <c r="V115" s="79">
        <f t="shared" si="105"/>
        <v>173.44721080371477</v>
      </c>
    </row>
    <row r="116" spans="2:22">
      <c r="B116" t="s">
        <v>625</v>
      </c>
      <c r="C116" s="79">
        <f t="shared" si="106"/>
        <v>469.03381384075885</v>
      </c>
      <c r="D116" s="79">
        <f t="shared" si="104"/>
        <v>9319.0591854758768</v>
      </c>
      <c r="E116" s="79">
        <f t="shared" si="104"/>
        <v>31711.004689329955</v>
      </c>
      <c r="F116" s="79">
        <f t="shared" si="104"/>
        <v>14844.258465581579</v>
      </c>
      <c r="G116" s="79">
        <f t="shared" si="104"/>
        <v>659.24097337127569</v>
      </c>
      <c r="H116" s="79">
        <f t="shared" si="104"/>
        <v>37434.132987179728</v>
      </c>
      <c r="I116" s="79">
        <f t="shared" si="104"/>
        <v>2.4581212398881058E-2</v>
      </c>
      <c r="J116" s="79">
        <f t="shared" si="104"/>
        <v>30.185990942931099</v>
      </c>
      <c r="K116" s="79">
        <f t="shared" si="104"/>
        <v>5668.7966429839616</v>
      </c>
      <c r="L116" s="79">
        <f t="shared" si="104"/>
        <v>31.054542809117745</v>
      </c>
      <c r="M116" s="79">
        <f t="shared" si="104"/>
        <v>258.7531072472807</v>
      </c>
      <c r="N116" s="79">
        <f t="shared" si="104"/>
        <v>2.3821622639628228</v>
      </c>
      <c r="O116" s="79">
        <f t="shared" si="104"/>
        <v>4.7515561117976288</v>
      </c>
      <c r="P116" s="79">
        <f t="shared" si="104"/>
        <v>11.367984637206398</v>
      </c>
      <c r="Q116" s="79">
        <f t="shared" si="104"/>
        <v>7.6944279686908243E-2</v>
      </c>
      <c r="R116" s="79">
        <f t="shared" si="104"/>
        <v>117.86831135418454</v>
      </c>
      <c r="S116" s="79">
        <f t="shared" si="104"/>
        <v>27.043429928946381</v>
      </c>
      <c r="T116" s="79">
        <f t="shared" si="104"/>
        <v>2.0008817015027258</v>
      </c>
      <c r="U116" s="79">
        <f t="shared" si="105"/>
        <v>119.17095487581963</v>
      </c>
      <c r="V116" s="79">
        <f t="shared" si="105"/>
        <v>6.3037798110181953</v>
      </c>
    </row>
    <row r="117" spans="2:22">
      <c r="B117" t="s">
        <v>626</v>
      </c>
      <c r="C117" s="79">
        <f t="shared" si="106"/>
        <v>9.523276488867442E-3</v>
      </c>
      <c r="D117" s="79">
        <f t="shared" si="104"/>
        <v>32.490678214240845</v>
      </c>
      <c r="E117" s="79">
        <f t="shared" si="104"/>
        <v>68.986163181646148</v>
      </c>
      <c r="F117" s="79">
        <f t="shared" si="104"/>
        <v>393.18086098863785</v>
      </c>
      <c r="G117" s="79">
        <f t="shared" si="104"/>
        <v>1.6055847024949628</v>
      </c>
      <c r="H117" s="79">
        <f t="shared" si="104"/>
        <v>91.171018949285227</v>
      </c>
      <c r="I117" s="79">
        <f t="shared" si="104"/>
        <v>0.62467136926606104</v>
      </c>
      <c r="J117" s="79">
        <f t="shared" si="104"/>
        <v>8246.3186976737052</v>
      </c>
      <c r="K117" s="79">
        <f t="shared" si="104"/>
        <v>4.0970179697208708</v>
      </c>
      <c r="L117" s="79">
        <f t="shared" si="104"/>
        <v>4337.7260485685401</v>
      </c>
      <c r="M117" s="79">
        <f t="shared" si="104"/>
        <v>6741.9950483627836</v>
      </c>
      <c r="N117" s="79">
        <f t="shared" si="104"/>
        <v>1495.3895988674972</v>
      </c>
      <c r="O117" s="79">
        <f t="shared" si="104"/>
        <v>639.97740810129937</v>
      </c>
      <c r="P117" s="79">
        <f t="shared" si="104"/>
        <v>1531.1306806187199</v>
      </c>
      <c r="Q117" s="79">
        <f t="shared" si="104"/>
        <v>1.955350605546196</v>
      </c>
      <c r="R117" s="79">
        <f t="shared" si="104"/>
        <v>0.41157987387455669</v>
      </c>
      <c r="S117" s="79">
        <f t="shared" si="104"/>
        <v>7387.8224602238224</v>
      </c>
      <c r="T117" s="79">
        <f t="shared" si="104"/>
        <v>279.48492850341512</v>
      </c>
      <c r="U117" s="79">
        <f t="shared" si="105"/>
        <v>3105.0834373695598</v>
      </c>
      <c r="V117" s="79">
        <f t="shared" si="105"/>
        <v>3957.1640041287478</v>
      </c>
    </row>
    <row r="118" spans="2:22">
      <c r="B118" t="s">
        <v>627</v>
      </c>
      <c r="C118" s="79">
        <f t="shared" si="106"/>
        <v>1.5657651850630459</v>
      </c>
      <c r="D118" s="79">
        <f t="shared" si="104"/>
        <v>85.591614253350897</v>
      </c>
      <c r="E118" s="79">
        <f t="shared" si="104"/>
        <v>890.61388680365314</v>
      </c>
      <c r="F118" s="79">
        <f t="shared" si="104"/>
        <v>645.26971199304535</v>
      </c>
      <c r="G118" s="79">
        <f t="shared" si="104"/>
        <v>35.967513601171291</v>
      </c>
      <c r="H118" s="79">
        <f t="shared" si="104"/>
        <v>2042.3680289152176</v>
      </c>
      <c r="I118" s="79">
        <f t="shared" si="104"/>
        <v>1.1926153660736463</v>
      </c>
      <c r="J118" s="79">
        <f t="shared" si="104"/>
        <v>206.34086176184829</v>
      </c>
      <c r="K118" s="79">
        <f t="shared" si="104"/>
        <v>84.592049144146387</v>
      </c>
      <c r="L118" s="79">
        <f t="shared" si="104"/>
        <v>222.93520141104284</v>
      </c>
      <c r="M118" s="79">
        <f t="shared" si="104"/>
        <v>267.53747219333263</v>
      </c>
      <c r="N118" s="79">
        <f t="shared" si="104"/>
        <v>57.756387721095614</v>
      </c>
      <c r="O118" s="79">
        <f t="shared" si="104"/>
        <v>26.924696653756818</v>
      </c>
      <c r="P118" s="79">
        <f t="shared" si="104"/>
        <v>64.416694388052335</v>
      </c>
      <c r="Q118" s="79">
        <f t="shared" si="104"/>
        <v>3.733132800652756</v>
      </c>
      <c r="R118" s="79">
        <f t="shared" si="104"/>
        <v>3.5134967249559277</v>
      </c>
      <c r="S118" s="79">
        <f t="shared" si="104"/>
        <v>184.85941531900275</v>
      </c>
      <c r="T118" s="79">
        <f t="shared" si="104"/>
        <v>14.363984292604465</v>
      </c>
      <c r="U118" s="79">
        <f t="shared" si="105"/>
        <v>123.2166692238922</v>
      </c>
      <c r="V118" s="79">
        <f t="shared" si="105"/>
        <v>152.83742689631649</v>
      </c>
    </row>
    <row r="119" spans="2:22">
      <c r="B119" t="s">
        <v>639</v>
      </c>
      <c r="C119" s="79">
        <f t="shared" si="106"/>
        <v>41.572705236452869</v>
      </c>
      <c r="D119" s="79">
        <f t="shared" si="104"/>
        <v>1301.2642954512839</v>
      </c>
      <c r="E119" s="79">
        <f t="shared" si="104"/>
        <v>74.54879994554905</v>
      </c>
      <c r="F119" s="79">
        <f t="shared" si="104"/>
        <v>28.11637622449215</v>
      </c>
      <c r="G119" s="79">
        <f t="shared" si="104"/>
        <v>1.2801087344062421</v>
      </c>
      <c r="H119" s="79">
        <f t="shared" si="104"/>
        <v>333.16745185496012</v>
      </c>
      <c r="I119" s="79">
        <f t="shared" si="104"/>
        <v>247.03857402969788</v>
      </c>
      <c r="J119" s="79">
        <f t="shared" si="104"/>
        <v>220.32582492374519</v>
      </c>
      <c r="K119" s="79">
        <f t="shared" si="104"/>
        <v>3287.2542248556856</v>
      </c>
      <c r="L119" s="79">
        <f t="shared" si="104"/>
        <v>35.329815749286915</v>
      </c>
      <c r="M119" s="79">
        <f t="shared" si="104"/>
        <v>52.332630436365854</v>
      </c>
      <c r="N119" s="79">
        <f t="shared" si="104"/>
        <v>2.6296905458239341</v>
      </c>
      <c r="O119" s="79">
        <f t="shared" si="104"/>
        <v>28.82188122948078</v>
      </c>
      <c r="P119" s="79">
        <f t="shared" si="104"/>
        <v>68.955663223383112</v>
      </c>
      <c r="Q119" s="79">
        <f t="shared" si="104"/>
        <v>773.28183920095489</v>
      </c>
      <c r="R119" s="79">
        <f t="shared" si="104"/>
        <v>112.92014684004617</v>
      </c>
      <c r="S119" s="79">
        <f t="shared" si="104"/>
        <v>197.38845145509231</v>
      </c>
      <c r="T119" s="79">
        <f t="shared" si="104"/>
        <v>2.2763427007998289</v>
      </c>
      <c r="U119" s="79">
        <f t="shared" si="105"/>
        <v>24.102240187999293</v>
      </c>
      <c r="V119" s="79">
        <f t="shared" si="105"/>
        <v>6.9587997521268115</v>
      </c>
    </row>
    <row r="120" spans="2:22">
      <c r="B120" t="s">
        <v>640</v>
      </c>
      <c r="C120" s="79">
        <f t="shared" si="106"/>
        <v>0.48217040454484372</v>
      </c>
      <c r="D120" s="79">
        <f t="shared" si="104"/>
        <v>44.848371641239417</v>
      </c>
      <c r="E120" s="79">
        <f t="shared" si="104"/>
        <v>629.43981932405381</v>
      </c>
      <c r="F120" s="79">
        <f t="shared" si="104"/>
        <v>22.484555787046581</v>
      </c>
      <c r="G120" s="79">
        <f t="shared" si="104"/>
        <v>4.3973022685530543</v>
      </c>
      <c r="H120" s="79">
        <f t="shared" si="104"/>
        <v>249.69503497947238</v>
      </c>
      <c r="I120" s="79">
        <f t="shared" si="104"/>
        <v>7.378843473325797</v>
      </c>
      <c r="J120" s="79">
        <f t="shared" si="104"/>
        <v>2.5553928119646931</v>
      </c>
      <c r="K120" s="79">
        <f t="shared" si="104"/>
        <v>239.80964761938077</v>
      </c>
      <c r="L120" s="79">
        <f t="shared" si="104"/>
        <v>73.945226220001729</v>
      </c>
      <c r="M120" s="79">
        <f t="shared" si="104"/>
        <v>616.12747507301412</v>
      </c>
      <c r="N120" s="79">
        <f t="shared" si="104"/>
        <v>5.6722627856483587</v>
      </c>
      <c r="O120" s="79">
        <f t="shared" si="104"/>
        <v>11.314122179919783</v>
      </c>
      <c r="P120" s="79">
        <f t="shared" si="104"/>
        <v>27.068767388741762</v>
      </c>
      <c r="Q120" s="79">
        <f t="shared" si="104"/>
        <v>23.09730646171635</v>
      </c>
      <c r="R120" s="79">
        <f t="shared" si="104"/>
        <v>74.527296914430465</v>
      </c>
      <c r="S120" s="79">
        <f t="shared" si="104"/>
        <v>2.2893595437019667</v>
      </c>
      <c r="T120" s="79">
        <f t="shared" si="104"/>
        <v>4.7643802379096893</v>
      </c>
      <c r="U120" s="79">
        <f t="shared" si="105"/>
        <v>283.76277413940306</v>
      </c>
      <c r="V120" s="79">
        <f t="shared" si="105"/>
        <v>15.010184726659741</v>
      </c>
    </row>
    <row r="121" spans="2:22">
      <c r="B121" t="s">
        <v>641</v>
      </c>
      <c r="C121" s="79">
        <f t="shared" si="106"/>
        <v>1270.9862924905678</v>
      </c>
      <c r="D121" s="79">
        <f t="shared" si="104"/>
        <v>2508.8169086516837</v>
      </c>
      <c r="E121" s="79">
        <f t="shared" si="104"/>
        <v>6568.1396376025004</v>
      </c>
      <c r="F121" s="79">
        <f t="shared" si="104"/>
        <v>5652.6570196540642</v>
      </c>
      <c r="G121" s="79">
        <f t="shared" si="104"/>
        <v>237.19220309763026</v>
      </c>
      <c r="H121" s="79">
        <f t="shared" si="104"/>
        <v>13468.647782725498</v>
      </c>
      <c r="I121" s="79">
        <f t="shared" si="104"/>
        <v>197.14166803546163</v>
      </c>
      <c r="J121" s="79">
        <f t="shared" si="104"/>
        <v>9792.0628740623761</v>
      </c>
      <c r="K121" s="79">
        <f t="shared" si="104"/>
        <v>38140.18933219149</v>
      </c>
      <c r="L121" s="79">
        <f t="shared" si="104"/>
        <v>6013.2413952658635</v>
      </c>
      <c r="M121" s="79">
        <f t="shared" si="104"/>
        <v>9346.1973526131897</v>
      </c>
      <c r="N121" s="79">
        <f t="shared" si="104"/>
        <v>2073.0075014597742</v>
      </c>
      <c r="O121" s="79">
        <f t="shared" si="104"/>
        <v>887.17881197215047</v>
      </c>
      <c r="P121" s="79">
        <f t="shared" si="104"/>
        <v>2122.5541417712243</v>
      </c>
      <c r="Q121" s="79">
        <f t="shared" si="104"/>
        <v>617.0942017471308</v>
      </c>
      <c r="R121" s="79">
        <f t="shared" si="104"/>
        <v>62.470516102252994</v>
      </c>
      <c r="S121" s="79">
        <f t="shared" si="104"/>
        <v>8772.6444593185079</v>
      </c>
      <c r="T121" s="79">
        <f t="shared" si="104"/>
        <v>387.4404060127913</v>
      </c>
      <c r="U121" s="79">
        <f t="shared" si="105"/>
        <v>4304.4710643971466</v>
      </c>
      <c r="V121" s="79">
        <f t="shared" si="105"/>
        <v>5485.681237369874</v>
      </c>
    </row>
    <row r="122" spans="2:22">
      <c r="B122" t="s">
        <v>642</v>
      </c>
      <c r="C122" s="79">
        <f t="shared" si="106"/>
        <v>542.68413177502123</v>
      </c>
      <c r="D122" s="79">
        <f t="shared" si="104"/>
        <v>877.04075503324339</v>
      </c>
      <c r="E122" s="79">
        <f t="shared" si="104"/>
        <v>1772.8534869131686</v>
      </c>
      <c r="F122" s="79">
        <f t="shared" si="104"/>
        <v>1485.0209520132603</v>
      </c>
      <c r="G122" s="79">
        <f t="shared" si="104"/>
        <v>67.876722425777501</v>
      </c>
      <c r="H122" s="79">
        <f t="shared" si="104"/>
        <v>3854.2905502771819</v>
      </c>
      <c r="I122" s="79">
        <f t="shared" si="104"/>
        <v>0.72827010678217619</v>
      </c>
      <c r="J122" s="79">
        <f t="shared" si="104"/>
        <v>2876.1017192962422</v>
      </c>
      <c r="K122" s="79">
        <f t="shared" si="104"/>
        <v>4465.4583214245113</v>
      </c>
      <c r="L122" s="79">
        <f t="shared" si="104"/>
        <v>1446.0497597076649</v>
      </c>
      <c r="M122" s="79">
        <f t="shared" si="104"/>
        <v>1735.3585029609476</v>
      </c>
      <c r="N122" s="79">
        <f t="shared" si="104"/>
        <v>374.63177666448166</v>
      </c>
      <c r="O122" s="79">
        <f t="shared" si="104"/>
        <v>174.64469890773489</v>
      </c>
      <c r="P122" s="79">
        <f t="shared" si="104"/>
        <v>417.83327555013517</v>
      </c>
      <c r="Q122" s="79">
        <f t="shared" si="104"/>
        <v>2.279636084443625</v>
      </c>
      <c r="R122" s="79">
        <f t="shared" si="104"/>
        <v>38.940200309196953</v>
      </c>
      <c r="S122" s="79">
        <f t="shared" si="104"/>
        <v>2576.6805357279295</v>
      </c>
      <c r="T122" s="79">
        <f t="shared" si="104"/>
        <v>93.170732586408377</v>
      </c>
      <c r="U122" s="79">
        <f t="shared" si="105"/>
        <v>799.23418910712371</v>
      </c>
      <c r="V122" s="79">
        <f t="shared" si="105"/>
        <v>991.36665290584642</v>
      </c>
    </row>
    <row r="123" spans="2:22">
      <c r="B123" t="s">
        <v>643</v>
      </c>
      <c r="C123" s="79">
        <f t="shared" si="106"/>
        <v>311.645287430964</v>
      </c>
      <c r="D123" s="79">
        <f t="shared" si="104"/>
        <v>6191.9648279981166</v>
      </c>
      <c r="E123" s="79">
        <f t="shared" si="104"/>
        <v>21070.091067008034</v>
      </c>
      <c r="F123" s="79">
        <f t="shared" si="104"/>
        <v>9863.1336583684115</v>
      </c>
      <c r="G123" s="79">
        <f t="shared" si="104"/>
        <v>438.02671911904332</v>
      </c>
      <c r="H123" s="79">
        <f t="shared" si="104"/>
        <v>24872.772048113631</v>
      </c>
      <c r="I123" s="79">
        <f t="shared" si="104"/>
        <v>160.64276021308851</v>
      </c>
      <c r="J123" s="79">
        <f t="shared" si="104"/>
        <v>1651.6487114872064</v>
      </c>
      <c r="K123" s="79">
        <f t="shared" si="104"/>
        <v>7551.6142113152973</v>
      </c>
      <c r="L123" s="79">
        <f t="shared" si="104"/>
        <v>10209.205444854841</v>
      </c>
      <c r="M123" s="79">
        <f t="shared" si="104"/>
        <v>20624.468948620317</v>
      </c>
      <c r="N123" s="79">
        <f t="shared" si="104"/>
        <v>2488.2095305823077</v>
      </c>
      <c r="O123" s="79">
        <f t="shared" si="104"/>
        <v>1127.0291454885614</v>
      </c>
      <c r="P123" s="79">
        <f t="shared" si="104"/>
        <v>2696.3903424789219</v>
      </c>
      <c r="Q123" s="79">
        <f t="shared" si="104"/>
        <v>502.84507008594386</v>
      </c>
      <c r="R123" s="79">
        <f t="shared" si="104"/>
        <v>115.86152699022129</v>
      </c>
      <c r="S123" s="79">
        <f t="shared" si="104"/>
        <v>1479.7011726659482</v>
      </c>
      <c r="T123" s="79">
        <f t="shared" si="104"/>
        <v>657.79143769891448</v>
      </c>
      <c r="U123" s="79">
        <f t="shared" si="105"/>
        <v>9498.7754333126177</v>
      </c>
      <c r="V123" s="79">
        <f t="shared" si="105"/>
        <v>6584.4066299560027</v>
      </c>
    </row>
    <row r="124" spans="2:22">
      <c r="B124" t="s">
        <v>644</v>
      </c>
      <c r="C124" s="79">
        <f t="shared" si="106"/>
        <v>6.6964749665655663E-3</v>
      </c>
      <c r="D124" s="79">
        <f t="shared" si="104"/>
        <v>22.8464450825029</v>
      </c>
      <c r="E124" s="79">
        <f t="shared" si="104"/>
        <v>48.508947033652667</v>
      </c>
      <c r="F124" s="79">
        <f t="shared" si="104"/>
        <v>276.47268206703416</v>
      </c>
      <c r="G124" s="79">
        <f t="shared" si="104"/>
        <v>1.1289977540321099</v>
      </c>
      <c r="H124" s="79">
        <f t="shared" si="104"/>
        <v>64.108654913448831</v>
      </c>
      <c r="I124" s="79">
        <f t="shared" si="104"/>
        <v>2.4581212398881058E-2</v>
      </c>
      <c r="J124" s="79">
        <f t="shared" si="104"/>
        <v>3.5489785009132933E-2</v>
      </c>
      <c r="K124" s="79">
        <f t="shared" si="104"/>
        <v>2.4325039645931312</v>
      </c>
      <c r="L124" s="79">
        <f t="shared" si="104"/>
        <v>37.668826941201196</v>
      </c>
      <c r="M124" s="79">
        <f t="shared" si="104"/>
        <v>47.483006534907425</v>
      </c>
      <c r="N124" s="79">
        <f t="shared" si="104"/>
        <v>69.746795115280307</v>
      </c>
      <c r="O124" s="79">
        <f t="shared" si="104"/>
        <v>2.9048761603958404</v>
      </c>
      <c r="P124" s="79">
        <f t="shared" si="104"/>
        <v>6.9498469106521359</v>
      </c>
      <c r="Q124" s="79">
        <f t="shared" si="104"/>
        <v>7.6944279686908243E-2</v>
      </c>
      <c r="R124" s="79">
        <f t="shared" si="104"/>
        <v>51.461238957768956</v>
      </c>
      <c r="S124" s="79">
        <f t="shared" si="104"/>
        <v>3.1795064005099835E-2</v>
      </c>
      <c r="T124" s="79">
        <f t="shared" si="104"/>
        <v>2.4270480170003719</v>
      </c>
      <c r="U124" s="79">
        <f t="shared" si="105"/>
        <v>21.868704454752663</v>
      </c>
      <c r="V124" s="79">
        <f t="shared" si="105"/>
        <v>184.56695649251043</v>
      </c>
    </row>
    <row r="125" spans="2:22">
      <c r="B125" t="s">
        <v>645</v>
      </c>
      <c r="C125" s="79">
        <f t="shared" si="106"/>
        <v>1.2634786203026422</v>
      </c>
      <c r="D125" s="79">
        <f t="shared" si="104"/>
        <v>69.067300587568852</v>
      </c>
      <c r="E125" s="79">
        <f t="shared" si="104"/>
        <v>718.67200500804586</v>
      </c>
      <c r="F125" s="79">
        <f t="shared" si="104"/>
        <v>520.69396689212283</v>
      </c>
      <c r="G125" s="79">
        <f t="shared" si="104"/>
        <v>29.023626846508666</v>
      </c>
      <c r="H125" s="79">
        <f t="shared" si="104"/>
        <v>1648.0685379526572</v>
      </c>
      <c r="I125" s="79">
        <f t="shared" si="104"/>
        <v>0.62467136926606104</v>
      </c>
      <c r="J125" s="79">
        <f t="shared" si="104"/>
        <v>6.6961475734709044</v>
      </c>
      <c r="K125" s="79">
        <f t="shared" si="104"/>
        <v>184.91369949357653</v>
      </c>
      <c r="L125" s="79">
        <f t="shared" si="104"/>
        <v>113.87698102413191</v>
      </c>
      <c r="M125" s="79">
        <f t="shared" si="104"/>
        <v>703.47244368298368</v>
      </c>
      <c r="N125" s="79">
        <f t="shared" si="104"/>
        <v>131.35740990779701</v>
      </c>
      <c r="O125" s="79">
        <f t="shared" si="104"/>
        <v>74.676890554956628</v>
      </c>
      <c r="P125" s="79">
        <f t="shared" si="104"/>
        <v>178.662679048511</v>
      </c>
      <c r="Q125" s="79">
        <f t="shared" si="104"/>
        <v>1.955350605546196</v>
      </c>
      <c r="R125" s="79">
        <f t="shared" si="104"/>
        <v>117.86831135418454</v>
      </c>
      <c r="S125" s="79">
        <f t="shared" si="104"/>
        <v>5.9990343878192718</v>
      </c>
      <c r="T125" s="79">
        <f t="shared" si="104"/>
        <v>7.3372314303290818</v>
      </c>
      <c r="U125" s="79">
        <f t="shared" si="105"/>
        <v>323.99024589262564</v>
      </c>
      <c r="V125" s="79">
        <f t="shared" si="105"/>
        <v>347.60360414194486</v>
      </c>
    </row>
    <row r="126" spans="2:22">
      <c r="B126" t="s">
        <v>646</v>
      </c>
      <c r="C126" s="79">
        <f t="shared" si="106"/>
        <v>0.35463567216332831</v>
      </c>
      <c r="D126" s="79">
        <f t="shared" si="104"/>
        <v>19.385946208185239</v>
      </c>
      <c r="E126" s="79">
        <f t="shared" si="104"/>
        <v>201.7182764041917</v>
      </c>
      <c r="F126" s="79">
        <f t="shared" si="104"/>
        <v>146.14941002796459</v>
      </c>
      <c r="G126" s="79">
        <f t="shared" si="104"/>
        <v>8.1464088508785171</v>
      </c>
      <c r="H126" s="79">
        <f t="shared" si="104"/>
        <v>462.58312909804295</v>
      </c>
      <c r="I126" s="79">
        <f t="shared" si="104"/>
        <v>1.1926153660736463</v>
      </c>
      <c r="J126" s="79">
        <f t="shared" si="104"/>
        <v>1.8794879133403</v>
      </c>
      <c r="K126" s="79">
        <f t="shared" si="104"/>
        <v>51.901942033973249</v>
      </c>
      <c r="L126" s="79">
        <f t="shared" si="104"/>
        <v>31.96321572877125</v>
      </c>
      <c r="M126" s="79">
        <f t="shared" si="104"/>
        <v>197.45203354065197</v>
      </c>
      <c r="N126" s="79">
        <f t="shared" si="104"/>
        <v>36.869656999124473</v>
      </c>
      <c r="O126" s="79">
        <f t="shared" si="104"/>
        <v>20.96045698872279</v>
      </c>
      <c r="P126" s="79">
        <f t="shared" si="104"/>
        <v>50.147393281330693</v>
      </c>
      <c r="Q126" s="79">
        <f t="shared" si="104"/>
        <v>3.733132800652756</v>
      </c>
      <c r="R126" s="79">
        <f t="shared" si="104"/>
        <v>2.494423478027616</v>
      </c>
      <c r="S126" s="79">
        <f t="shared" si="104"/>
        <v>1.6838208088915767</v>
      </c>
      <c r="T126" s="79">
        <f t="shared" si="104"/>
        <v>2.059428595229718</v>
      </c>
      <c r="U126" s="79">
        <f t="shared" si="105"/>
        <v>90.938221494378396</v>
      </c>
      <c r="V126" s="79">
        <f t="shared" si="105"/>
        <v>97.566065480195093</v>
      </c>
    </row>
    <row r="127" spans="2:22">
      <c r="B127" t="s">
        <v>648</v>
      </c>
      <c r="C127" s="79">
        <f t="shared" si="106"/>
        <v>41.572705236452869</v>
      </c>
      <c r="D127" s="79">
        <f t="shared" si="104"/>
        <v>1301.2642954512839</v>
      </c>
      <c r="E127" s="79">
        <f t="shared" si="104"/>
        <v>74.54879994554905</v>
      </c>
      <c r="F127" s="79">
        <f t="shared" si="104"/>
        <v>28.11637622449215</v>
      </c>
      <c r="G127" s="79">
        <f t="shared" si="104"/>
        <v>1.2801087344062421</v>
      </c>
      <c r="H127" s="79">
        <f t="shared" si="104"/>
        <v>333.16745185496012</v>
      </c>
      <c r="I127" s="79">
        <f t="shared" si="104"/>
        <v>247.03857402969788</v>
      </c>
      <c r="J127" s="79">
        <f t="shared" si="104"/>
        <v>60.19804385008274</v>
      </c>
      <c r="K127" s="79">
        <f t="shared" si="104"/>
        <v>701.48869725430006</v>
      </c>
      <c r="L127" s="79">
        <f t="shared" si="104"/>
        <v>627.64925750046802</v>
      </c>
      <c r="M127" s="79">
        <f t="shared" si="104"/>
        <v>593.1813667939258</v>
      </c>
      <c r="N127" s="79">
        <f t="shared" si="104"/>
        <v>74.549506559909645</v>
      </c>
      <c r="O127" s="79">
        <f t="shared" si="104"/>
        <v>115.17332666861401</v>
      </c>
      <c r="P127" s="79">
        <f t="shared" si="104"/>
        <v>275.5494363065456</v>
      </c>
      <c r="Q127" s="79">
        <f t="shared" si="104"/>
        <v>773.28183920095489</v>
      </c>
      <c r="R127" s="79">
        <f t="shared" si="104"/>
        <v>112.92014684004617</v>
      </c>
      <c r="S127" s="79">
        <f t="shared" si="104"/>
        <v>53.931029920373952</v>
      </c>
      <c r="T127" s="79">
        <f t="shared" si="104"/>
        <v>40.440199748351652</v>
      </c>
      <c r="U127" s="79">
        <f t="shared" si="105"/>
        <v>273.19474787145322</v>
      </c>
      <c r="V127" s="79">
        <f t="shared" si="105"/>
        <v>197.27609721764154</v>
      </c>
    </row>
    <row r="128" spans="2:22">
      <c r="B128" t="s">
        <v>290</v>
      </c>
      <c r="C128" s="79">
        <f t="shared" si="106"/>
        <v>22.717223763094527</v>
      </c>
      <c r="D128" s="79">
        <f t="shared" si="104"/>
        <v>555.3706120430827</v>
      </c>
      <c r="E128" s="79">
        <f t="shared" si="104"/>
        <v>2648.7825051461923</v>
      </c>
      <c r="F128" s="79">
        <f t="shared" si="104"/>
        <v>637.38857913577772</v>
      </c>
      <c r="G128" s="79">
        <f t="shared" si="104"/>
        <v>72.580003487151913</v>
      </c>
      <c r="H128" s="79">
        <f t="shared" si="104"/>
        <v>2662.6994582568623</v>
      </c>
      <c r="I128" s="79">
        <f t="shared" si="104"/>
        <v>42.070699770647948</v>
      </c>
      <c r="J128" s="79">
        <f t="shared" si="104"/>
        <v>120.39608770016548</v>
      </c>
      <c r="K128" s="79">
        <f t="shared" si="104"/>
        <v>1402.9773945086001</v>
      </c>
      <c r="L128" s="79">
        <f t="shared" si="104"/>
        <v>1255.298515000936</v>
      </c>
      <c r="M128" s="79">
        <f t="shared" si="104"/>
        <v>1186.3627335878516</v>
      </c>
      <c r="N128" s="79">
        <f t="shared" si="104"/>
        <v>149.09901311981929</v>
      </c>
      <c r="O128" s="79">
        <f t="shared" si="104"/>
        <v>230.34665333722802</v>
      </c>
      <c r="P128" s="79">
        <f t="shared" si="104"/>
        <v>551.0988726130912</v>
      </c>
      <c r="Q128" s="79">
        <f t="shared" si="104"/>
        <v>131.68999304216726</v>
      </c>
      <c r="R128" s="79">
        <f t="shared" si="104"/>
        <v>189.30459424925149</v>
      </c>
      <c r="S128" s="79">
        <f t="shared" ref="D128:T132" si="107">S$111*S101</f>
        <v>107.8620598407479</v>
      </c>
      <c r="T128" s="79">
        <f t="shared" si="107"/>
        <v>80.880399496703305</v>
      </c>
      <c r="U128" s="79">
        <f t="shared" ref="U128:V128" si="108">U$111*U101</f>
        <v>546.38949574290643</v>
      </c>
      <c r="V128" s="79">
        <f t="shared" si="108"/>
        <v>394.55219443528307</v>
      </c>
    </row>
    <row r="129" spans="2:22">
      <c r="B129" t="s">
        <v>649</v>
      </c>
      <c r="C129" s="79">
        <f t="shared" si="106"/>
        <v>0.43067846162202156</v>
      </c>
      <c r="D129" s="79">
        <f t="shared" si="107"/>
        <v>40.058924236411322</v>
      </c>
      <c r="E129" s="79">
        <f t="shared" si="107"/>
        <v>562.22068072806121</v>
      </c>
      <c r="F129" s="79">
        <f t="shared" si="107"/>
        <v>20.083385055042573</v>
      </c>
      <c r="G129" s="79">
        <f t="shared" si="107"/>
        <v>3.9277055548342394</v>
      </c>
      <c r="H129" s="79">
        <f t="shared" si="107"/>
        <v>223.02960224431311</v>
      </c>
      <c r="I129" s="79">
        <f t="shared" si="107"/>
        <v>7.378843473325797</v>
      </c>
      <c r="J129" s="79">
        <f t="shared" si="107"/>
        <v>2.2824972970620601</v>
      </c>
      <c r="K129" s="79">
        <f t="shared" si="107"/>
        <v>169.62738261832163</v>
      </c>
      <c r="L129" s="79">
        <f t="shared" si="107"/>
        <v>139.80250011854849</v>
      </c>
      <c r="M129" s="79">
        <f t="shared" si="107"/>
        <v>136.42010876114855</v>
      </c>
      <c r="N129" s="79">
        <f t="shared" si="107"/>
        <v>74.59023768707398</v>
      </c>
      <c r="O129" s="79">
        <f t="shared" si="107"/>
        <v>6.3457901481062553</v>
      </c>
      <c r="P129" s="79">
        <f t="shared" si="107"/>
        <v>12.664040296189478</v>
      </c>
      <c r="Q129" s="79">
        <f t="shared" si="107"/>
        <v>23.09730646171635</v>
      </c>
      <c r="R129" s="79">
        <f t="shared" si="107"/>
        <v>34.072675270547329</v>
      </c>
      <c r="S129" s="79">
        <f t="shared" si="107"/>
        <v>2.0448742541798963</v>
      </c>
      <c r="T129" s="79">
        <f t="shared" si="107"/>
        <v>9.0076439389539793</v>
      </c>
      <c r="U129" s="79">
        <f t="shared" ref="U129:V129" si="109">U$111*U102</f>
        <v>62.829446951501659</v>
      </c>
      <c r="V129" s="79">
        <f t="shared" si="109"/>
        <v>197.38388167085986</v>
      </c>
    </row>
    <row r="130" spans="2:22">
      <c r="B130" t="s">
        <v>651</v>
      </c>
      <c r="C130" s="79">
        <f t="shared" si="106"/>
        <v>10.528917212082517</v>
      </c>
      <c r="D130" s="79">
        <f t="shared" si="107"/>
        <v>20.783171059779463</v>
      </c>
      <c r="E130" s="79">
        <f t="shared" si="107"/>
        <v>54.410813783208148</v>
      </c>
      <c r="F130" s="79">
        <f t="shared" si="107"/>
        <v>46.826907685691211</v>
      </c>
      <c r="G130" s="79">
        <f t="shared" si="107"/>
        <v>1.9649126702009219</v>
      </c>
      <c r="H130" s="79">
        <f t="shared" si="107"/>
        <v>111.57498574208105</v>
      </c>
      <c r="I130" s="79">
        <f t="shared" si="107"/>
        <v>0.72827010678217619</v>
      </c>
      <c r="J130" s="79">
        <f t="shared" si="107"/>
        <v>55.80085195590781</v>
      </c>
      <c r="K130" s="79">
        <f t="shared" si="107"/>
        <v>12586.262479623192</v>
      </c>
      <c r="L130" s="79">
        <f t="shared" si="107"/>
        <v>141.8551688366241</v>
      </c>
      <c r="M130" s="79">
        <f t="shared" si="107"/>
        <v>70.776799687486189</v>
      </c>
      <c r="N130" s="79">
        <f t="shared" si="107"/>
        <v>7.2187233091122582</v>
      </c>
      <c r="O130" s="79">
        <f t="shared" si="107"/>
        <v>14.795998216621879</v>
      </c>
      <c r="P130" s="79">
        <f t="shared" si="107"/>
        <v>6.3354375440110875</v>
      </c>
      <c r="Q130" s="79">
        <f t="shared" si="107"/>
        <v>2.279636084443625</v>
      </c>
      <c r="R130" s="79">
        <f t="shared" si="107"/>
        <v>45.028584088047829</v>
      </c>
      <c r="S130" s="79">
        <f t="shared" si="107"/>
        <v>49.991614742682124</v>
      </c>
      <c r="T130" s="79">
        <f t="shared" si="107"/>
        <v>9.1398998637148061</v>
      </c>
      <c r="U130" s="79">
        <f t="shared" ref="U130:V130" si="110">U$111*U103</f>
        <v>32.596859962542474</v>
      </c>
      <c r="V130" s="79">
        <f t="shared" si="110"/>
        <v>19.10249479882555</v>
      </c>
    </row>
    <row r="131" spans="2:22">
      <c r="B131" t="s">
        <v>652</v>
      </c>
      <c r="C131" s="79">
        <f t="shared" si="106"/>
        <v>159.56852387365868</v>
      </c>
      <c r="D131" s="79">
        <f t="shared" si="107"/>
        <v>257.88131707472064</v>
      </c>
      <c r="E131" s="79">
        <f t="shared" si="107"/>
        <v>521.28226603146823</v>
      </c>
      <c r="F131" s="79">
        <f t="shared" si="107"/>
        <v>436.64921703007906</v>
      </c>
      <c r="G131" s="79">
        <f t="shared" si="107"/>
        <v>19.958181506868801</v>
      </c>
      <c r="H131" s="79">
        <f t="shared" si="107"/>
        <v>1133.2991286778397</v>
      </c>
      <c r="I131" s="79">
        <f t="shared" si="107"/>
        <v>16.064276021308849</v>
      </c>
      <c r="J131" s="79">
        <f t="shared" si="107"/>
        <v>84.567666343495091</v>
      </c>
      <c r="K131" s="79">
        <f t="shared" si="107"/>
        <v>214.21811226951331</v>
      </c>
      <c r="L131" s="79">
        <f t="shared" si="107"/>
        <v>856.9625216122987</v>
      </c>
      <c r="M131" s="79">
        <f t="shared" si="107"/>
        <v>878.21123490941875</v>
      </c>
      <c r="N131" s="79">
        <f t="shared" si="107"/>
        <v>69.158907628570034</v>
      </c>
      <c r="O131" s="79">
        <f t="shared" si="107"/>
        <v>137.96898739996359</v>
      </c>
      <c r="P131" s="79">
        <f t="shared" si="107"/>
        <v>64.350856069280113</v>
      </c>
      <c r="Q131" s="79">
        <f t="shared" si="107"/>
        <v>50.284507008594389</v>
      </c>
      <c r="R131" s="79">
        <f t="shared" si="107"/>
        <v>11.786831135418455</v>
      </c>
      <c r="S131" s="79">
        <f t="shared" si="107"/>
        <v>75.763613768339511</v>
      </c>
      <c r="T131" s="79">
        <f t="shared" si="107"/>
        <v>55.215130324322317</v>
      </c>
      <c r="U131" s="79">
        <f t="shared" ref="U131:V131" si="111">U$111*U104</f>
        <v>404.46768952927442</v>
      </c>
      <c r="V131" s="79">
        <f t="shared" si="111"/>
        <v>183.0112634459295</v>
      </c>
    </row>
    <row r="132" spans="2:22">
      <c r="B132" t="s">
        <v>653</v>
      </c>
      <c r="C132" s="79">
        <f t="shared" si="106"/>
        <v>100.98853722793699</v>
      </c>
      <c r="D132" s="79">
        <f t="shared" si="107"/>
        <v>2006.5038547546953</v>
      </c>
      <c r="E132" s="79">
        <f t="shared" si="107"/>
        <v>6827.7550212849737</v>
      </c>
      <c r="F132" s="79">
        <f t="shared" si="107"/>
        <v>3196.1447222682796</v>
      </c>
      <c r="G132" s="79">
        <f t="shared" si="107"/>
        <v>141.94239224741605</v>
      </c>
      <c r="H132" s="79">
        <f t="shared" si="107"/>
        <v>8060.0123513799153</v>
      </c>
      <c r="I132" s="79">
        <f t="shared" si="107"/>
        <v>2.4581212398881058E-2</v>
      </c>
      <c r="J132" s="79">
        <f t="shared" si="107"/>
        <v>535.21613871491343</v>
      </c>
      <c r="K132" s="79">
        <f t="shared" si="107"/>
        <v>5668.7966429839616</v>
      </c>
      <c r="L132" s="79">
        <f t="shared" si="107"/>
        <v>1597.1547476529029</v>
      </c>
      <c r="M132" s="79">
        <f t="shared" si="107"/>
        <v>6833.1209415378271</v>
      </c>
      <c r="N132" s="79">
        <f t="shared" si="107"/>
        <v>905.84335895870936</v>
      </c>
      <c r="O132" s="79">
        <f t="shared" si="107"/>
        <v>1009.8926866613751</v>
      </c>
      <c r="P132" s="79">
        <f t="shared" si="107"/>
        <v>457.6626608240424</v>
      </c>
      <c r="Q132" s="79">
        <f t="shared" si="107"/>
        <v>7.6944279686908243E-2</v>
      </c>
      <c r="R132" s="79">
        <f t="shared" si="107"/>
        <v>1.247211739013808</v>
      </c>
      <c r="S132" s="79">
        <f t="shared" si="107"/>
        <v>479.49660395586653</v>
      </c>
      <c r="T132" s="79">
        <f t="shared" si="107"/>
        <v>102.90660946741167</v>
      </c>
      <c r="U132" s="79">
        <f t="shared" ref="U132:V132" si="112">U$111*U105</f>
        <v>3147.0522462434328</v>
      </c>
      <c r="V132" s="79">
        <f t="shared" si="112"/>
        <v>1198.5407468947162</v>
      </c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zoomScale="112" zoomScaleNormal="112" workbookViewId="0">
      <selection activeCell="G17" sqref="G17"/>
    </sheetView>
  </sheetViews>
  <sheetFormatPr defaultRowHeight="14.4"/>
  <cols>
    <col min="1" max="1" width="8.88671875" style="14"/>
    <col min="2" max="2" width="11.5546875" style="14" customWidth="1"/>
    <col min="3" max="3" width="12.21875" style="14" customWidth="1"/>
    <col min="4" max="4" width="15" style="14" customWidth="1"/>
    <col min="5" max="5" width="8.88671875" style="14"/>
    <col min="6" max="6" width="12" style="14" bestFit="1" customWidth="1"/>
    <col min="7" max="7" width="8.88671875" style="14"/>
    <col min="8" max="8" width="12" style="14" bestFit="1" customWidth="1"/>
    <col min="9" max="9" width="10" style="14" bestFit="1" customWidth="1"/>
    <col min="10" max="10" width="12" style="14" bestFit="1" customWidth="1"/>
    <col min="11" max="12" width="10" style="14" customWidth="1"/>
    <col min="13" max="14" width="8.88671875" style="14"/>
    <col min="15" max="16" width="12" style="14" bestFit="1" customWidth="1"/>
    <col min="17" max="17" width="10" style="14" bestFit="1" customWidth="1"/>
    <col min="18" max="18" width="12.6640625" style="14" bestFit="1" customWidth="1"/>
    <col min="19" max="19" width="10" style="14" bestFit="1" customWidth="1"/>
    <col min="20" max="20" width="8.88671875" style="14"/>
    <col min="21" max="23" width="10" style="14" bestFit="1" customWidth="1"/>
    <col min="24" max="16384" width="8.88671875" style="14"/>
  </cols>
  <sheetData>
    <row r="1" spans="1:25">
      <c r="A1" s="82" t="s">
        <v>404</v>
      </c>
      <c r="F1" s="16" t="s">
        <v>433</v>
      </c>
      <c r="N1" s="82"/>
      <c r="Y1" s="82" t="s">
        <v>434</v>
      </c>
    </row>
    <row r="2" spans="1:25" ht="15" thickBot="1">
      <c r="F2" s="16" t="s">
        <v>271</v>
      </c>
      <c r="G2" s="16" t="s">
        <v>290</v>
      </c>
      <c r="H2" s="16" t="s">
        <v>311</v>
      </c>
      <c r="I2" s="16" t="s">
        <v>296</v>
      </c>
      <c r="J2" s="16" t="s">
        <v>295</v>
      </c>
      <c r="K2" s="16" t="s">
        <v>293</v>
      </c>
      <c r="L2" s="16" t="s">
        <v>269</v>
      </c>
      <c r="M2" s="16" t="s">
        <v>294</v>
      </c>
      <c r="N2" s="16" t="s">
        <v>312</v>
      </c>
      <c r="O2" s="16" t="s">
        <v>246</v>
      </c>
      <c r="R2" s="16"/>
      <c r="S2" s="16"/>
      <c r="T2" s="16"/>
      <c r="U2" s="16"/>
      <c r="V2" s="16"/>
      <c r="W2" s="16"/>
      <c r="X2" s="16"/>
    </row>
    <row r="3" spans="1:25">
      <c r="A3" s="169" t="s">
        <v>448</v>
      </c>
      <c r="B3" s="170"/>
      <c r="C3" s="170">
        <f>97000+5925+10000</f>
        <v>112925</v>
      </c>
      <c r="D3" s="131" t="s">
        <v>435</v>
      </c>
      <c r="E3" s="16" t="s">
        <v>430</v>
      </c>
      <c r="F3" s="14">
        <f>LandKAP!J28</f>
        <v>983.356539341136</v>
      </c>
      <c r="G3" s="14">
        <f>LandKAP!K28</f>
        <v>248.86912653468198</v>
      </c>
      <c r="H3" s="14">
        <f>LandKAP!L28</f>
        <v>14561.330173423023</v>
      </c>
      <c r="I3" s="14">
        <f>LandKAP!M28</f>
        <v>2378.998466806524</v>
      </c>
      <c r="J3" s="14">
        <f>LandKAP!N28</f>
        <v>35363.591364955544</v>
      </c>
      <c r="K3" s="14">
        <f>LandKAP!O28</f>
        <v>233061.46300240123</v>
      </c>
      <c r="L3" s="14">
        <f>LandKAP!P28</f>
        <v>35825.502144288585</v>
      </c>
      <c r="M3" s="14">
        <f>LandKAP!Q28</f>
        <v>51763.542444005201</v>
      </c>
      <c r="N3" s="14">
        <f>LandKAP!R28</f>
        <v>78951.583745653901</v>
      </c>
      <c r="O3" s="14">
        <f>LandKAP!S28</f>
        <v>338914.150025882</v>
      </c>
      <c r="P3" s="14">
        <f>SUM(F3:O3)</f>
        <v>792052.38703329186</v>
      </c>
    </row>
    <row r="4" spans="1:25">
      <c r="A4" s="171" t="s">
        <v>406</v>
      </c>
      <c r="B4" s="172"/>
      <c r="C4" s="172">
        <f>688500+2000</f>
        <v>690500</v>
      </c>
      <c r="D4" s="173" t="s">
        <v>435</v>
      </c>
      <c r="F4" s="14">
        <f>F3/$P$3</f>
        <v>1.2415296708143159E-3</v>
      </c>
      <c r="G4" s="14">
        <f t="shared" ref="G4:O4" si="0">G3/$P$3</f>
        <v>3.1420791176054044E-4</v>
      </c>
      <c r="H4" s="14">
        <f t="shared" si="0"/>
        <v>1.8384301861602715E-2</v>
      </c>
      <c r="I4" s="14">
        <f t="shared" si="0"/>
        <v>3.0035872699245196E-3</v>
      </c>
      <c r="J4" s="14">
        <f t="shared" si="0"/>
        <v>4.4648045942280744E-2</v>
      </c>
      <c r="K4" s="14">
        <f t="shared" si="0"/>
        <v>0.2942500607508492</v>
      </c>
      <c r="L4" s="14">
        <f t="shared" si="0"/>
        <v>4.5231228048534057E-2</v>
      </c>
      <c r="M4" s="14">
        <f t="shared" si="0"/>
        <v>6.5353685300906059E-2</v>
      </c>
      <c r="N4" s="14">
        <f t="shared" si="0"/>
        <v>9.9679749771823339E-2</v>
      </c>
      <c r="O4" s="14">
        <f t="shared" si="0"/>
        <v>0.42789360347150451</v>
      </c>
    </row>
    <row r="5" spans="1:25">
      <c r="A5" s="171" t="s">
        <v>408</v>
      </c>
      <c r="B5" s="172"/>
      <c r="C5" s="174">
        <v>736.8</v>
      </c>
      <c r="D5" s="173" t="s">
        <v>436</v>
      </c>
      <c r="E5" s="16" t="s">
        <v>437</v>
      </c>
      <c r="F5" s="14">
        <f>$C$4*F4/1000</f>
        <v>0.85727623769728512</v>
      </c>
      <c r="G5" s="14">
        <f t="shared" ref="G5:O5" si="1">$C$4*G4/1000</f>
        <v>0.21696056307065317</v>
      </c>
      <c r="H5" s="14">
        <f t="shared" si="1"/>
        <v>12.694360435436675</v>
      </c>
      <c r="I5" s="14">
        <f t="shared" si="1"/>
        <v>2.0739770098828809</v>
      </c>
      <c r="J5" s="14">
        <f t="shared" si="1"/>
        <v>30.829475723144853</v>
      </c>
      <c r="K5" s="14">
        <f t="shared" si="1"/>
        <v>203.17966694846137</v>
      </c>
      <c r="L5" s="14">
        <f t="shared" si="1"/>
        <v>31.232162967512767</v>
      </c>
      <c r="M5" s="14">
        <f t="shared" si="1"/>
        <v>45.126719700275636</v>
      </c>
      <c r="N5" s="14">
        <f t="shared" si="1"/>
        <v>68.828867217444014</v>
      </c>
      <c r="O5" s="146">
        <f t="shared" si="1"/>
        <v>295.46053319707386</v>
      </c>
    </row>
    <row r="6" spans="1:25" ht="15" thickBot="1">
      <c r="A6" s="175" t="s">
        <v>407</v>
      </c>
      <c r="B6" s="176"/>
      <c r="C6" s="177">
        <v>8871.2999999999993</v>
      </c>
      <c r="D6" s="178" t="s">
        <v>436</v>
      </c>
      <c r="O6" s="14" t="s">
        <v>1</v>
      </c>
      <c r="P6" s="14" t="s">
        <v>2</v>
      </c>
      <c r="Q6" s="14" t="s">
        <v>3</v>
      </c>
      <c r="R6" s="14" t="s">
        <v>4</v>
      </c>
      <c r="S6" s="14" t="s">
        <v>5</v>
      </c>
      <c r="T6" s="14" t="s">
        <v>6</v>
      </c>
      <c r="U6" s="14" t="s">
        <v>7</v>
      </c>
      <c r="V6" s="14" t="s">
        <v>8</v>
      </c>
      <c r="W6" s="14" t="s">
        <v>9</v>
      </c>
      <c r="X6" s="14" t="s">
        <v>441</v>
      </c>
    </row>
    <row r="7" spans="1:25">
      <c r="A7" s="148"/>
      <c r="C7" s="147"/>
      <c r="D7" s="16"/>
      <c r="N7" s="14" t="s">
        <v>246</v>
      </c>
    </row>
    <row r="8" spans="1:25">
      <c r="N8" s="14" t="s">
        <v>440</v>
      </c>
    </row>
    <row r="9" spans="1:25">
      <c r="C9" s="14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4" t="s">
        <v>7</v>
      </c>
      <c r="J9" s="14" t="s">
        <v>8</v>
      </c>
      <c r="K9" s="14" t="s">
        <v>9</v>
      </c>
      <c r="L9" s="14" t="s">
        <v>441</v>
      </c>
      <c r="N9" s="16" t="s">
        <v>437</v>
      </c>
    </row>
    <row r="10" spans="1:25">
      <c r="C10" s="14">
        <v>0.1</v>
      </c>
      <c r="D10" s="14">
        <v>0.15</v>
      </c>
      <c r="E10" s="14">
        <v>0.15</v>
      </c>
      <c r="F10" s="14">
        <v>0.15</v>
      </c>
      <c r="G10" s="14">
        <v>0.15</v>
      </c>
      <c r="H10" s="14">
        <v>0.15</v>
      </c>
      <c r="I10" s="14">
        <v>0.25</v>
      </c>
      <c r="J10" s="14">
        <v>0.28000000000000003</v>
      </c>
      <c r="K10" s="14">
        <v>0.4</v>
      </c>
    </row>
    <row r="11" spans="1:25">
      <c r="C11" s="14">
        <f>SUM(SAM!M24:W24)</f>
        <v>270.54839929066043</v>
      </c>
      <c r="D11" s="14">
        <f>SUM(SAM!M25:W25)</f>
        <v>347.21380207531041</v>
      </c>
      <c r="E11" s="14">
        <f>SUM(SAM!M26:W26)</f>
        <v>2341.1515225686881</v>
      </c>
      <c r="F11" s="14">
        <f>SUM(SAM!M27:W27)</f>
        <v>5994.0079591397161</v>
      </c>
      <c r="G11" s="14">
        <f>SUM(SAM!M28:W28)</f>
        <v>9824.791238647118</v>
      </c>
      <c r="H11" s="14">
        <f>SUM(SAM!M29:W29)</f>
        <v>27915.669682604508</v>
      </c>
      <c r="I11" s="14">
        <f>SUM(SAM!M30:W30)</f>
        <v>23364.366253036933</v>
      </c>
      <c r="J11" s="14">
        <f>SUM(SAM!M31:W31)</f>
        <v>36118.821103942428</v>
      </c>
      <c r="K11" s="14">
        <f>SUM(SAM!M32:W32)</f>
        <v>42213.504929576433</v>
      </c>
    </row>
    <row r="12" spans="1:25" ht="15" thickBot="1">
      <c r="C12" s="14">
        <f>C11*C10</f>
        <v>27.054839929066045</v>
      </c>
      <c r="D12" s="14">
        <f t="shared" ref="D12:K12" si="2">D11*D10</f>
        <v>52.082070311296562</v>
      </c>
      <c r="E12" s="14">
        <f t="shared" si="2"/>
        <v>351.17272838530317</v>
      </c>
      <c r="F12" s="14">
        <f t="shared" si="2"/>
        <v>899.10119387095745</v>
      </c>
      <c r="G12" s="14">
        <f t="shared" si="2"/>
        <v>1473.7186857970676</v>
      </c>
      <c r="H12" s="14">
        <f t="shared" si="2"/>
        <v>4187.3504523906759</v>
      </c>
      <c r="I12" s="14">
        <f t="shared" si="2"/>
        <v>5841.0915632592332</v>
      </c>
      <c r="J12" s="14">
        <f t="shared" si="2"/>
        <v>10113.269909103881</v>
      </c>
      <c r="K12" s="14">
        <f t="shared" si="2"/>
        <v>16885.401971830575</v>
      </c>
      <c r="L12" s="14">
        <f>SUM(C12:K12)</f>
        <v>39830.243414878059</v>
      </c>
    </row>
    <row r="13" spans="1:25" ht="15" thickBot="1">
      <c r="B13" s="149" t="s">
        <v>414</v>
      </c>
      <c r="C13" s="150">
        <f t="shared" ref="C13:K13" si="3">$C$6*$J$26*1000*C12/$L$12</f>
        <v>9.6413812574620792</v>
      </c>
      <c r="D13" s="150">
        <f t="shared" si="3"/>
        <v>18.560194695873452</v>
      </c>
      <c r="E13" s="150">
        <f t="shared" si="3"/>
        <v>125.14545162576995</v>
      </c>
      <c r="F13" s="150">
        <f t="shared" si="3"/>
        <v>320.40763951577651</v>
      </c>
      <c r="G13" s="150">
        <f t="shared" si="3"/>
        <v>525.180845766179</v>
      </c>
      <c r="H13" s="150">
        <f t="shared" si="3"/>
        <v>1492.2225478307789</v>
      </c>
      <c r="I13" s="150">
        <f t="shared" si="3"/>
        <v>2081.5569734945957</v>
      </c>
      <c r="J13" s="150">
        <f t="shared" si="3"/>
        <v>3604.0091609832484</v>
      </c>
      <c r="K13" s="151">
        <f t="shared" si="3"/>
        <v>6017.3558048303148</v>
      </c>
      <c r="L13" s="157">
        <f>SUM(C13:K13)</f>
        <v>14194.079999999998</v>
      </c>
    </row>
    <row r="14" spans="1:25" ht="15" thickBot="1">
      <c r="A14" s="146">
        <v>0.4</v>
      </c>
      <c r="B14" s="149" t="s">
        <v>449</v>
      </c>
      <c r="C14" s="150">
        <f t="shared" ref="C14:K14" si="4">$C$3/1000*$A$14*C12/$L$12</f>
        <v>3.0681889308751407E-2</v>
      </c>
      <c r="D14" s="150">
        <f t="shared" si="4"/>
        <v>5.9064341923717768E-2</v>
      </c>
      <c r="E14" s="150">
        <f t="shared" si="4"/>
        <v>0.39825195080878995</v>
      </c>
      <c r="F14" s="150">
        <f t="shared" si="4"/>
        <v>1.0196372767328086</v>
      </c>
      <c r="G14" s="150">
        <f t="shared" si="4"/>
        <v>1.6712896364722694</v>
      </c>
      <c r="H14" s="150">
        <f t="shared" si="4"/>
        <v>4.7487186549262992</v>
      </c>
      <c r="I14" s="150">
        <f t="shared" si="4"/>
        <v>6.6241650387169075</v>
      </c>
      <c r="J14" s="150">
        <f t="shared" si="4"/>
        <v>11.469083857609181</v>
      </c>
      <c r="K14" s="151">
        <f t="shared" si="4"/>
        <v>19.149107353501272</v>
      </c>
      <c r="L14" s="157">
        <f>SUM(C14:K14)</f>
        <v>45.17</v>
      </c>
    </row>
    <row r="15" spans="1:25">
      <c r="A15" s="146"/>
      <c r="B15" s="172"/>
      <c r="C15" s="172" t="s">
        <v>1</v>
      </c>
      <c r="D15" s="172" t="s">
        <v>2</v>
      </c>
      <c r="E15" s="172" t="s">
        <v>3</v>
      </c>
      <c r="F15" s="172" t="s">
        <v>4</v>
      </c>
      <c r="G15" s="172" t="s">
        <v>5</v>
      </c>
      <c r="H15" s="172"/>
      <c r="I15" s="172"/>
      <c r="J15" s="172"/>
      <c r="K15" s="172"/>
      <c r="L15" s="198"/>
    </row>
    <row r="16" spans="1:25">
      <c r="A16" s="146"/>
      <c r="B16" s="172"/>
      <c r="C16" s="172">
        <f>C13+D13</f>
        <v>28.201575953335531</v>
      </c>
      <c r="D16" s="172">
        <f>E13+F13</f>
        <v>445.55309114154647</v>
      </c>
      <c r="E16" s="172">
        <f>G13+H13</f>
        <v>2017.4033935969578</v>
      </c>
      <c r="F16" s="172">
        <f>I13</f>
        <v>2081.5569734945957</v>
      </c>
      <c r="G16" s="172">
        <f>J13+K13</f>
        <v>9621.3649658135637</v>
      </c>
      <c r="H16" s="172"/>
      <c r="I16" s="172"/>
      <c r="J16" s="172"/>
      <c r="K16" s="172"/>
      <c r="L16" s="198"/>
    </row>
    <row r="17" spans="1:11">
      <c r="G17" s="16"/>
    </row>
    <row r="18" spans="1:11">
      <c r="G18" s="16"/>
    </row>
    <row r="19" spans="1:11">
      <c r="G19" s="16"/>
    </row>
    <row r="20" spans="1:11">
      <c r="C20" s="16"/>
    </row>
    <row r="21" spans="1:11">
      <c r="C21" s="16"/>
    </row>
    <row r="22" spans="1:11">
      <c r="C22" s="16"/>
    </row>
    <row r="23" spans="1:11">
      <c r="A23" s="16"/>
      <c r="H23" s="16" t="s">
        <v>438</v>
      </c>
      <c r="J23" s="14">
        <v>2501057</v>
      </c>
    </row>
    <row r="24" spans="1:11">
      <c r="A24" s="29"/>
      <c r="I24" s="16" t="s">
        <v>306</v>
      </c>
      <c r="J24" s="14">
        <v>3940</v>
      </c>
    </row>
    <row r="25" spans="1:11">
      <c r="J25" s="14">
        <f>J24/J23</f>
        <v>1.5753339488064446E-3</v>
      </c>
    </row>
    <row r="26" spans="1:11">
      <c r="A26" s="16" t="s">
        <v>409</v>
      </c>
      <c r="H26" s="146" t="s">
        <v>439</v>
      </c>
      <c r="I26" s="146"/>
      <c r="J26" s="146">
        <v>1.6000000000000001E-3</v>
      </c>
    </row>
    <row r="27" spans="1:11" ht="15" thickBot="1">
      <c r="B27" s="16" t="s">
        <v>271</v>
      </c>
      <c r="C27" s="16" t="s">
        <v>290</v>
      </c>
      <c r="D27" s="16" t="s">
        <v>311</v>
      </c>
      <c r="E27" s="16" t="s">
        <v>296</v>
      </c>
      <c r="F27" s="16" t="s">
        <v>295</v>
      </c>
      <c r="G27" s="16" t="s">
        <v>293</v>
      </c>
      <c r="H27" s="16" t="s">
        <v>269</v>
      </c>
      <c r="I27" s="16" t="s">
        <v>294</v>
      </c>
      <c r="J27" s="16" t="s">
        <v>312</v>
      </c>
      <c r="K27" s="16"/>
    </row>
    <row r="28" spans="1:11" ht="15" thickBot="1">
      <c r="A28" s="152" t="s">
        <v>410</v>
      </c>
      <c r="B28" s="150">
        <f>F5</f>
        <v>0.85727623769728512</v>
      </c>
      <c r="C28" s="150">
        <f t="shared" ref="C28:J28" si="5">G5</f>
        <v>0.21696056307065317</v>
      </c>
      <c r="D28" s="150">
        <f t="shared" si="5"/>
        <v>12.694360435436675</v>
      </c>
      <c r="E28" s="150">
        <f t="shared" si="5"/>
        <v>2.0739770098828809</v>
      </c>
      <c r="F28" s="150">
        <f t="shared" si="5"/>
        <v>30.829475723144853</v>
      </c>
      <c r="G28" s="150">
        <f t="shared" si="5"/>
        <v>203.17966694846137</v>
      </c>
      <c r="H28" s="150">
        <f t="shared" si="5"/>
        <v>31.232162967512767</v>
      </c>
      <c r="I28" s="150">
        <f t="shared" si="5"/>
        <v>45.126719700275636</v>
      </c>
      <c r="J28" s="151">
        <f t="shared" si="5"/>
        <v>68.828867217444014</v>
      </c>
    </row>
    <row r="29" spans="1:11">
      <c r="A29" s="16"/>
    </row>
    <row r="30" spans="1:11">
      <c r="A30" s="16"/>
    </row>
    <row r="32" spans="1:11" ht="15" thickBot="1">
      <c r="B32" s="14">
        <f>SUM(SAM!C12:C22)</f>
        <v>5319.6905178048555</v>
      </c>
      <c r="C32" s="14">
        <f>SUM(SAM!D12:D22)</f>
        <v>2363.5518299425444</v>
      </c>
      <c r="D32" s="14">
        <f>SUM(SAM!E12:E22)</f>
        <v>35927.732728571369</v>
      </c>
      <c r="E32" s="14">
        <f>SUM(SAM!F12:F22)</f>
        <v>35754.076807958707</v>
      </c>
      <c r="F32" s="14">
        <f>SUM(SAM!G12:G22)</f>
        <v>83617.038851382269</v>
      </c>
      <c r="G32" s="14">
        <f>SUM(SAM!H12:H22)</f>
        <v>342933.28415638994</v>
      </c>
      <c r="H32" s="14">
        <f>SUM(SAM!I12:I22)</f>
        <v>75972.444777019526</v>
      </c>
      <c r="I32" s="14">
        <f>SUM(SAM!J12:J22)</f>
        <v>101616.46175588432</v>
      </c>
      <c r="J32" s="14">
        <f>SUM(SAM!K12:K22)</f>
        <v>129241.91424054874</v>
      </c>
      <c r="K32" s="14">
        <f>SUM(B32:J32)</f>
        <v>812746.19566550234</v>
      </c>
    </row>
    <row r="33" spans="1:12" ht="15" thickBot="1">
      <c r="A33" s="152" t="s">
        <v>411</v>
      </c>
      <c r="B33" s="150">
        <f t="shared" ref="B33:J33" si="6">$C$5*$J$26*1000*B32/$K$32</f>
        <v>7.7161563979941699</v>
      </c>
      <c r="C33" s="150">
        <f t="shared" si="6"/>
        <v>3.4283076268368373</v>
      </c>
      <c r="D33" s="150">
        <f t="shared" si="6"/>
        <v>52.112806906929926</v>
      </c>
      <c r="E33" s="150">
        <f t="shared" si="6"/>
        <v>51.860920779644857</v>
      </c>
      <c r="F33" s="150">
        <f t="shared" si="6"/>
        <v>121.28565508744293</v>
      </c>
      <c r="G33" s="150">
        <f t="shared" si="6"/>
        <v>497.42120256281231</v>
      </c>
      <c r="H33" s="150">
        <f t="shared" si="6"/>
        <v>110.19724998576737</v>
      </c>
      <c r="I33" s="150">
        <f t="shared" si="6"/>
        <v>147.39363293689254</v>
      </c>
      <c r="J33" s="151">
        <f t="shared" si="6"/>
        <v>187.46406771567882</v>
      </c>
      <c r="K33" s="157">
        <f>SUM(B33:J33)</f>
        <v>1178.8799999999999</v>
      </c>
      <c r="L33" s="154">
        <f>C5*1000*J26-K33</f>
        <v>0</v>
      </c>
    </row>
    <row r="34" spans="1:12" ht="15" thickBot="1">
      <c r="A34" s="153">
        <v>0.6</v>
      </c>
    </row>
    <row r="35" spans="1:12" ht="15" thickBot="1">
      <c r="A35" s="152" t="s">
        <v>449</v>
      </c>
      <c r="B35" s="150">
        <f t="shared" ref="B35:J35" si="7">$C$3/1000*$A$34*B32/$K$32</f>
        <v>0.44347870584461097</v>
      </c>
      <c r="C35" s="150">
        <f t="shared" si="7"/>
        <v>0.19703870050923752</v>
      </c>
      <c r="D35" s="150">
        <f t="shared" si="7"/>
        <v>2.9951337133372671</v>
      </c>
      <c r="E35" s="150">
        <f t="shared" si="7"/>
        <v>2.9806567991863782</v>
      </c>
      <c r="F35" s="150">
        <f t="shared" si="7"/>
        <v>6.9707769751371602</v>
      </c>
      <c r="G35" s="150">
        <f t="shared" si="7"/>
        <v>28.588807664599749</v>
      </c>
      <c r="H35" s="150">
        <f t="shared" si="7"/>
        <v>6.3334815017522308</v>
      </c>
      <c r="I35" s="150">
        <f t="shared" si="7"/>
        <v>8.4713080208665463</v>
      </c>
      <c r="J35" s="151">
        <f t="shared" si="7"/>
        <v>10.774317918766812</v>
      </c>
      <c r="K35" s="157">
        <f>SUM(B35:J35)</f>
        <v>67.754999999999995</v>
      </c>
      <c r="L35" s="154">
        <f>(C3/1000)-L14-K35</f>
        <v>0</v>
      </c>
    </row>
    <row r="40" spans="1:12">
      <c r="C40" s="14" t="s">
        <v>717</v>
      </c>
    </row>
    <row r="42" spans="1:12">
      <c r="B42" s="14" t="s">
        <v>718</v>
      </c>
      <c r="C42" s="14">
        <v>3700</v>
      </c>
      <c r="D42" s="14">
        <v>6.45</v>
      </c>
      <c r="E42" s="14" t="s">
        <v>720</v>
      </c>
    </row>
    <row r="43" spans="1:12">
      <c r="B43" s="14" t="s">
        <v>722</v>
      </c>
      <c r="C43" s="14">
        <v>200</v>
      </c>
      <c r="D43" s="14">
        <v>0.8</v>
      </c>
      <c r="E43" s="14" t="s">
        <v>721</v>
      </c>
    </row>
    <row r="44" spans="1:12">
      <c r="C44" s="14">
        <f>C42-C43</f>
        <v>3500</v>
      </c>
      <c r="D44" s="14">
        <v>5650</v>
      </c>
    </row>
    <row r="46" spans="1:12">
      <c r="B46" s="14" t="s">
        <v>662</v>
      </c>
      <c r="C46" s="14">
        <v>688.5</v>
      </c>
      <c r="G46" s="14" t="s">
        <v>787</v>
      </c>
      <c r="H46" s="14" t="s">
        <v>788</v>
      </c>
      <c r="I46" s="14" t="s">
        <v>789</v>
      </c>
    </row>
    <row r="47" spans="1:12">
      <c r="C47" s="14">
        <f>SUM(C44:C46)</f>
        <v>4188.5</v>
      </c>
      <c r="G47" s="14">
        <f>'Import-Export'!C24</f>
        <v>11685.155037939225</v>
      </c>
      <c r="H47" s="14">
        <f>'Import-Export'!C32</f>
        <v>30065.541033196423</v>
      </c>
      <c r="I47" s="14">
        <f>SUM(G47:H47)</f>
        <v>41750.696071135651</v>
      </c>
    </row>
    <row r="48" spans="1:12">
      <c r="D48" s="14">
        <f>C44</f>
        <v>3500</v>
      </c>
      <c r="G48" s="14">
        <f>G47/I47</f>
        <v>0.27987928675559876</v>
      </c>
      <c r="H48" s="14">
        <f>H47/I47</f>
        <v>0.72012071324440119</v>
      </c>
    </row>
    <row r="49" spans="2:9">
      <c r="B49" s="14" t="s">
        <v>719</v>
      </c>
      <c r="C49" s="14">
        <f>D44-C47</f>
        <v>1461.5</v>
      </c>
      <c r="D49" s="14">
        <f>C46</f>
        <v>688.5</v>
      </c>
      <c r="G49" s="14">
        <f>G48*C46</f>
        <v>192.69688893122975</v>
      </c>
      <c r="H49" s="14">
        <f>H48*C46</f>
        <v>495.80311106877019</v>
      </c>
      <c r="I49" s="14">
        <f>SUM(G49:H49)</f>
        <v>688.5</v>
      </c>
    </row>
    <row r="51" spans="2:9">
      <c r="G51" s="14">
        <v>192.66922477733078</v>
      </c>
      <c r="H51" s="14">
        <v>495.83077522266916</v>
      </c>
    </row>
  </sheetData>
  <hyperlinks>
    <hyperlink ref="A1" r:id="rId1"/>
    <hyperlink ref="Y1" r:id="rId2"/>
  </hyperlinks>
  <pageMargins left="0.7" right="0.7" top="0.75" bottom="0.75" header="0.3" footer="0.3"/>
  <pageSetup paperSize="9" orientation="portrait" horizontalDpi="0" verticalDpi="0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3" workbookViewId="0">
      <selection activeCell="E44" sqref="E44"/>
    </sheetView>
  </sheetViews>
  <sheetFormatPr defaultRowHeight="14.4"/>
  <cols>
    <col min="2" max="2" width="12" bestFit="1" customWidth="1"/>
  </cols>
  <sheetData>
    <row r="1" spans="1:10">
      <c r="A1" t="s">
        <v>0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</row>
    <row r="2" spans="1:10">
      <c r="A2" t="s">
        <v>1</v>
      </c>
      <c r="B2">
        <v>13997.800115585327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</v>
      </c>
      <c r="B3">
        <v>6826.5000076293945</v>
      </c>
      <c r="C3">
        <v>27366.900131225586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B4">
        <v>9619.1999683380127</v>
      </c>
      <c r="C4">
        <v>14681.800018310547</v>
      </c>
      <c r="D4">
        <v>47221.500228881836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16161.900146484375</v>
      </c>
      <c r="C5">
        <v>20823.199981689453</v>
      </c>
      <c r="D5">
        <v>38752.69970703125</v>
      </c>
      <c r="E5">
        <v>6428.4000244140625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9668.2999496459961</v>
      </c>
      <c r="C6">
        <v>30964.400054931641</v>
      </c>
      <c r="D6">
        <v>56729.299980163574</v>
      </c>
      <c r="E6">
        <v>15052.700073242188</v>
      </c>
      <c r="F6">
        <v>4242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10212.500049591064</v>
      </c>
      <c r="C7">
        <v>38833.200103759766</v>
      </c>
      <c r="D7">
        <v>84873.999877929688</v>
      </c>
      <c r="E7">
        <v>6886.9999084472656</v>
      </c>
      <c r="F7">
        <v>2869.199951171875</v>
      </c>
      <c r="G7">
        <v>4600</v>
      </c>
      <c r="H7">
        <v>0</v>
      </c>
      <c r="I7">
        <v>0</v>
      </c>
      <c r="J7">
        <v>0</v>
      </c>
    </row>
    <row r="8" spans="1:10">
      <c r="A8" t="s">
        <v>7</v>
      </c>
      <c r="B8">
        <v>8391.0999565124512</v>
      </c>
      <c r="C8">
        <v>15247.599945068359</v>
      </c>
      <c r="D8">
        <v>38347.600006103516</v>
      </c>
      <c r="E8">
        <v>9214.4000244140625</v>
      </c>
      <c r="F8">
        <v>2960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3449.0999603271484</v>
      </c>
      <c r="C9">
        <v>8400.0001220703125</v>
      </c>
      <c r="D9">
        <v>27004.199768066406</v>
      </c>
      <c r="E9">
        <v>13863.099975585938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B10">
        <v>5208.2999992370605</v>
      </c>
      <c r="C10">
        <v>13119.699890136719</v>
      </c>
      <c r="D10">
        <v>31681.000030517578</v>
      </c>
      <c r="E10">
        <v>5840.800048828125</v>
      </c>
      <c r="F10">
        <v>1040</v>
      </c>
      <c r="G10">
        <v>0</v>
      </c>
      <c r="H10">
        <v>0</v>
      </c>
      <c r="I10">
        <v>0</v>
      </c>
      <c r="J10">
        <v>0</v>
      </c>
    </row>
    <row r="12" spans="1:10">
      <c r="A12" s="83" t="s">
        <v>422</v>
      </c>
      <c r="H12" s="40"/>
    </row>
    <row r="13" spans="1:10">
      <c r="A13" s="1" t="s">
        <v>222</v>
      </c>
      <c r="B13">
        <v>5.7000000000000002E-2</v>
      </c>
    </row>
    <row r="14" spans="1:10" ht="15" thickBot="1">
      <c r="A14" s="1" t="s">
        <v>224</v>
      </c>
    </row>
    <row r="15" spans="1:10">
      <c r="A15" s="87" t="s">
        <v>0</v>
      </c>
      <c r="B15" s="91" t="s">
        <v>213</v>
      </c>
      <c r="C15" s="91" t="s">
        <v>214</v>
      </c>
      <c r="D15" s="91" t="s">
        <v>215</v>
      </c>
      <c r="E15" s="91" t="s">
        <v>216</v>
      </c>
      <c r="F15" s="91" t="s">
        <v>217</v>
      </c>
      <c r="G15" s="91" t="s">
        <v>218</v>
      </c>
      <c r="H15" s="91" t="s">
        <v>219</v>
      </c>
      <c r="I15" s="91" t="s">
        <v>220</v>
      </c>
      <c r="J15" s="92" t="s">
        <v>221</v>
      </c>
    </row>
    <row r="16" spans="1:10">
      <c r="A16" s="93" t="s">
        <v>1</v>
      </c>
      <c r="B16" s="94">
        <f>B2*$B$13</f>
        <v>797.87460658836369</v>
      </c>
      <c r="C16" s="94">
        <f t="shared" ref="C16:J16" si="0">C2*$B$13</f>
        <v>0</v>
      </c>
      <c r="D16" s="94">
        <f t="shared" si="0"/>
        <v>0</v>
      </c>
      <c r="E16" s="94">
        <f t="shared" si="0"/>
        <v>0</v>
      </c>
      <c r="F16" s="94">
        <f t="shared" si="0"/>
        <v>0</v>
      </c>
      <c r="G16" s="94">
        <f t="shared" si="0"/>
        <v>0</v>
      </c>
      <c r="H16" s="94">
        <f t="shared" si="0"/>
        <v>0</v>
      </c>
      <c r="I16" s="94">
        <f t="shared" si="0"/>
        <v>0</v>
      </c>
      <c r="J16" s="94">
        <f t="shared" si="0"/>
        <v>0</v>
      </c>
    </row>
    <row r="17" spans="1:10">
      <c r="A17" s="93" t="s">
        <v>2</v>
      </c>
      <c r="B17" s="94">
        <f t="shared" ref="B17:J24" si="1">B3*$B$13</f>
        <v>389.11050043487552</v>
      </c>
      <c r="C17" s="94">
        <f t="shared" si="1"/>
        <v>1559.9133074798585</v>
      </c>
      <c r="D17" s="94">
        <f t="shared" si="1"/>
        <v>0</v>
      </c>
      <c r="E17" s="94">
        <f t="shared" si="1"/>
        <v>0</v>
      </c>
      <c r="F17" s="94">
        <f t="shared" si="1"/>
        <v>0</v>
      </c>
      <c r="G17" s="94">
        <f t="shared" si="1"/>
        <v>0</v>
      </c>
      <c r="H17" s="94">
        <f t="shared" si="1"/>
        <v>0</v>
      </c>
      <c r="I17" s="94">
        <f t="shared" si="1"/>
        <v>0</v>
      </c>
      <c r="J17" s="94">
        <f t="shared" si="1"/>
        <v>0</v>
      </c>
    </row>
    <row r="18" spans="1:10">
      <c r="A18" s="93" t="s">
        <v>3</v>
      </c>
      <c r="B18" s="94">
        <f t="shared" si="1"/>
        <v>548.29439819526669</v>
      </c>
      <c r="C18" s="94">
        <f t="shared" si="1"/>
        <v>836.86260104370115</v>
      </c>
      <c r="D18" s="94">
        <f t="shared" si="1"/>
        <v>2691.6255130462646</v>
      </c>
      <c r="E18" s="94">
        <f t="shared" si="1"/>
        <v>0</v>
      </c>
      <c r="F18" s="94">
        <f t="shared" si="1"/>
        <v>0</v>
      </c>
      <c r="G18" s="94">
        <f t="shared" si="1"/>
        <v>0</v>
      </c>
      <c r="H18" s="94">
        <f t="shared" si="1"/>
        <v>0</v>
      </c>
      <c r="I18" s="94">
        <f t="shared" si="1"/>
        <v>0</v>
      </c>
      <c r="J18" s="94">
        <f t="shared" si="1"/>
        <v>0</v>
      </c>
    </row>
    <row r="19" spans="1:10">
      <c r="A19" s="93" t="s">
        <v>4</v>
      </c>
      <c r="B19" s="94">
        <f t="shared" si="1"/>
        <v>921.22830834960939</v>
      </c>
      <c r="C19" s="94">
        <f t="shared" si="1"/>
        <v>1186.9223989562988</v>
      </c>
      <c r="D19" s="94">
        <f t="shared" si="1"/>
        <v>2208.9038833007812</v>
      </c>
      <c r="E19" s="94">
        <f t="shared" si="1"/>
        <v>366.41880139160156</v>
      </c>
      <c r="F19" s="94">
        <f t="shared" si="1"/>
        <v>0</v>
      </c>
      <c r="G19" s="94">
        <f t="shared" si="1"/>
        <v>0</v>
      </c>
      <c r="H19" s="94">
        <f t="shared" si="1"/>
        <v>0</v>
      </c>
      <c r="I19" s="94">
        <f t="shared" si="1"/>
        <v>0</v>
      </c>
      <c r="J19" s="94">
        <f t="shared" si="1"/>
        <v>0</v>
      </c>
    </row>
    <row r="20" spans="1:10">
      <c r="A20" s="93" t="s">
        <v>5</v>
      </c>
      <c r="B20" s="94">
        <f t="shared" si="1"/>
        <v>551.09309712982179</v>
      </c>
      <c r="C20" s="94">
        <f t="shared" si="1"/>
        <v>1764.9708031311036</v>
      </c>
      <c r="D20" s="94">
        <f t="shared" si="1"/>
        <v>3233.5700988693238</v>
      </c>
      <c r="E20" s="94">
        <f t="shared" si="1"/>
        <v>858.00390417480469</v>
      </c>
      <c r="F20" s="94">
        <f t="shared" si="1"/>
        <v>241.79400000000001</v>
      </c>
      <c r="G20" s="94">
        <f t="shared" si="1"/>
        <v>0</v>
      </c>
      <c r="H20" s="94">
        <f t="shared" si="1"/>
        <v>0</v>
      </c>
      <c r="I20" s="94">
        <f t="shared" si="1"/>
        <v>0</v>
      </c>
      <c r="J20" s="94">
        <f t="shared" si="1"/>
        <v>0</v>
      </c>
    </row>
    <row r="21" spans="1:10">
      <c r="A21" s="93" t="s">
        <v>6</v>
      </c>
      <c r="B21" s="94">
        <f t="shared" si="1"/>
        <v>582.11250282669073</v>
      </c>
      <c r="C21" s="94">
        <f t="shared" si="1"/>
        <v>2213.4924059143068</v>
      </c>
      <c r="D21" s="94">
        <f t="shared" si="1"/>
        <v>4837.8179930419919</v>
      </c>
      <c r="E21" s="94">
        <f t="shared" si="1"/>
        <v>392.55899478149416</v>
      </c>
      <c r="F21" s="94">
        <f t="shared" si="1"/>
        <v>163.54439721679688</v>
      </c>
      <c r="G21" s="94">
        <f t="shared" si="1"/>
        <v>262.2</v>
      </c>
      <c r="H21" s="94">
        <f t="shared" si="1"/>
        <v>0</v>
      </c>
      <c r="I21" s="94">
        <f t="shared" si="1"/>
        <v>0</v>
      </c>
      <c r="J21" s="94">
        <f t="shared" si="1"/>
        <v>0</v>
      </c>
    </row>
    <row r="22" spans="1:10">
      <c r="A22" s="93" t="s">
        <v>7</v>
      </c>
      <c r="B22" s="94">
        <f t="shared" si="1"/>
        <v>478.29269752120973</v>
      </c>
      <c r="C22" s="94">
        <f t="shared" si="1"/>
        <v>869.11319686889647</v>
      </c>
      <c r="D22" s="94">
        <f t="shared" si="1"/>
        <v>2185.8132003479004</v>
      </c>
      <c r="E22" s="94">
        <f t="shared" si="1"/>
        <v>525.22080139160153</v>
      </c>
      <c r="F22" s="94">
        <f t="shared" si="1"/>
        <v>168.72</v>
      </c>
      <c r="G22" s="94">
        <f t="shared" si="1"/>
        <v>0</v>
      </c>
      <c r="H22" s="94">
        <f t="shared" si="1"/>
        <v>0</v>
      </c>
      <c r="I22" s="94">
        <f t="shared" si="1"/>
        <v>0</v>
      </c>
      <c r="J22" s="94">
        <f t="shared" si="1"/>
        <v>0</v>
      </c>
    </row>
    <row r="23" spans="1:10">
      <c r="A23" s="93" t="s">
        <v>8</v>
      </c>
      <c r="B23" s="94">
        <f t="shared" si="1"/>
        <v>196.59869773864747</v>
      </c>
      <c r="C23" s="94">
        <f t="shared" si="1"/>
        <v>478.80000695800783</v>
      </c>
      <c r="D23" s="94">
        <f t="shared" si="1"/>
        <v>1539.2393867797853</v>
      </c>
      <c r="E23" s="94">
        <f t="shared" si="1"/>
        <v>790.19669860839849</v>
      </c>
      <c r="F23" s="94">
        <f t="shared" si="1"/>
        <v>0</v>
      </c>
      <c r="G23" s="94">
        <f t="shared" si="1"/>
        <v>0</v>
      </c>
      <c r="H23" s="94">
        <f t="shared" si="1"/>
        <v>0</v>
      </c>
      <c r="I23" s="94">
        <f t="shared" si="1"/>
        <v>0</v>
      </c>
      <c r="J23" s="94">
        <f t="shared" si="1"/>
        <v>0</v>
      </c>
    </row>
    <row r="24" spans="1:10" ht="15" thickBot="1">
      <c r="A24" s="96" t="s">
        <v>9</v>
      </c>
      <c r="B24" s="94">
        <f t="shared" si="1"/>
        <v>296.87309995651248</v>
      </c>
      <c r="C24" s="94">
        <f t="shared" si="1"/>
        <v>747.82289373779304</v>
      </c>
      <c r="D24" s="94">
        <f t="shared" si="1"/>
        <v>1805.8170017395021</v>
      </c>
      <c r="E24" s="94">
        <f t="shared" si="1"/>
        <v>332.92560278320315</v>
      </c>
      <c r="F24" s="94">
        <f t="shared" si="1"/>
        <v>59.28</v>
      </c>
      <c r="G24" s="94">
        <f t="shared" si="1"/>
        <v>0</v>
      </c>
      <c r="H24" s="94">
        <f t="shared" si="1"/>
        <v>0</v>
      </c>
      <c r="I24" s="94">
        <f t="shared" si="1"/>
        <v>0</v>
      </c>
      <c r="J24" s="94">
        <f t="shared" si="1"/>
        <v>0</v>
      </c>
    </row>
    <row r="25" spans="1:10" ht="15" thickBot="1"/>
    <row r="26" spans="1:10">
      <c r="B26" s="91" t="s">
        <v>213</v>
      </c>
      <c r="C26" s="91" t="s">
        <v>214</v>
      </c>
      <c r="D26" s="91" t="s">
        <v>215</v>
      </c>
      <c r="E26" s="91" t="s">
        <v>216</v>
      </c>
      <c r="F26" s="91" t="s">
        <v>217</v>
      </c>
      <c r="G26" s="91"/>
      <c r="H26" s="91"/>
      <c r="I26" s="91"/>
      <c r="J26" s="92"/>
    </row>
    <row r="27" spans="1:10">
      <c r="A27" s="93" t="s">
        <v>1</v>
      </c>
      <c r="B27">
        <f>B16+C16</f>
        <v>797.87460658836369</v>
      </c>
      <c r="C27">
        <f>D16+E16</f>
        <v>0</v>
      </c>
      <c r="D27">
        <f>F16+G16</f>
        <v>0</v>
      </c>
    </row>
    <row r="28" spans="1:10">
      <c r="A28" s="93" t="s">
        <v>2</v>
      </c>
      <c r="B28">
        <f t="shared" ref="B28:B35" si="2">B17+C17</f>
        <v>1949.0238079147341</v>
      </c>
      <c r="C28">
        <f t="shared" ref="C28:C35" si="3">D17+E17</f>
        <v>0</v>
      </c>
      <c r="D28">
        <f t="shared" ref="D28:D35" si="4">F17+G17</f>
        <v>0</v>
      </c>
    </row>
    <row r="29" spans="1:10">
      <c r="A29" s="93" t="s">
        <v>3</v>
      </c>
      <c r="B29">
        <f t="shared" si="2"/>
        <v>1385.1569992389677</v>
      </c>
      <c r="C29">
        <f t="shared" si="3"/>
        <v>2691.6255130462646</v>
      </c>
      <c r="D29">
        <f t="shared" si="4"/>
        <v>0</v>
      </c>
    </row>
    <row r="30" spans="1:10">
      <c r="A30" s="93" t="s">
        <v>4</v>
      </c>
      <c r="B30">
        <f t="shared" si="2"/>
        <v>2108.1507073059083</v>
      </c>
      <c r="C30">
        <f t="shared" si="3"/>
        <v>2575.3226846923826</v>
      </c>
      <c r="D30">
        <f t="shared" si="4"/>
        <v>0</v>
      </c>
    </row>
    <row r="31" spans="1:10">
      <c r="A31" s="93" t="s">
        <v>5</v>
      </c>
      <c r="B31">
        <f t="shared" si="2"/>
        <v>2316.0639002609255</v>
      </c>
      <c r="C31">
        <f t="shared" si="3"/>
        <v>4091.5740030441284</v>
      </c>
      <c r="D31">
        <f t="shared" si="4"/>
        <v>241.79400000000001</v>
      </c>
    </row>
    <row r="32" spans="1:10">
      <c r="A32" s="93" t="s">
        <v>6</v>
      </c>
      <c r="B32">
        <f t="shared" si="2"/>
        <v>2795.6049087409974</v>
      </c>
      <c r="C32">
        <f t="shared" si="3"/>
        <v>5230.3769878234862</v>
      </c>
      <c r="D32">
        <f t="shared" si="4"/>
        <v>425.74439721679687</v>
      </c>
    </row>
    <row r="33" spans="1:6">
      <c r="A33" s="93" t="s">
        <v>7</v>
      </c>
      <c r="B33">
        <f t="shared" si="2"/>
        <v>1347.4058943901061</v>
      </c>
      <c r="C33">
        <f t="shared" si="3"/>
        <v>2711.0340017395019</v>
      </c>
      <c r="D33">
        <f t="shared" si="4"/>
        <v>168.72</v>
      </c>
    </row>
    <row r="34" spans="1:6">
      <c r="A34" s="93" t="s">
        <v>8</v>
      </c>
      <c r="B34">
        <f t="shared" si="2"/>
        <v>675.39870469665527</v>
      </c>
      <c r="C34">
        <f t="shared" si="3"/>
        <v>2329.4360853881835</v>
      </c>
      <c r="D34">
        <f t="shared" si="4"/>
        <v>0</v>
      </c>
    </row>
    <row r="35" spans="1:6">
      <c r="A35" s="93" t="s">
        <v>9</v>
      </c>
      <c r="B35">
        <f t="shared" si="2"/>
        <v>1044.6959936943056</v>
      </c>
      <c r="C35">
        <f t="shared" si="3"/>
        <v>2138.7426045227053</v>
      </c>
      <c r="D35">
        <f t="shared" si="4"/>
        <v>59.28</v>
      </c>
    </row>
    <row r="38" spans="1:6">
      <c r="A38" s="93" t="s">
        <v>1</v>
      </c>
      <c r="B38">
        <f>B27+B28</f>
        <v>2746.8984145030977</v>
      </c>
      <c r="C38">
        <f t="shared" ref="C38:F38" si="5">C27+C28</f>
        <v>0</v>
      </c>
      <c r="D38">
        <f t="shared" si="5"/>
        <v>0</v>
      </c>
      <c r="E38">
        <f t="shared" si="5"/>
        <v>0</v>
      </c>
      <c r="F38">
        <f t="shared" si="5"/>
        <v>0</v>
      </c>
    </row>
    <row r="39" spans="1:6">
      <c r="A39" s="93" t="s">
        <v>2</v>
      </c>
      <c r="B39">
        <f>B29+B30</f>
        <v>3493.3077065448761</v>
      </c>
      <c r="C39">
        <f t="shared" ref="C39:F39" si="6">C29+C30</f>
        <v>5266.9481977386477</v>
      </c>
      <c r="D39">
        <f t="shared" si="6"/>
        <v>0</v>
      </c>
      <c r="E39">
        <f t="shared" si="6"/>
        <v>0</v>
      </c>
      <c r="F39">
        <f t="shared" si="6"/>
        <v>0</v>
      </c>
    </row>
    <row r="40" spans="1:6">
      <c r="A40" s="93" t="s">
        <v>3</v>
      </c>
      <c r="B40">
        <f>B31+B32</f>
        <v>5111.6688090019234</v>
      </c>
      <c r="C40">
        <f t="shared" ref="C40:F40" si="7">C31+C32</f>
        <v>9321.9509908676155</v>
      </c>
      <c r="D40">
        <f t="shared" si="7"/>
        <v>667.53839721679685</v>
      </c>
      <c r="E40">
        <f t="shared" si="7"/>
        <v>0</v>
      </c>
      <c r="F40">
        <f t="shared" si="7"/>
        <v>0</v>
      </c>
    </row>
    <row r="41" spans="1:6">
      <c r="A41" s="93" t="s">
        <v>4</v>
      </c>
      <c r="B41">
        <f>B33</f>
        <v>1347.4058943901061</v>
      </c>
      <c r="C41">
        <f t="shared" ref="C41:F41" si="8">C33</f>
        <v>2711.0340017395019</v>
      </c>
      <c r="D41">
        <f t="shared" si="8"/>
        <v>168.72</v>
      </c>
      <c r="E41">
        <f t="shared" si="8"/>
        <v>0</v>
      </c>
      <c r="F41">
        <f t="shared" si="8"/>
        <v>0</v>
      </c>
    </row>
    <row r="42" spans="1:6">
      <c r="A42" s="93" t="s">
        <v>5</v>
      </c>
      <c r="B42">
        <f>B34+B35</f>
        <v>1720.0946983909607</v>
      </c>
      <c r="C42">
        <f t="shared" ref="C42:F42" si="9">C34+C35</f>
        <v>4468.1786899108884</v>
      </c>
      <c r="D42">
        <f t="shared" si="9"/>
        <v>59.28</v>
      </c>
      <c r="E42">
        <f t="shared" si="9"/>
        <v>0</v>
      </c>
      <c r="F42">
        <f t="shared" si="9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"/>
  <sheetViews>
    <sheetView topLeftCell="AC8" workbookViewId="0">
      <selection activeCell="AL60" sqref="AL60:AP65"/>
    </sheetView>
  </sheetViews>
  <sheetFormatPr defaultRowHeight="14.4"/>
  <cols>
    <col min="2" max="10" width="12" bestFit="1" customWidth="1"/>
    <col min="11" max="11" width="10" bestFit="1" customWidth="1"/>
    <col min="13" max="13" width="12.109375" bestFit="1" customWidth="1"/>
    <col min="14" max="21" width="10" bestFit="1" customWidth="1"/>
    <col min="37" max="37" width="10.88671875" customWidth="1"/>
  </cols>
  <sheetData>
    <row r="1" spans="1:4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46">
      <c r="A2" t="s">
        <v>1</v>
      </c>
      <c r="B2">
        <v>5512.1000366210938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4196</v>
      </c>
      <c r="U2">
        <v>786</v>
      </c>
      <c r="V2">
        <v>3410</v>
      </c>
    </row>
    <row r="3" spans="1:46">
      <c r="A3" t="s">
        <v>2</v>
      </c>
      <c r="B3">
        <v>2257.7000007629395</v>
      </c>
      <c r="C3">
        <v>4648.7999877929688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443</v>
      </c>
      <c r="L3">
        <v>394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4113</v>
      </c>
      <c r="U3">
        <v>685</v>
      </c>
      <c r="V3">
        <v>3428</v>
      </c>
    </row>
    <row r="4" spans="1:46">
      <c r="A4" t="s">
        <v>3</v>
      </c>
      <c r="B4">
        <v>6041.5500087738037</v>
      </c>
      <c r="C4">
        <v>9197.6000366210938</v>
      </c>
      <c r="D4">
        <v>30050.499877929688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1138</v>
      </c>
      <c r="L4">
        <v>748</v>
      </c>
      <c r="M4">
        <v>1484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7115</v>
      </c>
      <c r="U4">
        <v>2985</v>
      </c>
      <c r="V4">
        <v>4130</v>
      </c>
    </row>
    <row r="5" spans="1:46">
      <c r="A5" t="s">
        <v>4</v>
      </c>
      <c r="B5">
        <v>4707.5599546432495</v>
      </c>
      <c r="C5">
        <v>2541.5</v>
      </c>
      <c r="D5">
        <v>14211.39990234375</v>
      </c>
      <c r="E5">
        <v>90446.899841308594</v>
      </c>
      <c r="F5">
        <v>0</v>
      </c>
      <c r="G5">
        <v>0</v>
      </c>
      <c r="H5">
        <v>0</v>
      </c>
      <c r="I5">
        <v>0</v>
      </c>
      <c r="J5">
        <v>0</v>
      </c>
      <c r="K5">
        <v>1449</v>
      </c>
      <c r="L5">
        <v>205</v>
      </c>
      <c r="M5">
        <v>636</v>
      </c>
      <c r="N5">
        <v>3127</v>
      </c>
      <c r="O5">
        <v>0</v>
      </c>
      <c r="P5">
        <v>0</v>
      </c>
      <c r="Q5">
        <v>0</v>
      </c>
      <c r="R5">
        <v>0</v>
      </c>
      <c r="S5">
        <v>0</v>
      </c>
      <c r="T5">
        <v>7797</v>
      </c>
      <c r="U5">
        <v>4402</v>
      </c>
      <c r="V5">
        <v>3395</v>
      </c>
    </row>
    <row r="6" spans="1:46">
      <c r="A6" t="s">
        <v>5</v>
      </c>
      <c r="B6">
        <v>8985.4399652481079</v>
      </c>
      <c r="C6">
        <v>5951.7000274658203</v>
      </c>
      <c r="D6">
        <v>54269.599975585938</v>
      </c>
      <c r="E6">
        <v>26559.900085449219</v>
      </c>
      <c r="F6">
        <v>88982.099975585938</v>
      </c>
      <c r="G6">
        <v>0</v>
      </c>
      <c r="H6">
        <v>0</v>
      </c>
      <c r="I6">
        <v>0</v>
      </c>
      <c r="J6">
        <v>0</v>
      </c>
      <c r="K6">
        <v>2353</v>
      </c>
      <c r="L6">
        <v>493</v>
      </c>
      <c r="M6">
        <v>2710</v>
      </c>
      <c r="N6">
        <v>877</v>
      </c>
      <c r="O6">
        <v>2156</v>
      </c>
      <c r="P6">
        <v>0</v>
      </c>
      <c r="Q6">
        <v>0</v>
      </c>
      <c r="R6">
        <v>0</v>
      </c>
      <c r="S6">
        <v>0</v>
      </c>
      <c r="T6">
        <v>8852</v>
      </c>
      <c r="U6">
        <v>5146</v>
      </c>
      <c r="V6">
        <v>3706</v>
      </c>
    </row>
    <row r="7" spans="1:46">
      <c r="A7" t="s">
        <v>6</v>
      </c>
      <c r="B7">
        <v>13729.149991512299</v>
      </c>
      <c r="C7">
        <v>13105.399963378906</v>
      </c>
      <c r="D7">
        <v>53426.60009765625</v>
      </c>
      <c r="E7">
        <v>61096.100219726563</v>
      </c>
      <c r="F7">
        <v>96322.2001953125</v>
      </c>
      <c r="G7">
        <v>280856</v>
      </c>
      <c r="H7">
        <v>0</v>
      </c>
      <c r="I7">
        <v>0</v>
      </c>
      <c r="J7">
        <v>0</v>
      </c>
      <c r="K7">
        <v>3369</v>
      </c>
      <c r="L7">
        <v>1026</v>
      </c>
      <c r="M7">
        <v>2647</v>
      </c>
      <c r="N7">
        <v>2060</v>
      </c>
      <c r="O7">
        <v>2341</v>
      </c>
      <c r="P7">
        <v>4882</v>
      </c>
      <c r="Q7">
        <v>0</v>
      </c>
      <c r="R7">
        <v>0</v>
      </c>
      <c r="S7">
        <v>0</v>
      </c>
      <c r="T7">
        <v>14447</v>
      </c>
      <c r="U7">
        <v>9563</v>
      </c>
      <c r="V7">
        <v>4884</v>
      </c>
    </row>
    <row r="8" spans="1:46">
      <c r="A8" t="s">
        <v>7</v>
      </c>
      <c r="B8">
        <v>4582.7900228500366</v>
      </c>
      <c r="C8">
        <v>14256.400024414063</v>
      </c>
      <c r="D8">
        <v>21815.300048828125</v>
      </c>
      <c r="E8">
        <v>22800.800109863281</v>
      </c>
      <c r="F8">
        <v>118394.5</v>
      </c>
      <c r="G8">
        <v>143060</v>
      </c>
      <c r="H8">
        <v>117327</v>
      </c>
      <c r="I8">
        <v>0</v>
      </c>
      <c r="J8">
        <v>0</v>
      </c>
      <c r="K8">
        <v>1340</v>
      </c>
      <c r="L8">
        <v>1090</v>
      </c>
      <c r="M8">
        <v>1060</v>
      </c>
      <c r="N8">
        <v>775</v>
      </c>
      <c r="O8">
        <v>2824</v>
      </c>
      <c r="P8">
        <v>2376</v>
      </c>
      <c r="Q8">
        <v>1408</v>
      </c>
      <c r="R8">
        <v>0</v>
      </c>
      <c r="S8">
        <v>0</v>
      </c>
      <c r="T8">
        <v>8171</v>
      </c>
      <c r="U8">
        <v>6270</v>
      </c>
      <c r="V8">
        <v>1901</v>
      </c>
    </row>
    <row r="9" spans="1:46">
      <c r="A9" t="s">
        <v>8</v>
      </c>
      <c r="B9">
        <v>2929.5999846458435</v>
      </c>
      <c r="C9">
        <v>3372</v>
      </c>
      <c r="D9">
        <v>18410.299987792969</v>
      </c>
      <c r="E9">
        <v>27142.800170898438</v>
      </c>
      <c r="F9">
        <v>87590.199951171875</v>
      </c>
      <c r="G9">
        <v>220901</v>
      </c>
      <c r="H9">
        <v>185066</v>
      </c>
      <c r="I9">
        <v>132543</v>
      </c>
      <c r="J9">
        <v>0</v>
      </c>
      <c r="K9">
        <v>955</v>
      </c>
      <c r="L9">
        <v>273</v>
      </c>
      <c r="M9">
        <v>959</v>
      </c>
      <c r="N9">
        <v>971</v>
      </c>
      <c r="O9">
        <v>2122</v>
      </c>
      <c r="P9">
        <v>3667</v>
      </c>
      <c r="Q9">
        <v>2160</v>
      </c>
      <c r="R9">
        <v>1170</v>
      </c>
      <c r="S9">
        <v>0</v>
      </c>
      <c r="T9">
        <v>6951</v>
      </c>
      <c r="U9">
        <v>6330</v>
      </c>
      <c r="V9">
        <v>621</v>
      </c>
    </row>
    <row r="10" spans="1:46">
      <c r="A10" t="s">
        <v>9</v>
      </c>
      <c r="B10">
        <v>7054.8999481201172</v>
      </c>
      <c r="C10">
        <v>3529.5</v>
      </c>
      <c r="D10">
        <v>15421.200012207031</v>
      </c>
      <c r="E10">
        <v>17577.199951171875</v>
      </c>
      <c r="F10">
        <v>29935</v>
      </c>
      <c r="G10">
        <v>66294</v>
      </c>
      <c r="H10">
        <v>153743</v>
      </c>
      <c r="I10">
        <v>168913</v>
      </c>
      <c r="J10">
        <v>321331</v>
      </c>
      <c r="K10">
        <v>2144</v>
      </c>
      <c r="L10">
        <v>313</v>
      </c>
      <c r="M10">
        <v>816</v>
      </c>
      <c r="N10">
        <v>598</v>
      </c>
      <c r="O10">
        <v>808</v>
      </c>
      <c r="P10">
        <v>1135</v>
      </c>
      <c r="Q10">
        <v>1808</v>
      </c>
      <c r="R10">
        <v>1462</v>
      </c>
      <c r="S10">
        <v>1328</v>
      </c>
      <c r="T10">
        <v>5573</v>
      </c>
      <c r="U10">
        <v>4308</v>
      </c>
      <c r="V10">
        <v>1265</v>
      </c>
      <c r="AB10" t="str">
        <f>K15</f>
        <v>L1w</v>
      </c>
      <c r="AC10" t="str">
        <f t="shared" ref="AC10:AH19" si="0">L15</f>
        <v>L2w</v>
      </c>
      <c r="AD10" t="str">
        <f t="shared" si="0"/>
        <v>L3w</v>
      </c>
      <c r="AE10" t="str">
        <f t="shared" si="0"/>
        <v>L4w</v>
      </c>
      <c r="AF10" t="str">
        <f t="shared" si="0"/>
        <v>L5w</v>
      </c>
      <c r="AG10" t="str">
        <f t="shared" si="0"/>
        <v>L6w</v>
      </c>
      <c r="AH10" t="str">
        <f t="shared" si="0"/>
        <v>L7w</v>
      </c>
      <c r="AI10" t="str">
        <f>R15</f>
        <v>L8w</v>
      </c>
      <c r="AJ10" t="str">
        <f t="shared" ref="AJ10:AJ19" si="1">S15</f>
        <v>L9w</v>
      </c>
      <c r="AL10" t="str">
        <f t="shared" ref="AL10:AT10" si="2">AB10</f>
        <v>L1w</v>
      </c>
      <c r="AM10" t="str">
        <f t="shared" si="2"/>
        <v>L2w</v>
      </c>
      <c r="AN10" t="str">
        <f t="shared" si="2"/>
        <v>L3w</v>
      </c>
      <c r="AO10" t="str">
        <f t="shared" si="2"/>
        <v>L4w</v>
      </c>
      <c r="AP10" t="str">
        <f t="shared" si="2"/>
        <v>L5w</v>
      </c>
      <c r="AQ10" t="str">
        <f t="shared" si="2"/>
        <v>L6w</v>
      </c>
      <c r="AR10" t="str">
        <f t="shared" si="2"/>
        <v>L7w</v>
      </c>
      <c r="AS10" t="str">
        <f t="shared" si="2"/>
        <v>L8w</v>
      </c>
      <c r="AT10" t="str">
        <f t="shared" si="2"/>
        <v>L9w</v>
      </c>
    </row>
    <row r="11" spans="1:46">
      <c r="B11">
        <f>SUM(B2:B10)</f>
        <v>55800.78991317749</v>
      </c>
      <c r="C11">
        <f t="shared" ref="C11:J11" si="3">SUM(C2:C10)</f>
        <v>56602.900039672852</v>
      </c>
      <c r="D11">
        <f t="shared" si="3"/>
        <v>207604.89990234375</v>
      </c>
      <c r="E11">
        <f t="shared" si="3"/>
        <v>245623.70037841797</v>
      </c>
      <c r="F11">
        <f t="shared" si="3"/>
        <v>421224.00012207031</v>
      </c>
      <c r="G11">
        <f t="shared" si="3"/>
        <v>711111</v>
      </c>
      <c r="H11">
        <f t="shared" si="3"/>
        <v>456136</v>
      </c>
      <c r="I11">
        <f t="shared" si="3"/>
        <v>301456</v>
      </c>
      <c r="J11">
        <f t="shared" si="3"/>
        <v>321331</v>
      </c>
      <c r="K11">
        <f>SUM(K2:K10)</f>
        <v>14502</v>
      </c>
      <c r="L11">
        <f t="shared" ref="L11:S11" si="4">SUM(L2:L10)</f>
        <v>4542</v>
      </c>
      <c r="M11">
        <f t="shared" si="4"/>
        <v>10312</v>
      </c>
      <c r="N11">
        <f t="shared" si="4"/>
        <v>8408</v>
      </c>
      <c r="O11">
        <f t="shared" si="4"/>
        <v>10251</v>
      </c>
      <c r="P11">
        <f t="shared" si="4"/>
        <v>12060</v>
      </c>
      <c r="Q11">
        <f t="shared" si="4"/>
        <v>5376</v>
      </c>
      <c r="R11">
        <f t="shared" si="4"/>
        <v>2632</v>
      </c>
      <c r="S11">
        <f t="shared" si="4"/>
        <v>1328</v>
      </c>
      <c r="AA11" s="12" t="s">
        <v>1</v>
      </c>
      <c r="AB11">
        <f t="shared" ref="AB11:AB19" si="5">K16</f>
        <v>75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ref="AI11:AI19" si="6">R16</f>
        <v>0</v>
      </c>
      <c r="AJ11">
        <f t="shared" si="1"/>
        <v>0</v>
      </c>
      <c r="AL11">
        <f>AB11+AB12</f>
        <v>100</v>
      </c>
      <c r="AM11">
        <f t="shared" ref="AM11:AT11" si="7">AC11+AC12</f>
        <v>22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  <c r="AS11">
        <f t="shared" si="7"/>
        <v>0</v>
      </c>
      <c r="AT11">
        <f t="shared" si="7"/>
        <v>0</v>
      </c>
    </row>
    <row r="12" spans="1:46">
      <c r="A12" s="83" t="s">
        <v>422</v>
      </c>
      <c r="J12" s="19">
        <f>SUM(B11:J11)</f>
        <v>2776890.2903556824</v>
      </c>
      <c r="S12" s="19">
        <f>SUM(K11:S11)</f>
        <v>69411</v>
      </c>
      <c r="AA12" s="12" t="s">
        <v>2</v>
      </c>
      <c r="AB12">
        <f t="shared" si="5"/>
        <v>25</v>
      </c>
      <c r="AC12">
        <f t="shared" si="0"/>
        <v>22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6"/>
        <v>0</v>
      </c>
      <c r="AJ12">
        <f t="shared" si="1"/>
        <v>0</v>
      </c>
      <c r="AL12">
        <f>AB13+AB14</f>
        <v>148</v>
      </c>
      <c r="AM12">
        <f t="shared" ref="AM12:AT12" si="8">AC13+AC14</f>
        <v>55</v>
      </c>
      <c r="AN12">
        <f t="shared" si="8"/>
        <v>121</v>
      </c>
      <c r="AO12">
        <f t="shared" si="8"/>
        <v>178</v>
      </c>
      <c r="AP12">
        <f t="shared" si="8"/>
        <v>0</v>
      </c>
      <c r="AQ12">
        <f t="shared" si="8"/>
        <v>0</v>
      </c>
      <c r="AR12">
        <f t="shared" si="8"/>
        <v>0</v>
      </c>
      <c r="AS12">
        <f t="shared" si="8"/>
        <v>0</v>
      </c>
      <c r="AT12">
        <f t="shared" si="8"/>
        <v>0</v>
      </c>
    </row>
    <row r="13" spans="1:46">
      <c r="A13" s="1" t="s">
        <v>222</v>
      </c>
      <c r="B13" s="19">
        <v>5.7000000000000002E-2</v>
      </c>
      <c r="AA13" s="12" t="s">
        <v>3</v>
      </c>
      <c r="AB13">
        <f t="shared" si="5"/>
        <v>65</v>
      </c>
      <c r="AC13">
        <f t="shared" si="0"/>
        <v>43</v>
      </c>
      <c r="AD13">
        <f t="shared" si="0"/>
        <v>85</v>
      </c>
      <c r="AE13">
        <f t="shared" si="0"/>
        <v>0</v>
      </c>
      <c r="AF13">
        <f t="shared" si="0"/>
        <v>0</v>
      </c>
      <c r="AG13">
        <f t="shared" si="0"/>
        <v>0</v>
      </c>
      <c r="AH13">
        <f t="shared" si="0"/>
        <v>0</v>
      </c>
      <c r="AI13">
        <f t="shared" si="6"/>
        <v>0</v>
      </c>
      <c r="AJ13">
        <f t="shared" si="1"/>
        <v>0</v>
      </c>
      <c r="AL13">
        <f>AB15+AB16</f>
        <v>326</v>
      </c>
      <c r="AM13">
        <f t="shared" ref="AM13:AT13" si="9">AC15+AC16</f>
        <v>86</v>
      </c>
      <c r="AN13">
        <f t="shared" si="9"/>
        <v>305</v>
      </c>
      <c r="AO13">
        <f t="shared" si="9"/>
        <v>167</v>
      </c>
      <c r="AP13">
        <f t="shared" si="9"/>
        <v>256</v>
      </c>
      <c r="AQ13">
        <f t="shared" si="9"/>
        <v>278</v>
      </c>
      <c r="AR13">
        <f t="shared" si="9"/>
        <v>0</v>
      </c>
      <c r="AS13">
        <f t="shared" si="9"/>
        <v>0</v>
      </c>
      <c r="AT13">
        <f t="shared" si="9"/>
        <v>0</v>
      </c>
    </row>
    <row r="14" spans="1:46" ht="15" thickBot="1">
      <c r="A14" s="1" t="s">
        <v>223</v>
      </c>
      <c r="AA14" s="12" t="s">
        <v>4</v>
      </c>
      <c r="AB14">
        <f t="shared" si="5"/>
        <v>83</v>
      </c>
      <c r="AC14">
        <f t="shared" si="0"/>
        <v>12</v>
      </c>
      <c r="AD14">
        <f t="shared" si="0"/>
        <v>36</v>
      </c>
      <c r="AE14">
        <f t="shared" si="0"/>
        <v>178</v>
      </c>
      <c r="AF14">
        <f t="shared" si="0"/>
        <v>0</v>
      </c>
      <c r="AG14">
        <f t="shared" si="0"/>
        <v>0</v>
      </c>
      <c r="AH14">
        <f t="shared" si="0"/>
        <v>0</v>
      </c>
      <c r="AI14">
        <f t="shared" si="6"/>
        <v>0</v>
      </c>
      <c r="AJ14">
        <f t="shared" si="1"/>
        <v>0</v>
      </c>
      <c r="AL14">
        <f>AB17</f>
        <v>76</v>
      </c>
      <c r="AM14">
        <f t="shared" ref="AM14:AT14" si="10">AC17</f>
        <v>62</v>
      </c>
      <c r="AN14">
        <f t="shared" si="10"/>
        <v>60</v>
      </c>
      <c r="AO14">
        <f t="shared" si="10"/>
        <v>44</v>
      </c>
      <c r="AP14">
        <f t="shared" si="10"/>
        <v>161</v>
      </c>
      <c r="AQ14">
        <f t="shared" si="10"/>
        <v>135</v>
      </c>
      <c r="AR14">
        <f t="shared" si="10"/>
        <v>80</v>
      </c>
      <c r="AS14">
        <f t="shared" si="10"/>
        <v>0</v>
      </c>
      <c r="AT14">
        <f t="shared" si="10"/>
        <v>0</v>
      </c>
    </row>
    <row r="15" spans="1:46">
      <c r="A15" s="6" t="s">
        <v>0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  <c r="J15" s="6" t="s">
        <v>18</v>
      </c>
      <c r="K15" s="6" t="s">
        <v>19</v>
      </c>
      <c r="L15" s="6" t="s">
        <v>20</v>
      </c>
      <c r="M15" s="6" t="s">
        <v>21</v>
      </c>
      <c r="N15" s="6" t="s">
        <v>22</v>
      </c>
      <c r="O15" s="6" t="s">
        <v>23</v>
      </c>
      <c r="P15" s="6" t="s">
        <v>24</v>
      </c>
      <c r="Q15" s="6" t="s">
        <v>25</v>
      </c>
      <c r="R15" s="6" t="s">
        <v>26</v>
      </c>
      <c r="S15" s="6" t="s">
        <v>27</v>
      </c>
      <c r="T15" s="75" t="s">
        <v>28</v>
      </c>
      <c r="U15" s="69" t="s">
        <v>29</v>
      </c>
      <c r="V15" s="70" t="s">
        <v>30</v>
      </c>
      <c r="AA15" s="12" t="s">
        <v>5</v>
      </c>
      <c r="AB15">
        <f t="shared" si="5"/>
        <v>134</v>
      </c>
      <c r="AC15">
        <f t="shared" si="0"/>
        <v>28</v>
      </c>
      <c r="AD15">
        <f t="shared" si="0"/>
        <v>154</v>
      </c>
      <c r="AE15">
        <f t="shared" si="0"/>
        <v>50</v>
      </c>
      <c r="AF15">
        <f t="shared" si="0"/>
        <v>123</v>
      </c>
      <c r="AG15">
        <f t="shared" si="0"/>
        <v>0</v>
      </c>
      <c r="AH15">
        <f t="shared" si="0"/>
        <v>0</v>
      </c>
      <c r="AI15">
        <f t="shared" si="6"/>
        <v>0</v>
      </c>
      <c r="AJ15">
        <f t="shared" si="1"/>
        <v>0</v>
      </c>
      <c r="AL15">
        <f>AB18+AB19</f>
        <v>176</v>
      </c>
      <c r="AM15">
        <f t="shared" ref="AM15:AT15" si="11">AC18+AC19</f>
        <v>34</v>
      </c>
      <c r="AN15">
        <f t="shared" si="11"/>
        <v>102</v>
      </c>
      <c r="AO15">
        <f t="shared" si="11"/>
        <v>89</v>
      </c>
      <c r="AP15">
        <f t="shared" si="11"/>
        <v>167</v>
      </c>
      <c r="AQ15">
        <f t="shared" si="11"/>
        <v>274</v>
      </c>
      <c r="AR15">
        <f t="shared" si="11"/>
        <v>226</v>
      </c>
      <c r="AS15">
        <f t="shared" si="11"/>
        <v>150</v>
      </c>
      <c r="AT15">
        <f t="shared" si="11"/>
        <v>76</v>
      </c>
    </row>
    <row r="16" spans="1:46">
      <c r="A16" s="6" t="s">
        <v>1</v>
      </c>
      <c r="B16" s="6">
        <f>B2*$B$13</f>
        <v>314.18970208740234</v>
      </c>
      <c r="C16" s="6">
        <f t="shared" ref="C16:J16" si="12">C2*$B$13</f>
        <v>0</v>
      </c>
      <c r="D16" s="6">
        <f t="shared" si="12"/>
        <v>0</v>
      </c>
      <c r="E16" s="6">
        <f t="shared" si="12"/>
        <v>0</v>
      </c>
      <c r="F16" s="6">
        <f t="shared" si="12"/>
        <v>0</v>
      </c>
      <c r="G16" s="6">
        <f t="shared" si="12"/>
        <v>0</v>
      </c>
      <c r="H16" s="6">
        <f t="shared" si="12"/>
        <v>0</v>
      </c>
      <c r="I16" s="6">
        <f t="shared" si="12"/>
        <v>0</v>
      </c>
      <c r="J16" s="6">
        <f t="shared" si="12"/>
        <v>0</v>
      </c>
      <c r="K16" s="6">
        <f>ROUND(K2*$B$13,0)</f>
        <v>75</v>
      </c>
      <c r="L16" s="6">
        <f t="shared" ref="L16:V16" si="13">ROUND(L2*$B$13,0)</f>
        <v>0</v>
      </c>
      <c r="M16" s="6">
        <f t="shared" si="13"/>
        <v>0</v>
      </c>
      <c r="N16" s="6">
        <f t="shared" si="13"/>
        <v>0</v>
      </c>
      <c r="O16" s="6">
        <f t="shared" si="13"/>
        <v>0</v>
      </c>
      <c r="P16" s="6">
        <f t="shared" si="13"/>
        <v>0</v>
      </c>
      <c r="Q16" s="6">
        <f t="shared" si="13"/>
        <v>0</v>
      </c>
      <c r="R16" s="6">
        <f t="shared" si="13"/>
        <v>0</v>
      </c>
      <c r="S16" s="6">
        <f t="shared" si="13"/>
        <v>0</v>
      </c>
      <c r="T16" s="76">
        <f t="shared" si="13"/>
        <v>239</v>
      </c>
      <c r="U16" s="71">
        <f t="shared" si="13"/>
        <v>45</v>
      </c>
      <c r="V16" s="72">
        <f t="shared" si="13"/>
        <v>194</v>
      </c>
      <c r="AA16" s="12" t="s">
        <v>6</v>
      </c>
      <c r="AB16">
        <f t="shared" si="5"/>
        <v>192</v>
      </c>
      <c r="AC16">
        <f t="shared" si="0"/>
        <v>58</v>
      </c>
      <c r="AD16">
        <f t="shared" si="0"/>
        <v>151</v>
      </c>
      <c r="AE16">
        <f t="shared" si="0"/>
        <v>117</v>
      </c>
      <c r="AF16">
        <f t="shared" si="0"/>
        <v>133</v>
      </c>
      <c r="AG16">
        <f t="shared" si="0"/>
        <v>278</v>
      </c>
      <c r="AH16">
        <f t="shared" si="0"/>
        <v>0</v>
      </c>
      <c r="AI16">
        <f t="shared" si="6"/>
        <v>0</v>
      </c>
      <c r="AJ16">
        <f t="shared" si="1"/>
        <v>0</v>
      </c>
      <c r="AL16" s="12" t="s">
        <v>247</v>
      </c>
      <c r="AM16" s="12" t="s">
        <v>248</v>
      </c>
      <c r="AN16" s="12" t="s">
        <v>249</v>
      </c>
      <c r="AO16" s="12" t="s">
        <v>250</v>
      </c>
      <c r="AP16" s="12" t="s">
        <v>251</v>
      </c>
    </row>
    <row r="17" spans="1:48">
      <c r="A17" s="6" t="s">
        <v>2</v>
      </c>
      <c r="B17" s="6">
        <f t="shared" ref="B17:J24" si="14">B3*$B$13</f>
        <v>128.68890004348756</v>
      </c>
      <c r="C17" s="6">
        <f t="shared" si="14"/>
        <v>264.98159930419922</v>
      </c>
      <c r="D17" s="6">
        <f t="shared" si="14"/>
        <v>0</v>
      </c>
      <c r="E17" s="6">
        <f t="shared" si="14"/>
        <v>0</v>
      </c>
      <c r="F17" s="6">
        <f t="shared" si="14"/>
        <v>0</v>
      </c>
      <c r="G17" s="6">
        <f t="shared" si="14"/>
        <v>0</v>
      </c>
      <c r="H17" s="6">
        <f t="shared" si="14"/>
        <v>0</v>
      </c>
      <c r="I17" s="6">
        <f t="shared" si="14"/>
        <v>0</v>
      </c>
      <c r="J17" s="6">
        <f t="shared" si="14"/>
        <v>0</v>
      </c>
      <c r="K17" s="6">
        <f t="shared" ref="K17:V24" si="15">ROUND(K3*$B$13,0)</f>
        <v>25</v>
      </c>
      <c r="L17" s="6">
        <f t="shared" si="15"/>
        <v>22</v>
      </c>
      <c r="M17" s="6">
        <f t="shared" si="15"/>
        <v>0</v>
      </c>
      <c r="N17" s="6">
        <f t="shared" si="15"/>
        <v>0</v>
      </c>
      <c r="O17" s="6">
        <f t="shared" si="15"/>
        <v>0</v>
      </c>
      <c r="P17" s="6">
        <f t="shared" si="15"/>
        <v>0</v>
      </c>
      <c r="Q17" s="6">
        <f t="shared" si="15"/>
        <v>0</v>
      </c>
      <c r="R17" s="6">
        <f t="shared" si="15"/>
        <v>0</v>
      </c>
      <c r="S17" s="6">
        <f t="shared" si="15"/>
        <v>0</v>
      </c>
      <c r="T17" s="76">
        <f t="shared" si="15"/>
        <v>234</v>
      </c>
      <c r="U17" s="71">
        <f t="shared" si="15"/>
        <v>39</v>
      </c>
      <c r="V17" s="72">
        <f t="shared" si="15"/>
        <v>195</v>
      </c>
      <c r="AA17" s="12" t="s">
        <v>7</v>
      </c>
      <c r="AB17">
        <f t="shared" si="5"/>
        <v>76</v>
      </c>
      <c r="AC17">
        <f t="shared" si="0"/>
        <v>62</v>
      </c>
      <c r="AD17">
        <f t="shared" si="0"/>
        <v>60</v>
      </c>
      <c r="AE17">
        <f t="shared" si="0"/>
        <v>44</v>
      </c>
      <c r="AF17">
        <f t="shared" si="0"/>
        <v>161</v>
      </c>
      <c r="AG17">
        <f t="shared" si="0"/>
        <v>135</v>
      </c>
      <c r="AH17">
        <f t="shared" si="0"/>
        <v>80</v>
      </c>
      <c r="AI17">
        <f t="shared" si="6"/>
        <v>0</v>
      </c>
      <c r="AJ17">
        <f t="shared" si="1"/>
        <v>0</v>
      </c>
      <c r="AK17" s="12" t="s">
        <v>1</v>
      </c>
      <c r="AL17" s="12">
        <f>AL11+AM11</f>
        <v>122</v>
      </c>
      <c r="AM17">
        <f>AN11+AO11</f>
        <v>0</v>
      </c>
      <c r="AN17">
        <f>AP11+AQ11</f>
        <v>0</v>
      </c>
      <c r="AO17">
        <f>AR11</f>
        <v>0</v>
      </c>
      <c r="AP17">
        <f>AS11+AT11</f>
        <v>0</v>
      </c>
    </row>
    <row r="18" spans="1:48">
      <c r="A18" s="6" t="s">
        <v>3</v>
      </c>
      <c r="B18" s="6">
        <f t="shared" si="14"/>
        <v>344.36835050010683</v>
      </c>
      <c r="C18" s="6">
        <f t="shared" si="14"/>
        <v>524.26320208740242</v>
      </c>
      <c r="D18" s="6">
        <f t="shared" si="14"/>
        <v>1712.8784930419922</v>
      </c>
      <c r="E18" s="6">
        <f t="shared" si="14"/>
        <v>0</v>
      </c>
      <c r="F18" s="6">
        <f t="shared" si="14"/>
        <v>0</v>
      </c>
      <c r="G18" s="6">
        <f t="shared" si="14"/>
        <v>0</v>
      </c>
      <c r="H18" s="6">
        <f t="shared" si="14"/>
        <v>0</v>
      </c>
      <c r="I18" s="6">
        <f t="shared" si="14"/>
        <v>0</v>
      </c>
      <c r="J18" s="6">
        <f t="shared" si="14"/>
        <v>0</v>
      </c>
      <c r="K18" s="6">
        <f t="shared" si="15"/>
        <v>65</v>
      </c>
      <c r="L18" s="6">
        <f t="shared" si="15"/>
        <v>43</v>
      </c>
      <c r="M18" s="6">
        <f t="shared" si="15"/>
        <v>85</v>
      </c>
      <c r="N18" s="6">
        <f t="shared" si="15"/>
        <v>0</v>
      </c>
      <c r="O18" s="6">
        <f t="shared" si="15"/>
        <v>0</v>
      </c>
      <c r="P18" s="6">
        <f t="shared" si="15"/>
        <v>0</v>
      </c>
      <c r="Q18" s="6">
        <f t="shared" si="15"/>
        <v>0</v>
      </c>
      <c r="R18" s="6">
        <f t="shared" si="15"/>
        <v>0</v>
      </c>
      <c r="S18" s="6">
        <f t="shared" si="15"/>
        <v>0</v>
      </c>
      <c r="T18" s="76">
        <f t="shared" si="15"/>
        <v>406</v>
      </c>
      <c r="U18" s="71">
        <f t="shared" si="15"/>
        <v>170</v>
      </c>
      <c r="V18" s="72">
        <f t="shared" si="15"/>
        <v>235</v>
      </c>
      <c r="AA18" s="12" t="s">
        <v>8</v>
      </c>
      <c r="AB18">
        <f t="shared" si="5"/>
        <v>54</v>
      </c>
      <c r="AC18">
        <f t="shared" si="0"/>
        <v>16</v>
      </c>
      <c r="AD18">
        <f t="shared" si="0"/>
        <v>55</v>
      </c>
      <c r="AE18">
        <f t="shared" si="0"/>
        <v>55</v>
      </c>
      <c r="AF18">
        <f t="shared" si="0"/>
        <v>121</v>
      </c>
      <c r="AG18">
        <f t="shared" si="0"/>
        <v>209</v>
      </c>
      <c r="AH18">
        <f t="shared" si="0"/>
        <v>123</v>
      </c>
      <c r="AI18">
        <f t="shared" si="6"/>
        <v>67</v>
      </c>
      <c r="AJ18">
        <f t="shared" si="1"/>
        <v>0</v>
      </c>
      <c r="AK18" s="12" t="s">
        <v>2</v>
      </c>
      <c r="AL18" s="12">
        <f t="shared" ref="AL18:AL21" si="16">AL12+AM12</f>
        <v>203</v>
      </c>
      <c r="AM18">
        <f t="shared" ref="AM18:AM21" si="17">AN12+AO12</f>
        <v>299</v>
      </c>
      <c r="AN18">
        <f t="shared" ref="AN18:AN21" si="18">AP12+AQ12</f>
        <v>0</v>
      </c>
      <c r="AO18">
        <f t="shared" ref="AO18:AO21" si="19">AR12</f>
        <v>0</v>
      </c>
      <c r="AP18">
        <f t="shared" ref="AP18:AP21" si="20">AS12+AT12</f>
        <v>0</v>
      </c>
    </row>
    <row r="19" spans="1:48">
      <c r="A19" s="6" t="s">
        <v>4</v>
      </c>
      <c r="B19" s="6">
        <f t="shared" si="14"/>
        <v>268.33091741466524</v>
      </c>
      <c r="C19" s="6">
        <f t="shared" si="14"/>
        <v>144.8655</v>
      </c>
      <c r="D19" s="6">
        <f t="shared" si="14"/>
        <v>810.04979443359377</v>
      </c>
      <c r="E19" s="6">
        <f t="shared" si="14"/>
        <v>5155.4732909545901</v>
      </c>
      <c r="F19" s="6">
        <f t="shared" si="14"/>
        <v>0</v>
      </c>
      <c r="G19" s="6">
        <f t="shared" si="14"/>
        <v>0</v>
      </c>
      <c r="H19" s="6">
        <f t="shared" si="14"/>
        <v>0</v>
      </c>
      <c r="I19" s="6">
        <f t="shared" si="14"/>
        <v>0</v>
      </c>
      <c r="J19" s="6">
        <f t="shared" si="14"/>
        <v>0</v>
      </c>
      <c r="K19" s="6">
        <f t="shared" si="15"/>
        <v>83</v>
      </c>
      <c r="L19" s="6">
        <f t="shared" si="15"/>
        <v>12</v>
      </c>
      <c r="M19" s="6">
        <f t="shared" si="15"/>
        <v>36</v>
      </c>
      <c r="N19" s="6">
        <f t="shared" si="15"/>
        <v>178</v>
      </c>
      <c r="O19" s="6">
        <f t="shared" si="15"/>
        <v>0</v>
      </c>
      <c r="P19" s="6">
        <f t="shared" si="15"/>
        <v>0</v>
      </c>
      <c r="Q19" s="6">
        <f t="shared" si="15"/>
        <v>0</v>
      </c>
      <c r="R19" s="6">
        <f t="shared" si="15"/>
        <v>0</v>
      </c>
      <c r="S19" s="6">
        <f t="shared" si="15"/>
        <v>0</v>
      </c>
      <c r="T19" s="76">
        <f t="shared" si="15"/>
        <v>444</v>
      </c>
      <c r="U19" s="71">
        <f t="shared" si="15"/>
        <v>251</v>
      </c>
      <c r="V19" s="72">
        <f t="shared" si="15"/>
        <v>194</v>
      </c>
      <c r="AA19" s="12" t="s">
        <v>9</v>
      </c>
      <c r="AB19">
        <f t="shared" si="5"/>
        <v>122</v>
      </c>
      <c r="AC19">
        <f t="shared" si="0"/>
        <v>18</v>
      </c>
      <c r="AD19">
        <f t="shared" si="0"/>
        <v>47</v>
      </c>
      <c r="AE19">
        <f t="shared" si="0"/>
        <v>34</v>
      </c>
      <c r="AF19">
        <f t="shared" si="0"/>
        <v>46</v>
      </c>
      <c r="AG19">
        <f t="shared" si="0"/>
        <v>65</v>
      </c>
      <c r="AH19">
        <f t="shared" si="0"/>
        <v>103</v>
      </c>
      <c r="AI19">
        <f t="shared" si="6"/>
        <v>83</v>
      </c>
      <c r="AJ19">
        <f t="shared" si="1"/>
        <v>76</v>
      </c>
      <c r="AK19" s="12" t="s">
        <v>3</v>
      </c>
      <c r="AL19" s="12">
        <f t="shared" si="16"/>
        <v>412</v>
      </c>
      <c r="AM19">
        <f t="shared" si="17"/>
        <v>472</v>
      </c>
      <c r="AN19">
        <f t="shared" si="18"/>
        <v>534</v>
      </c>
      <c r="AO19">
        <f t="shared" si="19"/>
        <v>0</v>
      </c>
      <c r="AP19">
        <f t="shared" si="20"/>
        <v>0</v>
      </c>
    </row>
    <row r="20" spans="1:48">
      <c r="A20" s="6" t="s">
        <v>5</v>
      </c>
      <c r="B20" s="6">
        <f t="shared" si="14"/>
        <v>512.17007801914212</v>
      </c>
      <c r="C20" s="6">
        <f t="shared" si="14"/>
        <v>339.24690156555175</v>
      </c>
      <c r="D20" s="6">
        <f t="shared" si="14"/>
        <v>3093.3671986083987</v>
      </c>
      <c r="E20" s="6">
        <f t="shared" si="14"/>
        <v>1513.9143048706055</v>
      </c>
      <c r="F20" s="6">
        <f t="shared" si="14"/>
        <v>5071.9796986083984</v>
      </c>
      <c r="G20" s="6">
        <f t="shared" si="14"/>
        <v>0</v>
      </c>
      <c r="H20" s="6">
        <f t="shared" si="14"/>
        <v>0</v>
      </c>
      <c r="I20" s="6">
        <f t="shared" si="14"/>
        <v>0</v>
      </c>
      <c r="J20" s="6">
        <f t="shared" si="14"/>
        <v>0</v>
      </c>
      <c r="K20" s="6">
        <f t="shared" si="15"/>
        <v>134</v>
      </c>
      <c r="L20" s="6">
        <f t="shared" si="15"/>
        <v>28</v>
      </c>
      <c r="M20" s="6">
        <f t="shared" si="15"/>
        <v>154</v>
      </c>
      <c r="N20" s="6">
        <f t="shared" si="15"/>
        <v>50</v>
      </c>
      <c r="O20" s="6">
        <f t="shared" si="15"/>
        <v>123</v>
      </c>
      <c r="P20" s="6">
        <f t="shared" si="15"/>
        <v>0</v>
      </c>
      <c r="Q20" s="6">
        <f t="shared" si="15"/>
        <v>0</v>
      </c>
      <c r="R20" s="6">
        <f t="shared" si="15"/>
        <v>0</v>
      </c>
      <c r="S20" s="6">
        <f t="shared" si="15"/>
        <v>0</v>
      </c>
      <c r="T20" s="76">
        <f t="shared" si="15"/>
        <v>505</v>
      </c>
      <c r="U20" s="71">
        <f t="shared" si="15"/>
        <v>293</v>
      </c>
      <c r="V20" s="72">
        <f t="shared" si="15"/>
        <v>211</v>
      </c>
      <c r="AA20" s="12"/>
      <c r="AK20" s="12" t="s">
        <v>4</v>
      </c>
      <c r="AL20" s="12">
        <f t="shared" si="16"/>
        <v>138</v>
      </c>
      <c r="AM20">
        <f t="shared" si="17"/>
        <v>104</v>
      </c>
      <c r="AN20">
        <f t="shared" si="18"/>
        <v>296</v>
      </c>
      <c r="AO20">
        <f t="shared" si="19"/>
        <v>80</v>
      </c>
      <c r="AP20">
        <f t="shared" si="20"/>
        <v>0</v>
      </c>
    </row>
    <row r="21" spans="1:48">
      <c r="A21" s="6" t="s">
        <v>6</v>
      </c>
      <c r="B21" s="6">
        <f t="shared" si="14"/>
        <v>782.56154951620101</v>
      </c>
      <c r="C21" s="6">
        <f t="shared" si="14"/>
        <v>747.00779791259765</v>
      </c>
      <c r="D21" s="6">
        <f t="shared" si="14"/>
        <v>3045.3162055664066</v>
      </c>
      <c r="E21" s="6">
        <f t="shared" si="14"/>
        <v>3482.4777125244141</v>
      </c>
      <c r="F21" s="6">
        <f t="shared" si="14"/>
        <v>5490.3654111328124</v>
      </c>
      <c r="G21" s="6">
        <f t="shared" si="14"/>
        <v>16008.792000000001</v>
      </c>
      <c r="H21" s="6">
        <f t="shared" si="14"/>
        <v>0</v>
      </c>
      <c r="I21" s="6">
        <f t="shared" si="14"/>
        <v>0</v>
      </c>
      <c r="J21" s="6">
        <f t="shared" si="14"/>
        <v>0</v>
      </c>
      <c r="K21" s="6">
        <f t="shared" si="15"/>
        <v>192</v>
      </c>
      <c r="L21" s="6">
        <f t="shared" si="15"/>
        <v>58</v>
      </c>
      <c r="M21" s="6">
        <f t="shared" si="15"/>
        <v>151</v>
      </c>
      <c r="N21" s="6">
        <f t="shared" si="15"/>
        <v>117</v>
      </c>
      <c r="O21" s="6">
        <f t="shared" si="15"/>
        <v>133</v>
      </c>
      <c r="P21" s="6">
        <f t="shared" si="15"/>
        <v>278</v>
      </c>
      <c r="Q21" s="6">
        <f t="shared" si="15"/>
        <v>0</v>
      </c>
      <c r="R21" s="6">
        <f t="shared" si="15"/>
        <v>0</v>
      </c>
      <c r="S21" s="6">
        <f t="shared" si="15"/>
        <v>0</v>
      </c>
      <c r="T21" s="76">
        <f t="shared" si="15"/>
        <v>823</v>
      </c>
      <c r="U21" s="71">
        <f t="shared" si="15"/>
        <v>545</v>
      </c>
      <c r="V21" s="72">
        <f t="shared" si="15"/>
        <v>278</v>
      </c>
      <c r="AK21" s="12" t="s">
        <v>5</v>
      </c>
      <c r="AL21" s="12">
        <f t="shared" si="16"/>
        <v>210</v>
      </c>
      <c r="AM21">
        <f t="shared" si="17"/>
        <v>191</v>
      </c>
      <c r="AN21">
        <f t="shared" si="18"/>
        <v>441</v>
      </c>
      <c r="AO21">
        <f t="shared" si="19"/>
        <v>226</v>
      </c>
      <c r="AP21">
        <f t="shared" si="20"/>
        <v>226</v>
      </c>
    </row>
    <row r="22" spans="1:48">
      <c r="A22" s="6" t="s">
        <v>7</v>
      </c>
      <c r="B22" s="6">
        <f t="shared" si="14"/>
        <v>261.21903130245209</v>
      </c>
      <c r="C22" s="6">
        <f t="shared" si="14"/>
        <v>812.61480139160165</v>
      </c>
      <c r="D22" s="6">
        <f t="shared" si="14"/>
        <v>1243.4721027832031</v>
      </c>
      <c r="E22" s="6">
        <f t="shared" si="14"/>
        <v>1299.6456062622071</v>
      </c>
      <c r="F22" s="6">
        <f t="shared" si="14"/>
        <v>6748.4865</v>
      </c>
      <c r="G22" s="6">
        <f t="shared" si="14"/>
        <v>8154.42</v>
      </c>
      <c r="H22" s="6">
        <f t="shared" si="14"/>
        <v>6687.6390000000001</v>
      </c>
      <c r="I22" s="6">
        <f t="shared" si="14"/>
        <v>0</v>
      </c>
      <c r="J22" s="6">
        <f t="shared" si="14"/>
        <v>0</v>
      </c>
      <c r="K22" s="6">
        <f t="shared" si="15"/>
        <v>76</v>
      </c>
      <c r="L22" s="6">
        <f t="shared" si="15"/>
        <v>62</v>
      </c>
      <c r="M22" s="6">
        <f t="shared" si="15"/>
        <v>60</v>
      </c>
      <c r="N22" s="6">
        <f t="shared" si="15"/>
        <v>44</v>
      </c>
      <c r="O22" s="6">
        <f t="shared" si="15"/>
        <v>161</v>
      </c>
      <c r="P22" s="6">
        <f t="shared" si="15"/>
        <v>135</v>
      </c>
      <c r="Q22" s="6">
        <f t="shared" si="15"/>
        <v>80</v>
      </c>
      <c r="R22" s="6">
        <f t="shared" si="15"/>
        <v>0</v>
      </c>
      <c r="S22" s="6">
        <f t="shared" si="15"/>
        <v>0</v>
      </c>
      <c r="T22" s="76">
        <f t="shared" si="15"/>
        <v>466</v>
      </c>
      <c r="U22" s="71">
        <f t="shared" si="15"/>
        <v>357</v>
      </c>
      <c r="V22" s="72">
        <f t="shared" si="15"/>
        <v>108</v>
      </c>
    </row>
    <row r="23" spans="1:48">
      <c r="A23" s="6" t="s">
        <v>8</v>
      </c>
      <c r="B23" s="6">
        <f t="shared" si="14"/>
        <v>166.98719912481309</v>
      </c>
      <c r="C23" s="6">
        <f t="shared" si="14"/>
        <v>192.20400000000001</v>
      </c>
      <c r="D23" s="6">
        <f t="shared" si="14"/>
        <v>1049.3870993041992</v>
      </c>
      <c r="E23" s="6">
        <f t="shared" si="14"/>
        <v>1547.139609741211</v>
      </c>
      <c r="F23" s="6">
        <f t="shared" si="14"/>
        <v>4992.6413972167975</v>
      </c>
      <c r="G23" s="6">
        <f t="shared" si="14"/>
        <v>12591.357</v>
      </c>
      <c r="H23" s="6">
        <f t="shared" si="14"/>
        <v>10548.762000000001</v>
      </c>
      <c r="I23" s="6">
        <f t="shared" si="14"/>
        <v>7554.951</v>
      </c>
      <c r="J23" s="6">
        <f t="shared" si="14"/>
        <v>0</v>
      </c>
      <c r="K23" s="6">
        <f t="shared" si="15"/>
        <v>54</v>
      </c>
      <c r="L23" s="6">
        <f t="shared" si="15"/>
        <v>16</v>
      </c>
      <c r="M23" s="6">
        <f t="shared" si="15"/>
        <v>55</v>
      </c>
      <c r="N23" s="6">
        <f t="shared" si="15"/>
        <v>55</v>
      </c>
      <c r="O23" s="6">
        <f t="shared" si="15"/>
        <v>121</v>
      </c>
      <c r="P23" s="6">
        <f t="shared" si="15"/>
        <v>209</v>
      </c>
      <c r="Q23" s="6">
        <f t="shared" si="15"/>
        <v>123</v>
      </c>
      <c r="R23" s="6">
        <f t="shared" si="15"/>
        <v>67</v>
      </c>
      <c r="S23" s="6">
        <f t="shared" si="15"/>
        <v>0</v>
      </c>
      <c r="T23" s="76">
        <f t="shared" si="15"/>
        <v>396</v>
      </c>
      <c r="U23" s="71">
        <f t="shared" si="15"/>
        <v>361</v>
      </c>
      <c r="V23" s="72">
        <f t="shared" si="15"/>
        <v>35</v>
      </c>
    </row>
    <row r="24" spans="1:48" ht="15" thickBot="1">
      <c r="A24" s="6" t="s">
        <v>9</v>
      </c>
      <c r="B24" s="6">
        <f t="shared" si="14"/>
        <v>402.1292970428467</v>
      </c>
      <c r="C24" s="6">
        <f t="shared" si="14"/>
        <v>201.1815</v>
      </c>
      <c r="D24" s="6">
        <f t="shared" si="14"/>
        <v>879.00840069580079</v>
      </c>
      <c r="E24" s="6">
        <f t="shared" si="14"/>
        <v>1001.9003972167969</v>
      </c>
      <c r="F24" s="6">
        <f t="shared" si="14"/>
        <v>1706.2950000000001</v>
      </c>
      <c r="G24" s="6">
        <f t="shared" si="14"/>
        <v>3778.7580000000003</v>
      </c>
      <c r="H24" s="6">
        <f t="shared" si="14"/>
        <v>8763.3510000000006</v>
      </c>
      <c r="I24" s="6">
        <f t="shared" si="14"/>
        <v>9628.0410000000011</v>
      </c>
      <c r="J24" s="6">
        <f t="shared" si="14"/>
        <v>18315.867000000002</v>
      </c>
      <c r="K24" s="6">
        <f t="shared" si="15"/>
        <v>122</v>
      </c>
      <c r="L24" s="6">
        <f t="shared" si="15"/>
        <v>18</v>
      </c>
      <c r="M24" s="6">
        <f t="shared" si="15"/>
        <v>47</v>
      </c>
      <c r="N24" s="6">
        <f t="shared" si="15"/>
        <v>34</v>
      </c>
      <c r="O24" s="6">
        <f t="shared" si="15"/>
        <v>46</v>
      </c>
      <c r="P24" s="6">
        <f t="shared" si="15"/>
        <v>65</v>
      </c>
      <c r="Q24" s="6">
        <f t="shared" si="15"/>
        <v>103</v>
      </c>
      <c r="R24" s="6">
        <f t="shared" si="15"/>
        <v>83</v>
      </c>
      <c r="S24" s="6">
        <f t="shared" si="15"/>
        <v>76</v>
      </c>
      <c r="T24" s="78">
        <f t="shared" si="15"/>
        <v>318</v>
      </c>
      <c r="U24" s="73">
        <f t="shared" si="15"/>
        <v>246</v>
      </c>
      <c r="V24" s="74">
        <f t="shared" si="15"/>
        <v>72</v>
      </c>
      <c r="AK24" s="26" t="s">
        <v>669</v>
      </c>
      <c r="AT24" s="27" t="s">
        <v>666</v>
      </c>
      <c r="AU24" s="27" t="s">
        <v>667</v>
      </c>
      <c r="AV24" s="27" t="s">
        <v>668</v>
      </c>
    </row>
    <row r="25" spans="1:48">
      <c r="J25" s="12" t="s">
        <v>225</v>
      </c>
      <c r="K25" s="11">
        <f t="shared" ref="K25:S25" si="21">SUM(K29:K37)</f>
        <v>826</v>
      </c>
      <c r="L25" s="11">
        <f t="shared" si="21"/>
        <v>259</v>
      </c>
      <c r="M25" s="11">
        <f t="shared" si="21"/>
        <v>588</v>
      </c>
      <c r="N25" s="11">
        <f t="shared" si="21"/>
        <v>479</v>
      </c>
      <c r="O25" s="11">
        <f t="shared" si="21"/>
        <v>584</v>
      </c>
      <c r="P25" s="11">
        <f t="shared" si="21"/>
        <v>686</v>
      </c>
      <c r="Q25" s="11">
        <f t="shared" si="21"/>
        <v>306</v>
      </c>
      <c r="R25" s="11">
        <f t="shared" si="21"/>
        <v>149</v>
      </c>
      <c r="S25" s="11">
        <f t="shared" si="21"/>
        <v>76</v>
      </c>
      <c r="T25" s="188">
        <f>SUM(T16:T24)</f>
        <v>3831</v>
      </c>
      <c r="U25" s="27">
        <f>SUM(U16:U24)</f>
        <v>2307</v>
      </c>
      <c r="V25" s="189">
        <f>SUM(V16:V24)</f>
        <v>1522</v>
      </c>
      <c r="AL25" s="12" t="s">
        <v>247</v>
      </c>
      <c r="AM25" s="12" t="s">
        <v>248</v>
      </c>
      <c r="AN25" s="12" t="s">
        <v>249</v>
      </c>
      <c r="AO25" s="12" t="s">
        <v>250</v>
      </c>
      <c r="AP25" s="12" t="s">
        <v>251</v>
      </c>
      <c r="AS25" s="12" t="s">
        <v>1</v>
      </c>
      <c r="AT25" s="27">
        <f>T16+T17</f>
        <v>473</v>
      </c>
      <c r="AU25" s="27">
        <f>U16+U17</f>
        <v>84</v>
      </c>
      <c r="AV25" s="27">
        <f>V16+V17</f>
        <v>389</v>
      </c>
    </row>
    <row r="26" spans="1:48" ht="15" thickBot="1">
      <c r="J26" t="s">
        <v>267</v>
      </c>
      <c r="K26" s="11">
        <f>employ!V16</f>
        <v>826</v>
      </c>
      <c r="L26" s="11">
        <f>employ!W16</f>
        <v>259</v>
      </c>
      <c r="M26" s="11">
        <f>employ!X16</f>
        <v>588</v>
      </c>
      <c r="N26" s="11">
        <f>employ!Y16</f>
        <v>479</v>
      </c>
      <c r="O26" s="11">
        <f>employ!Z16</f>
        <v>584</v>
      </c>
      <c r="P26" s="11">
        <f>employ!AA16</f>
        <v>686</v>
      </c>
      <c r="Q26" s="11">
        <f>employ!AB16</f>
        <v>306</v>
      </c>
      <c r="R26" s="11">
        <f>employ!AC16</f>
        <v>149</v>
      </c>
      <c r="S26" s="11">
        <f>employ!AD16</f>
        <v>76</v>
      </c>
      <c r="AK26" s="12" t="s">
        <v>1</v>
      </c>
      <c r="AL26">
        <f t="shared" ref="AL26:AP30" si="22">AL17/$AU25</f>
        <v>1.4523809523809523</v>
      </c>
      <c r="AM26">
        <f t="shared" si="22"/>
        <v>0</v>
      </c>
      <c r="AN26">
        <f t="shared" si="22"/>
        <v>0</v>
      </c>
      <c r="AO26">
        <f t="shared" si="22"/>
        <v>0</v>
      </c>
      <c r="AP26">
        <f t="shared" si="22"/>
        <v>0</v>
      </c>
      <c r="AQ26">
        <f>SUM(AL26:AP26)</f>
        <v>1.4523809523809523</v>
      </c>
      <c r="AS26" s="12" t="s">
        <v>2</v>
      </c>
      <c r="AT26" s="27">
        <f>T18+T19</f>
        <v>850</v>
      </c>
      <c r="AU26" s="27">
        <f>U18+U19</f>
        <v>421</v>
      </c>
      <c r="AV26" s="27">
        <f>V18+V19</f>
        <v>429</v>
      </c>
    </row>
    <row r="27" spans="1:48" ht="15" thickBot="1">
      <c r="K27">
        <f>K25-K26</f>
        <v>0</v>
      </c>
      <c r="L27">
        <f t="shared" ref="L27:S27" si="23">L25-L26</f>
        <v>0</v>
      </c>
      <c r="M27">
        <f t="shared" si="23"/>
        <v>0</v>
      </c>
      <c r="N27">
        <f t="shared" si="23"/>
        <v>0</v>
      </c>
      <c r="O27">
        <f t="shared" si="23"/>
        <v>0</v>
      </c>
      <c r="P27">
        <f t="shared" si="23"/>
        <v>0</v>
      </c>
      <c r="Q27">
        <f t="shared" si="23"/>
        <v>0</v>
      </c>
      <c r="R27">
        <f t="shared" si="23"/>
        <v>0</v>
      </c>
      <c r="S27">
        <f t="shared" si="23"/>
        <v>0</v>
      </c>
      <c r="V27" s="3" t="s">
        <v>19</v>
      </c>
      <c r="W27" s="3" t="s">
        <v>20</v>
      </c>
      <c r="X27" s="3" t="s">
        <v>21</v>
      </c>
      <c r="Y27" s="3" t="s">
        <v>22</v>
      </c>
      <c r="Z27" s="3" t="s">
        <v>23</v>
      </c>
      <c r="AA27" s="3" t="s">
        <v>24</v>
      </c>
      <c r="AB27" s="3" t="s">
        <v>25</v>
      </c>
      <c r="AC27" s="3" t="s">
        <v>26</v>
      </c>
      <c r="AD27" s="4" t="s">
        <v>27</v>
      </c>
      <c r="AK27" s="12" t="s">
        <v>2</v>
      </c>
      <c r="AL27">
        <f t="shared" si="22"/>
        <v>0.48218527315914489</v>
      </c>
      <c r="AM27">
        <f t="shared" si="22"/>
        <v>0.7102137767220903</v>
      </c>
      <c r="AN27">
        <f t="shared" si="22"/>
        <v>0</v>
      </c>
      <c r="AO27">
        <f t="shared" si="22"/>
        <v>0</v>
      </c>
      <c r="AP27">
        <f t="shared" si="22"/>
        <v>0</v>
      </c>
      <c r="AQ27">
        <f>SUM(AL27:AP27)</f>
        <v>1.1923990498812351</v>
      </c>
      <c r="AS27" s="12" t="s">
        <v>3</v>
      </c>
      <c r="AT27" s="27">
        <f>T20+T21</f>
        <v>1328</v>
      </c>
      <c r="AU27" s="27">
        <f>U20+U21</f>
        <v>838</v>
      </c>
      <c r="AV27" s="27">
        <f>V20+V21</f>
        <v>489</v>
      </c>
    </row>
    <row r="28" spans="1:48">
      <c r="J28" s="2" t="s">
        <v>0</v>
      </c>
      <c r="K28" s="3" t="s">
        <v>19</v>
      </c>
      <c r="L28" s="3" t="s">
        <v>20</v>
      </c>
      <c r="M28" s="3" t="s">
        <v>21</v>
      </c>
      <c r="N28" s="3" t="s">
        <v>22</v>
      </c>
      <c r="O28" s="3" t="s">
        <v>23</v>
      </c>
      <c r="P28" s="3" t="s">
        <v>24</v>
      </c>
      <c r="Q28" s="3" t="s">
        <v>25</v>
      </c>
      <c r="R28" s="3" t="s">
        <v>26</v>
      </c>
      <c r="S28" s="4" t="s">
        <v>27</v>
      </c>
      <c r="U28" s="5" t="s">
        <v>1</v>
      </c>
      <c r="V28">
        <f>K41*$U16</f>
        <v>75</v>
      </c>
      <c r="W28">
        <f t="shared" ref="W28:AD36" si="24">L41*$U16</f>
        <v>0</v>
      </c>
      <c r="X28">
        <f t="shared" si="24"/>
        <v>0</v>
      </c>
      <c r="Y28">
        <f t="shared" si="24"/>
        <v>0</v>
      </c>
      <c r="Z28">
        <f t="shared" si="24"/>
        <v>0</v>
      </c>
      <c r="AA28">
        <f t="shared" si="24"/>
        <v>0</v>
      </c>
      <c r="AB28">
        <f t="shared" si="24"/>
        <v>0</v>
      </c>
      <c r="AC28">
        <f t="shared" si="24"/>
        <v>0</v>
      </c>
      <c r="AD28">
        <f t="shared" si="24"/>
        <v>0</v>
      </c>
      <c r="AK28" s="12" t="s">
        <v>3</v>
      </c>
      <c r="AL28">
        <f t="shared" si="22"/>
        <v>0.49164677804295942</v>
      </c>
      <c r="AM28">
        <f t="shared" si="22"/>
        <v>0.56324582338902152</v>
      </c>
      <c r="AN28">
        <f t="shared" si="22"/>
        <v>0.63723150357995229</v>
      </c>
      <c r="AO28">
        <f t="shared" si="22"/>
        <v>0</v>
      </c>
      <c r="AP28">
        <f t="shared" si="22"/>
        <v>0</v>
      </c>
      <c r="AQ28">
        <f>SUM(AL28:AP28)</f>
        <v>1.6921241050119331</v>
      </c>
      <c r="AS28" s="12" t="s">
        <v>4</v>
      </c>
      <c r="AT28" s="27">
        <f>T22</f>
        <v>466</v>
      </c>
      <c r="AU28" s="27">
        <f>U22</f>
        <v>357</v>
      </c>
      <c r="AV28" s="27">
        <f>V22</f>
        <v>108</v>
      </c>
    </row>
    <row r="29" spans="1:48">
      <c r="J29" s="5" t="s">
        <v>1</v>
      </c>
      <c r="K29" s="6">
        <v>75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7">
        <v>0</v>
      </c>
      <c r="U29" s="5" t="s">
        <v>2</v>
      </c>
      <c r="V29">
        <f t="shared" ref="V29:V36" si="25">K42*$U17</f>
        <v>25.000000000000004</v>
      </c>
      <c r="W29">
        <f t="shared" si="24"/>
        <v>22</v>
      </c>
      <c r="X29">
        <f t="shared" si="24"/>
        <v>0</v>
      </c>
      <c r="Y29">
        <f t="shared" si="24"/>
        <v>0</v>
      </c>
      <c r="Z29">
        <f t="shared" si="24"/>
        <v>0</v>
      </c>
      <c r="AA29">
        <f t="shared" si="24"/>
        <v>0</v>
      </c>
      <c r="AB29">
        <f t="shared" si="24"/>
        <v>0</v>
      </c>
      <c r="AC29">
        <f t="shared" si="24"/>
        <v>0</v>
      </c>
      <c r="AD29">
        <f t="shared" si="24"/>
        <v>0</v>
      </c>
      <c r="AK29" s="12" t="s">
        <v>4</v>
      </c>
      <c r="AL29">
        <f t="shared" si="22"/>
        <v>0.38655462184873951</v>
      </c>
      <c r="AM29">
        <f t="shared" si="22"/>
        <v>0.29131652661064428</v>
      </c>
      <c r="AN29">
        <f t="shared" si="22"/>
        <v>0.82913165266106448</v>
      </c>
      <c r="AO29">
        <f t="shared" si="22"/>
        <v>0.22408963585434175</v>
      </c>
      <c r="AP29">
        <f t="shared" si="22"/>
        <v>0</v>
      </c>
      <c r="AQ29">
        <f>SUM(AL29:AP29)</f>
        <v>1.73109243697479</v>
      </c>
      <c r="AS29" s="12" t="s">
        <v>5</v>
      </c>
      <c r="AT29" s="27">
        <f>T23+T24</f>
        <v>714</v>
      </c>
      <c r="AU29" s="27">
        <f>U23+U24</f>
        <v>607</v>
      </c>
      <c r="AV29" s="27">
        <f>V23+V24</f>
        <v>107</v>
      </c>
    </row>
    <row r="30" spans="1:48">
      <c r="J30" s="5" t="s">
        <v>2</v>
      </c>
      <c r="K30" s="6">
        <v>25</v>
      </c>
      <c r="L30" s="6">
        <v>22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7">
        <v>0</v>
      </c>
      <c r="U30" s="5" t="s">
        <v>3</v>
      </c>
      <c r="V30">
        <f t="shared" si="25"/>
        <v>65</v>
      </c>
      <c r="W30">
        <f t="shared" si="24"/>
        <v>43</v>
      </c>
      <c r="X30">
        <f t="shared" si="24"/>
        <v>85</v>
      </c>
      <c r="Y30">
        <f t="shared" si="24"/>
        <v>0</v>
      </c>
      <c r="Z30">
        <f t="shared" si="24"/>
        <v>0</v>
      </c>
      <c r="AA30">
        <f t="shared" si="24"/>
        <v>0</v>
      </c>
      <c r="AB30">
        <f t="shared" si="24"/>
        <v>0</v>
      </c>
      <c r="AC30">
        <f t="shared" si="24"/>
        <v>0</v>
      </c>
      <c r="AD30">
        <f t="shared" si="24"/>
        <v>0</v>
      </c>
      <c r="AK30" s="12" t="s">
        <v>5</v>
      </c>
      <c r="AL30">
        <f t="shared" si="22"/>
        <v>0.34596375617792424</v>
      </c>
      <c r="AM30">
        <f t="shared" si="22"/>
        <v>0.31466227347611203</v>
      </c>
      <c r="AN30">
        <f t="shared" si="22"/>
        <v>0.72652388797364087</v>
      </c>
      <c r="AO30">
        <f t="shared" si="22"/>
        <v>0.37232289950576608</v>
      </c>
      <c r="AP30">
        <f t="shared" si="22"/>
        <v>0.37232289950576608</v>
      </c>
      <c r="AQ30">
        <f>SUM(AL30:AP30)</f>
        <v>2.1317957166392092</v>
      </c>
      <c r="AT30" s="27">
        <f>SUM(AT25:AT29)</f>
        <v>3831</v>
      </c>
      <c r="AU30">
        <f>SUM(AU25:AU29)</f>
        <v>2307</v>
      </c>
      <c r="AV30">
        <f>SUM(AV25:AV29)</f>
        <v>1522</v>
      </c>
    </row>
    <row r="31" spans="1:48">
      <c r="J31" s="5" t="s">
        <v>3</v>
      </c>
      <c r="K31" s="6">
        <v>65</v>
      </c>
      <c r="L31" s="6">
        <v>43</v>
      </c>
      <c r="M31" s="6">
        <v>85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7">
        <v>0</v>
      </c>
      <c r="U31" s="5" t="s">
        <v>4</v>
      </c>
      <c r="V31">
        <f t="shared" si="25"/>
        <v>83</v>
      </c>
      <c r="W31">
        <f t="shared" si="24"/>
        <v>12</v>
      </c>
      <c r="X31">
        <f t="shared" si="24"/>
        <v>36</v>
      </c>
      <c r="Y31">
        <f t="shared" si="24"/>
        <v>178</v>
      </c>
      <c r="Z31">
        <f t="shared" si="24"/>
        <v>0</v>
      </c>
      <c r="AA31">
        <f t="shared" si="24"/>
        <v>0</v>
      </c>
      <c r="AB31">
        <f t="shared" si="24"/>
        <v>0</v>
      </c>
      <c r="AC31">
        <f t="shared" si="24"/>
        <v>0</v>
      </c>
      <c r="AD31">
        <f t="shared" si="24"/>
        <v>0</v>
      </c>
    </row>
    <row r="32" spans="1:48">
      <c r="J32" s="5" t="s">
        <v>4</v>
      </c>
      <c r="K32" s="6">
        <v>83</v>
      </c>
      <c r="L32" s="6">
        <v>12</v>
      </c>
      <c r="M32" s="6">
        <v>36</v>
      </c>
      <c r="N32" s="6">
        <v>178</v>
      </c>
      <c r="O32" s="6">
        <v>0</v>
      </c>
      <c r="P32" s="6">
        <v>0</v>
      </c>
      <c r="Q32" s="6">
        <v>0</v>
      </c>
      <c r="R32" s="6">
        <v>0</v>
      </c>
      <c r="S32" s="7">
        <v>0</v>
      </c>
      <c r="U32" s="5" t="s">
        <v>5</v>
      </c>
      <c r="V32">
        <f t="shared" si="25"/>
        <v>134</v>
      </c>
      <c r="W32">
        <f t="shared" si="24"/>
        <v>28.000000000000004</v>
      </c>
      <c r="X32">
        <f t="shared" si="24"/>
        <v>154</v>
      </c>
      <c r="Y32">
        <f t="shared" si="24"/>
        <v>50.000000000000007</v>
      </c>
      <c r="Z32">
        <f t="shared" si="24"/>
        <v>122.99999999999999</v>
      </c>
      <c r="AA32">
        <f t="shared" si="24"/>
        <v>0</v>
      </c>
      <c r="AB32">
        <f t="shared" si="24"/>
        <v>0</v>
      </c>
      <c r="AC32">
        <f t="shared" si="24"/>
        <v>0</v>
      </c>
      <c r="AD32">
        <f t="shared" si="24"/>
        <v>0</v>
      </c>
      <c r="AL32" s="12" t="s">
        <v>247</v>
      </c>
      <c r="AM32" s="12" t="s">
        <v>248</v>
      </c>
      <c r="AN32" s="12" t="s">
        <v>249</v>
      </c>
      <c r="AO32" s="12" t="s">
        <v>250</v>
      </c>
      <c r="AP32" s="12" t="s">
        <v>251</v>
      </c>
      <c r="AS32" s="12" t="s">
        <v>671</v>
      </c>
    </row>
    <row r="33" spans="1:50">
      <c r="J33" s="5" t="s">
        <v>5</v>
      </c>
      <c r="K33" s="6">
        <v>134</v>
      </c>
      <c r="L33" s="6">
        <v>28</v>
      </c>
      <c r="M33" s="6">
        <v>154</v>
      </c>
      <c r="N33" s="6">
        <v>50</v>
      </c>
      <c r="O33" s="6">
        <v>123</v>
      </c>
      <c r="P33" s="6">
        <v>0</v>
      </c>
      <c r="Q33" s="6">
        <v>0</v>
      </c>
      <c r="R33" s="6">
        <v>0</v>
      </c>
      <c r="S33" s="7">
        <v>0</v>
      </c>
      <c r="U33" s="5" t="s">
        <v>6</v>
      </c>
      <c r="V33">
        <f t="shared" si="25"/>
        <v>192</v>
      </c>
      <c r="W33">
        <f t="shared" si="24"/>
        <v>58</v>
      </c>
      <c r="X33">
        <f t="shared" si="24"/>
        <v>151</v>
      </c>
      <c r="Y33">
        <f t="shared" si="24"/>
        <v>117</v>
      </c>
      <c r="Z33">
        <f t="shared" si="24"/>
        <v>133</v>
      </c>
      <c r="AA33">
        <f t="shared" si="24"/>
        <v>278</v>
      </c>
      <c r="AB33">
        <f t="shared" si="24"/>
        <v>0</v>
      </c>
      <c r="AC33">
        <f t="shared" si="24"/>
        <v>0</v>
      </c>
      <c r="AD33">
        <f t="shared" si="24"/>
        <v>0</v>
      </c>
      <c r="AK33" s="12" t="s">
        <v>1</v>
      </c>
      <c r="AL33">
        <f>AL26*$AU25</f>
        <v>122</v>
      </c>
      <c r="AM33">
        <f t="shared" ref="AM33:AP33" si="26">AM26*$AU25</f>
        <v>0</v>
      </c>
      <c r="AN33">
        <f t="shared" si="26"/>
        <v>0</v>
      </c>
      <c r="AO33">
        <f t="shared" si="26"/>
        <v>0</v>
      </c>
      <c r="AP33">
        <f t="shared" si="26"/>
        <v>0</v>
      </c>
    </row>
    <row r="34" spans="1:50">
      <c r="J34" s="5" t="s">
        <v>6</v>
      </c>
      <c r="K34" s="119">
        <v>192</v>
      </c>
      <c r="L34" s="119">
        <v>58</v>
      </c>
      <c r="M34" s="119">
        <v>151</v>
      </c>
      <c r="N34" s="119">
        <v>117</v>
      </c>
      <c r="O34" s="119">
        <v>133</v>
      </c>
      <c r="P34" s="119">
        <v>278</v>
      </c>
      <c r="Q34" s="119">
        <v>0</v>
      </c>
      <c r="R34" s="119">
        <v>0</v>
      </c>
      <c r="S34" s="7">
        <v>0</v>
      </c>
      <c r="U34" s="5" t="s">
        <v>7</v>
      </c>
      <c r="V34">
        <f t="shared" si="25"/>
        <v>76</v>
      </c>
      <c r="W34">
        <f t="shared" si="24"/>
        <v>62</v>
      </c>
      <c r="X34">
        <f t="shared" si="24"/>
        <v>60.000000000000007</v>
      </c>
      <c r="Y34">
        <f t="shared" si="24"/>
        <v>44</v>
      </c>
      <c r="Z34">
        <f t="shared" si="24"/>
        <v>161</v>
      </c>
      <c r="AA34">
        <f t="shared" si="24"/>
        <v>135</v>
      </c>
      <c r="AB34">
        <f t="shared" si="24"/>
        <v>80</v>
      </c>
      <c r="AC34">
        <f t="shared" si="24"/>
        <v>0</v>
      </c>
      <c r="AD34">
        <f t="shared" si="24"/>
        <v>0</v>
      </c>
      <c r="AK34" s="12" t="s">
        <v>2</v>
      </c>
      <c r="AL34">
        <f t="shared" ref="AL34:AP37" si="27">AL27*$AU26</f>
        <v>203</v>
      </c>
      <c r="AM34">
        <f t="shared" si="27"/>
        <v>299</v>
      </c>
      <c r="AN34">
        <f t="shared" si="27"/>
        <v>0</v>
      </c>
      <c r="AO34">
        <f t="shared" si="27"/>
        <v>0</v>
      </c>
      <c r="AP34">
        <f t="shared" si="27"/>
        <v>0</v>
      </c>
    </row>
    <row r="35" spans="1:50">
      <c r="J35" s="5" t="s">
        <v>7</v>
      </c>
      <c r="K35" s="119">
        <v>76</v>
      </c>
      <c r="L35" s="119">
        <v>62</v>
      </c>
      <c r="M35" s="119">
        <v>60</v>
      </c>
      <c r="N35" s="119">
        <v>44</v>
      </c>
      <c r="O35" s="119">
        <v>161</v>
      </c>
      <c r="P35" s="119">
        <v>135</v>
      </c>
      <c r="Q35" s="119">
        <v>80</v>
      </c>
      <c r="R35" s="119">
        <v>0</v>
      </c>
      <c r="S35" s="7">
        <v>0</v>
      </c>
      <c r="U35" s="5" t="s">
        <v>8</v>
      </c>
      <c r="V35">
        <f t="shared" si="25"/>
        <v>53.999999999999993</v>
      </c>
      <c r="W35">
        <f t="shared" si="24"/>
        <v>16</v>
      </c>
      <c r="X35">
        <f t="shared" si="24"/>
        <v>54.999999999999993</v>
      </c>
      <c r="Y35">
        <f t="shared" si="24"/>
        <v>55.999999999999979</v>
      </c>
      <c r="Z35">
        <f t="shared" si="24"/>
        <v>121</v>
      </c>
      <c r="AA35">
        <f t="shared" si="24"/>
        <v>208.00000000000003</v>
      </c>
      <c r="AB35">
        <f t="shared" si="24"/>
        <v>123.00000000000001</v>
      </c>
      <c r="AC35">
        <f t="shared" si="24"/>
        <v>66.000000000000014</v>
      </c>
      <c r="AD35">
        <f t="shared" si="24"/>
        <v>0</v>
      </c>
      <c r="AK35" s="12" t="s">
        <v>3</v>
      </c>
      <c r="AL35">
        <f t="shared" si="27"/>
        <v>412</v>
      </c>
      <c r="AM35">
        <f t="shared" si="27"/>
        <v>472.00000000000006</v>
      </c>
      <c r="AN35">
        <f t="shared" si="27"/>
        <v>534</v>
      </c>
      <c r="AO35">
        <f t="shared" si="27"/>
        <v>0</v>
      </c>
      <c r="AP35">
        <f t="shared" si="27"/>
        <v>0</v>
      </c>
    </row>
    <row r="36" spans="1:50" ht="15" thickBot="1">
      <c r="J36" s="5" t="s">
        <v>8</v>
      </c>
      <c r="K36" s="119">
        <v>54</v>
      </c>
      <c r="L36" s="119">
        <v>16</v>
      </c>
      <c r="M36" s="119">
        <v>55</v>
      </c>
      <c r="N36" s="86">
        <v>55.999999999999972</v>
      </c>
      <c r="O36" s="119">
        <v>121</v>
      </c>
      <c r="P36" s="86">
        <v>208</v>
      </c>
      <c r="Q36" s="119">
        <v>123</v>
      </c>
      <c r="R36" s="86">
        <v>66.000000000000014</v>
      </c>
      <c r="S36" s="7">
        <v>0</v>
      </c>
      <c r="U36" s="8" t="s">
        <v>9</v>
      </c>
      <c r="V36">
        <f t="shared" si="25"/>
        <v>122</v>
      </c>
      <c r="W36">
        <f t="shared" si="24"/>
        <v>18</v>
      </c>
      <c r="X36">
        <f t="shared" si="24"/>
        <v>47</v>
      </c>
      <c r="Y36">
        <f t="shared" si="24"/>
        <v>34</v>
      </c>
      <c r="Z36">
        <f t="shared" si="24"/>
        <v>46</v>
      </c>
      <c r="AA36">
        <f t="shared" si="24"/>
        <v>65</v>
      </c>
      <c r="AB36">
        <f t="shared" si="24"/>
        <v>103</v>
      </c>
      <c r="AC36">
        <f t="shared" si="24"/>
        <v>83</v>
      </c>
      <c r="AD36">
        <f t="shared" si="24"/>
        <v>76</v>
      </c>
      <c r="AK36" s="12" t="s">
        <v>4</v>
      </c>
      <c r="AL36">
        <f t="shared" si="27"/>
        <v>138</v>
      </c>
      <c r="AM36">
        <f t="shared" si="27"/>
        <v>104</v>
      </c>
      <c r="AN36">
        <f t="shared" si="27"/>
        <v>296</v>
      </c>
      <c r="AO36">
        <f t="shared" si="27"/>
        <v>80</v>
      </c>
      <c r="AP36">
        <f t="shared" si="27"/>
        <v>0</v>
      </c>
    </row>
    <row r="37" spans="1:50" ht="15" thickBot="1">
      <c r="J37" s="8" t="s">
        <v>9</v>
      </c>
      <c r="K37" s="9">
        <v>122</v>
      </c>
      <c r="L37" s="9">
        <v>18</v>
      </c>
      <c r="M37" s="9">
        <v>47</v>
      </c>
      <c r="N37" s="9">
        <v>34</v>
      </c>
      <c r="O37" s="9">
        <v>46</v>
      </c>
      <c r="P37" s="9">
        <v>65</v>
      </c>
      <c r="Q37" s="9">
        <v>103</v>
      </c>
      <c r="R37" s="9">
        <v>83</v>
      </c>
      <c r="S37" s="10">
        <v>76</v>
      </c>
      <c r="AK37" s="12" t="s">
        <v>5</v>
      </c>
      <c r="AL37">
        <f t="shared" si="27"/>
        <v>210.00000000000003</v>
      </c>
      <c r="AM37">
        <f t="shared" si="27"/>
        <v>191</v>
      </c>
      <c r="AN37">
        <f t="shared" si="27"/>
        <v>441</v>
      </c>
      <c r="AO37">
        <f t="shared" si="27"/>
        <v>226</v>
      </c>
      <c r="AP37">
        <f t="shared" si="27"/>
        <v>226</v>
      </c>
    </row>
    <row r="38" spans="1:50">
      <c r="U38" s="12" t="s">
        <v>225</v>
      </c>
      <c r="V38">
        <f t="shared" ref="V38:AD38" si="28">SUM(V28:V37)</f>
        <v>826</v>
      </c>
      <c r="W38">
        <f t="shared" si="28"/>
        <v>259</v>
      </c>
      <c r="X38">
        <f t="shared" si="28"/>
        <v>588</v>
      </c>
      <c r="Y38">
        <f t="shared" si="28"/>
        <v>479</v>
      </c>
      <c r="Z38">
        <f t="shared" si="28"/>
        <v>584</v>
      </c>
      <c r="AA38">
        <f t="shared" si="28"/>
        <v>686</v>
      </c>
      <c r="AB38">
        <f t="shared" si="28"/>
        <v>306</v>
      </c>
      <c r="AC38">
        <f t="shared" si="28"/>
        <v>149</v>
      </c>
      <c r="AD38">
        <f t="shared" si="28"/>
        <v>76</v>
      </c>
      <c r="AE38">
        <f>SUM(V38:AD38)</f>
        <v>3953</v>
      </c>
      <c r="AK38" s="12" t="s">
        <v>225</v>
      </c>
      <c r="AL38">
        <f>SUM(AL33:AL37)</f>
        <v>1085</v>
      </c>
      <c r="AM38">
        <f>SUM(AM33:AM37)</f>
        <v>1066</v>
      </c>
      <c r="AN38">
        <f>SUM(AN33:AN37)</f>
        <v>1271</v>
      </c>
      <c r="AO38">
        <f>SUM(AO33:AO37)</f>
        <v>306</v>
      </c>
      <c r="AP38">
        <f>SUM(AP33:AP37)</f>
        <v>226</v>
      </c>
      <c r="AQ38">
        <f>SUM(AL38:AP38)</f>
        <v>3954</v>
      </c>
    </row>
    <row r="39" spans="1:50" ht="15" thickBot="1">
      <c r="K39" s="12" t="s">
        <v>416</v>
      </c>
      <c r="V39" s="12" t="s">
        <v>247</v>
      </c>
      <c r="W39" s="12" t="s">
        <v>248</v>
      </c>
      <c r="X39" s="12" t="s">
        <v>249</v>
      </c>
      <c r="Y39" s="12" t="s">
        <v>250</v>
      </c>
      <c r="Z39" s="12" t="s">
        <v>251</v>
      </c>
      <c r="AT39">
        <f>SUM(AL33:AL37)</f>
        <v>1085</v>
      </c>
    </row>
    <row r="40" spans="1:50">
      <c r="A40" s="6"/>
      <c r="B40" s="6" t="s">
        <v>10</v>
      </c>
      <c r="C40" s="6" t="s">
        <v>11</v>
      </c>
      <c r="D40" s="6" t="s">
        <v>12</v>
      </c>
      <c r="E40" s="6" t="s">
        <v>13</v>
      </c>
      <c r="F40" s="6" t="s">
        <v>14</v>
      </c>
      <c r="G40" s="6" t="s">
        <v>15</v>
      </c>
      <c r="H40" s="6" t="s">
        <v>16</v>
      </c>
      <c r="I40" s="6" t="s">
        <v>17</v>
      </c>
      <c r="J40" s="6" t="s">
        <v>18</v>
      </c>
      <c r="K40" s="75" t="s">
        <v>19</v>
      </c>
      <c r="L40" s="69" t="s">
        <v>20</v>
      </c>
      <c r="M40" s="69" t="s">
        <v>21</v>
      </c>
      <c r="N40" s="69" t="s">
        <v>22</v>
      </c>
      <c r="O40" s="69" t="s">
        <v>23</v>
      </c>
      <c r="P40" s="69" t="s">
        <v>24</v>
      </c>
      <c r="Q40" s="69" t="s">
        <v>25</v>
      </c>
      <c r="R40" s="69" t="s">
        <v>26</v>
      </c>
      <c r="S40" s="70" t="s">
        <v>27</v>
      </c>
      <c r="U40" s="27" t="s">
        <v>1</v>
      </c>
      <c r="V40">
        <f>K41+L41+K42+L42</f>
        <v>2.8717948717948723</v>
      </c>
      <c r="W40">
        <f>M41+N41+M42+N42</f>
        <v>0</v>
      </c>
      <c r="X40">
        <f>O41+O42+P42+P41</f>
        <v>0</v>
      </c>
      <c r="Y40">
        <v>0</v>
      </c>
      <c r="Z40">
        <v>0</v>
      </c>
      <c r="AT40">
        <f>AM38</f>
        <v>1066</v>
      </c>
    </row>
    <row r="41" spans="1:50">
      <c r="A41" s="6" t="s">
        <v>1</v>
      </c>
      <c r="B41" s="6">
        <f>K16*employ!K$16</f>
        <v>288.58497058945744</v>
      </c>
      <c r="C41" s="6">
        <f>L16*employ!L$16</f>
        <v>0</v>
      </c>
      <c r="D41" s="6">
        <f>M16*employ!M$16</f>
        <v>0</v>
      </c>
      <c r="E41" s="6">
        <f>N16*employ!N$16</f>
        <v>0</v>
      </c>
      <c r="F41" s="6">
        <f>O16*employ!O$16</f>
        <v>0</v>
      </c>
      <c r="G41" s="6">
        <f>P16*employ!P$16</f>
        <v>0</v>
      </c>
      <c r="H41" s="6">
        <f>Q16*employ!Q$16</f>
        <v>0</v>
      </c>
      <c r="I41" s="6">
        <f>R16*employ!R$16</f>
        <v>0</v>
      </c>
      <c r="J41" s="6">
        <f>S16*employ!S$16</f>
        <v>0</v>
      </c>
      <c r="K41" s="76">
        <f>K29/$U16</f>
        <v>1.6666666666666667</v>
      </c>
      <c r="L41" s="71">
        <f t="shared" ref="L41:S41" si="29">L29/$U16</f>
        <v>0</v>
      </c>
      <c r="M41" s="71">
        <f t="shared" si="29"/>
        <v>0</v>
      </c>
      <c r="N41" s="71">
        <f t="shared" si="29"/>
        <v>0</v>
      </c>
      <c r="O41" s="71">
        <f t="shared" si="29"/>
        <v>0</v>
      </c>
      <c r="P41" s="71">
        <f t="shared" si="29"/>
        <v>0</v>
      </c>
      <c r="Q41" s="71">
        <f t="shared" si="29"/>
        <v>0</v>
      </c>
      <c r="R41" s="71">
        <f t="shared" si="29"/>
        <v>0</v>
      </c>
      <c r="S41" s="72">
        <f t="shared" si="29"/>
        <v>0</v>
      </c>
      <c r="T41" s="27">
        <f t="shared" ref="T41:T49" si="30">SUM(K41:S41)</f>
        <v>1.6666666666666667</v>
      </c>
      <c r="U41" s="12" t="s">
        <v>2</v>
      </c>
      <c r="V41">
        <f>K43+L43+K44+L44</f>
        <v>1.0137801734239511</v>
      </c>
      <c r="W41">
        <f>M43+M44+N43+N44</f>
        <v>1.3525896414342631</v>
      </c>
      <c r="X41">
        <f>O43+O44+P43+P44</f>
        <v>0</v>
      </c>
      <c r="Y41">
        <v>0</v>
      </c>
      <c r="Z41">
        <v>0</v>
      </c>
      <c r="AT41">
        <f>AN38</f>
        <v>1271</v>
      </c>
    </row>
    <row r="42" spans="1:50">
      <c r="A42" s="6" t="s">
        <v>2</v>
      </c>
      <c r="B42" s="6">
        <f>K17*employ!K$16</f>
        <v>96.194990196485804</v>
      </c>
      <c r="C42" s="6">
        <f>L17*employ!L$16</f>
        <v>274.1664026580367</v>
      </c>
      <c r="D42" s="6">
        <f>M17*employ!M$16</f>
        <v>0</v>
      </c>
      <c r="E42" s="6">
        <f>N17*employ!N$16</f>
        <v>0</v>
      </c>
      <c r="F42" s="6">
        <f>O17*employ!O$16</f>
        <v>0</v>
      </c>
      <c r="G42" s="6">
        <f>P17*employ!P$16</f>
        <v>0</v>
      </c>
      <c r="H42" s="6">
        <f>Q17*employ!Q$16</f>
        <v>0</v>
      </c>
      <c r="I42" s="6">
        <f>R17*employ!R$16</f>
        <v>0</v>
      </c>
      <c r="J42" s="6">
        <f>S17*employ!S$16</f>
        <v>0</v>
      </c>
      <c r="K42" s="76">
        <f t="shared" ref="K42:S49" si="31">K30/$U17</f>
        <v>0.64102564102564108</v>
      </c>
      <c r="L42" s="71">
        <f t="shared" si="31"/>
        <v>0.5641025641025641</v>
      </c>
      <c r="M42" s="71">
        <f t="shared" si="31"/>
        <v>0</v>
      </c>
      <c r="N42" s="71">
        <f t="shared" si="31"/>
        <v>0</v>
      </c>
      <c r="O42" s="71">
        <f t="shared" si="31"/>
        <v>0</v>
      </c>
      <c r="P42" s="71">
        <f t="shared" si="31"/>
        <v>0</v>
      </c>
      <c r="Q42" s="71">
        <f t="shared" si="31"/>
        <v>0</v>
      </c>
      <c r="R42" s="71">
        <f t="shared" si="31"/>
        <v>0</v>
      </c>
      <c r="S42" s="72">
        <f t="shared" si="31"/>
        <v>0</v>
      </c>
      <c r="T42" s="27">
        <f t="shared" si="30"/>
        <v>1.2051282051282053</v>
      </c>
      <c r="U42" s="27" t="s">
        <v>3</v>
      </c>
      <c r="V42">
        <f>K45+L45+K46+L46</f>
        <v>1.0116166202210604</v>
      </c>
      <c r="W42">
        <f>M45+M46+N46+N45</f>
        <v>1.1879888530544511</v>
      </c>
      <c r="X42">
        <f>O45+O46+P46+P45</f>
        <v>1.173923662209976</v>
      </c>
      <c r="Y42">
        <v>0</v>
      </c>
      <c r="Z42">
        <v>0</v>
      </c>
      <c r="AT42">
        <f>AO38</f>
        <v>306</v>
      </c>
    </row>
    <row r="43" spans="1:50">
      <c r="A43" s="6" t="s">
        <v>3</v>
      </c>
      <c r="B43" s="6">
        <f>K18*employ!K$16</f>
        <v>250.1069745108631</v>
      </c>
      <c r="C43" s="6">
        <f>L18*employ!L$16</f>
        <v>535.87069610434446</v>
      </c>
      <c r="D43" s="6">
        <f>M18*employ!M$16</f>
        <v>1711.2506295286278</v>
      </c>
      <c r="E43" s="6">
        <f>N18*employ!N$16</f>
        <v>0</v>
      </c>
      <c r="F43" s="6">
        <f>O18*employ!O$16</f>
        <v>0</v>
      </c>
      <c r="G43" s="6">
        <f>P18*employ!P$16</f>
        <v>0</v>
      </c>
      <c r="H43" s="6">
        <f>Q18*employ!Q$16</f>
        <v>0</v>
      </c>
      <c r="I43" s="6">
        <f>R18*employ!R$16</f>
        <v>0</v>
      </c>
      <c r="J43" s="6">
        <f>S18*employ!S$16</f>
        <v>0</v>
      </c>
      <c r="K43" s="76">
        <f t="shared" si="31"/>
        <v>0.38235294117647056</v>
      </c>
      <c r="L43" s="71">
        <f t="shared" si="31"/>
        <v>0.25294117647058822</v>
      </c>
      <c r="M43" s="71">
        <f t="shared" si="31"/>
        <v>0.5</v>
      </c>
      <c r="N43" s="71">
        <f t="shared" si="31"/>
        <v>0</v>
      </c>
      <c r="O43" s="71">
        <f t="shared" si="31"/>
        <v>0</v>
      </c>
      <c r="P43" s="71">
        <f t="shared" si="31"/>
        <v>0</v>
      </c>
      <c r="Q43" s="71">
        <f t="shared" si="31"/>
        <v>0</v>
      </c>
      <c r="R43" s="71">
        <f t="shared" si="31"/>
        <v>0</v>
      </c>
      <c r="S43" s="72">
        <f t="shared" si="31"/>
        <v>0</v>
      </c>
      <c r="T43" s="27">
        <f t="shared" si="30"/>
        <v>1.1352941176470588</v>
      </c>
      <c r="U43" s="12" t="s">
        <v>4</v>
      </c>
      <c r="V43">
        <f>K47+L47</f>
        <v>0.38655462184873945</v>
      </c>
      <c r="W43">
        <f>M47+N47</f>
        <v>0.29131652661064428</v>
      </c>
      <c r="X43">
        <f>O47+P47</f>
        <v>0.82913165266106437</v>
      </c>
      <c r="Y43">
        <f>Q47</f>
        <v>0.22408963585434175</v>
      </c>
      <c r="Z43">
        <v>0</v>
      </c>
      <c r="AT43">
        <f>AP38</f>
        <v>226</v>
      </c>
    </row>
    <row r="44" spans="1:50">
      <c r="A44" s="6" t="s">
        <v>4</v>
      </c>
      <c r="B44" s="6">
        <f>K19*employ!K$16</f>
        <v>319.36736745233287</v>
      </c>
      <c r="C44" s="6">
        <f>L19*employ!L$16</f>
        <v>149.54531054074729</v>
      </c>
      <c r="D44" s="6">
        <f>M19*employ!M$16</f>
        <v>724.76497250624243</v>
      </c>
      <c r="E44" s="6">
        <f>N19*employ!N$16</f>
        <v>5199.9308595811608</v>
      </c>
      <c r="F44" s="6">
        <f>O19*employ!O$16</f>
        <v>0</v>
      </c>
      <c r="G44" s="6">
        <f>P19*employ!P$16</f>
        <v>0</v>
      </c>
      <c r="H44" s="6">
        <f>Q19*employ!Q$16</f>
        <v>0</v>
      </c>
      <c r="I44" s="6">
        <f>R19*employ!R$16</f>
        <v>0</v>
      </c>
      <c r="J44" s="6">
        <f>S19*employ!S$16</f>
        <v>0</v>
      </c>
      <c r="K44" s="76">
        <f t="shared" si="31"/>
        <v>0.33067729083665337</v>
      </c>
      <c r="L44" s="71">
        <f t="shared" si="31"/>
        <v>4.7808764940239043E-2</v>
      </c>
      <c r="M44" s="71">
        <f t="shared" si="31"/>
        <v>0.14342629482071714</v>
      </c>
      <c r="N44" s="71">
        <f t="shared" si="31"/>
        <v>0.70916334661354585</v>
      </c>
      <c r="O44" s="71">
        <f t="shared" si="31"/>
        <v>0</v>
      </c>
      <c r="P44" s="71">
        <f t="shared" si="31"/>
        <v>0</v>
      </c>
      <c r="Q44" s="71">
        <f t="shared" si="31"/>
        <v>0</v>
      </c>
      <c r="R44" s="71">
        <f t="shared" si="31"/>
        <v>0</v>
      </c>
      <c r="S44" s="72">
        <f t="shared" si="31"/>
        <v>0</v>
      </c>
      <c r="T44" s="27">
        <f t="shared" si="30"/>
        <v>1.2310756972111554</v>
      </c>
      <c r="U44" s="27" t="s">
        <v>5</v>
      </c>
      <c r="V44">
        <f>K49+L49+K48+L48</f>
        <v>0.76301150823142583</v>
      </c>
      <c r="W44">
        <f>M48+M49+N48+N49</f>
        <v>0.63674751705965804</v>
      </c>
      <c r="X44">
        <f>O48+O49+P48+P49</f>
        <v>1.3625768529153435</v>
      </c>
      <c r="Y44">
        <f>Q48+Q49</f>
        <v>0.7594194085985182</v>
      </c>
      <c r="Z44">
        <f>R48+R49+S49</f>
        <v>0.82916694817917713</v>
      </c>
    </row>
    <row r="45" spans="1:50">
      <c r="A45" s="6" t="s">
        <v>5</v>
      </c>
      <c r="B45" s="6">
        <f>K20*employ!K$16</f>
        <v>515.60514745316391</v>
      </c>
      <c r="C45" s="6">
        <f>L20*employ!L$16</f>
        <v>348.93905792841036</v>
      </c>
      <c r="D45" s="6">
        <f>M20*employ!M$16</f>
        <v>3100.3834934989259</v>
      </c>
      <c r="E45" s="6">
        <f>N20*employ!N$16</f>
        <v>1460.6547358374046</v>
      </c>
      <c r="F45" s="6">
        <f>O20*employ!O$16</f>
        <v>5054.1949092785726</v>
      </c>
      <c r="G45" s="6">
        <f>P20*employ!P$16</f>
        <v>0</v>
      </c>
      <c r="H45" s="6">
        <f>Q20*employ!Q$16</f>
        <v>0</v>
      </c>
      <c r="I45" s="6">
        <f>R20*employ!R$16</f>
        <v>0</v>
      </c>
      <c r="J45" s="6">
        <f>S20*employ!S$16</f>
        <v>0</v>
      </c>
      <c r="K45" s="76">
        <f t="shared" si="31"/>
        <v>0.45733788395904434</v>
      </c>
      <c r="L45" s="71">
        <f t="shared" si="31"/>
        <v>9.556313993174062E-2</v>
      </c>
      <c r="M45" s="71">
        <f t="shared" si="31"/>
        <v>0.52559726962457343</v>
      </c>
      <c r="N45" s="71">
        <f t="shared" si="31"/>
        <v>0.17064846416382254</v>
      </c>
      <c r="O45" s="71">
        <f t="shared" si="31"/>
        <v>0.41979522184300339</v>
      </c>
      <c r="P45" s="71">
        <f t="shared" si="31"/>
        <v>0</v>
      </c>
      <c r="Q45" s="71">
        <f t="shared" si="31"/>
        <v>0</v>
      </c>
      <c r="R45" s="71">
        <f t="shared" si="31"/>
        <v>0</v>
      </c>
      <c r="S45" s="72">
        <f t="shared" si="31"/>
        <v>0</v>
      </c>
      <c r="T45" s="27">
        <f t="shared" si="30"/>
        <v>1.6689419795221845</v>
      </c>
      <c r="V45">
        <f>SUM(V40:V44)</f>
        <v>6.0467577955200493</v>
      </c>
      <c r="W45">
        <f>SUM(W40:W44)</f>
        <v>3.468642538159016</v>
      </c>
      <c r="X45">
        <f t="shared" ref="X45:Z45" si="32">SUM(X40:X44)</f>
        <v>3.3656321677863836</v>
      </c>
      <c r="Y45">
        <f t="shared" si="32"/>
        <v>0.98350904445285992</v>
      </c>
      <c r="Z45">
        <f t="shared" si="32"/>
        <v>0.82916694817917713</v>
      </c>
      <c r="AK45" s="12" t="s">
        <v>670</v>
      </c>
    </row>
    <row r="46" spans="1:50">
      <c r="A46" s="6" t="s">
        <v>6</v>
      </c>
      <c r="B46" s="6">
        <f>K21*employ!K$16</f>
        <v>738.777524709011</v>
      </c>
      <c r="C46" s="6">
        <f>L21*employ!L$16</f>
        <v>722.80233428027861</v>
      </c>
      <c r="D46" s="6">
        <f>M21*employ!M$16</f>
        <v>3039.9864124567389</v>
      </c>
      <c r="E46" s="6">
        <f>N21*employ!N$16</f>
        <v>3417.9320818595265</v>
      </c>
      <c r="F46" s="6">
        <f>O21*employ!O$16</f>
        <v>5465.1050645044725</v>
      </c>
      <c r="G46" s="6">
        <f>P21*employ!P$16</f>
        <v>16392.110945273635</v>
      </c>
      <c r="H46" s="6">
        <f>Q21*employ!Q$16</f>
        <v>0</v>
      </c>
      <c r="I46" s="6">
        <f>R21*employ!R$16</f>
        <v>0</v>
      </c>
      <c r="J46" s="6">
        <f>S21*employ!S$16</f>
        <v>0</v>
      </c>
      <c r="K46" s="76">
        <f t="shared" si="31"/>
        <v>0.3522935779816514</v>
      </c>
      <c r="L46" s="71">
        <f t="shared" si="31"/>
        <v>0.10642201834862386</v>
      </c>
      <c r="M46" s="71">
        <f t="shared" si="31"/>
        <v>0.27706422018348625</v>
      </c>
      <c r="N46" s="71">
        <f t="shared" si="31"/>
        <v>0.21467889908256882</v>
      </c>
      <c r="O46" s="71">
        <f t="shared" si="31"/>
        <v>0.24403669724770644</v>
      </c>
      <c r="P46" s="71">
        <f t="shared" si="31"/>
        <v>0.51009174311926608</v>
      </c>
      <c r="Q46" s="71">
        <f t="shared" si="31"/>
        <v>0</v>
      </c>
      <c r="R46" s="71">
        <f t="shared" si="31"/>
        <v>0</v>
      </c>
      <c r="S46" s="72">
        <f t="shared" si="31"/>
        <v>0</v>
      </c>
      <c r="T46" s="27">
        <f t="shared" si="30"/>
        <v>1.7045871559633028</v>
      </c>
      <c r="AL46" s="12" t="s">
        <v>247</v>
      </c>
      <c r="AM46" s="12" t="s">
        <v>248</v>
      </c>
      <c r="AN46" s="12" t="s">
        <v>249</v>
      </c>
      <c r="AO46" s="12" t="s">
        <v>250</v>
      </c>
      <c r="AP46" s="12" t="s">
        <v>251</v>
      </c>
      <c r="AT46" s="12" t="s">
        <v>672</v>
      </c>
    </row>
    <row r="47" spans="1:50">
      <c r="A47" s="6" t="s">
        <v>7</v>
      </c>
      <c r="B47" s="6">
        <f>K22*employ!K$16</f>
        <v>292.43277019731687</v>
      </c>
      <c r="C47" s="6">
        <f>L22*employ!L$16</f>
        <v>772.65077112719439</v>
      </c>
      <c r="D47" s="6">
        <f>M22*employ!M$16</f>
        <v>1207.9416208437374</v>
      </c>
      <c r="E47" s="6">
        <f>N22*employ!N$16</f>
        <v>1285.376167536916</v>
      </c>
      <c r="F47" s="6">
        <f>O22*employ!O$16</f>
        <v>6615.6534991369936</v>
      </c>
      <c r="G47" s="6">
        <f>P22*employ!P$16</f>
        <v>7960.197761194032</v>
      </c>
      <c r="H47" s="6">
        <f>Q22*employ!Q$16</f>
        <v>6787.7380952380936</v>
      </c>
      <c r="I47" s="6">
        <f>R22*employ!R$16</f>
        <v>0</v>
      </c>
      <c r="J47" s="6">
        <f>S22*employ!S$16</f>
        <v>0</v>
      </c>
      <c r="K47" s="76">
        <f t="shared" si="31"/>
        <v>0.21288515406162464</v>
      </c>
      <c r="L47" s="71">
        <f t="shared" si="31"/>
        <v>0.17366946778711484</v>
      </c>
      <c r="M47" s="71">
        <f t="shared" si="31"/>
        <v>0.16806722689075632</v>
      </c>
      <c r="N47" s="71">
        <f t="shared" si="31"/>
        <v>0.12324929971988796</v>
      </c>
      <c r="O47" s="71">
        <f t="shared" si="31"/>
        <v>0.45098039215686275</v>
      </c>
      <c r="P47" s="71">
        <f t="shared" si="31"/>
        <v>0.37815126050420167</v>
      </c>
      <c r="Q47" s="71">
        <f t="shared" si="31"/>
        <v>0.22408963585434175</v>
      </c>
      <c r="R47" s="71">
        <f t="shared" si="31"/>
        <v>0</v>
      </c>
      <c r="S47" s="72">
        <f t="shared" si="31"/>
        <v>0</v>
      </c>
      <c r="T47" s="27">
        <f t="shared" si="30"/>
        <v>1.73109243697479</v>
      </c>
      <c r="U47" s="27" t="s">
        <v>1</v>
      </c>
      <c r="V47">
        <f t="shared" ref="V47:Z51" si="33">V40*$AU25</f>
        <v>241.23076923076928</v>
      </c>
      <c r="W47">
        <f t="shared" si="33"/>
        <v>0</v>
      </c>
      <c r="X47">
        <f t="shared" si="33"/>
        <v>0</v>
      </c>
      <c r="Y47">
        <f t="shared" si="33"/>
        <v>0</v>
      </c>
      <c r="Z47">
        <f t="shared" si="33"/>
        <v>0</v>
      </c>
      <c r="AK47" s="12" t="s">
        <v>1</v>
      </c>
      <c r="AL47">
        <f>AL33*AT$47</f>
        <v>710.618938861272</v>
      </c>
      <c r="AM47">
        <f t="shared" ref="AM47:AP51" si="34">AM33*AU$47</f>
        <v>0</v>
      </c>
      <c r="AN47">
        <f t="shared" si="34"/>
        <v>0</v>
      </c>
      <c r="AO47">
        <f t="shared" si="34"/>
        <v>0</v>
      </c>
      <c r="AP47">
        <f t="shared" si="34"/>
        <v>0</v>
      </c>
      <c r="AT47">
        <f>employ!BR34</f>
        <v>5.8247454005022297</v>
      </c>
      <c r="AU47">
        <f>employ!BR35</f>
        <v>24.553070322997726</v>
      </c>
      <c r="AV47">
        <f>employ!BR36</f>
        <v>50.159418471242859</v>
      </c>
      <c r="AW47">
        <f>employ!BR37</f>
        <v>87.157098039215697</v>
      </c>
      <c r="AX47">
        <f>employ!BR38</f>
        <v>176.93467659996412</v>
      </c>
    </row>
    <row r="48" spans="1:50">
      <c r="A48" s="6" t="s">
        <v>8</v>
      </c>
      <c r="B48" s="6">
        <f>K23*employ!K$16</f>
        <v>207.78117882440935</v>
      </c>
      <c r="C48" s="6">
        <f>L23*employ!L$16</f>
        <v>199.39374738766307</v>
      </c>
      <c r="D48" s="6">
        <f>M23*employ!M$16</f>
        <v>1107.2798191067593</v>
      </c>
      <c r="E48" s="6">
        <f>N23*employ!N$16</f>
        <v>1606.720209421145</v>
      </c>
      <c r="F48" s="6">
        <f>O23*employ!O$16</f>
        <v>4972.0128782333923</v>
      </c>
      <c r="G48" s="6">
        <f>P23*employ!P$16</f>
        <v>12323.565422885575</v>
      </c>
      <c r="H48" s="6">
        <f>Q23*employ!Q$16</f>
        <v>10436.147321428569</v>
      </c>
      <c r="I48" s="6">
        <f>R23*employ!R$16</f>
        <v>7673.8419452887547</v>
      </c>
      <c r="J48" s="6">
        <f>S23*employ!S$16</f>
        <v>0</v>
      </c>
      <c r="K48" s="76">
        <f t="shared" si="31"/>
        <v>0.14958448753462603</v>
      </c>
      <c r="L48" s="71">
        <f t="shared" si="31"/>
        <v>4.4321329639889197E-2</v>
      </c>
      <c r="M48" s="71">
        <f t="shared" si="31"/>
        <v>0.1523545706371191</v>
      </c>
      <c r="N48" s="71">
        <f t="shared" si="31"/>
        <v>0.15512465373961212</v>
      </c>
      <c r="O48" s="71">
        <f t="shared" si="31"/>
        <v>0.33518005540166207</v>
      </c>
      <c r="P48" s="71">
        <f t="shared" si="31"/>
        <v>0.57617728531855961</v>
      </c>
      <c r="Q48" s="71">
        <f t="shared" si="31"/>
        <v>0.34072022160664822</v>
      </c>
      <c r="R48" s="71">
        <f t="shared" si="31"/>
        <v>0.18282548476454297</v>
      </c>
      <c r="S48" s="72">
        <f t="shared" si="31"/>
        <v>0</v>
      </c>
      <c r="T48" s="27">
        <f t="shared" si="30"/>
        <v>1.9362880886426592</v>
      </c>
      <c r="U48" s="12" t="s">
        <v>2</v>
      </c>
      <c r="V48">
        <f t="shared" si="33"/>
        <v>426.80145301148343</v>
      </c>
      <c r="W48">
        <f t="shared" si="33"/>
        <v>569.4402390438247</v>
      </c>
      <c r="X48">
        <f t="shared" si="33"/>
        <v>0</v>
      </c>
      <c r="Y48">
        <f t="shared" si="33"/>
        <v>0</v>
      </c>
      <c r="Z48">
        <f t="shared" si="33"/>
        <v>0</v>
      </c>
      <c r="AK48" s="12" t="s">
        <v>2</v>
      </c>
      <c r="AL48">
        <f t="shared" ref="AL48:AL51" si="35">AL34*AT$47</f>
        <v>1182.4233163019526</v>
      </c>
      <c r="AM48">
        <f t="shared" si="34"/>
        <v>7341.3680265763205</v>
      </c>
      <c r="AN48">
        <f t="shared" si="34"/>
        <v>0</v>
      </c>
      <c r="AO48">
        <f t="shared" si="34"/>
        <v>0</v>
      </c>
      <c r="AP48">
        <f t="shared" si="34"/>
        <v>0</v>
      </c>
    </row>
    <row r="49" spans="1:42" ht="15" thickBot="1">
      <c r="A49" s="6" t="s">
        <v>9</v>
      </c>
      <c r="B49" s="6">
        <f>K24*employ!K$16</f>
        <v>469.43155215885076</v>
      </c>
      <c r="C49" s="6">
        <f>L24*employ!L$16</f>
        <v>224.31796581112096</v>
      </c>
      <c r="D49" s="6">
        <f>M24*employ!M$16</f>
        <v>946.22093632759425</v>
      </c>
      <c r="E49" s="6">
        <f>N24*employ!N$16</f>
        <v>993.24522036943517</v>
      </c>
      <c r="F49" s="6">
        <f>O24*employ!O$16</f>
        <v>1890.186714039141</v>
      </c>
      <c r="G49" s="6">
        <f>P24*employ!P$16</f>
        <v>3832.6878109452746</v>
      </c>
      <c r="H49" s="6">
        <f>Q24*employ!Q$16</f>
        <v>8739.2127976190459</v>
      </c>
      <c r="I49" s="6">
        <f>R24*employ!R$16</f>
        <v>9506.401215805472</v>
      </c>
      <c r="J49" s="6">
        <f>S24*employ!S$16</f>
        <v>18389.424698795181</v>
      </c>
      <c r="K49" s="78">
        <f t="shared" si="31"/>
        <v>0.49593495934959347</v>
      </c>
      <c r="L49" s="73">
        <f t="shared" si="31"/>
        <v>7.3170731707317069E-2</v>
      </c>
      <c r="M49" s="73">
        <f t="shared" si="31"/>
        <v>0.1910569105691057</v>
      </c>
      <c r="N49" s="73">
        <f t="shared" si="31"/>
        <v>0.13821138211382114</v>
      </c>
      <c r="O49" s="73">
        <f t="shared" si="31"/>
        <v>0.18699186991869918</v>
      </c>
      <c r="P49" s="73">
        <f t="shared" si="31"/>
        <v>0.26422764227642276</v>
      </c>
      <c r="Q49" s="73">
        <f t="shared" si="31"/>
        <v>0.41869918699186992</v>
      </c>
      <c r="R49" s="73">
        <f t="shared" si="31"/>
        <v>0.33739837398373984</v>
      </c>
      <c r="S49" s="74">
        <f t="shared" si="31"/>
        <v>0.30894308943089432</v>
      </c>
      <c r="T49" s="27">
        <f t="shared" si="30"/>
        <v>2.4146341463414633</v>
      </c>
      <c r="U49" s="27" t="s">
        <v>3</v>
      </c>
      <c r="V49">
        <f t="shared" si="33"/>
        <v>847.73472774524862</v>
      </c>
      <c r="W49">
        <f t="shared" si="33"/>
        <v>995.53465885962999</v>
      </c>
      <c r="X49">
        <f t="shared" si="33"/>
        <v>983.74802893195988</v>
      </c>
      <c r="Y49">
        <f t="shared" si="33"/>
        <v>0</v>
      </c>
      <c r="Z49">
        <f t="shared" si="33"/>
        <v>0</v>
      </c>
      <c r="AK49" s="12" t="s">
        <v>3</v>
      </c>
      <c r="AL49">
        <f t="shared" si="35"/>
        <v>2399.7951050069187</v>
      </c>
      <c r="AM49">
        <f t="shared" si="34"/>
        <v>11589.049192454928</v>
      </c>
      <c r="AN49">
        <f t="shared" si="34"/>
        <v>26785.129463643687</v>
      </c>
      <c r="AO49">
        <f t="shared" si="34"/>
        <v>0</v>
      </c>
      <c r="AP49">
        <f t="shared" si="34"/>
        <v>0</v>
      </c>
    </row>
    <row r="50" spans="1:42">
      <c r="K50" s="188">
        <f>SUM(K41:K49)</f>
        <v>4.6887586025919719</v>
      </c>
      <c r="L50" s="27">
        <f>SUM(L42:L49)</f>
        <v>1.357999192928077</v>
      </c>
      <c r="M50" s="27">
        <f t="shared" ref="M50:S50" si="36">SUM(M42:M49)</f>
        <v>1.9575664927257581</v>
      </c>
      <c r="N50" s="27">
        <f t="shared" si="36"/>
        <v>1.5110760454332584</v>
      </c>
      <c r="O50" s="27">
        <f t="shared" si="36"/>
        <v>1.6369842365679337</v>
      </c>
      <c r="P50" s="27">
        <f t="shared" si="36"/>
        <v>1.72864793121845</v>
      </c>
      <c r="Q50" s="27">
        <f t="shared" si="36"/>
        <v>0.98350904445285992</v>
      </c>
      <c r="R50" s="27">
        <f t="shared" si="36"/>
        <v>0.52022385874828281</v>
      </c>
      <c r="S50" s="27">
        <f t="shared" si="36"/>
        <v>0.30894308943089432</v>
      </c>
      <c r="U50" s="12" t="s">
        <v>4</v>
      </c>
      <c r="V50">
        <f t="shared" si="33"/>
        <v>137.99999999999997</v>
      </c>
      <c r="W50">
        <f t="shared" si="33"/>
        <v>104</v>
      </c>
      <c r="X50">
        <f t="shared" si="33"/>
        <v>296</v>
      </c>
      <c r="Y50">
        <f t="shared" si="33"/>
        <v>80</v>
      </c>
      <c r="Z50">
        <f t="shared" si="33"/>
        <v>0</v>
      </c>
      <c r="AK50" s="12" t="s">
        <v>4</v>
      </c>
      <c r="AL50">
        <f t="shared" si="35"/>
        <v>803.81486526930769</v>
      </c>
      <c r="AM50">
        <f t="shared" si="34"/>
        <v>2553.5193135917634</v>
      </c>
      <c r="AN50">
        <f t="shared" si="34"/>
        <v>14847.187867487886</v>
      </c>
      <c r="AO50">
        <f t="shared" si="34"/>
        <v>6972.5678431372562</v>
      </c>
      <c r="AP50">
        <f t="shared" si="34"/>
        <v>0</v>
      </c>
    </row>
    <row r="51" spans="1:42" ht="15" thickBot="1">
      <c r="L51" s="12" t="s">
        <v>473</v>
      </c>
      <c r="U51" s="27" t="s">
        <v>5</v>
      </c>
      <c r="V51">
        <f t="shared" si="33"/>
        <v>463.14798549647548</v>
      </c>
      <c r="W51">
        <f t="shared" si="33"/>
        <v>386.50574285521242</v>
      </c>
      <c r="X51">
        <f t="shared" si="33"/>
        <v>827.08414971961349</v>
      </c>
      <c r="Y51">
        <f t="shared" si="33"/>
        <v>460.96758101930055</v>
      </c>
      <c r="Z51">
        <f t="shared" si="33"/>
        <v>503.30433754476053</v>
      </c>
      <c r="AK51" s="12" t="s">
        <v>5</v>
      </c>
      <c r="AL51">
        <f t="shared" si="35"/>
        <v>1223.1965341054683</v>
      </c>
      <c r="AM51">
        <f t="shared" si="34"/>
        <v>4689.6364316925656</v>
      </c>
      <c r="AN51">
        <f t="shared" si="34"/>
        <v>22120.3035458181</v>
      </c>
      <c r="AO51">
        <f t="shared" si="34"/>
        <v>19697.504156862746</v>
      </c>
      <c r="AP51">
        <f t="shared" si="34"/>
        <v>39987.236911591892</v>
      </c>
    </row>
    <row r="52" spans="1:42" ht="15" thickBot="1">
      <c r="A52" s="12" t="s">
        <v>343</v>
      </c>
      <c r="K52" s="2"/>
      <c r="L52" s="3" t="s">
        <v>10</v>
      </c>
      <c r="M52" s="3" t="s">
        <v>11</v>
      </c>
      <c r="N52" s="3" t="s">
        <v>12</v>
      </c>
      <c r="O52" s="3" t="s">
        <v>13</v>
      </c>
      <c r="P52" s="3" t="s">
        <v>14</v>
      </c>
      <c r="Q52" s="3" t="s">
        <v>15</v>
      </c>
      <c r="R52" s="3" t="s">
        <v>16</v>
      </c>
      <c r="S52" s="3" t="s">
        <v>17</v>
      </c>
      <c r="T52" s="4" t="s">
        <v>18</v>
      </c>
      <c r="V52">
        <f>SUM(V47:V51)</f>
        <v>2116.9149354839769</v>
      </c>
      <c r="W52">
        <f>SUM(W47:W51)</f>
        <v>2055.4806407586671</v>
      </c>
      <c r="X52">
        <f>SUM(X47:X51)</f>
        <v>2106.8321786515735</v>
      </c>
      <c r="Y52">
        <f>SUM(Y47:Y51)</f>
        <v>540.9675810193005</v>
      </c>
      <c r="Z52">
        <f>SUM(Z47:Z51)</f>
        <v>503.30433754476053</v>
      </c>
      <c r="AA52">
        <f>SUM(V52:Z52)</f>
        <v>7323.4996734582783</v>
      </c>
      <c r="AL52">
        <f>SUM(AL47:AL51)</f>
        <v>6319.8487595449196</v>
      </c>
      <c r="AM52">
        <f>SUM(AM47:AM51)</f>
        <v>26173.572964315576</v>
      </c>
      <c r="AN52">
        <f>SUM(AN47:AN51)</f>
        <v>63752.620876949673</v>
      </c>
      <c r="AO52">
        <f>SUM(AO47:AO51)</f>
        <v>26670.072</v>
      </c>
      <c r="AP52">
        <f>SUM(AP47:AP51)</f>
        <v>39987.236911591892</v>
      </c>
    </row>
    <row r="53" spans="1:42">
      <c r="A53" s="87"/>
      <c r="B53" s="91" t="s">
        <v>247</v>
      </c>
      <c r="C53" s="91" t="s">
        <v>248</v>
      </c>
      <c r="D53" s="91" t="s">
        <v>249</v>
      </c>
      <c r="E53" s="91" t="s">
        <v>250</v>
      </c>
      <c r="F53" s="91" t="s">
        <v>251</v>
      </c>
      <c r="G53" s="91" t="s">
        <v>252</v>
      </c>
      <c r="H53" s="91" t="s">
        <v>253</v>
      </c>
      <c r="I53" s="91" t="s">
        <v>254</v>
      </c>
      <c r="J53" s="92" t="s">
        <v>255</v>
      </c>
      <c r="K53" s="5" t="s">
        <v>1</v>
      </c>
      <c r="L53" s="6">
        <v>288.58495924337115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7">
        <v>0</v>
      </c>
    </row>
    <row r="54" spans="1:42">
      <c r="A54" s="93" t="s">
        <v>1</v>
      </c>
      <c r="B54" s="94">
        <f t="shared" ref="B54:B62" si="37">L53*(1-0.0625)</f>
        <v>270.54839929066043</v>
      </c>
      <c r="C54" s="94">
        <f t="shared" ref="C54:C62" si="38">M53*(1-0.0625)</f>
        <v>0</v>
      </c>
      <c r="D54" s="94">
        <f t="shared" ref="D54:D62" si="39">N53*(1-0.0625)</f>
        <v>0</v>
      </c>
      <c r="E54" s="94">
        <f t="shared" ref="E54:E62" si="40">O53*(1-0.0625)</f>
        <v>0</v>
      </c>
      <c r="F54" s="94">
        <f t="shared" ref="F54:F62" si="41">P53*(1-0.0625)</f>
        <v>0</v>
      </c>
      <c r="G54" s="94">
        <f t="shared" ref="G54:G62" si="42">Q53*(1-0.0625)</f>
        <v>0</v>
      </c>
      <c r="H54" s="94">
        <f t="shared" ref="H54:H62" si="43">R53*(1-0.0625)</f>
        <v>0</v>
      </c>
      <c r="I54" s="94">
        <f t="shared" ref="I54:I62" si="44">S53*(1-0.0625)</f>
        <v>0</v>
      </c>
      <c r="J54" s="94">
        <f t="shared" ref="J54:J62" si="45">T53*(1-0.0625)</f>
        <v>0</v>
      </c>
      <c r="K54" s="5" t="s">
        <v>2</v>
      </c>
      <c r="L54" s="6">
        <v>96.194986414457048</v>
      </c>
      <c r="M54" s="6">
        <v>274.16640246587406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7">
        <v>0</v>
      </c>
      <c r="AK54" s="12" t="s">
        <v>673</v>
      </c>
      <c r="AL54">
        <f>employ!BT34</f>
        <v>6319.8487595449187</v>
      </c>
      <c r="AM54">
        <f>employ!BU34</f>
        <v>26173.572964315576</v>
      </c>
      <c r="AN54">
        <f>employ!BV34</f>
        <v>63752.620876949673</v>
      </c>
      <c r="AO54">
        <f>employ!BW34</f>
        <v>26670.072000000004</v>
      </c>
      <c r="AP54">
        <f>employ!BX34</f>
        <v>39987.236911591892</v>
      </c>
    </row>
    <row r="55" spans="1:42">
      <c r="A55" s="93" t="s">
        <v>2</v>
      </c>
      <c r="B55" s="94">
        <f t="shared" si="37"/>
        <v>90.182799763553476</v>
      </c>
      <c r="C55" s="94">
        <f t="shared" si="38"/>
        <v>257.03100231175694</v>
      </c>
      <c r="D55" s="94">
        <f t="shared" si="39"/>
        <v>0</v>
      </c>
      <c r="E55" s="94">
        <f t="shared" si="40"/>
        <v>0</v>
      </c>
      <c r="F55" s="94">
        <f t="shared" si="41"/>
        <v>0</v>
      </c>
      <c r="G55" s="94">
        <f t="shared" si="42"/>
        <v>0</v>
      </c>
      <c r="H55" s="94">
        <f t="shared" si="43"/>
        <v>0</v>
      </c>
      <c r="I55" s="94">
        <f t="shared" si="44"/>
        <v>0</v>
      </c>
      <c r="J55" s="94">
        <f t="shared" si="45"/>
        <v>0</v>
      </c>
      <c r="K55" s="5" t="s">
        <v>3</v>
      </c>
      <c r="L55" s="6">
        <v>250.10696467758834</v>
      </c>
      <c r="M55" s="6">
        <v>535.87069572875384</v>
      </c>
      <c r="N55" s="6">
        <v>1711.2506303335917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7">
        <v>0</v>
      </c>
    </row>
    <row r="56" spans="1:42">
      <c r="A56" s="93" t="s">
        <v>3</v>
      </c>
      <c r="B56" s="94">
        <f t="shared" si="37"/>
        <v>234.47527938523908</v>
      </c>
      <c r="C56" s="94">
        <f t="shared" si="38"/>
        <v>502.37877724570671</v>
      </c>
      <c r="D56" s="94">
        <f t="shared" si="39"/>
        <v>1604.2974659377423</v>
      </c>
      <c r="E56" s="94">
        <f t="shared" si="40"/>
        <v>0</v>
      </c>
      <c r="F56" s="94">
        <f t="shared" si="41"/>
        <v>0</v>
      </c>
      <c r="G56" s="94">
        <f t="shared" si="42"/>
        <v>0</v>
      </c>
      <c r="H56" s="94">
        <f t="shared" si="43"/>
        <v>0</v>
      </c>
      <c r="I56" s="94">
        <f t="shared" si="44"/>
        <v>0</v>
      </c>
      <c r="J56" s="94">
        <f t="shared" si="45"/>
        <v>0</v>
      </c>
      <c r="K56" s="5" t="s">
        <v>4</v>
      </c>
      <c r="L56" s="6">
        <v>319.36735489599744</v>
      </c>
      <c r="M56" s="6">
        <v>149.5453104359313</v>
      </c>
      <c r="N56" s="6">
        <v>724.76497284716822</v>
      </c>
      <c r="O56" s="6">
        <v>5199.930851569934</v>
      </c>
      <c r="P56" s="6">
        <v>0</v>
      </c>
      <c r="Q56" s="6">
        <v>0</v>
      </c>
      <c r="R56" s="6">
        <v>0</v>
      </c>
      <c r="S56" s="6">
        <v>0</v>
      </c>
      <c r="T56" s="7">
        <v>0</v>
      </c>
      <c r="AL56">
        <f>AL54-AL52</f>
        <v>0</v>
      </c>
      <c r="AM56">
        <f t="shared" ref="AM56:AP56" si="46">AM54-AM52</f>
        <v>0</v>
      </c>
      <c r="AN56">
        <f t="shared" si="46"/>
        <v>0</v>
      </c>
      <c r="AO56">
        <f t="shared" si="46"/>
        <v>0</v>
      </c>
      <c r="AP56">
        <f t="shared" si="46"/>
        <v>0</v>
      </c>
    </row>
    <row r="57" spans="1:42">
      <c r="A57" s="93" t="s">
        <v>4</v>
      </c>
      <c r="B57" s="94">
        <f t="shared" si="37"/>
        <v>299.40689521499758</v>
      </c>
      <c r="C57" s="94">
        <f t="shared" si="38"/>
        <v>140.1987285336856</v>
      </c>
      <c r="D57" s="94">
        <f t="shared" si="39"/>
        <v>679.46716204422023</v>
      </c>
      <c r="E57" s="94">
        <f t="shared" si="40"/>
        <v>4874.9351733468129</v>
      </c>
      <c r="F57" s="94">
        <f t="shared" si="41"/>
        <v>0</v>
      </c>
      <c r="G57" s="94">
        <f t="shared" si="42"/>
        <v>0</v>
      </c>
      <c r="H57" s="94">
        <f t="shared" si="43"/>
        <v>0</v>
      </c>
      <c r="I57" s="94">
        <f t="shared" si="44"/>
        <v>0</v>
      </c>
      <c r="J57" s="94">
        <f t="shared" si="45"/>
        <v>0</v>
      </c>
      <c r="K57" s="5" t="s">
        <v>5</v>
      </c>
      <c r="L57" s="6">
        <v>515.60512718148982</v>
      </c>
      <c r="M57" s="6">
        <v>348.93905768383974</v>
      </c>
      <c r="N57" s="6">
        <v>3100.3834949573311</v>
      </c>
      <c r="O57" s="6">
        <v>1460.65473358706</v>
      </c>
      <c r="P57" s="6">
        <v>5054.1949078138714</v>
      </c>
      <c r="Q57" s="6">
        <v>0</v>
      </c>
      <c r="R57" s="6">
        <v>0</v>
      </c>
      <c r="S57" s="6">
        <v>0</v>
      </c>
      <c r="T57" s="7">
        <v>0</v>
      </c>
    </row>
    <row r="58" spans="1:42">
      <c r="A58" s="93" t="s">
        <v>5</v>
      </c>
      <c r="B58" s="94">
        <f t="shared" si="37"/>
        <v>483.37980673264673</v>
      </c>
      <c r="C58" s="94">
        <f t="shared" si="38"/>
        <v>327.13036657859976</v>
      </c>
      <c r="D58" s="94">
        <f t="shared" si="39"/>
        <v>2906.6095265224981</v>
      </c>
      <c r="E58" s="94">
        <f t="shared" si="40"/>
        <v>1369.3638127378688</v>
      </c>
      <c r="F58" s="94">
        <f t="shared" si="41"/>
        <v>4738.3077260755044</v>
      </c>
      <c r="G58" s="94">
        <f t="shared" si="42"/>
        <v>0</v>
      </c>
      <c r="H58" s="94">
        <f t="shared" si="43"/>
        <v>0</v>
      </c>
      <c r="I58" s="94">
        <f t="shared" si="44"/>
        <v>0</v>
      </c>
      <c r="J58" s="94">
        <f t="shared" si="45"/>
        <v>0</v>
      </c>
      <c r="K58" s="5" t="s">
        <v>6</v>
      </c>
      <c r="L58" s="6">
        <v>738.77749566303009</v>
      </c>
      <c r="M58" s="6">
        <v>722.80233377366801</v>
      </c>
      <c r="N58" s="6">
        <v>3039.9864138867338</v>
      </c>
      <c r="O58" s="6">
        <v>3417.9320765937209</v>
      </c>
      <c r="P58" s="6">
        <v>5465.1050629206893</v>
      </c>
      <c r="Q58" s="6">
        <v>16392.110945273631</v>
      </c>
      <c r="R58" s="6">
        <v>0</v>
      </c>
      <c r="S58" s="6">
        <v>0</v>
      </c>
      <c r="T58" s="7">
        <v>0</v>
      </c>
      <c r="AK58" s="12" t="s">
        <v>674</v>
      </c>
    </row>
    <row r="59" spans="1:42">
      <c r="A59" s="93" t="s">
        <v>6</v>
      </c>
      <c r="B59" s="94">
        <f t="shared" si="37"/>
        <v>692.60390218409066</v>
      </c>
      <c r="C59" s="94">
        <f t="shared" si="38"/>
        <v>677.62718791281372</v>
      </c>
      <c r="D59" s="94">
        <f t="shared" si="39"/>
        <v>2849.9872630188129</v>
      </c>
      <c r="E59" s="94">
        <f t="shared" si="40"/>
        <v>3204.3113218066133</v>
      </c>
      <c r="F59" s="94">
        <f t="shared" si="41"/>
        <v>5123.5359964881463</v>
      </c>
      <c r="G59" s="94">
        <f t="shared" si="42"/>
        <v>15367.604011194029</v>
      </c>
      <c r="H59" s="94">
        <f t="shared" si="43"/>
        <v>0</v>
      </c>
      <c r="I59" s="94">
        <f t="shared" si="44"/>
        <v>0</v>
      </c>
      <c r="J59" s="94">
        <f t="shared" si="45"/>
        <v>0</v>
      </c>
      <c r="K59" s="5" t="s">
        <v>7</v>
      </c>
      <c r="L59" s="6">
        <v>292.43275869994943</v>
      </c>
      <c r="M59" s="6">
        <v>772.65077058564509</v>
      </c>
      <c r="N59" s="6">
        <v>1207.9416214119472</v>
      </c>
      <c r="O59" s="6">
        <v>1285.3761655566129</v>
      </c>
      <c r="P59" s="6">
        <v>6615.6534972197824</v>
      </c>
      <c r="Q59" s="6">
        <v>7960.1977611940301</v>
      </c>
      <c r="R59" s="6">
        <v>6787.7380952380936</v>
      </c>
      <c r="S59" s="6">
        <v>0</v>
      </c>
      <c r="T59" s="7">
        <v>0</v>
      </c>
      <c r="AL59" s="12" t="s">
        <v>247</v>
      </c>
      <c r="AM59" s="12" t="s">
        <v>248</v>
      </c>
      <c r="AN59" s="12" t="s">
        <v>249</v>
      </c>
      <c r="AO59" s="12" t="s">
        <v>250</v>
      </c>
      <c r="AP59" s="12" t="s">
        <v>251</v>
      </c>
    </row>
    <row r="60" spans="1:42">
      <c r="A60" s="93" t="s">
        <v>7</v>
      </c>
      <c r="B60" s="94">
        <f t="shared" si="37"/>
        <v>274.15571128120257</v>
      </c>
      <c r="C60" s="94">
        <f t="shared" si="38"/>
        <v>724.36009742404224</v>
      </c>
      <c r="D60" s="94">
        <f t="shared" si="39"/>
        <v>1132.4452700737004</v>
      </c>
      <c r="E60" s="94">
        <f t="shared" si="40"/>
        <v>1205.0401552093247</v>
      </c>
      <c r="F60" s="94">
        <f t="shared" si="41"/>
        <v>6202.1751536435459</v>
      </c>
      <c r="G60" s="94">
        <f t="shared" si="42"/>
        <v>7462.6854011194037</v>
      </c>
      <c r="H60" s="94">
        <f t="shared" si="43"/>
        <v>6363.5044642857129</v>
      </c>
      <c r="I60" s="94">
        <f t="shared" si="44"/>
        <v>0</v>
      </c>
      <c r="J60" s="94">
        <f t="shared" si="45"/>
        <v>0</v>
      </c>
      <c r="K60" s="5" t="s">
        <v>8</v>
      </c>
      <c r="L60" s="6">
        <v>207.78117065522724</v>
      </c>
      <c r="M60" s="6">
        <v>199.39374724790841</v>
      </c>
      <c r="N60" s="6">
        <v>1107.2798196276183</v>
      </c>
      <c r="O60" s="6">
        <v>1606.7202069457662</v>
      </c>
      <c r="P60" s="6">
        <v>4972.0128767925071</v>
      </c>
      <c r="Q60" s="6">
        <v>12323.565422885573</v>
      </c>
      <c r="R60" s="6">
        <v>10436.147321428569</v>
      </c>
      <c r="S60" s="6">
        <v>7673.8419452887547</v>
      </c>
      <c r="T60" s="7">
        <v>0</v>
      </c>
      <c r="AK60" t="str">
        <f>AK47</f>
        <v>HH1</v>
      </c>
      <c r="AL60">
        <f>0.072*AL47</f>
        <v>51.164563598011583</v>
      </c>
      <c r="AM60">
        <f t="shared" ref="AM60:AP60" si="47">0.072*AM47</f>
        <v>0</v>
      </c>
      <c r="AN60">
        <f t="shared" si="47"/>
        <v>0</v>
      </c>
      <c r="AO60">
        <f t="shared" si="47"/>
        <v>0</v>
      </c>
      <c r="AP60">
        <f t="shared" si="47"/>
        <v>0</v>
      </c>
    </row>
    <row r="61" spans="1:42" ht="15" thickBot="1">
      <c r="A61" s="93" t="s">
        <v>8</v>
      </c>
      <c r="B61" s="94">
        <f t="shared" si="37"/>
        <v>194.79484748927553</v>
      </c>
      <c r="C61" s="94">
        <f t="shared" si="38"/>
        <v>186.93163804491414</v>
      </c>
      <c r="D61" s="94">
        <f t="shared" si="39"/>
        <v>1038.074830900892</v>
      </c>
      <c r="E61" s="94">
        <f t="shared" si="40"/>
        <v>1506.3001940116558</v>
      </c>
      <c r="F61" s="94">
        <f t="shared" si="41"/>
        <v>4661.2620719929755</v>
      </c>
      <c r="G61" s="94">
        <f t="shared" si="42"/>
        <v>11553.342583955224</v>
      </c>
      <c r="H61" s="94">
        <f t="shared" si="43"/>
        <v>9783.8881138392826</v>
      </c>
      <c r="I61" s="94">
        <f t="shared" si="44"/>
        <v>7194.2268237082071</v>
      </c>
      <c r="J61" s="94">
        <f t="shared" si="45"/>
        <v>0</v>
      </c>
      <c r="K61" s="8" t="s">
        <v>9</v>
      </c>
      <c r="L61" s="113">
        <v>471.79420762000689</v>
      </c>
      <c r="M61" s="113">
        <v>222.99698433973262</v>
      </c>
      <c r="N61" s="113">
        <v>941.87234136920233</v>
      </c>
      <c r="O61" s="113">
        <v>1029.9368873167323</v>
      </c>
      <c r="P61" s="113">
        <v>1902.8016622111609</v>
      </c>
      <c r="Q61" s="113">
        <v>3857.4528706467754</v>
      </c>
      <c r="R61" s="113">
        <v>8775.8665833333362</v>
      </c>
      <c r="S61" s="113">
        <v>9509.1500547112482</v>
      </c>
      <c r="T61" s="114">
        <v>18315.867000000002</v>
      </c>
      <c r="AK61" t="str">
        <f t="shared" ref="AK61:AK64" si="48">AK48</f>
        <v>HH2</v>
      </c>
      <c r="AL61">
        <f t="shared" ref="AL61:AP64" si="49">0.072*AL48</f>
        <v>85.134478773740582</v>
      </c>
      <c r="AM61">
        <f t="shared" si="49"/>
        <v>528.57849791349508</v>
      </c>
      <c r="AN61">
        <f t="shared" si="49"/>
        <v>0</v>
      </c>
      <c r="AO61">
        <f t="shared" si="49"/>
        <v>0</v>
      </c>
      <c r="AP61">
        <f t="shared" si="49"/>
        <v>0</v>
      </c>
    </row>
    <row r="62" spans="1:42" ht="15" thickBot="1">
      <c r="A62" s="96" t="s">
        <v>9</v>
      </c>
      <c r="B62" s="94">
        <f t="shared" si="37"/>
        <v>442.30706964375645</v>
      </c>
      <c r="C62" s="94">
        <f t="shared" si="38"/>
        <v>209.05967281849934</v>
      </c>
      <c r="D62" s="94">
        <f t="shared" si="39"/>
        <v>883.00532003362719</v>
      </c>
      <c r="E62" s="94">
        <f t="shared" si="40"/>
        <v>965.56583185943646</v>
      </c>
      <c r="F62" s="94">
        <f t="shared" si="41"/>
        <v>1783.8765583229633</v>
      </c>
      <c r="G62" s="94">
        <f t="shared" si="42"/>
        <v>3616.3620662313519</v>
      </c>
      <c r="H62" s="94">
        <f t="shared" si="43"/>
        <v>8227.3749218750017</v>
      </c>
      <c r="I62" s="94">
        <f t="shared" si="44"/>
        <v>8914.8281762917959</v>
      </c>
      <c r="J62" s="94">
        <f t="shared" si="45"/>
        <v>17171.1253125</v>
      </c>
      <c r="K62" s="115" t="s">
        <v>419</v>
      </c>
      <c r="L62">
        <f>SUM(L53:L61)</f>
        <v>3180.645025051117</v>
      </c>
      <c r="M62">
        <f t="shared" ref="M62:T62" si="50">SUM(M53:M61)</f>
        <v>3226.365302261353</v>
      </c>
      <c r="N62">
        <f t="shared" si="50"/>
        <v>11833.479294433591</v>
      </c>
      <c r="O62">
        <f t="shared" si="50"/>
        <v>14000.550921569826</v>
      </c>
      <c r="P62">
        <f t="shared" si="50"/>
        <v>24009.768006958009</v>
      </c>
      <c r="Q62">
        <f t="shared" si="50"/>
        <v>40533.327000000012</v>
      </c>
      <c r="R62">
        <f t="shared" si="50"/>
        <v>25999.752</v>
      </c>
      <c r="S62">
        <f t="shared" si="50"/>
        <v>17182.992000000002</v>
      </c>
      <c r="T62">
        <f t="shared" si="50"/>
        <v>18315.867000000002</v>
      </c>
      <c r="AK62" t="str">
        <f t="shared" si="48"/>
        <v>HH3</v>
      </c>
      <c r="AL62">
        <f t="shared" si="49"/>
        <v>172.78524756049814</v>
      </c>
      <c r="AM62">
        <f t="shared" si="49"/>
        <v>834.41154185675475</v>
      </c>
      <c r="AN62">
        <f t="shared" si="49"/>
        <v>1928.5293213823454</v>
      </c>
      <c r="AO62">
        <f t="shared" si="49"/>
        <v>0</v>
      </c>
      <c r="AP62">
        <f t="shared" si="49"/>
        <v>0</v>
      </c>
    </row>
    <row r="63" spans="1:42">
      <c r="B63" s="11"/>
      <c r="C63" s="11"/>
      <c r="D63" s="11"/>
      <c r="E63" s="11"/>
      <c r="F63" s="11"/>
      <c r="G63" s="11"/>
      <c r="H63" s="11"/>
      <c r="I63" s="11"/>
      <c r="J63" s="11"/>
      <c r="K63" s="115" t="s">
        <v>420</v>
      </c>
      <c r="L63">
        <f>employ!B15</f>
        <v>3180.645025051117</v>
      </c>
      <c r="M63">
        <f>employ!C15</f>
        <v>3226.3653022613526</v>
      </c>
      <c r="N63">
        <f>employ!D15</f>
        <v>11833.479294433591</v>
      </c>
      <c r="O63">
        <f>employ!E15</f>
        <v>14000.550921569826</v>
      </c>
      <c r="P63">
        <f>employ!F15</f>
        <v>24009.768006958009</v>
      </c>
      <c r="Q63">
        <f>employ!G15</f>
        <v>40533.327000000012</v>
      </c>
      <c r="R63">
        <f>employ!H15</f>
        <v>25999.752</v>
      </c>
      <c r="S63">
        <f>employ!I15</f>
        <v>17182.992000000002</v>
      </c>
      <c r="T63">
        <f>employ!J15</f>
        <v>18315.867000000002</v>
      </c>
      <c r="AK63" t="str">
        <f t="shared" si="48"/>
        <v>HH4</v>
      </c>
      <c r="AL63">
        <f t="shared" si="49"/>
        <v>57.874670299390147</v>
      </c>
      <c r="AM63">
        <f t="shared" si="49"/>
        <v>183.85339057860696</v>
      </c>
      <c r="AN63">
        <f t="shared" si="49"/>
        <v>1068.9975264591278</v>
      </c>
      <c r="AO63">
        <f t="shared" si="49"/>
        <v>502.02488470588241</v>
      </c>
      <c r="AP63">
        <f t="shared" si="49"/>
        <v>0</v>
      </c>
    </row>
    <row r="64" spans="1:42" ht="15" thickBot="1">
      <c r="A64">
        <v>6.25E-2</v>
      </c>
      <c r="B64" s="26" t="s">
        <v>344</v>
      </c>
      <c r="K64" s="115" t="s">
        <v>421</v>
      </c>
      <c r="L64">
        <f>L62-L63</f>
        <v>0</v>
      </c>
      <c r="M64">
        <f t="shared" ref="M64:T64" si="51">M62-M63</f>
        <v>0</v>
      </c>
      <c r="N64">
        <f t="shared" si="51"/>
        <v>0</v>
      </c>
      <c r="O64">
        <f t="shared" si="51"/>
        <v>0</v>
      </c>
      <c r="P64">
        <f t="shared" si="51"/>
        <v>0</v>
      </c>
      <c r="Q64">
        <f t="shared" si="51"/>
        <v>0</v>
      </c>
      <c r="R64">
        <f t="shared" si="51"/>
        <v>0</v>
      </c>
      <c r="S64">
        <f t="shared" si="51"/>
        <v>0</v>
      </c>
      <c r="T64">
        <f t="shared" si="51"/>
        <v>0</v>
      </c>
      <c r="AK64" t="str">
        <f t="shared" si="48"/>
        <v>HH5</v>
      </c>
      <c r="AL64">
        <f t="shared" si="49"/>
        <v>88.070150455593719</v>
      </c>
      <c r="AM64">
        <f t="shared" si="49"/>
        <v>337.65382308186469</v>
      </c>
      <c r="AN64">
        <f t="shared" si="49"/>
        <v>1592.661855298903</v>
      </c>
      <c r="AO64">
        <f t="shared" si="49"/>
        <v>1418.2202992941177</v>
      </c>
      <c r="AP64">
        <f t="shared" si="49"/>
        <v>2879.0810576346162</v>
      </c>
    </row>
    <row r="65" spans="1:42">
      <c r="A65" s="2"/>
      <c r="B65" s="3" t="s">
        <v>247</v>
      </c>
      <c r="C65" s="3" t="s">
        <v>248</v>
      </c>
      <c r="D65" s="3" t="s">
        <v>249</v>
      </c>
      <c r="E65" s="3" t="s">
        <v>250</v>
      </c>
      <c r="F65" s="3" t="s">
        <v>251</v>
      </c>
      <c r="G65" s="3" t="s">
        <v>252</v>
      </c>
      <c r="H65" s="3" t="s">
        <v>253</v>
      </c>
      <c r="I65" s="3" t="s">
        <v>254</v>
      </c>
      <c r="J65" s="4" t="s">
        <v>255</v>
      </c>
      <c r="M65" t="str">
        <f t="shared" ref="M65:U65" si="52">IF(L64=0,"-","X")</f>
        <v>-</v>
      </c>
      <c r="N65" t="str">
        <f t="shared" si="52"/>
        <v>-</v>
      </c>
      <c r="O65" t="str">
        <f t="shared" si="52"/>
        <v>-</v>
      </c>
      <c r="P65" t="str">
        <f t="shared" si="52"/>
        <v>-</v>
      </c>
      <c r="Q65" t="str">
        <f t="shared" si="52"/>
        <v>-</v>
      </c>
      <c r="R65" t="str">
        <f t="shared" si="52"/>
        <v>-</v>
      </c>
      <c r="S65" t="str">
        <f t="shared" si="52"/>
        <v>-</v>
      </c>
      <c r="T65" t="str">
        <f t="shared" si="52"/>
        <v>-</v>
      </c>
      <c r="U65" t="str">
        <f t="shared" si="52"/>
        <v>-</v>
      </c>
      <c r="AL65">
        <f>SUM(AL60:AL64)</f>
        <v>455.02911068723409</v>
      </c>
      <c r="AM65">
        <f>SUM(AM60:AM64)</f>
        <v>1884.4972534307215</v>
      </c>
      <c r="AN65">
        <f>SUM(AN60:AN64)</f>
        <v>4590.1887031403767</v>
      </c>
      <c r="AO65">
        <f>SUM(AO60:AO64)</f>
        <v>1920.2451840000001</v>
      </c>
      <c r="AP65">
        <f>SUM(AP60:AP64)</f>
        <v>2879.0810576346162</v>
      </c>
    </row>
    <row r="66" spans="1:42">
      <c r="A66" s="5" t="s">
        <v>213</v>
      </c>
      <c r="B66" s="94">
        <f>L62*A64</f>
        <v>198.79031406569482</v>
      </c>
      <c r="C66" s="6"/>
      <c r="D66" s="6"/>
      <c r="E66" s="6"/>
      <c r="F66" s="6"/>
      <c r="G66" s="6"/>
      <c r="H66" s="6"/>
      <c r="I66" s="6"/>
      <c r="J66" s="7"/>
      <c r="AK66" t="str">
        <f>AK60</f>
        <v>HH1</v>
      </c>
      <c r="AL66">
        <f>AL47-AL60</f>
        <v>659.45437526326043</v>
      </c>
      <c r="AM66">
        <f t="shared" ref="AM66:AP66" si="53">AM47-AM60</f>
        <v>0</v>
      </c>
      <c r="AN66">
        <f t="shared" si="53"/>
        <v>0</v>
      </c>
      <c r="AO66">
        <f t="shared" si="53"/>
        <v>0</v>
      </c>
      <c r="AP66">
        <f t="shared" si="53"/>
        <v>0</v>
      </c>
    </row>
    <row r="67" spans="1:42" ht="15" thickBot="1">
      <c r="A67" s="5" t="s">
        <v>214</v>
      </c>
      <c r="B67" s="6"/>
      <c r="C67" s="94">
        <f>M62*A64</f>
        <v>201.64783139133456</v>
      </c>
      <c r="D67" s="6"/>
      <c r="E67" s="6"/>
      <c r="F67" s="6"/>
      <c r="G67" s="6"/>
      <c r="H67" s="6"/>
      <c r="I67" s="6"/>
      <c r="J67" s="7"/>
      <c r="M67" s="113">
        <v>469.43153370255038</v>
      </c>
      <c r="N67" s="113">
        <v>224.31796565389695</v>
      </c>
      <c r="O67" s="113">
        <v>946.22093677269186</v>
      </c>
      <c r="P67" s="113">
        <v>993.2452188392009</v>
      </c>
      <c r="Q67" s="113">
        <v>1890.1867134913664</v>
      </c>
      <c r="R67" s="113">
        <v>3832.6878109452737</v>
      </c>
      <c r="S67" s="113">
        <v>8739.2127976190459</v>
      </c>
      <c r="T67" s="113">
        <v>9506.401215805472</v>
      </c>
      <c r="U67" s="114">
        <v>18389.424698795181</v>
      </c>
      <c r="AK67" t="str">
        <f t="shared" ref="AK67:AK70" si="54">AK61</f>
        <v>HH2</v>
      </c>
      <c r="AL67">
        <f t="shared" ref="AL67:AP70" si="55">AL48-AL61</f>
        <v>1097.2888375282121</v>
      </c>
      <c r="AM67">
        <f t="shared" si="55"/>
        <v>6812.7895286628254</v>
      </c>
      <c r="AN67">
        <f t="shared" si="55"/>
        <v>0</v>
      </c>
      <c r="AO67">
        <f t="shared" si="55"/>
        <v>0</v>
      </c>
      <c r="AP67">
        <f t="shared" si="55"/>
        <v>0</v>
      </c>
    </row>
    <row r="68" spans="1:42">
      <c r="A68" s="5" t="s">
        <v>215</v>
      </c>
      <c r="B68" s="6"/>
      <c r="C68" s="6"/>
      <c r="D68" s="94">
        <f>N62*A64</f>
        <v>739.59245590209946</v>
      </c>
      <c r="E68" s="6"/>
      <c r="F68" s="6"/>
      <c r="G68" s="6"/>
      <c r="H68" s="6"/>
      <c r="I68" s="6"/>
      <c r="J68" s="7"/>
      <c r="M68">
        <f t="shared" ref="M68:U68" si="56">M67-L64</f>
        <v>469.43153370255038</v>
      </c>
      <c r="N68">
        <f t="shared" si="56"/>
        <v>224.31796565389695</v>
      </c>
      <c r="O68">
        <f t="shared" si="56"/>
        <v>946.22093677269186</v>
      </c>
      <c r="P68">
        <f t="shared" si="56"/>
        <v>993.2452188392009</v>
      </c>
      <c r="Q68">
        <f t="shared" si="56"/>
        <v>1890.1867134913664</v>
      </c>
      <c r="R68">
        <f t="shared" si="56"/>
        <v>3832.6878109452737</v>
      </c>
      <c r="S68">
        <f t="shared" si="56"/>
        <v>8739.2127976190459</v>
      </c>
      <c r="T68">
        <f t="shared" si="56"/>
        <v>9506.401215805472</v>
      </c>
      <c r="U68">
        <f t="shared" si="56"/>
        <v>18389.424698795181</v>
      </c>
      <c r="AK68" t="str">
        <f t="shared" si="54"/>
        <v>HH3</v>
      </c>
      <c r="AL68">
        <f t="shared" si="55"/>
        <v>2227.0098574464205</v>
      </c>
      <c r="AM68">
        <f t="shared" si="55"/>
        <v>10754.637650598173</v>
      </c>
      <c r="AN68">
        <f t="shared" si="55"/>
        <v>24856.600142261341</v>
      </c>
      <c r="AO68">
        <f t="shared" si="55"/>
        <v>0</v>
      </c>
      <c r="AP68">
        <f t="shared" si="55"/>
        <v>0</v>
      </c>
    </row>
    <row r="69" spans="1:42">
      <c r="A69" s="5" t="s">
        <v>216</v>
      </c>
      <c r="B69" s="6"/>
      <c r="C69" s="6"/>
      <c r="D69" s="6"/>
      <c r="E69" s="94">
        <f>O62*A64</f>
        <v>875.03443259811411</v>
      </c>
      <c r="F69" s="6"/>
      <c r="G69" s="6"/>
      <c r="H69" s="6"/>
      <c r="I69" s="6"/>
      <c r="J69" s="7"/>
      <c r="AK69" t="str">
        <f t="shared" si="54"/>
        <v>HH4</v>
      </c>
      <c r="AL69">
        <f t="shared" si="55"/>
        <v>745.94019496991757</v>
      </c>
      <c r="AM69">
        <f t="shared" si="55"/>
        <v>2369.6659230131563</v>
      </c>
      <c r="AN69">
        <f t="shared" si="55"/>
        <v>13778.190341028758</v>
      </c>
      <c r="AO69">
        <f t="shared" si="55"/>
        <v>6470.5429584313733</v>
      </c>
      <c r="AP69">
        <f t="shared" si="55"/>
        <v>0</v>
      </c>
    </row>
    <row r="70" spans="1:42">
      <c r="A70" s="5" t="s">
        <v>217</v>
      </c>
      <c r="B70" s="6"/>
      <c r="C70" s="6"/>
      <c r="D70" s="6"/>
      <c r="E70" s="6"/>
      <c r="F70" s="94">
        <f>P62*A64</f>
        <v>1500.6105004348756</v>
      </c>
      <c r="G70" s="6"/>
      <c r="H70" s="6"/>
      <c r="I70" s="6"/>
      <c r="J70" s="7"/>
      <c r="AK70" t="str">
        <f t="shared" si="54"/>
        <v>HH5</v>
      </c>
      <c r="AL70">
        <f t="shared" si="55"/>
        <v>1135.1263836498747</v>
      </c>
      <c r="AM70">
        <f t="shared" si="55"/>
        <v>4351.9826086107005</v>
      </c>
      <c r="AN70">
        <f t="shared" si="55"/>
        <v>20527.641690519198</v>
      </c>
      <c r="AO70">
        <f t="shared" si="55"/>
        <v>18279.283857568629</v>
      </c>
      <c r="AP70">
        <f t="shared" si="55"/>
        <v>37108.155853957272</v>
      </c>
    </row>
    <row r="71" spans="1:42">
      <c r="A71" s="5" t="s">
        <v>218</v>
      </c>
      <c r="B71" s="6"/>
      <c r="C71" s="6"/>
      <c r="D71" s="6"/>
      <c r="E71" s="6"/>
      <c r="F71" s="6"/>
      <c r="G71" s="94">
        <f>Q62*A64</f>
        <v>2533.3329375000008</v>
      </c>
      <c r="H71" s="6"/>
      <c r="I71" s="6"/>
      <c r="J71" s="7"/>
    </row>
    <row r="72" spans="1:42">
      <c r="A72" s="5" t="s">
        <v>219</v>
      </c>
      <c r="B72" s="6"/>
      <c r="C72" s="6"/>
      <c r="D72" s="6"/>
      <c r="E72" s="6"/>
      <c r="F72" s="6"/>
      <c r="G72" s="6"/>
      <c r="H72" s="94">
        <f>R62*A64</f>
        <v>1624.9845</v>
      </c>
      <c r="I72" s="6"/>
      <c r="J72" s="7"/>
    </row>
    <row r="73" spans="1:42">
      <c r="A73" s="5" t="s">
        <v>220</v>
      </c>
      <c r="B73" s="6"/>
      <c r="C73" s="6"/>
      <c r="D73" s="6"/>
      <c r="E73" s="6"/>
      <c r="F73" s="6"/>
      <c r="G73" s="6"/>
      <c r="H73" s="6"/>
      <c r="I73" s="94">
        <f>S62*A64</f>
        <v>1073.9370000000001</v>
      </c>
      <c r="J73" s="7"/>
    </row>
    <row r="74" spans="1:42" ht="15" thickBot="1">
      <c r="A74" s="8" t="s">
        <v>221</v>
      </c>
      <c r="B74" s="9"/>
      <c r="C74" s="9"/>
      <c r="D74" s="9"/>
      <c r="E74" s="9"/>
      <c r="F74" s="9"/>
      <c r="G74" s="9"/>
      <c r="H74" s="9"/>
      <c r="I74" s="9"/>
      <c r="J74" s="98">
        <f>T62*A64</f>
        <v>1144.7416875000001</v>
      </c>
    </row>
    <row r="75" spans="1:42">
      <c r="B75">
        <f>SUM(B54:B74)</f>
        <v>3180.6450250511175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1"/>
  <sheetViews>
    <sheetView topLeftCell="AQ43" zoomScale="90" zoomScaleNormal="90" workbookViewId="0">
      <selection activeCell="BC50" sqref="BC50:BH71"/>
    </sheetView>
  </sheetViews>
  <sheetFormatPr defaultRowHeight="14.4"/>
  <cols>
    <col min="2" max="2" width="12" bestFit="1" customWidth="1"/>
    <col min="11" max="11" width="11" bestFit="1" customWidth="1"/>
    <col min="33" max="35" width="9" bestFit="1" customWidth="1"/>
    <col min="36" max="36" width="10" bestFit="1" customWidth="1"/>
    <col min="37" max="39" width="9" bestFit="1" customWidth="1"/>
    <col min="40" max="41" width="10" bestFit="1" customWidth="1"/>
    <col min="42" max="42" width="9" bestFit="1" customWidth="1"/>
    <col min="45" max="45" width="10" bestFit="1" customWidth="1"/>
    <col min="55" max="55" width="12.6640625" bestFit="1" customWidth="1"/>
    <col min="69" max="69" width="11.5546875" bestFit="1" customWidth="1"/>
    <col min="71" max="71" width="10.33203125" customWidth="1"/>
    <col min="73" max="76" width="10.44140625" bestFit="1" customWidth="1"/>
  </cols>
  <sheetData>
    <row r="1" spans="1:72">
      <c r="A1" s="83" t="s">
        <v>422</v>
      </c>
    </row>
    <row r="2" spans="1:72">
      <c r="A2" s="1" t="s">
        <v>222</v>
      </c>
      <c r="B2" s="19">
        <v>5.7000000000000002E-2</v>
      </c>
    </row>
    <row r="3" spans="1:72" ht="15" thickBot="1">
      <c r="U3" s="12" t="s">
        <v>416</v>
      </c>
    </row>
    <row r="4" spans="1:72" ht="15" thickBot="1">
      <c r="A4" s="2"/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4" t="s">
        <v>27</v>
      </c>
      <c r="T4" s="6"/>
      <c r="U4" s="75"/>
      <c r="V4" s="69" t="s">
        <v>19</v>
      </c>
      <c r="W4" s="69" t="s">
        <v>20</v>
      </c>
      <c r="X4" s="69" t="s">
        <v>21</v>
      </c>
      <c r="Y4" s="69" t="s">
        <v>22</v>
      </c>
      <c r="Z4" s="69" t="s">
        <v>23</v>
      </c>
      <c r="AA4" s="69" t="s">
        <v>24</v>
      </c>
      <c r="AB4" s="69" t="s">
        <v>25</v>
      </c>
      <c r="AC4" s="69" t="s">
        <v>26</v>
      </c>
      <c r="AD4" s="69" t="s">
        <v>27</v>
      </c>
      <c r="AE4" s="110" t="s">
        <v>256</v>
      </c>
    </row>
    <row r="5" spans="1:72">
      <c r="A5" s="28" t="s">
        <v>271</v>
      </c>
      <c r="B5" s="6">
        <f>$B$2*B19</f>
        <v>24.396000000000001</v>
      </c>
      <c r="C5" s="6">
        <f t="shared" ref="C5:J5" si="0">$B$2*C19</f>
        <v>196.70699999999999</v>
      </c>
      <c r="D5" s="6">
        <f t="shared" si="0"/>
        <v>0</v>
      </c>
      <c r="E5" s="6">
        <f t="shared" si="0"/>
        <v>68.160599304199224</v>
      </c>
      <c r="F5" s="6">
        <f t="shared" si="0"/>
        <v>833.85300000000007</v>
      </c>
      <c r="G5" s="6">
        <f t="shared" si="0"/>
        <v>812.42100000000005</v>
      </c>
      <c r="H5" s="6">
        <f t="shared" si="0"/>
        <v>223.44</v>
      </c>
      <c r="I5" s="6">
        <f t="shared" si="0"/>
        <v>1331.2350000000001</v>
      </c>
      <c r="J5" s="6">
        <f t="shared" si="0"/>
        <v>487.35</v>
      </c>
      <c r="K5" s="6">
        <f t="shared" ref="K5:S5" si="1">$B$2*K19</f>
        <v>6.0990000000000002</v>
      </c>
      <c r="L5" s="6">
        <f t="shared" si="1"/>
        <v>13.566000000000001</v>
      </c>
      <c r="M5" s="6">
        <f t="shared" si="1"/>
        <v>0</v>
      </c>
      <c r="N5" s="6">
        <f t="shared" si="1"/>
        <v>2.508</v>
      </c>
      <c r="O5" s="6">
        <f t="shared" si="1"/>
        <v>19.608000000000001</v>
      </c>
      <c r="P5" s="6">
        <f t="shared" si="1"/>
        <v>13.338000000000001</v>
      </c>
      <c r="Q5" s="6">
        <f t="shared" si="1"/>
        <v>2.2800000000000002</v>
      </c>
      <c r="R5" s="6">
        <f t="shared" si="1"/>
        <v>9.918000000000001</v>
      </c>
      <c r="S5" s="7">
        <f t="shared" si="1"/>
        <v>3.2490000000000001</v>
      </c>
      <c r="T5" s="6"/>
      <c r="U5" s="76" t="s">
        <v>271</v>
      </c>
      <c r="V5" s="71">
        <f>ROUND(K5,0)</f>
        <v>6</v>
      </c>
      <c r="W5" s="71">
        <f t="shared" ref="W5:AD11" si="2">ROUND(L5,0)</f>
        <v>14</v>
      </c>
      <c r="X5" s="71">
        <f t="shared" si="2"/>
        <v>0</v>
      </c>
      <c r="Y5" s="71">
        <f t="shared" si="2"/>
        <v>3</v>
      </c>
      <c r="Z5" s="71">
        <f t="shared" si="2"/>
        <v>20</v>
      </c>
      <c r="AA5" s="71">
        <f t="shared" si="2"/>
        <v>13</v>
      </c>
      <c r="AB5" s="71">
        <f t="shared" si="2"/>
        <v>2</v>
      </c>
      <c r="AC5" s="71">
        <f t="shared" si="2"/>
        <v>10</v>
      </c>
      <c r="AD5" s="71">
        <f t="shared" si="2"/>
        <v>3</v>
      </c>
      <c r="AE5" s="7">
        <f t="shared" ref="AE5:AE17" si="3">SUM(V5:AD5)</f>
        <v>71</v>
      </c>
      <c r="AG5" s="87"/>
      <c r="AH5" s="88" t="s">
        <v>271</v>
      </c>
      <c r="AI5" s="89" t="s">
        <v>290</v>
      </c>
      <c r="AJ5" s="89" t="s">
        <v>311</v>
      </c>
      <c r="AK5" s="90" t="s">
        <v>296</v>
      </c>
      <c r="AL5" s="90" t="s">
        <v>295</v>
      </c>
      <c r="AM5" s="91" t="s">
        <v>293</v>
      </c>
      <c r="AN5" s="91" t="s">
        <v>269</v>
      </c>
      <c r="AO5" s="88" t="s">
        <v>312</v>
      </c>
      <c r="AP5" s="91" t="s">
        <v>294</v>
      </c>
      <c r="AQ5" s="92" t="s">
        <v>270</v>
      </c>
      <c r="AS5" s="88" t="s">
        <v>271</v>
      </c>
      <c r="AT5" s="89" t="s">
        <v>290</v>
      </c>
      <c r="AU5" s="89" t="s">
        <v>311</v>
      </c>
      <c r="AV5" s="90" t="s">
        <v>296</v>
      </c>
      <c r="AW5" s="90" t="s">
        <v>295</v>
      </c>
      <c r="AX5" s="91" t="s">
        <v>293</v>
      </c>
      <c r="AY5" s="91" t="s">
        <v>269</v>
      </c>
      <c r="AZ5" s="88" t="s">
        <v>312</v>
      </c>
      <c r="BA5" s="91" t="s">
        <v>294</v>
      </c>
      <c r="BB5" s="91" t="s">
        <v>270</v>
      </c>
      <c r="BC5" s="6"/>
      <c r="BD5" s="71">
        <f>U4</f>
        <v>0</v>
      </c>
      <c r="BE5" s="71" t="str">
        <f t="shared" ref="BE5:BM5" si="4">V4</f>
        <v>L1w</v>
      </c>
      <c r="BF5" s="71" t="str">
        <f t="shared" si="4"/>
        <v>L2w</v>
      </c>
      <c r="BG5" s="71" t="str">
        <f t="shared" si="4"/>
        <v>L3w</v>
      </c>
      <c r="BH5" s="71" t="str">
        <f t="shared" si="4"/>
        <v>L4w</v>
      </c>
      <c r="BI5" s="71" t="str">
        <f t="shared" si="4"/>
        <v>L5w</v>
      </c>
      <c r="BJ5" s="71" t="str">
        <f t="shared" si="4"/>
        <v>L6w</v>
      </c>
      <c r="BK5" s="71" t="str">
        <f t="shared" si="4"/>
        <v>L7w</v>
      </c>
      <c r="BL5" s="71" t="str">
        <f t="shared" si="4"/>
        <v>L8w</v>
      </c>
      <c r="BM5" s="71" t="str">
        <f t="shared" si="4"/>
        <v>L9w</v>
      </c>
    </row>
    <row r="6" spans="1:72">
      <c r="A6" s="41" t="s">
        <v>290</v>
      </c>
      <c r="B6" s="6">
        <f t="shared" ref="B6:J14" si="5">$B$2*B20</f>
        <v>8.4816001739501949</v>
      </c>
      <c r="C6" s="6">
        <f t="shared" si="5"/>
        <v>0</v>
      </c>
      <c r="D6" s="6">
        <f t="shared" si="5"/>
        <v>62.414999999999999</v>
      </c>
      <c r="E6" s="6">
        <f t="shared" si="5"/>
        <v>0</v>
      </c>
      <c r="F6" s="6">
        <f t="shared" si="5"/>
        <v>720.89039721679694</v>
      </c>
      <c r="G6" s="6">
        <f t="shared" si="5"/>
        <v>633.66899999999998</v>
      </c>
      <c r="H6" s="6">
        <f t="shared" si="5"/>
        <v>0</v>
      </c>
      <c r="I6" s="6">
        <f t="shared" si="5"/>
        <v>530.67000000000007</v>
      </c>
      <c r="J6" s="6">
        <f t="shared" si="5"/>
        <v>0</v>
      </c>
      <c r="K6" s="6">
        <f t="shared" ref="K6:S6" si="6">$B$2*K20</f>
        <v>7.0680000000000005</v>
      </c>
      <c r="L6" s="6">
        <f t="shared" si="6"/>
        <v>0</v>
      </c>
      <c r="M6" s="6">
        <f t="shared" si="6"/>
        <v>4.1610000000000005</v>
      </c>
      <c r="N6" s="6">
        <f t="shared" si="6"/>
        <v>0</v>
      </c>
      <c r="O6" s="6">
        <f t="shared" si="6"/>
        <v>19.209</v>
      </c>
      <c r="P6" s="6">
        <f t="shared" si="6"/>
        <v>11.172000000000001</v>
      </c>
      <c r="Q6" s="6">
        <f t="shared" si="6"/>
        <v>0</v>
      </c>
      <c r="R6" s="6">
        <f t="shared" si="6"/>
        <v>3.99</v>
      </c>
      <c r="S6" s="7">
        <f t="shared" si="6"/>
        <v>0</v>
      </c>
      <c r="T6" s="6"/>
      <c r="U6" s="77" t="s">
        <v>290</v>
      </c>
      <c r="V6" s="71">
        <f t="shared" ref="V6:V11" si="7">ROUND(K6,0)</f>
        <v>7</v>
      </c>
      <c r="W6" s="71">
        <f t="shared" si="2"/>
        <v>0</v>
      </c>
      <c r="X6" s="71">
        <f t="shared" si="2"/>
        <v>4</v>
      </c>
      <c r="Y6" s="71">
        <f t="shared" si="2"/>
        <v>0</v>
      </c>
      <c r="Z6" s="71">
        <f t="shared" si="2"/>
        <v>19</v>
      </c>
      <c r="AA6" s="71">
        <f t="shared" si="2"/>
        <v>11</v>
      </c>
      <c r="AB6" s="71">
        <f t="shared" si="2"/>
        <v>0</v>
      </c>
      <c r="AC6" s="71">
        <f t="shared" si="2"/>
        <v>4</v>
      </c>
      <c r="AD6" s="71">
        <f t="shared" si="2"/>
        <v>0</v>
      </c>
      <c r="AE6" s="7">
        <f t="shared" si="3"/>
        <v>45</v>
      </c>
      <c r="AG6" s="93" t="s">
        <v>10</v>
      </c>
      <c r="AH6" s="94">
        <f t="array" ref="AH6:AQ14">TRANSPOSE(B5:J14)</f>
        <v>24.396000000000001</v>
      </c>
      <c r="AI6" s="94">
        <v>8.4816001739501949</v>
      </c>
      <c r="AJ6" s="94">
        <v>226.06199782562257</v>
      </c>
      <c r="AK6" s="94">
        <v>307.32063000869755</v>
      </c>
      <c r="AL6" s="94">
        <v>1139.4123312263489</v>
      </c>
      <c r="AM6" s="94">
        <v>560.46902768754956</v>
      </c>
      <c r="AN6" s="94">
        <v>297.19344000434876</v>
      </c>
      <c r="AO6" s="94">
        <v>43.941299652099609</v>
      </c>
      <c r="AP6" s="94">
        <v>406.26749847793582</v>
      </c>
      <c r="AQ6" s="95">
        <v>167.10119999456407</v>
      </c>
      <c r="AR6">
        <f t="shared" ref="AR6:AR14" si="8">SUM(AH6:AQ6)</f>
        <v>3180.645025051117</v>
      </c>
      <c r="AS6">
        <f>AH6+AH7</f>
        <v>221.10300000000001</v>
      </c>
      <c r="AT6">
        <f t="shared" ref="AT6:BB6" si="9">AI6+AI7</f>
        <v>8.4816001739501949</v>
      </c>
      <c r="AU6">
        <f t="shared" si="9"/>
        <v>350.356196434021</v>
      </c>
      <c r="AV6">
        <f t="shared" si="9"/>
        <v>427.77303070449835</v>
      </c>
      <c r="AW6">
        <f t="shared" si="9"/>
        <v>1397.6508312263488</v>
      </c>
      <c r="AX6">
        <f t="shared" si="9"/>
        <v>1627.7940311665534</v>
      </c>
      <c r="AY6">
        <f t="shared" si="9"/>
        <v>617.52203930854807</v>
      </c>
      <c r="AZ6">
        <f t="shared" si="9"/>
        <v>329.85329965209962</v>
      </c>
      <c r="BA6">
        <f t="shared" si="9"/>
        <v>1195.0334984779358</v>
      </c>
      <c r="BB6">
        <f t="shared" si="9"/>
        <v>231.44280016851428</v>
      </c>
      <c r="BC6" s="6">
        <f>SUM(AS6:BB6)</f>
        <v>6407.0103273124696</v>
      </c>
      <c r="BD6" s="71" t="str">
        <f t="shared" ref="BD6:BD16" si="10">U5</f>
        <v>nature</v>
      </c>
      <c r="BE6" s="71">
        <f t="shared" ref="BE6:BE16" si="11">V5</f>
        <v>6</v>
      </c>
      <c r="BF6" s="71">
        <f t="shared" ref="BF6:BF16" si="12">W5</f>
        <v>14</v>
      </c>
      <c r="BG6" s="71">
        <f t="shared" ref="BG6:BG16" si="13">X5</f>
        <v>0</v>
      </c>
      <c r="BH6" s="71">
        <f t="shared" ref="BH6:BH16" si="14">Y5</f>
        <v>3</v>
      </c>
      <c r="BI6" s="71">
        <f t="shared" ref="BI6:BI16" si="15">Z5</f>
        <v>20</v>
      </c>
      <c r="BJ6" s="71">
        <f t="shared" ref="BJ6:BJ16" si="16">AA5</f>
        <v>13</v>
      </c>
      <c r="BK6" s="71">
        <f t="shared" ref="BK6:BK16" si="17">AB5</f>
        <v>2</v>
      </c>
      <c r="BL6" s="71">
        <f t="shared" ref="BL6:BL16" si="18">AC5</f>
        <v>10</v>
      </c>
      <c r="BM6" s="71">
        <f t="shared" ref="BM6:BM16" si="19">AD5</f>
        <v>3</v>
      </c>
      <c r="BO6" s="27" t="str">
        <f>BD6</f>
        <v>nature</v>
      </c>
      <c r="BP6">
        <f>BE6+BF6</f>
        <v>20</v>
      </c>
      <c r="BQ6">
        <f>BG6+BH6</f>
        <v>3</v>
      </c>
      <c r="BR6">
        <f>BI6+BJ6</f>
        <v>33</v>
      </c>
      <c r="BS6">
        <f>BK6</f>
        <v>2</v>
      </c>
      <c r="BT6">
        <f>BL6+BM6</f>
        <v>13</v>
      </c>
    </row>
    <row r="7" spans="1:72">
      <c r="A7" s="41" t="s">
        <v>311</v>
      </c>
      <c r="B7" s="6">
        <f t="shared" si="5"/>
        <v>226.06199782562257</v>
      </c>
      <c r="C7" s="6">
        <f t="shared" si="5"/>
        <v>124.29419860839845</v>
      </c>
      <c r="D7" s="6">
        <f t="shared" si="5"/>
        <v>451.75350000000003</v>
      </c>
      <c r="E7" s="6">
        <f t="shared" si="5"/>
        <v>404.17560278320315</v>
      </c>
      <c r="F7" s="6">
        <f t="shared" si="5"/>
        <v>1586.424</v>
      </c>
      <c r="G7" s="6">
        <f t="shared" si="5"/>
        <v>5408.7870000000003</v>
      </c>
      <c r="H7" s="6">
        <f t="shared" si="5"/>
        <v>3662.3070000000002</v>
      </c>
      <c r="I7" s="6">
        <f t="shared" si="5"/>
        <v>1752.75</v>
      </c>
      <c r="J7" s="6">
        <f t="shared" si="5"/>
        <v>1993.6890000000001</v>
      </c>
      <c r="K7" s="6">
        <f t="shared" ref="K7:S7" si="20">$B$2*K21</f>
        <v>63.897000000000006</v>
      </c>
      <c r="L7" s="6">
        <f t="shared" si="20"/>
        <v>11.229000000000001</v>
      </c>
      <c r="M7" s="6">
        <f t="shared" si="20"/>
        <v>24.909000000000002</v>
      </c>
      <c r="N7" s="6">
        <f t="shared" si="20"/>
        <v>13.338000000000001</v>
      </c>
      <c r="O7" s="6">
        <f t="shared" si="20"/>
        <v>40.584000000000003</v>
      </c>
      <c r="P7" s="6">
        <f t="shared" si="20"/>
        <v>93.308999999999997</v>
      </c>
      <c r="Q7" s="6">
        <f t="shared" si="20"/>
        <v>43.035000000000004</v>
      </c>
      <c r="R7" s="6">
        <f t="shared" si="20"/>
        <v>16.872</v>
      </c>
      <c r="S7" s="7">
        <f t="shared" si="20"/>
        <v>5.0730000000000004</v>
      </c>
      <c r="T7" s="6"/>
      <c r="U7" s="77" t="s">
        <v>311</v>
      </c>
      <c r="V7" s="71">
        <f t="shared" si="7"/>
        <v>64</v>
      </c>
      <c r="W7" s="71">
        <f t="shared" si="2"/>
        <v>11</v>
      </c>
      <c r="X7" s="71">
        <f t="shared" si="2"/>
        <v>25</v>
      </c>
      <c r="Y7" s="71">
        <f t="shared" si="2"/>
        <v>13</v>
      </c>
      <c r="Z7" s="71">
        <f t="shared" si="2"/>
        <v>41</v>
      </c>
      <c r="AA7" s="71">
        <f t="shared" si="2"/>
        <v>93</v>
      </c>
      <c r="AB7" s="71">
        <f t="shared" si="2"/>
        <v>43</v>
      </c>
      <c r="AC7" s="71">
        <f t="shared" si="2"/>
        <v>17</v>
      </c>
      <c r="AD7" s="71">
        <f t="shared" si="2"/>
        <v>5</v>
      </c>
      <c r="AE7" s="7">
        <f t="shared" si="3"/>
        <v>312</v>
      </c>
      <c r="AG7" s="93" t="s">
        <v>11</v>
      </c>
      <c r="AH7" s="94">
        <v>196.70699999999999</v>
      </c>
      <c r="AI7" s="94">
        <v>0</v>
      </c>
      <c r="AJ7" s="94">
        <v>124.29419860839845</v>
      </c>
      <c r="AK7" s="94">
        <v>120.45240069580079</v>
      </c>
      <c r="AL7" s="94">
        <v>258.23849999999999</v>
      </c>
      <c r="AM7" s="94">
        <v>1067.325003479004</v>
      </c>
      <c r="AN7" s="94">
        <v>320.32859930419926</v>
      </c>
      <c r="AO7" s="94">
        <v>285.91200000000003</v>
      </c>
      <c r="AP7" s="94">
        <v>788.76600000000008</v>
      </c>
      <c r="AQ7" s="95">
        <v>64.341600173950198</v>
      </c>
      <c r="AR7">
        <f t="shared" si="8"/>
        <v>3226.3653022613526</v>
      </c>
      <c r="AS7">
        <f>AH8+AH9</f>
        <v>68.160599304199224</v>
      </c>
      <c r="AT7">
        <f t="shared" ref="AT7:BB7" si="21">AI8+AI9</f>
        <v>62.414999999999999</v>
      </c>
      <c r="AU7">
        <f t="shared" si="21"/>
        <v>855.92910278320323</v>
      </c>
      <c r="AV7">
        <f t="shared" si="21"/>
        <v>2836.3826986083986</v>
      </c>
      <c r="AW7">
        <f t="shared" si="21"/>
        <v>6998.6994041748048</v>
      </c>
      <c r="AX7">
        <f t="shared" si="21"/>
        <v>3661.0644006958009</v>
      </c>
      <c r="AY7">
        <f t="shared" si="21"/>
        <v>4996.5630034790038</v>
      </c>
      <c r="AZ7">
        <f t="shared" si="21"/>
        <v>2469.5421166992192</v>
      </c>
      <c r="BA7">
        <f t="shared" si="21"/>
        <v>2487.103794433594</v>
      </c>
      <c r="BB7">
        <f t="shared" si="21"/>
        <v>1398.1700958251954</v>
      </c>
      <c r="BC7" s="6">
        <f>SUM(AS7:BB7)</f>
        <v>25834.030216003423</v>
      </c>
      <c r="BD7" s="71" t="str">
        <f t="shared" si="10"/>
        <v>util</v>
      </c>
      <c r="BE7" s="71">
        <f t="shared" si="11"/>
        <v>7</v>
      </c>
      <c r="BF7" s="71">
        <f t="shared" si="12"/>
        <v>0</v>
      </c>
      <c r="BG7" s="71">
        <f t="shared" si="13"/>
        <v>4</v>
      </c>
      <c r="BH7" s="71">
        <f t="shared" si="14"/>
        <v>0</v>
      </c>
      <c r="BI7" s="71">
        <f t="shared" si="15"/>
        <v>19</v>
      </c>
      <c r="BJ7" s="71">
        <f t="shared" si="16"/>
        <v>11</v>
      </c>
      <c r="BK7" s="71">
        <f t="shared" si="17"/>
        <v>0</v>
      </c>
      <c r="BL7" s="71">
        <f t="shared" si="18"/>
        <v>4</v>
      </c>
      <c r="BM7" s="71">
        <f t="shared" si="19"/>
        <v>0</v>
      </c>
      <c r="BO7" s="27" t="str">
        <f t="shared" ref="BO7:BO16" si="22">BD7</f>
        <v>util</v>
      </c>
      <c r="BP7">
        <f t="shared" ref="BP7:BP16" si="23">BE7+BF7</f>
        <v>7</v>
      </c>
      <c r="BQ7">
        <f t="shared" ref="BQ7:BQ16" si="24">BG7+BH7</f>
        <v>4</v>
      </c>
      <c r="BR7">
        <f t="shared" ref="BR7:BR16" si="25">BI7+BJ7</f>
        <v>30</v>
      </c>
      <c r="BS7">
        <f t="shared" ref="BS7:BS16" si="26">BK7</f>
        <v>0</v>
      </c>
      <c r="BT7">
        <f t="shared" ref="BT7:BT16" si="27">BL7+BM7</f>
        <v>4</v>
      </c>
    </row>
    <row r="8" spans="1:72">
      <c r="A8" s="22" t="s">
        <v>296</v>
      </c>
      <c r="B8" s="6">
        <f t="shared" si="5"/>
        <v>307.32063000869755</v>
      </c>
      <c r="C8" s="6">
        <f t="shared" si="5"/>
        <v>120.45240069580079</v>
      </c>
      <c r="D8" s="6">
        <f t="shared" si="5"/>
        <v>917.02169860839842</v>
      </c>
      <c r="E8" s="6">
        <f t="shared" si="5"/>
        <v>1919.3610000000001</v>
      </c>
      <c r="F8" s="6">
        <f t="shared" si="5"/>
        <v>4034.4657125244144</v>
      </c>
      <c r="G8" s="6">
        <f t="shared" si="5"/>
        <v>10279.095000000001</v>
      </c>
      <c r="H8" s="6">
        <f t="shared" si="5"/>
        <v>6783.1710000000003</v>
      </c>
      <c r="I8" s="6">
        <f t="shared" si="5"/>
        <v>2022.5310000000002</v>
      </c>
      <c r="J8" s="6">
        <f t="shared" si="5"/>
        <v>3304.6320000000001</v>
      </c>
      <c r="K8" s="6">
        <f t="shared" ref="K8:S8" si="28">$B$2*K22</f>
        <v>99.465000000000003</v>
      </c>
      <c r="L8" s="6">
        <f t="shared" si="28"/>
        <v>9.5760000000000005</v>
      </c>
      <c r="M8" s="6">
        <f t="shared" si="28"/>
        <v>49.818000000000005</v>
      </c>
      <c r="N8" s="6">
        <f t="shared" si="28"/>
        <v>67.545000000000002</v>
      </c>
      <c r="O8" s="6">
        <f t="shared" si="28"/>
        <v>89.718000000000004</v>
      </c>
      <c r="P8" s="6">
        <f t="shared" si="28"/>
        <v>169.63200000000001</v>
      </c>
      <c r="Q8" s="6">
        <f t="shared" si="28"/>
        <v>82.194000000000003</v>
      </c>
      <c r="R8" s="6">
        <f t="shared" si="28"/>
        <v>17.499000000000002</v>
      </c>
      <c r="S8" s="7">
        <f t="shared" si="28"/>
        <v>14.763</v>
      </c>
      <c r="T8" s="6"/>
      <c r="U8" s="77" t="s">
        <v>296</v>
      </c>
      <c r="V8" s="71">
        <f t="shared" si="7"/>
        <v>99</v>
      </c>
      <c r="W8" s="71">
        <f t="shared" si="2"/>
        <v>10</v>
      </c>
      <c r="X8" s="71">
        <f t="shared" si="2"/>
        <v>50</v>
      </c>
      <c r="Y8" s="71">
        <f t="shared" si="2"/>
        <v>68</v>
      </c>
      <c r="Z8" s="71">
        <f t="shared" si="2"/>
        <v>90</v>
      </c>
      <c r="AA8" s="71">
        <f t="shared" si="2"/>
        <v>170</v>
      </c>
      <c r="AB8" s="71">
        <f t="shared" si="2"/>
        <v>82</v>
      </c>
      <c r="AC8" s="71">
        <f t="shared" si="2"/>
        <v>17</v>
      </c>
      <c r="AD8" s="71">
        <f t="shared" si="2"/>
        <v>15</v>
      </c>
      <c r="AE8" s="7">
        <f t="shared" si="3"/>
        <v>601</v>
      </c>
      <c r="AG8" s="93" t="s">
        <v>12</v>
      </c>
      <c r="AH8" s="94">
        <v>0</v>
      </c>
      <c r="AI8" s="94">
        <v>62.414999999999999</v>
      </c>
      <c r="AJ8" s="94">
        <v>451.75350000000003</v>
      </c>
      <c r="AK8" s="94">
        <v>917.02169860839842</v>
      </c>
      <c r="AL8" s="94">
        <v>3652.4574041748047</v>
      </c>
      <c r="AM8" s="94">
        <v>1856.0967020874025</v>
      </c>
      <c r="AN8" s="94">
        <v>2451.1595993041992</v>
      </c>
      <c r="AO8" s="94">
        <v>745.52010278320313</v>
      </c>
      <c r="AP8" s="94">
        <v>1470.3377944335939</v>
      </c>
      <c r="AQ8" s="95">
        <v>226.71749304199218</v>
      </c>
      <c r="AR8">
        <f t="shared" si="8"/>
        <v>11833.479294433591</v>
      </c>
      <c r="AS8">
        <f>AH10+AH11</f>
        <v>1646.2740000000001</v>
      </c>
      <c r="AT8">
        <f t="shared" ref="AT8:BB8" si="29">AI10+AI11</f>
        <v>1354.5593972167969</v>
      </c>
      <c r="AU8">
        <f t="shared" si="29"/>
        <v>6995.2110000000002</v>
      </c>
      <c r="AV8">
        <f t="shared" si="29"/>
        <v>14313.560712524415</v>
      </c>
      <c r="AW8">
        <f t="shared" si="29"/>
        <v>7531.2161986083993</v>
      </c>
      <c r="AX8">
        <f t="shared" si="29"/>
        <v>15997.705493041991</v>
      </c>
      <c r="AY8">
        <f t="shared" si="29"/>
        <v>8798.9190000000017</v>
      </c>
      <c r="AZ8">
        <f t="shared" si="29"/>
        <v>655.55700000000002</v>
      </c>
      <c r="BA8">
        <f t="shared" si="29"/>
        <v>719.73900000000003</v>
      </c>
      <c r="BB8">
        <f t="shared" si="29"/>
        <v>6530.3532055664073</v>
      </c>
      <c r="BC8" s="6">
        <f>SUM(AS8:BB8)</f>
        <v>64543.095006958014</v>
      </c>
      <c r="BD8" s="71" t="str">
        <f t="shared" si="10"/>
        <v>cons</v>
      </c>
      <c r="BE8" s="71">
        <f t="shared" si="11"/>
        <v>64</v>
      </c>
      <c r="BF8" s="71">
        <f t="shared" si="12"/>
        <v>11</v>
      </c>
      <c r="BG8" s="71">
        <f t="shared" si="13"/>
        <v>25</v>
      </c>
      <c r="BH8" s="71">
        <f t="shared" si="14"/>
        <v>13</v>
      </c>
      <c r="BI8" s="71">
        <f t="shared" si="15"/>
        <v>41</v>
      </c>
      <c r="BJ8" s="71">
        <f t="shared" si="16"/>
        <v>93</v>
      </c>
      <c r="BK8" s="71">
        <f t="shared" si="17"/>
        <v>43</v>
      </c>
      <c r="BL8" s="71">
        <f t="shared" si="18"/>
        <v>17</v>
      </c>
      <c r="BM8" s="71">
        <f t="shared" si="19"/>
        <v>5</v>
      </c>
      <c r="BO8" s="27" t="str">
        <f t="shared" si="22"/>
        <v>cons</v>
      </c>
      <c r="BP8">
        <f t="shared" si="23"/>
        <v>75</v>
      </c>
      <c r="BQ8">
        <f t="shared" si="24"/>
        <v>38</v>
      </c>
      <c r="BR8">
        <f t="shared" si="25"/>
        <v>134</v>
      </c>
      <c r="BS8">
        <f t="shared" si="26"/>
        <v>43</v>
      </c>
      <c r="BT8">
        <f t="shared" si="27"/>
        <v>22</v>
      </c>
    </row>
    <row r="9" spans="1:72">
      <c r="A9" s="22" t="s">
        <v>295</v>
      </c>
      <c r="B9" s="6">
        <f t="shared" si="5"/>
        <v>1139.4123312263489</v>
      </c>
      <c r="C9" s="6">
        <f t="shared" si="5"/>
        <v>258.23849999999999</v>
      </c>
      <c r="D9" s="6">
        <f t="shared" si="5"/>
        <v>3652.4574041748047</v>
      </c>
      <c r="E9" s="6">
        <f t="shared" si="5"/>
        <v>3346.2420000000002</v>
      </c>
      <c r="F9" s="6">
        <f t="shared" si="5"/>
        <v>3006.6701986083986</v>
      </c>
      <c r="G9" s="6">
        <f t="shared" si="5"/>
        <v>4524.5460000000003</v>
      </c>
      <c r="H9" s="6">
        <f t="shared" si="5"/>
        <v>855.51300000000003</v>
      </c>
      <c r="I9" s="6">
        <f t="shared" si="5"/>
        <v>569.43000000000006</v>
      </c>
      <c r="J9" s="6">
        <f t="shared" si="5"/>
        <v>2273.73</v>
      </c>
      <c r="K9" s="6">
        <f t="shared" ref="K9:S9" si="30">$B$2*K23</f>
        <v>246.18300000000002</v>
      </c>
      <c r="L9" s="6">
        <f t="shared" si="30"/>
        <v>22.173000000000002</v>
      </c>
      <c r="M9" s="6">
        <f t="shared" si="30"/>
        <v>177.55500000000001</v>
      </c>
      <c r="N9" s="6">
        <f t="shared" si="30"/>
        <v>116.90700000000001</v>
      </c>
      <c r="O9" s="6">
        <f t="shared" si="30"/>
        <v>70.908000000000001</v>
      </c>
      <c r="P9" s="6">
        <f t="shared" si="30"/>
        <v>80.028000000000006</v>
      </c>
      <c r="Q9" s="6">
        <f t="shared" si="30"/>
        <v>9.5190000000000001</v>
      </c>
      <c r="R9" s="6">
        <f t="shared" si="30"/>
        <v>4.218</v>
      </c>
      <c r="S9" s="7">
        <f t="shared" si="30"/>
        <v>13.794</v>
      </c>
      <c r="T9" s="6"/>
      <c r="U9" s="77" t="s">
        <v>295</v>
      </c>
      <c r="V9" s="71">
        <f t="shared" si="7"/>
        <v>246</v>
      </c>
      <c r="W9" s="71">
        <f t="shared" si="2"/>
        <v>22</v>
      </c>
      <c r="X9" s="71">
        <f t="shared" si="2"/>
        <v>178</v>
      </c>
      <c r="Y9" s="71">
        <f t="shared" si="2"/>
        <v>117</v>
      </c>
      <c r="Z9" s="71">
        <f t="shared" si="2"/>
        <v>71</v>
      </c>
      <c r="AA9" s="71">
        <f t="shared" si="2"/>
        <v>80</v>
      </c>
      <c r="AB9" s="71">
        <f t="shared" si="2"/>
        <v>10</v>
      </c>
      <c r="AC9" s="71">
        <f t="shared" si="2"/>
        <v>4</v>
      </c>
      <c r="AD9" s="71">
        <f t="shared" si="2"/>
        <v>14</v>
      </c>
      <c r="AE9" s="7">
        <f t="shared" si="3"/>
        <v>742</v>
      </c>
      <c r="AG9" s="93" t="s">
        <v>13</v>
      </c>
      <c r="AH9" s="94">
        <v>68.160599304199224</v>
      </c>
      <c r="AI9" s="94">
        <v>0</v>
      </c>
      <c r="AJ9" s="94">
        <v>404.17560278320315</v>
      </c>
      <c r="AK9" s="94">
        <v>1919.3610000000001</v>
      </c>
      <c r="AL9" s="94">
        <v>3346.2420000000002</v>
      </c>
      <c r="AM9" s="94">
        <v>1804.9676986083985</v>
      </c>
      <c r="AN9" s="94">
        <v>2545.4034041748046</v>
      </c>
      <c r="AO9" s="94">
        <v>1724.0220139160158</v>
      </c>
      <c r="AP9" s="94">
        <v>1016.7660000000001</v>
      </c>
      <c r="AQ9" s="95">
        <v>1171.4526027832032</v>
      </c>
      <c r="AR9">
        <f t="shared" si="8"/>
        <v>14000.550921569826</v>
      </c>
      <c r="AS9">
        <f>AH12</f>
        <v>223.44</v>
      </c>
      <c r="AT9">
        <f t="shared" ref="AT9:BB9" si="31">AI12</f>
        <v>0</v>
      </c>
      <c r="AU9">
        <f t="shared" si="31"/>
        <v>3662.3070000000002</v>
      </c>
      <c r="AV9">
        <f t="shared" si="31"/>
        <v>6783.1710000000003</v>
      </c>
      <c r="AW9">
        <f t="shared" si="31"/>
        <v>855.51300000000003</v>
      </c>
      <c r="AX9">
        <f t="shared" si="31"/>
        <v>6919.4009999999998</v>
      </c>
      <c r="AY9">
        <f t="shared" si="31"/>
        <v>5412.8910000000005</v>
      </c>
      <c r="AZ9">
        <f t="shared" si="31"/>
        <v>0</v>
      </c>
      <c r="BA9">
        <f t="shared" si="31"/>
        <v>0</v>
      </c>
      <c r="BB9">
        <f t="shared" si="31"/>
        <v>2143.029</v>
      </c>
      <c r="BC9" s="6">
        <f>SUM(AS9:BB9)</f>
        <v>25999.752</v>
      </c>
      <c r="BD9" s="71" t="str">
        <f t="shared" si="10"/>
        <v>manutrans</v>
      </c>
      <c r="BE9" s="71">
        <f t="shared" si="11"/>
        <v>99</v>
      </c>
      <c r="BF9" s="71">
        <f t="shared" si="12"/>
        <v>10</v>
      </c>
      <c r="BG9" s="71">
        <f t="shared" si="13"/>
        <v>50</v>
      </c>
      <c r="BH9" s="71">
        <f t="shared" si="14"/>
        <v>68</v>
      </c>
      <c r="BI9" s="71">
        <f t="shared" si="15"/>
        <v>90</v>
      </c>
      <c r="BJ9" s="71">
        <f t="shared" si="16"/>
        <v>170</v>
      </c>
      <c r="BK9" s="71">
        <f t="shared" si="17"/>
        <v>82</v>
      </c>
      <c r="BL9" s="71">
        <f t="shared" si="18"/>
        <v>17</v>
      </c>
      <c r="BM9" s="71">
        <f t="shared" si="19"/>
        <v>15</v>
      </c>
      <c r="BO9" s="27" t="str">
        <f t="shared" si="22"/>
        <v>manutrans</v>
      </c>
      <c r="BP9">
        <f t="shared" si="23"/>
        <v>109</v>
      </c>
      <c r="BQ9">
        <f t="shared" si="24"/>
        <v>118</v>
      </c>
      <c r="BR9">
        <f t="shared" si="25"/>
        <v>260</v>
      </c>
      <c r="BS9">
        <f t="shared" si="26"/>
        <v>82</v>
      </c>
      <c r="BT9">
        <f t="shared" si="27"/>
        <v>32</v>
      </c>
    </row>
    <row r="10" spans="1:72">
      <c r="A10" s="5" t="s">
        <v>293</v>
      </c>
      <c r="B10" s="6">
        <f t="shared" si="5"/>
        <v>560.46902768754956</v>
      </c>
      <c r="C10" s="6">
        <f t="shared" si="5"/>
        <v>1067.325003479004</v>
      </c>
      <c r="D10" s="6">
        <f t="shared" si="5"/>
        <v>1856.0967020874025</v>
      </c>
      <c r="E10" s="6">
        <f t="shared" si="5"/>
        <v>1804.9676986083985</v>
      </c>
      <c r="F10" s="6">
        <f t="shared" si="5"/>
        <v>6801.724493041992</v>
      </c>
      <c r="G10" s="6">
        <f t="shared" si="5"/>
        <v>9195.9809999999998</v>
      </c>
      <c r="H10" s="6">
        <f t="shared" si="5"/>
        <v>6919.4009999999998</v>
      </c>
      <c r="I10" s="6">
        <f t="shared" si="5"/>
        <v>5904.402</v>
      </c>
      <c r="J10" s="6">
        <f t="shared" si="5"/>
        <v>5577.393</v>
      </c>
      <c r="K10" s="6">
        <f t="shared" ref="K10:S10" si="32">$B$2*K24</f>
        <v>185.99100000000001</v>
      </c>
      <c r="L10" s="6">
        <f t="shared" si="32"/>
        <v>85.329000000000008</v>
      </c>
      <c r="M10" s="6">
        <f t="shared" si="32"/>
        <v>93.48</v>
      </c>
      <c r="N10" s="6">
        <f t="shared" si="32"/>
        <v>63.213000000000001</v>
      </c>
      <c r="O10" s="6">
        <f t="shared" si="32"/>
        <v>169.29</v>
      </c>
      <c r="P10" s="6">
        <f t="shared" si="32"/>
        <v>156.12300000000002</v>
      </c>
      <c r="Q10" s="6">
        <f t="shared" si="32"/>
        <v>80.198999999999998</v>
      </c>
      <c r="R10" s="6">
        <f t="shared" si="32"/>
        <v>53.067</v>
      </c>
      <c r="S10" s="7">
        <f t="shared" si="32"/>
        <v>18.525000000000002</v>
      </c>
      <c r="T10" s="6"/>
      <c r="U10" s="76" t="s">
        <v>293</v>
      </c>
      <c r="V10" s="71">
        <f t="shared" si="7"/>
        <v>186</v>
      </c>
      <c r="W10" s="71">
        <f t="shared" si="2"/>
        <v>85</v>
      </c>
      <c r="X10" s="71">
        <f t="shared" si="2"/>
        <v>93</v>
      </c>
      <c r="Y10" s="71">
        <f t="shared" si="2"/>
        <v>63</v>
      </c>
      <c r="Z10" s="71">
        <f t="shared" si="2"/>
        <v>169</v>
      </c>
      <c r="AA10" s="71">
        <f t="shared" si="2"/>
        <v>156</v>
      </c>
      <c r="AB10" s="71">
        <f t="shared" si="2"/>
        <v>80</v>
      </c>
      <c r="AC10" s="71">
        <f t="shared" si="2"/>
        <v>53</v>
      </c>
      <c r="AD10" s="71">
        <f t="shared" si="2"/>
        <v>19</v>
      </c>
      <c r="AE10" s="7">
        <f t="shared" si="3"/>
        <v>904</v>
      </c>
      <c r="AG10" s="93" t="s">
        <v>14</v>
      </c>
      <c r="AH10" s="94">
        <v>833.85300000000007</v>
      </c>
      <c r="AI10" s="94">
        <v>720.89039721679694</v>
      </c>
      <c r="AJ10" s="94">
        <v>1586.424</v>
      </c>
      <c r="AK10" s="94">
        <v>4034.4657125244144</v>
      </c>
      <c r="AL10" s="94">
        <v>3006.6701986083986</v>
      </c>
      <c r="AM10" s="94">
        <v>6801.724493041992</v>
      </c>
      <c r="AN10" s="94">
        <v>3108.1530000000002</v>
      </c>
      <c r="AO10" s="94">
        <v>196.99200000000002</v>
      </c>
      <c r="AP10" s="94">
        <v>719.73900000000003</v>
      </c>
      <c r="AQ10" s="95">
        <v>3000.8562055664065</v>
      </c>
      <c r="AR10">
        <f t="shared" si="8"/>
        <v>24009.768006958009</v>
      </c>
      <c r="AS10">
        <f>AH13+AH14</f>
        <v>1818.585</v>
      </c>
      <c r="AT10">
        <f t="shared" ref="AT10:BB10" si="33">AI13+AI14</f>
        <v>530.67000000000007</v>
      </c>
      <c r="AU10">
        <f t="shared" si="33"/>
        <v>3746.4390000000003</v>
      </c>
      <c r="AV10">
        <f t="shared" si="33"/>
        <v>5327.1630000000005</v>
      </c>
      <c r="AW10">
        <f t="shared" si="33"/>
        <v>2843.16</v>
      </c>
      <c r="AX10">
        <f t="shared" si="33"/>
        <v>11481.795</v>
      </c>
      <c r="AY10">
        <f t="shared" si="33"/>
        <v>8572.857</v>
      </c>
      <c r="AZ10">
        <f t="shared" si="33"/>
        <v>0</v>
      </c>
      <c r="BA10">
        <f t="shared" si="33"/>
        <v>0</v>
      </c>
      <c r="BB10">
        <f t="shared" si="33"/>
        <v>1178.19</v>
      </c>
      <c r="BC10" s="11">
        <f>SUM(AS10:BB10)</f>
        <v>35498.858999999997</v>
      </c>
      <c r="BD10" s="71" t="str">
        <f t="shared" si="10"/>
        <v>trade</v>
      </c>
      <c r="BE10" s="71">
        <f t="shared" si="11"/>
        <v>246</v>
      </c>
      <c r="BF10" s="71">
        <f t="shared" si="12"/>
        <v>22</v>
      </c>
      <c r="BG10" s="71">
        <f t="shared" si="13"/>
        <v>178</v>
      </c>
      <c r="BH10" s="71">
        <f t="shared" si="14"/>
        <v>117</v>
      </c>
      <c r="BI10" s="71">
        <f t="shared" si="15"/>
        <v>71</v>
      </c>
      <c r="BJ10" s="71">
        <f t="shared" si="16"/>
        <v>80</v>
      </c>
      <c r="BK10" s="71">
        <f t="shared" si="17"/>
        <v>10</v>
      </c>
      <c r="BL10" s="71">
        <f t="shared" si="18"/>
        <v>4</v>
      </c>
      <c r="BM10" s="71">
        <f t="shared" si="19"/>
        <v>14</v>
      </c>
      <c r="BO10" s="27" t="str">
        <f t="shared" si="22"/>
        <v>trade</v>
      </c>
      <c r="BP10">
        <f t="shared" si="23"/>
        <v>268</v>
      </c>
      <c r="BQ10">
        <f t="shared" si="24"/>
        <v>295</v>
      </c>
      <c r="BR10">
        <f t="shared" si="25"/>
        <v>151</v>
      </c>
      <c r="BS10">
        <f t="shared" si="26"/>
        <v>10</v>
      </c>
      <c r="BT10">
        <f t="shared" si="27"/>
        <v>18</v>
      </c>
    </row>
    <row r="11" spans="1:72">
      <c r="A11" s="5" t="s">
        <v>269</v>
      </c>
      <c r="B11" s="6">
        <f t="shared" si="5"/>
        <v>297.19344000434876</v>
      </c>
      <c r="C11" s="6">
        <f t="shared" si="5"/>
        <v>320.32859930419926</v>
      </c>
      <c r="D11" s="6">
        <f t="shared" si="5"/>
        <v>2451.1595993041992</v>
      </c>
      <c r="E11" s="6">
        <f t="shared" si="5"/>
        <v>2545.4034041748046</v>
      </c>
      <c r="F11" s="6">
        <f t="shared" si="5"/>
        <v>3108.1530000000002</v>
      </c>
      <c r="G11" s="6">
        <f t="shared" si="5"/>
        <v>5690.7660000000005</v>
      </c>
      <c r="H11" s="6">
        <f t="shared" si="5"/>
        <v>5412.8910000000005</v>
      </c>
      <c r="I11" s="6">
        <f t="shared" si="5"/>
        <v>4218.6840000000002</v>
      </c>
      <c r="J11" s="6">
        <f t="shared" si="5"/>
        <v>4354.1729999999998</v>
      </c>
      <c r="K11" s="6">
        <f t="shared" ref="K11:S11" si="34">$B$2*K25</f>
        <v>61.103999999999999</v>
      </c>
      <c r="L11" s="6">
        <f t="shared" si="34"/>
        <v>25.536000000000001</v>
      </c>
      <c r="M11" s="6">
        <f t="shared" si="34"/>
        <v>113.08800000000001</v>
      </c>
      <c r="N11" s="6">
        <f t="shared" si="34"/>
        <v>83.903999999999996</v>
      </c>
      <c r="O11" s="6">
        <f t="shared" si="34"/>
        <v>79.23</v>
      </c>
      <c r="P11" s="6">
        <f t="shared" si="34"/>
        <v>94.335000000000008</v>
      </c>
      <c r="Q11" s="6">
        <f t="shared" si="34"/>
        <v>63.783000000000001</v>
      </c>
      <c r="R11" s="6">
        <f t="shared" si="34"/>
        <v>36.137999999999998</v>
      </c>
      <c r="S11" s="7">
        <f t="shared" si="34"/>
        <v>18.126000000000001</v>
      </c>
      <c r="T11" s="6"/>
      <c r="U11" s="76" t="s">
        <v>269</v>
      </c>
      <c r="V11" s="71">
        <f t="shared" si="7"/>
        <v>61</v>
      </c>
      <c r="W11" s="71">
        <f t="shared" si="2"/>
        <v>26</v>
      </c>
      <c r="X11" s="71">
        <f t="shared" si="2"/>
        <v>113</v>
      </c>
      <c r="Y11" s="71">
        <f t="shared" si="2"/>
        <v>84</v>
      </c>
      <c r="Z11" s="71">
        <f t="shared" si="2"/>
        <v>79</v>
      </c>
      <c r="AA11" s="71">
        <f t="shared" si="2"/>
        <v>94</v>
      </c>
      <c r="AB11" s="71">
        <f t="shared" si="2"/>
        <v>64</v>
      </c>
      <c r="AC11" s="71">
        <f t="shared" si="2"/>
        <v>36</v>
      </c>
      <c r="AD11" s="71">
        <f t="shared" si="2"/>
        <v>18</v>
      </c>
      <c r="AE11" s="7">
        <f t="shared" si="3"/>
        <v>575</v>
      </c>
      <c r="AG11" s="93" t="s">
        <v>15</v>
      </c>
      <c r="AH11" s="94">
        <v>812.42100000000005</v>
      </c>
      <c r="AI11" s="94">
        <v>633.66899999999998</v>
      </c>
      <c r="AJ11" s="94">
        <v>5408.7870000000003</v>
      </c>
      <c r="AK11" s="94">
        <v>10279.095000000001</v>
      </c>
      <c r="AL11" s="94">
        <v>4524.5460000000003</v>
      </c>
      <c r="AM11" s="94">
        <v>9195.9809999999998</v>
      </c>
      <c r="AN11" s="94">
        <v>5690.7660000000005</v>
      </c>
      <c r="AO11" s="94">
        <v>458.565</v>
      </c>
      <c r="AP11" s="94">
        <v>0</v>
      </c>
      <c r="AQ11" s="95">
        <v>3529.4970000000003</v>
      </c>
      <c r="AR11">
        <f t="shared" si="8"/>
        <v>40533.327000000012</v>
      </c>
      <c r="BC11" s="6"/>
      <c r="BD11" s="71" t="str">
        <f t="shared" si="10"/>
        <v>services</v>
      </c>
      <c r="BE11" s="71">
        <f t="shared" si="11"/>
        <v>186</v>
      </c>
      <c r="BF11" s="71">
        <f t="shared" si="12"/>
        <v>85</v>
      </c>
      <c r="BG11" s="71">
        <f t="shared" si="13"/>
        <v>93</v>
      </c>
      <c r="BH11" s="71">
        <f t="shared" si="14"/>
        <v>63</v>
      </c>
      <c r="BI11" s="71">
        <f t="shared" si="15"/>
        <v>169</v>
      </c>
      <c r="BJ11" s="71">
        <f t="shared" si="16"/>
        <v>156</v>
      </c>
      <c r="BK11" s="71">
        <f t="shared" si="17"/>
        <v>80</v>
      </c>
      <c r="BL11" s="71">
        <f t="shared" si="18"/>
        <v>53</v>
      </c>
      <c r="BM11" s="71">
        <f t="shared" si="19"/>
        <v>19</v>
      </c>
      <c r="BO11" s="27" t="str">
        <f t="shared" si="22"/>
        <v>services</v>
      </c>
      <c r="BP11">
        <f t="shared" si="23"/>
        <v>271</v>
      </c>
      <c r="BQ11">
        <f t="shared" si="24"/>
        <v>156</v>
      </c>
      <c r="BR11">
        <f t="shared" si="25"/>
        <v>325</v>
      </c>
      <c r="BS11">
        <f t="shared" si="26"/>
        <v>80</v>
      </c>
      <c r="BT11">
        <f t="shared" si="27"/>
        <v>72</v>
      </c>
    </row>
    <row r="12" spans="1:72">
      <c r="A12" s="28" t="s">
        <v>312</v>
      </c>
      <c r="B12" s="6">
        <f t="shared" ref="B12:S12" si="35">$B$2*B27</f>
        <v>43.941299652099609</v>
      </c>
      <c r="C12" s="6">
        <f t="shared" si="35"/>
        <v>285.91200000000003</v>
      </c>
      <c r="D12" s="6">
        <f t="shared" si="35"/>
        <v>745.52010278320313</v>
      </c>
      <c r="E12" s="6">
        <f t="shared" si="35"/>
        <v>1724.0220139160158</v>
      </c>
      <c r="F12" s="6">
        <f t="shared" si="35"/>
        <v>196.99200000000002</v>
      </c>
      <c r="G12" s="6">
        <f t="shared" si="35"/>
        <v>458.565</v>
      </c>
      <c r="H12" s="6">
        <f t="shared" si="35"/>
        <v>0</v>
      </c>
      <c r="I12" s="6">
        <f t="shared" si="35"/>
        <v>0</v>
      </c>
      <c r="J12" s="6">
        <f t="shared" si="35"/>
        <v>0</v>
      </c>
      <c r="K12" s="6">
        <f t="shared" si="35"/>
        <v>7.923</v>
      </c>
      <c r="L12" s="6">
        <f t="shared" si="35"/>
        <v>21.432000000000002</v>
      </c>
      <c r="M12" s="6">
        <f t="shared" si="35"/>
        <v>40.812000000000005</v>
      </c>
      <c r="N12" s="6">
        <f t="shared" si="35"/>
        <v>56.030999999999999</v>
      </c>
      <c r="O12" s="6">
        <f t="shared" si="35"/>
        <v>5.4720000000000004</v>
      </c>
      <c r="P12" s="6">
        <f t="shared" si="35"/>
        <v>9.0060000000000002</v>
      </c>
      <c r="Q12" s="6">
        <f t="shared" si="35"/>
        <v>0</v>
      </c>
      <c r="R12" s="6">
        <f t="shared" si="35"/>
        <v>0</v>
      </c>
      <c r="S12" s="7">
        <f t="shared" si="35"/>
        <v>0</v>
      </c>
      <c r="T12" s="6"/>
      <c r="U12" s="76" t="s">
        <v>294</v>
      </c>
      <c r="V12" s="71">
        <f t="shared" ref="V12:AD13" si="36">ROUND(K12,0)</f>
        <v>8</v>
      </c>
      <c r="W12" s="71">
        <f t="shared" si="36"/>
        <v>21</v>
      </c>
      <c r="X12" s="71">
        <f t="shared" si="36"/>
        <v>41</v>
      </c>
      <c r="Y12" s="71">
        <f t="shared" si="36"/>
        <v>56</v>
      </c>
      <c r="Z12" s="71">
        <f t="shared" si="36"/>
        <v>5</v>
      </c>
      <c r="AA12" s="71">
        <f t="shared" si="36"/>
        <v>9</v>
      </c>
      <c r="AB12" s="71">
        <f t="shared" si="36"/>
        <v>0</v>
      </c>
      <c r="AC12" s="71">
        <f t="shared" si="36"/>
        <v>0</v>
      </c>
      <c r="AD12" s="71">
        <f t="shared" si="36"/>
        <v>0</v>
      </c>
      <c r="AE12" s="7">
        <f t="shared" si="3"/>
        <v>140</v>
      </c>
      <c r="AG12" s="93" t="s">
        <v>16</v>
      </c>
      <c r="AH12" s="94">
        <v>223.44</v>
      </c>
      <c r="AI12" s="94">
        <v>0</v>
      </c>
      <c r="AJ12" s="94">
        <v>3662.3070000000002</v>
      </c>
      <c r="AK12" s="94">
        <v>6783.1710000000003</v>
      </c>
      <c r="AL12" s="94">
        <v>855.51300000000003</v>
      </c>
      <c r="AM12" s="94">
        <v>6919.4009999999998</v>
      </c>
      <c r="AN12" s="94">
        <v>5412.8910000000005</v>
      </c>
      <c r="AO12" s="94">
        <v>0</v>
      </c>
      <c r="AP12" s="94">
        <v>0</v>
      </c>
      <c r="AQ12" s="95">
        <v>2143.029</v>
      </c>
      <c r="AR12">
        <f t="shared" si="8"/>
        <v>25999.752</v>
      </c>
      <c r="AS12">
        <f>SUM(AS6:AS11)</f>
        <v>3977.5625993041995</v>
      </c>
      <c r="AT12">
        <f t="shared" ref="AT12:BB12" si="37">SUM(AT6:AT11)</f>
        <v>1956.1259973907472</v>
      </c>
      <c r="AU12">
        <f t="shared" si="37"/>
        <v>15610.242299217225</v>
      </c>
      <c r="AV12">
        <f t="shared" si="37"/>
        <v>29688.050441837317</v>
      </c>
      <c r="AW12">
        <f t="shared" si="37"/>
        <v>19626.239434009552</v>
      </c>
      <c r="AX12">
        <f t="shared" si="37"/>
        <v>39687.759924904341</v>
      </c>
      <c r="AY12">
        <f t="shared" si="37"/>
        <v>28398.752042787553</v>
      </c>
      <c r="AZ12">
        <f t="shared" si="37"/>
        <v>3454.9524163513188</v>
      </c>
      <c r="BA12">
        <f t="shared" si="37"/>
        <v>4401.8762929115292</v>
      </c>
      <c r="BB12">
        <f t="shared" si="37"/>
        <v>11481.185101560117</v>
      </c>
      <c r="BC12" s="186">
        <f>SUM(AS12:BB12)</f>
        <v>158282.74655027391</v>
      </c>
      <c r="BD12" s="71" t="str">
        <f t="shared" si="10"/>
        <v>health</v>
      </c>
      <c r="BE12" s="71">
        <f t="shared" si="11"/>
        <v>61</v>
      </c>
      <c r="BF12" s="71">
        <f t="shared" si="12"/>
        <v>26</v>
      </c>
      <c r="BG12" s="71">
        <f t="shared" si="13"/>
        <v>113</v>
      </c>
      <c r="BH12" s="71">
        <f t="shared" si="14"/>
        <v>84</v>
      </c>
      <c r="BI12" s="71">
        <f t="shared" si="15"/>
        <v>79</v>
      </c>
      <c r="BJ12" s="71">
        <f t="shared" si="16"/>
        <v>94</v>
      </c>
      <c r="BK12" s="71">
        <f t="shared" si="17"/>
        <v>64</v>
      </c>
      <c r="BL12" s="71">
        <f t="shared" si="18"/>
        <v>36</v>
      </c>
      <c r="BM12" s="71">
        <f t="shared" si="19"/>
        <v>18</v>
      </c>
      <c r="BO12" s="27" t="str">
        <f t="shared" si="22"/>
        <v>health</v>
      </c>
      <c r="BP12">
        <f t="shared" si="23"/>
        <v>87</v>
      </c>
      <c r="BQ12">
        <f t="shared" si="24"/>
        <v>197</v>
      </c>
      <c r="BR12">
        <f t="shared" si="25"/>
        <v>173</v>
      </c>
      <c r="BS12">
        <f t="shared" si="26"/>
        <v>64</v>
      </c>
      <c r="BT12">
        <f t="shared" si="27"/>
        <v>54</v>
      </c>
    </row>
    <row r="13" spans="1:72">
      <c r="A13" s="5" t="s">
        <v>294</v>
      </c>
      <c r="B13" s="6">
        <f t="shared" ref="B13:S13" si="38">$B$2*B26</f>
        <v>406.26749847793582</v>
      </c>
      <c r="C13" s="6">
        <f t="shared" si="38"/>
        <v>788.76600000000008</v>
      </c>
      <c r="D13" s="6">
        <f t="shared" si="38"/>
        <v>1470.3377944335939</v>
      </c>
      <c r="E13" s="6">
        <f t="shared" si="38"/>
        <v>1016.7660000000001</v>
      </c>
      <c r="F13" s="6">
        <f t="shared" si="38"/>
        <v>719.73900000000003</v>
      </c>
      <c r="G13" s="6">
        <f t="shared" si="38"/>
        <v>0</v>
      </c>
      <c r="H13" s="6">
        <f t="shared" si="38"/>
        <v>0</v>
      </c>
      <c r="I13" s="6">
        <f t="shared" si="38"/>
        <v>0</v>
      </c>
      <c r="J13" s="6">
        <f t="shared" si="38"/>
        <v>0</v>
      </c>
      <c r="K13" s="6">
        <f t="shared" si="38"/>
        <v>120.099</v>
      </c>
      <c r="L13" s="6">
        <f t="shared" si="38"/>
        <v>64.353000000000009</v>
      </c>
      <c r="M13" s="6">
        <f t="shared" si="38"/>
        <v>73.131</v>
      </c>
      <c r="N13" s="6">
        <f t="shared" si="38"/>
        <v>35.340000000000003</v>
      </c>
      <c r="O13" s="6">
        <f t="shared" si="38"/>
        <v>18.981000000000002</v>
      </c>
      <c r="P13" s="6">
        <f t="shared" si="38"/>
        <v>0</v>
      </c>
      <c r="Q13" s="6">
        <f t="shared" si="38"/>
        <v>0</v>
      </c>
      <c r="R13" s="6">
        <f t="shared" si="38"/>
        <v>0</v>
      </c>
      <c r="S13" s="7">
        <f t="shared" si="38"/>
        <v>0</v>
      </c>
      <c r="T13" s="6"/>
      <c r="U13" s="76" t="s">
        <v>312</v>
      </c>
      <c r="V13" s="71">
        <f t="shared" si="36"/>
        <v>120</v>
      </c>
      <c r="W13" s="71">
        <f t="shared" si="36"/>
        <v>64</v>
      </c>
      <c r="X13" s="71">
        <f t="shared" si="36"/>
        <v>73</v>
      </c>
      <c r="Y13" s="71">
        <f t="shared" si="36"/>
        <v>35</v>
      </c>
      <c r="Z13" s="71">
        <f t="shared" si="36"/>
        <v>19</v>
      </c>
      <c r="AA13" s="71">
        <f t="shared" si="36"/>
        <v>0</v>
      </c>
      <c r="AB13" s="71">
        <f t="shared" si="36"/>
        <v>0</v>
      </c>
      <c r="AC13" s="71">
        <f t="shared" si="36"/>
        <v>0</v>
      </c>
      <c r="AD13" s="71">
        <f t="shared" si="36"/>
        <v>0</v>
      </c>
      <c r="AE13" s="7">
        <f t="shared" si="3"/>
        <v>311</v>
      </c>
      <c r="AG13" s="93" t="s">
        <v>17</v>
      </c>
      <c r="AH13" s="94">
        <v>1331.2350000000001</v>
      </c>
      <c r="AI13" s="94">
        <v>530.67000000000007</v>
      </c>
      <c r="AJ13" s="94">
        <v>1752.75</v>
      </c>
      <c r="AK13" s="94">
        <v>2022.5310000000002</v>
      </c>
      <c r="AL13" s="94">
        <v>569.43000000000006</v>
      </c>
      <c r="AM13" s="94">
        <v>5904.402</v>
      </c>
      <c r="AN13" s="94">
        <v>4218.6840000000002</v>
      </c>
      <c r="AO13" s="94">
        <v>0</v>
      </c>
      <c r="AP13" s="94">
        <v>0</v>
      </c>
      <c r="AQ13" s="95">
        <v>853.29000000000008</v>
      </c>
      <c r="AR13">
        <f t="shared" si="8"/>
        <v>17182.992000000002</v>
      </c>
      <c r="BC13" s="6"/>
      <c r="BD13" s="71" t="str">
        <f t="shared" si="10"/>
        <v>accommo</v>
      </c>
      <c r="BE13" s="71">
        <f t="shared" si="11"/>
        <v>8</v>
      </c>
      <c r="BF13" s="71">
        <f t="shared" si="12"/>
        <v>21</v>
      </c>
      <c r="BG13" s="71">
        <f t="shared" si="13"/>
        <v>41</v>
      </c>
      <c r="BH13" s="71">
        <f t="shared" si="14"/>
        <v>56</v>
      </c>
      <c r="BI13" s="71">
        <f t="shared" si="15"/>
        <v>5</v>
      </c>
      <c r="BJ13" s="71">
        <f t="shared" si="16"/>
        <v>9</v>
      </c>
      <c r="BK13" s="71">
        <f t="shared" si="17"/>
        <v>0</v>
      </c>
      <c r="BL13" s="71">
        <f t="shared" si="18"/>
        <v>0</v>
      </c>
      <c r="BM13" s="71">
        <f t="shared" si="19"/>
        <v>0</v>
      </c>
      <c r="BO13" s="27" t="str">
        <f t="shared" si="22"/>
        <v>accommo</v>
      </c>
      <c r="BP13">
        <f t="shared" si="23"/>
        <v>29</v>
      </c>
      <c r="BQ13">
        <f t="shared" si="24"/>
        <v>97</v>
      </c>
      <c r="BR13">
        <f t="shared" si="25"/>
        <v>14</v>
      </c>
      <c r="BS13">
        <f t="shared" si="26"/>
        <v>0</v>
      </c>
      <c r="BT13">
        <f t="shared" si="27"/>
        <v>0</v>
      </c>
    </row>
    <row r="14" spans="1:72" ht="15" thickBot="1">
      <c r="A14" s="8" t="s">
        <v>270</v>
      </c>
      <c r="B14" s="9">
        <f t="shared" si="5"/>
        <v>167.10119999456407</v>
      </c>
      <c r="C14" s="9">
        <f t="shared" si="5"/>
        <v>64.341600173950198</v>
      </c>
      <c r="D14" s="9">
        <f t="shared" si="5"/>
        <v>226.71749304199218</v>
      </c>
      <c r="E14" s="9">
        <f t="shared" si="5"/>
        <v>1171.4526027832032</v>
      </c>
      <c r="F14" s="9">
        <f t="shared" si="5"/>
        <v>3000.8562055664065</v>
      </c>
      <c r="G14" s="9">
        <f t="shared" si="5"/>
        <v>3529.4970000000003</v>
      </c>
      <c r="H14" s="9">
        <f t="shared" si="5"/>
        <v>2143.029</v>
      </c>
      <c r="I14" s="9">
        <f t="shared" si="5"/>
        <v>853.29000000000008</v>
      </c>
      <c r="J14" s="9">
        <f t="shared" si="5"/>
        <v>324.90000000000003</v>
      </c>
      <c r="K14" s="9">
        <f t="shared" ref="K14:S14" si="39">$B$2*K28</f>
        <v>28.785</v>
      </c>
      <c r="L14" s="9">
        <f t="shared" si="39"/>
        <v>5.7</v>
      </c>
      <c r="M14" s="9">
        <f t="shared" si="39"/>
        <v>10.83</v>
      </c>
      <c r="N14" s="9">
        <f t="shared" si="39"/>
        <v>40.47</v>
      </c>
      <c r="O14" s="9">
        <f t="shared" si="39"/>
        <v>71.307000000000002</v>
      </c>
      <c r="P14" s="9">
        <f t="shared" si="39"/>
        <v>60.477000000000004</v>
      </c>
      <c r="Q14" s="9">
        <f t="shared" si="39"/>
        <v>25.422000000000001</v>
      </c>
      <c r="R14" s="9">
        <f t="shared" si="39"/>
        <v>8.322000000000001</v>
      </c>
      <c r="S14" s="10">
        <f t="shared" si="39"/>
        <v>2.1659999999999999</v>
      </c>
      <c r="T14" s="6"/>
      <c r="U14" s="76" t="s">
        <v>246</v>
      </c>
      <c r="V14" s="71">
        <v>0</v>
      </c>
      <c r="W14" s="71">
        <v>0</v>
      </c>
      <c r="X14" s="71">
        <v>0</v>
      </c>
      <c r="Y14" s="71">
        <v>0</v>
      </c>
      <c r="Z14" s="71">
        <v>0</v>
      </c>
      <c r="AA14" s="71">
        <v>0</v>
      </c>
      <c r="AB14" s="71">
        <v>0</v>
      </c>
      <c r="AC14" s="71">
        <v>0</v>
      </c>
      <c r="AD14" s="71">
        <v>0</v>
      </c>
      <c r="AE14" s="7">
        <f t="shared" si="3"/>
        <v>0</v>
      </c>
      <c r="AG14" s="96" t="s">
        <v>18</v>
      </c>
      <c r="AH14" s="97">
        <v>487.35</v>
      </c>
      <c r="AI14" s="97">
        <v>0</v>
      </c>
      <c r="AJ14" s="97">
        <v>1993.6890000000001</v>
      </c>
      <c r="AK14" s="97">
        <v>3304.6320000000001</v>
      </c>
      <c r="AL14" s="97">
        <v>2273.73</v>
      </c>
      <c r="AM14" s="97">
        <v>5577.393</v>
      </c>
      <c r="AN14" s="97">
        <v>4354.1729999999998</v>
      </c>
      <c r="AO14" s="97">
        <v>0</v>
      </c>
      <c r="AP14" s="97">
        <v>0</v>
      </c>
      <c r="AQ14" s="98">
        <v>324.90000000000003</v>
      </c>
      <c r="AR14">
        <f t="shared" si="8"/>
        <v>18315.867000000002</v>
      </c>
      <c r="BC14" s="6"/>
      <c r="BD14" s="71" t="str">
        <f t="shared" si="10"/>
        <v>restau</v>
      </c>
      <c r="BE14" s="71">
        <f t="shared" si="11"/>
        <v>120</v>
      </c>
      <c r="BF14" s="71">
        <f t="shared" si="12"/>
        <v>64</v>
      </c>
      <c r="BG14" s="71">
        <f t="shared" si="13"/>
        <v>73</v>
      </c>
      <c r="BH14" s="71">
        <f t="shared" si="14"/>
        <v>35</v>
      </c>
      <c r="BI14" s="71">
        <f t="shared" si="15"/>
        <v>19</v>
      </c>
      <c r="BJ14" s="71">
        <f t="shared" si="16"/>
        <v>0</v>
      </c>
      <c r="BK14" s="71">
        <f t="shared" si="17"/>
        <v>0</v>
      </c>
      <c r="BL14" s="71">
        <f t="shared" si="18"/>
        <v>0</v>
      </c>
      <c r="BM14" s="71">
        <f t="shared" si="19"/>
        <v>0</v>
      </c>
      <c r="BO14" s="27" t="str">
        <f t="shared" si="22"/>
        <v>restau</v>
      </c>
      <c r="BP14">
        <f t="shared" si="23"/>
        <v>184</v>
      </c>
      <c r="BQ14">
        <f t="shared" si="24"/>
        <v>108</v>
      </c>
      <c r="BR14">
        <f t="shared" si="25"/>
        <v>19</v>
      </c>
      <c r="BS14">
        <f t="shared" si="26"/>
        <v>0</v>
      </c>
      <c r="BT14">
        <f t="shared" si="27"/>
        <v>0</v>
      </c>
    </row>
    <row r="15" spans="1:72" ht="15" thickBot="1">
      <c r="B15" s="11">
        <f>SUM(B5:B14)</f>
        <v>3180.645025051117</v>
      </c>
      <c r="C15" s="11">
        <f t="shared" ref="C15:S15" si="40">SUM(C5:C14)</f>
        <v>3226.3653022613526</v>
      </c>
      <c r="D15" s="11">
        <f t="shared" si="40"/>
        <v>11833.479294433591</v>
      </c>
      <c r="E15" s="11">
        <f t="shared" si="40"/>
        <v>14000.550921569826</v>
      </c>
      <c r="F15" s="11">
        <f t="shared" si="40"/>
        <v>24009.768006958009</v>
      </c>
      <c r="G15" s="11">
        <f t="shared" si="40"/>
        <v>40533.327000000012</v>
      </c>
      <c r="H15" s="11">
        <f t="shared" si="40"/>
        <v>25999.752</v>
      </c>
      <c r="I15" s="11">
        <f t="shared" si="40"/>
        <v>17182.992000000002</v>
      </c>
      <c r="J15" s="11">
        <f t="shared" si="40"/>
        <v>18315.867000000002</v>
      </c>
      <c r="K15" s="11">
        <f t="shared" si="40"/>
        <v>826.61400000000003</v>
      </c>
      <c r="L15" s="11">
        <f t="shared" si="40"/>
        <v>258.89400000000001</v>
      </c>
      <c r="M15" s="11">
        <f t="shared" si="40"/>
        <v>587.78400000000011</v>
      </c>
      <c r="N15" s="11">
        <f t="shared" si="40"/>
        <v>479.25600000000009</v>
      </c>
      <c r="O15" s="11">
        <f t="shared" si="40"/>
        <v>584.30700000000002</v>
      </c>
      <c r="P15" s="11">
        <f t="shared" si="40"/>
        <v>687.42000000000007</v>
      </c>
      <c r="Q15" s="11">
        <f t="shared" si="40"/>
        <v>306.43200000000007</v>
      </c>
      <c r="R15" s="11">
        <f t="shared" si="40"/>
        <v>150.024</v>
      </c>
      <c r="S15" s="11">
        <f t="shared" si="40"/>
        <v>75.696000000000012</v>
      </c>
      <c r="U15" s="78" t="s">
        <v>417</v>
      </c>
      <c r="V15" s="73">
        <f t="shared" ref="V15:AD15" si="41">ROUND(K14,0)</f>
        <v>29</v>
      </c>
      <c r="W15" s="73">
        <f t="shared" si="41"/>
        <v>6</v>
      </c>
      <c r="X15" s="73">
        <f t="shared" si="41"/>
        <v>11</v>
      </c>
      <c r="Y15" s="73">
        <f t="shared" si="41"/>
        <v>40</v>
      </c>
      <c r="Z15" s="73">
        <f t="shared" si="41"/>
        <v>71</v>
      </c>
      <c r="AA15" s="73">
        <f t="shared" si="41"/>
        <v>60</v>
      </c>
      <c r="AB15" s="73">
        <f t="shared" si="41"/>
        <v>25</v>
      </c>
      <c r="AC15" s="73">
        <f t="shared" si="41"/>
        <v>8</v>
      </c>
      <c r="AD15" s="73">
        <f t="shared" si="41"/>
        <v>2</v>
      </c>
      <c r="AE15" s="10">
        <f t="shared" si="3"/>
        <v>252</v>
      </c>
      <c r="BC15" s="6"/>
      <c r="BD15" s="71" t="str">
        <f t="shared" si="10"/>
        <v>HS</v>
      </c>
      <c r="BE15" s="71">
        <f t="shared" si="11"/>
        <v>0</v>
      </c>
      <c r="BF15" s="71">
        <f t="shared" si="12"/>
        <v>0</v>
      </c>
      <c r="BG15" s="71">
        <f t="shared" si="13"/>
        <v>0</v>
      </c>
      <c r="BH15" s="71">
        <f t="shared" si="14"/>
        <v>0</v>
      </c>
      <c r="BI15" s="71">
        <f t="shared" si="15"/>
        <v>0</v>
      </c>
      <c r="BJ15" s="71">
        <f t="shared" si="16"/>
        <v>0</v>
      </c>
      <c r="BK15" s="71">
        <f t="shared" si="17"/>
        <v>0</v>
      </c>
      <c r="BL15" s="71">
        <f t="shared" si="18"/>
        <v>0</v>
      </c>
      <c r="BM15" s="71">
        <f t="shared" si="19"/>
        <v>0</v>
      </c>
      <c r="BO15" s="27" t="str">
        <f t="shared" si="22"/>
        <v>HS</v>
      </c>
      <c r="BP15">
        <f t="shared" si="23"/>
        <v>0</v>
      </c>
      <c r="BQ15">
        <f t="shared" si="24"/>
        <v>0</v>
      </c>
      <c r="BR15">
        <f t="shared" si="25"/>
        <v>0</v>
      </c>
      <c r="BS15">
        <f t="shared" si="26"/>
        <v>0</v>
      </c>
      <c r="BT15">
        <f t="shared" si="27"/>
        <v>0</v>
      </c>
    </row>
    <row r="16" spans="1:72">
      <c r="J16" s="26" t="s">
        <v>298</v>
      </c>
      <c r="K16" s="27">
        <f>B15/K15</f>
        <v>3.8477996078594323</v>
      </c>
      <c r="L16" s="27">
        <f t="shared" ref="L16:S16" si="42">C15/L15</f>
        <v>12.462109211728942</v>
      </c>
      <c r="M16" s="27">
        <f t="shared" si="42"/>
        <v>20.132360347395622</v>
      </c>
      <c r="N16" s="27">
        <f t="shared" si="42"/>
        <v>29.213094716748092</v>
      </c>
      <c r="O16" s="27">
        <f t="shared" si="42"/>
        <v>41.09101552259002</v>
      </c>
      <c r="P16" s="27">
        <f t="shared" si="42"/>
        <v>58.964427860696532</v>
      </c>
      <c r="Q16" s="27">
        <f t="shared" si="42"/>
        <v>84.846726190476176</v>
      </c>
      <c r="R16" s="27">
        <f t="shared" si="42"/>
        <v>114.53495440729485</v>
      </c>
      <c r="S16" s="27">
        <f t="shared" si="42"/>
        <v>241.96611445783131</v>
      </c>
      <c r="U16" s="23" t="s">
        <v>267</v>
      </c>
      <c r="V16" s="11">
        <f t="shared" ref="V16:AD16" si="43">SUM(V5:V15)</f>
        <v>826</v>
      </c>
      <c r="W16" s="11">
        <f t="shared" si="43"/>
        <v>259</v>
      </c>
      <c r="X16" s="11">
        <f t="shared" si="43"/>
        <v>588</v>
      </c>
      <c r="Y16" s="11">
        <f t="shared" si="43"/>
        <v>479</v>
      </c>
      <c r="Z16" s="11">
        <f t="shared" si="43"/>
        <v>584</v>
      </c>
      <c r="AA16" s="11">
        <f t="shared" si="43"/>
        <v>686</v>
      </c>
      <c r="AB16" s="11">
        <f t="shared" si="43"/>
        <v>306</v>
      </c>
      <c r="AC16" s="11">
        <f t="shared" si="43"/>
        <v>149</v>
      </c>
      <c r="AD16" s="24">
        <f t="shared" si="43"/>
        <v>76</v>
      </c>
      <c r="AE16" s="11">
        <f t="shared" si="3"/>
        <v>3953</v>
      </c>
      <c r="AH16">
        <f t="shared" ref="AH16:AQ16" si="44">SUM(AH6:AH15)</f>
        <v>3977.5625993041995</v>
      </c>
      <c r="AI16">
        <f t="shared" si="44"/>
        <v>1956.1259973907472</v>
      </c>
      <c r="AJ16">
        <f t="shared" si="44"/>
        <v>15610.242299217225</v>
      </c>
      <c r="AK16">
        <f t="shared" si="44"/>
        <v>29688.050441837317</v>
      </c>
      <c r="AL16">
        <f t="shared" si="44"/>
        <v>19626.239434009552</v>
      </c>
      <c r="AM16">
        <f t="shared" si="44"/>
        <v>39687.759924904341</v>
      </c>
      <c r="AN16">
        <f t="shared" si="44"/>
        <v>28398.752042787553</v>
      </c>
      <c r="AO16">
        <f t="shared" si="44"/>
        <v>3454.9524163513188</v>
      </c>
      <c r="AP16">
        <f t="shared" si="44"/>
        <v>4401.8762929115301</v>
      </c>
      <c r="AQ16">
        <f t="shared" si="44"/>
        <v>11481.185101560117</v>
      </c>
      <c r="AR16">
        <f>SUM(AH16:AQ16)</f>
        <v>158282.74655027391</v>
      </c>
      <c r="BD16" s="71" t="str">
        <f t="shared" si="10"/>
        <v>fed</v>
      </c>
      <c r="BE16" s="71">
        <f t="shared" si="11"/>
        <v>29</v>
      </c>
      <c r="BF16" s="71">
        <f t="shared" si="12"/>
        <v>6</v>
      </c>
      <c r="BG16" s="71">
        <f t="shared" si="13"/>
        <v>11</v>
      </c>
      <c r="BH16" s="71">
        <f t="shared" si="14"/>
        <v>40</v>
      </c>
      <c r="BI16" s="71">
        <f t="shared" si="15"/>
        <v>71</v>
      </c>
      <c r="BJ16" s="71">
        <f t="shared" si="16"/>
        <v>60</v>
      </c>
      <c r="BK16" s="71">
        <f t="shared" si="17"/>
        <v>25</v>
      </c>
      <c r="BL16" s="71">
        <f t="shared" si="18"/>
        <v>8</v>
      </c>
      <c r="BM16" s="71">
        <f t="shared" si="19"/>
        <v>2</v>
      </c>
      <c r="BO16" s="27" t="str">
        <f t="shared" si="22"/>
        <v>fed</v>
      </c>
      <c r="BP16">
        <f t="shared" si="23"/>
        <v>35</v>
      </c>
      <c r="BQ16">
        <f t="shared" si="24"/>
        <v>51</v>
      </c>
      <c r="BR16">
        <f t="shared" si="25"/>
        <v>131</v>
      </c>
      <c r="BS16">
        <f t="shared" si="26"/>
        <v>25</v>
      </c>
      <c r="BT16">
        <f t="shared" si="27"/>
        <v>10</v>
      </c>
    </row>
    <row r="17" spans="1:84">
      <c r="U17" s="23" t="s">
        <v>225</v>
      </c>
      <c r="V17" s="11">
        <f>'job core'!K25</f>
        <v>826</v>
      </c>
      <c r="W17" s="11">
        <f>'job core'!L25</f>
        <v>259</v>
      </c>
      <c r="X17" s="11">
        <f>'job core'!M25</f>
        <v>588</v>
      </c>
      <c r="Y17" s="11">
        <f>'job core'!N25</f>
        <v>479</v>
      </c>
      <c r="Z17" s="11">
        <f>'job core'!O25</f>
        <v>584</v>
      </c>
      <c r="AA17" s="11">
        <f>'job core'!P25</f>
        <v>686</v>
      </c>
      <c r="AB17" s="11">
        <f>'job core'!Q25</f>
        <v>306</v>
      </c>
      <c r="AC17" s="11">
        <f>'job core'!R25</f>
        <v>149</v>
      </c>
      <c r="AD17" s="24">
        <f>'job core'!S25</f>
        <v>76</v>
      </c>
      <c r="AE17">
        <f t="shared" si="3"/>
        <v>3953</v>
      </c>
      <c r="BD17" s="71"/>
    </row>
    <row r="18" spans="1:84"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U18" s="25" t="s">
        <v>297</v>
      </c>
      <c r="V18" s="67">
        <f>V16-V17</f>
        <v>0</v>
      </c>
      <c r="W18" s="67">
        <f t="shared" ref="W18:AD18" si="45">W16-W17</f>
        <v>0</v>
      </c>
      <c r="X18" s="67">
        <f t="shared" si="45"/>
        <v>0</v>
      </c>
      <c r="Y18" s="67">
        <f t="shared" si="45"/>
        <v>0</v>
      </c>
      <c r="Z18" s="67">
        <f t="shared" si="45"/>
        <v>0</v>
      </c>
      <c r="AA18" s="67">
        <f t="shared" si="45"/>
        <v>0</v>
      </c>
      <c r="AB18" s="67">
        <f t="shared" si="45"/>
        <v>0</v>
      </c>
      <c r="AC18" s="67">
        <f t="shared" si="45"/>
        <v>0</v>
      </c>
      <c r="AD18" s="68">
        <f t="shared" si="45"/>
        <v>0</v>
      </c>
      <c r="BD18" s="71"/>
      <c r="BP18">
        <f>SUM(BP6:BP17)</f>
        <v>1085</v>
      </c>
      <c r="BQ18">
        <f>SUM(BQ6:BQ17)</f>
        <v>1067</v>
      </c>
      <c r="BR18">
        <f>SUM(BR6:BR17)</f>
        <v>1270</v>
      </c>
      <c r="BS18">
        <f>SUM(BS6:BS17)</f>
        <v>306</v>
      </c>
      <c r="BT18">
        <f>SUM(BT6:BT17)</f>
        <v>225</v>
      </c>
    </row>
    <row r="19" spans="1:84" ht="15" thickBot="1">
      <c r="A19" s="28" t="s">
        <v>271</v>
      </c>
      <c r="B19">
        <f>SUM('sector employment'!B2:B9)</f>
        <v>428</v>
      </c>
      <c r="C19">
        <f>SUM('sector employment'!C2:C9)</f>
        <v>3451</v>
      </c>
      <c r="D19">
        <f>SUM('sector employment'!D2:D9)</f>
        <v>0</v>
      </c>
      <c r="E19">
        <f>SUM('sector employment'!E2:E9)</f>
        <v>1195.7999877929688</v>
      </c>
      <c r="F19">
        <f>SUM('sector employment'!F2:F9)</f>
        <v>14629</v>
      </c>
      <c r="G19">
        <f>SUM('sector employment'!G2:G9)</f>
        <v>14253</v>
      </c>
      <c r="H19">
        <f>SUM('sector employment'!H2:H9)</f>
        <v>3920</v>
      </c>
      <c r="I19">
        <f>SUM('sector employment'!I2:I9)</f>
        <v>23355</v>
      </c>
      <c r="J19">
        <f>SUM('sector employment'!J2:J9)</f>
        <v>8550</v>
      </c>
      <c r="K19">
        <f>SUM('sector employment'!K2:K9)</f>
        <v>107</v>
      </c>
      <c r="L19">
        <f>SUM('sector employment'!L2:L9)</f>
        <v>238</v>
      </c>
      <c r="M19">
        <f>SUM('sector employment'!M2:M9)</f>
        <v>0</v>
      </c>
      <c r="N19">
        <f>SUM('sector employment'!N2:N9)</f>
        <v>44</v>
      </c>
      <c r="O19">
        <f>SUM('sector employment'!O2:O9)</f>
        <v>344</v>
      </c>
      <c r="P19">
        <f>SUM('sector employment'!P2:P9)</f>
        <v>234</v>
      </c>
      <c r="Q19">
        <f>SUM('sector employment'!Q2:Q9)</f>
        <v>40</v>
      </c>
      <c r="R19">
        <f>SUM('sector employment'!R2:R9)</f>
        <v>174</v>
      </c>
      <c r="S19">
        <f>SUM('sector employment'!S2:S9)</f>
        <v>57</v>
      </c>
      <c r="BV19" t="str">
        <f>BO6</f>
        <v>nature</v>
      </c>
      <c r="BW19" t="str">
        <f>BO7</f>
        <v>util</v>
      </c>
      <c r="BX19" t="str">
        <f>BO8</f>
        <v>cons</v>
      </c>
      <c r="BY19" t="str">
        <f>BO9</f>
        <v>manutrans</v>
      </c>
      <c r="BZ19" t="str">
        <f>BO10</f>
        <v>trade</v>
      </c>
      <c r="CA19" t="str">
        <f>BO11</f>
        <v>services</v>
      </c>
      <c r="CB19" t="str">
        <f>BO12</f>
        <v>health</v>
      </c>
      <c r="CC19" t="str">
        <f>BO13</f>
        <v>accommo</v>
      </c>
      <c r="CD19" t="str">
        <f>BO14</f>
        <v>restau</v>
      </c>
      <c r="CE19" t="str">
        <f>BO16</f>
        <v>fed</v>
      </c>
    </row>
    <row r="20" spans="1:84">
      <c r="A20" s="41" t="s">
        <v>290</v>
      </c>
      <c r="B20">
        <f>SUM('sector employment'!B10:B12)</f>
        <v>148.80000305175781</v>
      </c>
      <c r="C20">
        <f>SUM('sector employment'!C10:C12)</f>
        <v>0</v>
      </c>
      <c r="D20">
        <f>SUM('sector employment'!D10:D12)</f>
        <v>1095</v>
      </c>
      <c r="E20">
        <f>SUM('sector employment'!E10:E12)</f>
        <v>0</v>
      </c>
      <c r="F20">
        <f>SUM('sector employment'!F10:F12)</f>
        <v>12647.199951171875</v>
      </c>
      <c r="G20">
        <f>SUM('sector employment'!G10:G12)</f>
        <v>11117</v>
      </c>
      <c r="H20">
        <f>SUM('sector employment'!H10:H12)</f>
        <v>0</v>
      </c>
      <c r="I20">
        <f>SUM('sector employment'!I10:I12)</f>
        <v>9310</v>
      </c>
      <c r="J20">
        <f>SUM('sector employment'!J10:J12)</f>
        <v>0</v>
      </c>
      <c r="K20">
        <f>SUM('sector employment'!K10:K12)</f>
        <v>124</v>
      </c>
      <c r="L20">
        <f>SUM('sector employment'!L10:L12)</f>
        <v>0</v>
      </c>
      <c r="M20">
        <f>SUM('sector employment'!M10:M12)</f>
        <v>73</v>
      </c>
      <c r="N20">
        <f>SUM('sector employment'!N10:N12)</f>
        <v>0</v>
      </c>
      <c r="O20">
        <f>SUM('sector employment'!O10:O12)</f>
        <v>337</v>
      </c>
      <c r="P20">
        <f>SUM('sector employment'!P10:P12)</f>
        <v>196</v>
      </c>
      <c r="Q20">
        <f>SUM('sector employment'!Q10:Q12)</f>
        <v>0</v>
      </c>
      <c r="R20">
        <f>SUM('sector employment'!R10:R12)</f>
        <v>70</v>
      </c>
      <c r="S20">
        <f>SUM('sector employment'!S10:S12)</f>
        <v>0</v>
      </c>
      <c r="V20" s="69" t="s">
        <v>19</v>
      </c>
      <c r="W20" s="69" t="s">
        <v>20</v>
      </c>
      <c r="X20" s="69" t="s">
        <v>21</v>
      </c>
      <c r="Y20" s="69" t="s">
        <v>22</v>
      </c>
      <c r="Z20" s="69" t="s">
        <v>23</v>
      </c>
      <c r="AA20" s="69" t="s">
        <v>24</v>
      </c>
      <c r="AB20" s="69" t="s">
        <v>25</v>
      </c>
      <c r="AC20" s="69" t="s">
        <v>26</v>
      </c>
      <c r="AD20" s="69" t="s">
        <v>27</v>
      </c>
      <c r="AF20" s="12" t="s">
        <v>247</v>
      </c>
      <c r="AG20" s="12" t="s">
        <v>248</v>
      </c>
      <c r="AH20" s="12" t="s">
        <v>249</v>
      </c>
      <c r="AI20" s="12" t="s">
        <v>250</v>
      </c>
      <c r="AJ20" s="12" t="s">
        <v>251</v>
      </c>
      <c r="BV20">
        <f>BP6</f>
        <v>20</v>
      </c>
      <c r="BW20">
        <f>BP7</f>
        <v>7</v>
      </c>
      <c r="BX20">
        <f>BP8</f>
        <v>75</v>
      </c>
      <c r="BY20">
        <f>BP9</f>
        <v>109</v>
      </c>
      <c r="BZ20">
        <f>BP10</f>
        <v>268</v>
      </c>
      <c r="CA20">
        <f>BP11</f>
        <v>271</v>
      </c>
      <c r="CB20">
        <f>BP12</f>
        <v>87</v>
      </c>
      <c r="CC20">
        <f>BP13</f>
        <v>29</v>
      </c>
      <c r="CD20">
        <f>BP14</f>
        <v>184</v>
      </c>
      <c r="CE20">
        <f>BP16</f>
        <v>35</v>
      </c>
      <c r="CF20">
        <f>SUM(BV20:CE20)</f>
        <v>1085</v>
      </c>
    </row>
    <row r="21" spans="1:84">
      <c r="A21" s="41" t="s">
        <v>311</v>
      </c>
      <c r="B21">
        <f>'sector employment'!B13</f>
        <v>3965.9999618530273</v>
      </c>
      <c r="C21">
        <f>'sector employment'!C13</f>
        <v>2180.5999755859375</v>
      </c>
      <c r="D21">
        <f>'sector employment'!D13</f>
        <v>7925.5</v>
      </c>
      <c r="E21">
        <f>'sector employment'!E13</f>
        <v>7090.800048828125</v>
      </c>
      <c r="F21">
        <f>'sector employment'!F13</f>
        <v>27832</v>
      </c>
      <c r="G21">
        <f>'sector employment'!G13</f>
        <v>94891</v>
      </c>
      <c r="H21">
        <f>'sector employment'!H13</f>
        <v>64251</v>
      </c>
      <c r="I21">
        <f>'sector employment'!I13</f>
        <v>30750</v>
      </c>
      <c r="J21">
        <f>'sector employment'!J13</f>
        <v>34977</v>
      </c>
      <c r="K21">
        <f>'sector employment'!K13</f>
        <v>1121</v>
      </c>
      <c r="L21">
        <f>'sector employment'!L13</f>
        <v>197</v>
      </c>
      <c r="M21">
        <f>'sector employment'!M13</f>
        <v>437</v>
      </c>
      <c r="N21">
        <f>'sector employment'!N13</f>
        <v>234</v>
      </c>
      <c r="O21">
        <f>'sector employment'!O13</f>
        <v>712</v>
      </c>
      <c r="P21">
        <f>'sector employment'!P13</f>
        <v>1637</v>
      </c>
      <c r="Q21">
        <f>'sector employment'!Q13</f>
        <v>755</v>
      </c>
      <c r="R21">
        <f>'sector employment'!R13</f>
        <v>296</v>
      </c>
      <c r="S21">
        <f>'sector employment'!S13</f>
        <v>89</v>
      </c>
      <c r="T21">
        <f t="shared" ref="T21:T28" si="46">SUM(K21:S21)</f>
        <v>5478</v>
      </c>
      <c r="U21" t="s">
        <v>621</v>
      </c>
      <c r="V21">
        <f>ROUND(V7*'kap land'!$M$88,0)</f>
        <v>7</v>
      </c>
      <c r="W21">
        <f>ROUND(W7*'kap land'!$M$88,0)</f>
        <v>1</v>
      </c>
      <c r="X21">
        <f>ROUND(X7*'kap land'!$M$88,0)</f>
        <v>3</v>
      </c>
      <c r="Y21">
        <f>ROUND(Y7*'kap land'!$M$88,0)</f>
        <v>2</v>
      </c>
      <c r="Z21">
        <f>ROUND(Z7*'kap land'!$M$88,0)</f>
        <v>5</v>
      </c>
      <c r="AA21">
        <f>ROUND(AA7*'kap land'!$M$88,0)</f>
        <v>11</v>
      </c>
      <c r="AB21">
        <f>ROUND(AB7*'kap land'!$M$88,0)</f>
        <v>5</v>
      </c>
      <c r="AC21">
        <f>ROUND(AC7*'kap land'!$M$88,0)</f>
        <v>2</v>
      </c>
      <c r="AD21">
        <f>ROUND(AD7*'kap land'!$M$88,0)</f>
        <v>1</v>
      </c>
      <c r="AE21" t="s">
        <v>621</v>
      </c>
      <c r="AF21">
        <f>V21+W21</f>
        <v>8</v>
      </c>
      <c r="AG21">
        <f>X21+Y21</f>
        <v>5</v>
      </c>
      <c r="AH21">
        <f>Z21+AA21</f>
        <v>16</v>
      </c>
      <c r="AI21">
        <f>AB21</f>
        <v>5</v>
      </c>
      <c r="AJ21">
        <f>AC21+AD21</f>
        <v>3</v>
      </c>
      <c r="BV21">
        <f>BQ6</f>
        <v>3</v>
      </c>
      <c r="BW21">
        <f>BQ7</f>
        <v>4</v>
      </c>
      <c r="BX21">
        <f>BQ8</f>
        <v>38</v>
      </c>
      <c r="BY21">
        <f>BQ9</f>
        <v>118</v>
      </c>
      <c r="BZ21">
        <f>BQ10</f>
        <v>295</v>
      </c>
      <c r="CA21">
        <f>BQ11</f>
        <v>156</v>
      </c>
      <c r="CB21">
        <f>BQ12</f>
        <v>197</v>
      </c>
      <c r="CC21">
        <f>BQ13</f>
        <v>97</v>
      </c>
      <c r="CD21">
        <f>BQ14</f>
        <v>108</v>
      </c>
      <c r="CE21">
        <f>BQ16</f>
        <v>51</v>
      </c>
      <c r="CF21">
        <f>SUM(BV21:CE21)</f>
        <v>1067</v>
      </c>
    </row>
    <row r="22" spans="1:84">
      <c r="A22" s="22" t="s">
        <v>296</v>
      </c>
      <c r="B22">
        <f>SUM('sector employment'!B14:B54,'sector employment'!B95:B106)</f>
        <v>5391.5900001525879</v>
      </c>
      <c r="C22">
        <f>SUM('sector employment'!C14:C54,'sector employment'!C95:C106)</f>
        <v>2113.2000122070313</v>
      </c>
      <c r="D22">
        <f>SUM('sector employment'!D14:D54,'sector employment'!D95:D106)</f>
        <v>16088.099975585938</v>
      </c>
      <c r="E22">
        <f>SUM('sector employment'!E14:E54,'sector employment'!E95:E106)</f>
        <v>33673</v>
      </c>
      <c r="F22">
        <f>SUM('sector employment'!F14:F54,'sector employment'!F95:F106)</f>
        <v>70780.100219726563</v>
      </c>
      <c r="G22">
        <f>SUM('sector employment'!G14:G54,'sector employment'!G95:G106)</f>
        <v>180335</v>
      </c>
      <c r="H22">
        <f>SUM('sector employment'!H14:H54,'sector employment'!H95:H106)</f>
        <v>119003</v>
      </c>
      <c r="I22">
        <f>SUM('sector employment'!I14:I54,'sector employment'!I95:I106)</f>
        <v>35483</v>
      </c>
      <c r="J22">
        <f>SUM('sector employment'!J14:J54,'sector employment'!J95:J106)</f>
        <v>57976</v>
      </c>
      <c r="K22">
        <f>SUM('sector employment'!K14:K54,'sector employment'!K95:K106)</f>
        <v>1745</v>
      </c>
      <c r="L22">
        <f>SUM('sector employment'!L14:L54,'sector employment'!L95:L106)</f>
        <v>168</v>
      </c>
      <c r="M22">
        <f>SUM('sector employment'!M14:M54,'sector employment'!M95:M106)</f>
        <v>874</v>
      </c>
      <c r="N22">
        <f>SUM('sector employment'!N14:N54,'sector employment'!N95:N106)</f>
        <v>1185</v>
      </c>
      <c r="O22">
        <f>SUM('sector employment'!O14:O54,'sector employment'!O95:O106)</f>
        <v>1574</v>
      </c>
      <c r="P22">
        <f>SUM('sector employment'!P14:P54,'sector employment'!P95:P106)</f>
        <v>2976</v>
      </c>
      <c r="Q22">
        <f>SUM('sector employment'!Q14:Q54,'sector employment'!Q95:Q106)</f>
        <v>1442</v>
      </c>
      <c r="R22">
        <f>SUM('sector employment'!R14:R54,'sector employment'!R95:R106)</f>
        <v>307</v>
      </c>
      <c r="S22">
        <f>SUM('sector employment'!S14:S54,'sector employment'!S95:S106)</f>
        <v>259</v>
      </c>
      <c r="T22">
        <f t="shared" si="46"/>
        <v>10530</v>
      </c>
      <c r="U22" t="s">
        <v>623</v>
      </c>
      <c r="V22">
        <f>ROUND(V9*'kap land'!$M$94,0)</f>
        <v>75</v>
      </c>
      <c r="W22">
        <f>ROUND(W9*'kap land'!$M$94,0)</f>
        <v>7</v>
      </c>
      <c r="X22">
        <f>ROUND(X9*'kap land'!$M$94,0)</f>
        <v>55</v>
      </c>
      <c r="Y22">
        <f>ROUND(Y9*'kap land'!$M$94,0)</f>
        <v>36</v>
      </c>
      <c r="Z22">
        <f>ROUND(Z9*'kap land'!$M$94,0)</f>
        <v>22</v>
      </c>
      <c r="AA22">
        <f>ROUND(AA9*'kap land'!$M$94,0)</f>
        <v>25</v>
      </c>
      <c r="AB22">
        <f>ROUND(AB9*'kap land'!$M$94,0)</f>
        <v>3</v>
      </c>
      <c r="AC22">
        <f>ROUND(AC9*'kap land'!$M$94,0)</f>
        <v>1</v>
      </c>
      <c r="AD22">
        <f>ROUND(AD9*'kap land'!$M$94,0)</f>
        <v>4</v>
      </c>
      <c r="AE22" t="s">
        <v>623</v>
      </c>
      <c r="AF22">
        <f t="shared" ref="AF22:AF41" si="47">V22+W22</f>
        <v>82</v>
      </c>
      <c r="AG22">
        <f t="shared" ref="AG22:AG41" si="48">X22+Y22</f>
        <v>91</v>
      </c>
      <c r="AH22">
        <f t="shared" ref="AH22:AH41" si="49">Z22+AA22</f>
        <v>47</v>
      </c>
      <c r="AI22">
        <f t="shared" ref="AI22:AI41" si="50">AB22</f>
        <v>3</v>
      </c>
      <c r="AJ22">
        <f t="shared" ref="AJ22:AJ41" si="51">AC22+AD22</f>
        <v>5</v>
      </c>
      <c r="BV22">
        <f>BR6</f>
        <v>33</v>
      </c>
      <c r="BW22">
        <f>BR7</f>
        <v>30</v>
      </c>
      <c r="BX22">
        <f>BR8</f>
        <v>134</v>
      </c>
      <c r="BY22">
        <f>BR9</f>
        <v>260</v>
      </c>
      <c r="BZ22">
        <f>BR10</f>
        <v>151</v>
      </c>
      <c r="CA22">
        <f>BR11</f>
        <v>325</v>
      </c>
      <c r="CB22">
        <f>BR12</f>
        <v>173</v>
      </c>
      <c r="CC22">
        <f>BR13</f>
        <v>14</v>
      </c>
      <c r="CD22">
        <f>BR14</f>
        <v>19</v>
      </c>
      <c r="CE22">
        <f>BR16</f>
        <v>131</v>
      </c>
      <c r="CF22">
        <f>SUM(BV22:CE22)</f>
        <v>1270</v>
      </c>
    </row>
    <row r="23" spans="1:84">
      <c r="A23" s="22" t="s">
        <v>295</v>
      </c>
      <c r="B23">
        <f>SUM('sector employment'!B55:B94)</f>
        <v>19989.690021514893</v>
      </c>
      <c r="C23">
        <f>SUM('sector employment'!C55:C94)</f>
        <v>4530.5</v>
      </c>
      <c r="D23">
        <f>SUM('sector employment'!D55:D94)</f>
        <v>64078.200073242188</v>
      </c>
      <c r="E23">
        <f>SUM('sector employment'!E55:E94)</f>
        <v>58706</v>
      </c>
      <c r="F23">
        <f>SUM('sector employment'!F55:F94)</f>
        <v>52748.599975585938</v>
      </c>
      <c r="G23">
        <f>SUM('sector employment'!G55:G94)</f>
        <v>79378</v>
      </c>
      <c r="H23">
        <f>SUM('sector employment'!H55:H94)</f>
        <v>15009</v>
      </c>
      <c r="I23">
        <f>SUM('sector employment'!I55:I94)</f>
        <v>9990</v>
      </c>
      <c r="J23">
        <f>SUM('sector employment'!J55:J94)</f>
        <v>39890</v>
      </c>
      <c r="K23">
        <f>SUM('sector employment'!K55:K94)</f>
        <v>4319</v>
      </c>
      <c r="L23">
        <f>SUM('sector employment'!L55:L94)</f>
        <v>389</v>
      </c>
      <c r="M23">
        <f>SUM('sector employment'!M55:M94)</f>
        <v>3115</v>
      </c>
      <c r="N23">
        <f>SUM('sector employment'!N55:N94)</f>
        <v>2051</v>
      </c>
      <c r="O23">
        <f>SUM('sector employment'!O55:O94)</f>
        <v>1244</v>
      </c>
      <c r="P23">
        <f>SUM('sector employment'!P55:P94)</f>
        <v>1404</v>
      </c>
      <c r="Q23">
        <f>SUM('sector employment'!Q55:Q94)</f>
        <v>167</v>
      </c>
      <c r="R23">
        <f>SUM('sector employment'!R55:R94)</f>
        <v>74</v>
      </c>
      <c r="S23">
        <f>SUM('sector employment'!S55:S94)</f>
        <v>242</v>
      </c>
      <c r="T23">
        <f t="shared" si="46"/>
        <v>13005</v>
      </c>
      <c r="U23" t="s">
        <v>624</v>
      </c>
      <c r="V23">
        <f>ROUND(V10*'kap land'!$M$100,0)</f>
        <v>67</v>
      </c>
      <c r="W23">
        <f>ROUND(W10*'kap land'!$M$100,0)</f>
        <v>30</v>
      </c>
      <c r="X23">
        <f>ROUND(X10*'kap land'!$M$100,0)</f>
        <v>33</v>
      </c>
      <c r="Y23">
        <f>ROUND(Y10*'kap land'!$M$100,0)</f>
        <v>23</v>
      </c>
      <c r="Z23">
        <f>ROUND(Z10*'kap land'!$M$100,0)</f>
        <v>61</v>
      </c>
      <c r="AA23">
        <f>ROUND(AA10*'kap land'!$M$100,0)</f>
        <v>56</v>
      </c>
      <c r="AB23">
        <f>ROUND(AB10*'kap land'!$M$100,0)</f>
        <v>29</v>
      </c>
      <c r="AC23">
        <f>ROUND(AC10*'kap land'!$M$100,0)</f>
        <v>19</v>
      </c>
      <c r="AD23">
        <f>ROUND(AD10*'kap land'!$M$100,0)</f>
        <v>7</v>
      </c>
      <c r="AE23" t="s">
        <v>624</v>
      </c>
      <c r="AF23">
        <f t="shared" si="47"/>
        <v>97</v>
      </c>
      <c r="AG23">
        <f t="shared" si="48"/>
        <v>56</v>
      </c>
      <c r="AH23">
        <f t="shared" si="49"/>
        <v>117</v>
      </c>
      <c r="AI23">
        <f t="shared" si="50"/>
        <v>29</v>
      </c>
      <c r="AJ23">
        <f t="shared" si="51"/>
        <v>26</v>
      </c>
      <c r="BV23">
        <f>BS6</f>
        <v>2</v>
      </c>
      <c r="BW23">
        <f>BS7</f>
        <v>0</v>
      </c>
      <c r="BX23">
        <f>BS8</f>
        <v>43</v>
      </c>
      <c r="BY23">
        <f>BS9</f>
        <v>82</v>
      </c>
      <c r="BZ23">
        <f>BS10</f>
        <v>10</v>
      </c>
      <c r="CA23">
        <f>BS11</f>
        <v>80</v>
      </c>
      <c r="CB23">
        <f>BS12</f>
        <v>64</v>
      </c>
      <c r="CC23">
        <f>BS13</f>
        <v>0</v>
      </c>
      <c r="CD23">
        <f>BS14</f>
        <v>0</v>
      </c>
      <c r="CE23">
        <f>BS16</f>
        <v>25</v>
      </c>
      <c r="CF23">
        <f>SUM(BV23:CE23)</f>
        <v>306</v>
      </c>
    </row>
    <row r="24" spans="1:84">
      <c r="A24" s="5" t="s">
        <v>293</v>
      </c>
      <c r="B24">
        <f>SUM('sector employment'!B107:B137,'sector employment'!B152:B155,'sector employment'!B160:B170)</f>
        <v>9832.7899594306946</v>
      </c>
      <c r="C24">
        <f>SUM('sector employment'!C107:C137,'sector employment'!C152:C155,'sector employment'!C160:C170)</f>
        <v>18725.000061035156</v>
      </c>
      <c r="D24">
        <f>SUM('sector employment'!D107:D137,'sector employment'!D152:D155,'sector employment'!D160:D170)</f>
        <v>32563.100036621094</v>
      </c>
      <c r="E24">
        <f>SUM('sector employment'!E107:E137,'sector employment'!E152:E155,'sector employment'!E160:E170)</f>
        <v>31666.099975585938</v>
      </c>
      <c r="F24">
        <f>SUM('sector employment'!F107:F137,'sector employment'!F152:F155,'sector employment'!F160:F170)</f>
        <v>119328.49987792969</v>
      </c>
      <c r="G24">
        <f>SUM('sector employment'!G107:G137,'sector employment'!G152:G155,'sector employment'!G160:G170)</f>
        <v>161333</v>
      </c>
      <c r="H24">
        <f>SUM('sector employment'!H107:H137,'sector employment'!H152:H155,'sector employment'!H160:H170)</f>
        <v>121393</v>
      </c>
      <c r="I24">
        <f>SUM('sector employment'!I107:I137,'sector employment'!I152:I155,'sector employment'!I160:I170)</f>
        <v>103586</v>
      </c>
      <c r="J24">
        <f>SUM('sector employment'!J107:J137,'sector employment'!J152:J155,'sector employment'!J160:J170)</f>
        <v>97849</v>
      </c>
      <c r="K24">
        <f>SUM('sector employment'!K107:K137,'sector employment'!K152:K155,'sector employment'!K160:K170)</f>
        <v>3263</v>
      </c>
      <c r="L24">
        <f>SUM('sector employment'!L107:L137,'sector employment'!L152:L155,'sector employment'!L160:L170)</f>
        <v>1497</v>
      </c>
      <c r="M24">
        <f>SUM('sector employment'!M107:M137,'sector employment'!M152:M155,'sector employment'!M160:M170)</f>
        <v>1640</v>
      </c>
      <c r="N24">
        <f>SUM('sector employment'!N107:N137,'sector employment'!N152:N155,'sector employment'!N160:N170)</f>
        <v>1109</v>
      </c>
      <c r="O24">
        <f>SUM('sector employment'!O107:O137,'sector employment'!O152:O155,'sector employment'!O160:O170)</f>
        <v>2970</v>
      </c>
      <c r="P24">
        <f>SUM('sector employment'!P107:P137,'sector employment'!P152:P155,'sector employment'!P160:P170)</f>
        <v>2739</v>
      </c>
      <c r="Q24">
        <f>SUM('sector employment'!Q107:Q137,'sector employment'!Q152:Q155,'sector employment'!Q160:Q170)</f>
        <v>1407</v>
      </c>
      <c r="R24">
        <f>SUM('sector employment'!R107:R137,'sector employment'!R152:R155,'sector employment'!R160:R170)</f>
        <v>931</v>
      </c>
      <c r="S24">
        <f>SUM('sector employment'!S107:S137,'sector employment'!S152:S155,'sector employment'!S160:S170)</f>
        <v>325</v>
      </c>
      <c r="T24">
        <f t="shared" si="46"/>
        <v>15881</v>
      </c>
      <c r="U24" t="s">
        <v>625</v>
      </c>
      <c r="V24">
        <f>ROUND(V11*'kap land'!$M$106,0)</f>
        <v>40</v>
      </c>
      <c r="W24">
        <f>ROUND(W11*'kap land'!$M$106,0)</f>
        <v>17</v>
      </c>
      <c r="X24">
        <f>ROUND(X11*'kap land'!$M$106,0)</f>
        <v>75</v>
      </c>
      <c r="Y24">
        <f>ROUND(Y11*'kap land'!$M$106,0)</f>
        <v>56</v>
      </c>
      <c r="Z24">
        <f>ROUND(Z11*'kap land'!$M$106,0)</f>
        <v>52</v>
      </c>
      <c r="AA24">
        <f>ROUND(AA11*'kap land'!$M$106,0)</f>
        <v>62</v>
      </c>
      <c r="AB24">
        <f>ROUND(AB11*'kap land'!$M$106,0)</f>
        <v>42</v>
      </c>
      <c r="AC24">
        <f>ROUND(AC11*'kap land'!$M$106,0)</f>
        <v>24</v>
      </c>
      <c r="AD24">
        <f>ROUND(AD11*'kap land'!$M$106,0)</f>
        <v>12</v>
      </c>
      <c r="AE24" t="s">
        <v>625</v>
      </c>
      <c r="AF24">
        <f t="shared" si="47"/>
        <v>57</v>
      </c>
      <c r="AG24">
        <f t="shared" si="48"/>
        <v>131</v>
      </c>
      <c r="AH24">
        <f t="shared" si="49"/>
        <v>114</v>
      </c>
      <c r="AI24">
        <f t="shared" si="50"/>
        <v>42</v>
      </c>
      <c r="AJ24">
        <f t="shared" si="51"/>
        <v>36</v>
      </c>
      <c r="BV24">
        <f>BT6</f>
        <v>13</v>
      </c>
      <c r="BW24">
        <f>BT7</f>
        <v>4</v>
      </c>
      <c r="BX24">
        <f>BT8</f>
        <v>22</v>
      </c>
      <c r="BY24">
        <f>BT9</f>
        <v>32</v>
      </c>
      <c r="BZ24">
        <f>BT10</f>
        <v>18</v>
      </c>
      <c r="CA24">
        <f>BT11</f>
        <v>72</v>
      </c>
      <c r="CB24">
        <f>BT12</f>
        <v>54</v>
      </c>
      <c r="CC24">
        <f>BT13</f>
        <v>0</v>
      </c>
      <c r="CD24">
        <f>BT14</f>
        <v>0</v>
      </c>
      <c r="CE24">
        <f>BT16</f>
        <v>10</v>
      </c>
      <c r="CF24">
        <f>SUM(BV24:CE24)</f>
        <v>225</v>
      </c>
    </row>
    <row r="25" spans="1:84">
      <c r="A25" s="5" t="s">
        <v>269</v>
      </c>
      <c r="B25">
        <f>SUM('sector employment'!B138:B151)</f>
        <v>5213.9200000762939</v>
      </c>
      <c r="C25">
        <f>SUM('sector employment'!C138:C151)</f>
        <v>5619.7999877929688</v>
      </c>
      <c r="D25">
        <f>SUM('sector employment'!D138:D151)</f>
        <v>43002.799987792969</v>
      </c>
      <c r="E25">
        <f>SUM('sector employment'!E138:E151)</f>
        <v>44656.200073242188</v>
      </c>
      <c r="F25">
        <f>SUM('sector employment'!F138:F151)</f>
        <v>54529</v>
      </c>
      <c r="G25">
        <f>SUM('sector employment'!G138:G151)</f>
        <v>99838</v>
      </c>
      <c r="H25">
        <f>SUM('sector employment'!H138:H151)</f>
        <v>94963</v>
      </c>
      <c r="I25">
        <f>SUM('sector employment'!I138:I151)</f>
        <v>74012</v>
      </c>
      <c r="J25">
        <f>SUM('sector employment'!J138:J151)</f>
        <v>76389</v>
      </c>
      <c r="K25">
        <f>SUM('sector employment'!K138:K151)</f>
        <v>1072</v>
      </c>
      <c r="L25">
        <f>SUM('sector employment'!L138:L151)</f>
        <v>448</v>
      </c>
      <c r="M25">
        <f>SUM('sector employment'!M138:M151)</f>
        <v>1984</v>
      </c>
      <c r="N25">
        <f>SUM('sector employment'!N138:N151)</f>
        <v>1472</v>
      </c>
      <c r="O25">
        <f>SUM('sector employment'!O138:O151)</f>
        <v>1390</v>
      </c>
      <c r="P25">
        <f>SUM('sector employment'!P138:P151)</f>
        <v>1655</v>
      </c>
      <c r="Q25">
        <f>SUM('sector employment'!Q138:Q151)</f>
        <v>1119</v>
      </c>
      <c r="R25">
        <f>SUM('sector employment'!R138:R151)</f>
        <v>634</v>
      </c>
      <c r="S25">
        <f>SUM('sector employment'!S138:S151)</f>
        <v>318</v>
      </c>
      <c r="T25">
        <f t="shared" si="46"/>
        <v>10092</v>
      </c>
      <c r="U25" t="s">
        <v>626</v>
      </c>
      <c r="V25">
        <f>ROUND(V12*'kap land'!$M$112,0)</f>
        <v>2</v>
      </c>
      <c r="W25">
        <f>ROUND(W12*'kap land'!$M$112,0)</f>
        <v>6</v>
      </c>
      <c r="X25">
        <f>ROUND(X12*'kap land'!$M$112,0)</f>
        <v>11</v>
      </c>
      <c r="Y25">
        <f>ROUND(Y12*'kap land'!$M$112,0)</f>
        <v>16</v>
      </c>
      <c r="Z25">
        <f>ROUND(Z12*'kap land'!$M$112,0)</f>
        <v>1</v>
      </c>
      <c r="AA25">
        <f>ROUND(AA12*'kap land'!$M$112,0)</f>
        <v>3</v>
      </c>
      <c r="AB25">
        <f>ROUND(AB12*'kap land'!$M$112,0)</f>
        <v>0</v>
      </c>
      <c r="AC25">
        <f>ROUND(AC12*'kap land'!$M$112,0)</f>
        <v>0</v>
      </c>
      <c r="AD25">
        <f>ROUND(AD12*'kap land'!$M$112,0)</f>
        <v>0</v>
      </c>
      <c r="AE25" t="s">
        <v>626</v>
      </c>
      <c r="AF25">
        <f t="shared" si="47"/>
        <v>8</v>
      </c>
      <c r="AG25">
        <f t="shared" si="48"/>
        <v>27</v>
      </c>
      <c r="AH25">
        <f t="shared" si="49"/>
        <v>4</v>
      </c>
      <c r="AI25">
        <f t="shared" si="50"/>
        <v>0</v>
      </c>
      <c r="AJ25">
        <f t="shared" si="51"/>
        <v>0</v>
      </c>
      <c r="CF25">
        <f>SUM(CF20:CF24)</f>
        <v>3953</v>
      </c>
    </row>
    <row r="26" spans="1:84">
      <c r="A26" s="28" t="s">
        <v>312</v>
      </c>
      <c r="B26">
        <f>SUM('sector employment'!B158:B159)</f>
        <v>7127.4999732971191</v>
      </c>
      <c r="C26">
        <f>SUM('sector employment'!C158:C159)</f>
        <v>13838</v>
      </c>
      <c r="D26">
        <f>SUM('sector employment'!D158:D159)</f>
        <v>25795.39990234375</v>
      </c>
      <c r="E26">
        <f>SUM('sector employment'!E158:E159)</f>
        <v>17838</v>
      </c>
      <c r="F26">
        <f>SUM('sector employment'!F158:F159)</f>
        <v>12627</v>
      </c>
      <c r="G26">
        <f>SUM('sector employment'!G158:G159)</f>
        <v>0</v>
      </c>
      <c r="H26">
        <f>SUM('sector employment'!H158:H159)</f>
        <v>0</v>
      </c>
      <c r="I26">
        <f>SUM('sector employment'!I158:I159)</f>
        <v>0</v>
      </c>
      <c r="J26">
        <f>SUM('sector employment'!J158:J159)</f>
        <v>0</v>
      </c>
      <c r="K26">
        <f>SUM('sector employment'!K158:K159)</f>
        <v>2107</v>
      </c>
      <c r="L26">
        <f>SUM('sector employment'!L158:L159)</f>
        <v>1129</v>
      </c>
      <c r="M26">
        <f>SUM('sector employment'!M158:M159)</f>
        <v>1283</v>
      </c>
      <c r="N26">
        <f>SUM('sector employment'!N158:N159)</f>
        <v>620</v>
      </c>
      <c r="O26">
        <f>SUM('sector employment'!O158:O159)</f>
        <v>333</v>
      </c>
      <c r="P26">
        <f>SUM('sector employment'!P158:P159)</f>
        <v>0</v>
      </c>
      <c r="Q26">
        <f>SUM('sector employment'!Q158:Q159)</f>
        <v>0</v>
      </c>
      <c r="R26">
        <f>SUM('sector employment'!R158:R159)</f>
        <v>0</v>
      </c>
      <c r="S26">
        <f>SUM('sector employment'!S158:S159)</f>
        <v>0</v>
      </c>
      <c r="T26">
        <f t="shared" si="46"/>
        <v>5472</v>
      </c>
      <c r="U26" t="s">
        <v>627</v>
      </c>
      <c r="V26">
        <f>ROUND(V13*'kap land'!$M$118,0)</f>
        <v>107</v>
      </c>
      <c r="W26">
        <f>ROUND(W13*'kap land'!$M$118,0)+1</f>
        <v>58</v>
      </c>
      <c r="X26">
        <f>ROUND(X13*'kap land'!$M$118,0)</f>
        <v>65</v>
      </c>
      <c r="Y26">
        <f>ROUND(Y13*'kap land'!$M$118,0)</f>
        <v>31</v>
      </c>
      <c r="Z26">
        <f>ROUND(Z13*'kap land'!$M$118,0)</f>
        <v>17</v>
      </c>
      <c r="AA26">
        <f>ROUND(AA13*'kap land'!$M$118,0)</f>
        <v>0</v>
      </c>
      <c r="AB26">
        <f>ROUND(AB13*'kap land'!$M$118,0)</f>
        <v>0</v>
      </c>
      <c r="AC26">
        <f>ROUND(AC13*'kap land'!$M$118,0)</f>
        <v>0</v>
      </c>
      <c r="AD26">
        <f>ROUND(AD13*'kap land'!$M$118,0)</f>
        <v>0</v>
      </c>
      <c r="AE26" t="s">
        <v>627</v>
      </c>
      <c r="AF26">
        <f t="shared" si="47"/>
        <v>165</v>
      </c>
      <c r="AG26">
        <f t="shared" si="48"/>
        <v>96</v>
      </c>
      <c r="AH26">
        <f t="shared" si="49"/>
        <v>17</v>
      </c>
      <c r="AI26">
        <f t="shared" si="50"/>
        <v>0</v>
      </c>
      <c r="AJ26">
        <f t="shared" si="51"/>
        <v>0</v>
      </c>
      <c r="AU26">
        <f>AE20</f>
        <v>0</v>
      </c>
      <c r="AV26" t="str">
        <f>AE21</f>
        <v>const1</v>
      </c>
      <c r="AW26" t="str">
        <f>AE22</f>
        <v>Retail1</v>
      </c>
      <c r="AX26" t="str">
        <f>AE23</f>
        <v>Serv1</v>
      </c>
      <c r="AY26" t="str">
        <f>AE24</f>
        <v>HC1</v>
      </c>
      <c r="AZ26" t="str">
        <f>AE25</f>
        <v>Accom1</v>
      </c>
      <c r="BA26" t="str">
        <f>AE26</f>
        <v>Rest1</v>
      </c>
      <c r="BB26" t="str">
        <f>AE27</f>
        <v>ag2</v>
      </c>
      <c r="BC26" t="str">
        <f>AE28</f>
        <v>const2</v>
      </c>
      <c r="BD26" t="str">
        <f>AE29</f>
        <v>manuf2</v>
      </c>
      <c r="BE26" t="str">
        <f>AE30</f>
        <v>Retail2</v>
      </c>
      <c r="BF26" t="str">
        <f>AE31</f>
        <v>Serv2</v>
      </c>
      <c r="BG26" t="str">
        <f>AE32</f>
        <v>HC2</v>
      </c>
      <c r="BH26" t="str">
        <f>AE33</f>
        <v>Accom2</v>
      </c>
      <c r="BI26" t="str">
        <f>AE34</f>
        <v>Rest2</v>
      </c>
      <c r="BJ26" t="str">
        <f>AE35</f>
        <v>ag3</v>
      </c>
      <c r="BK26" t="str">
        <f>AE36</f>
        <v>util</v>
      </c>
      <c r="BL26" t="str">
        <f>AE37</f>
        <v>const3</v>
      </c>
      <c r="BM26" t="str">
        <f>AE38</f>
        <v>Retail3</v>
      </c>
      <c r="BN26" t="str">
        <f>AE39</f>
        <v>Serv3</v>
      </c>
      <c r="BO26" t="str">
        <f>AE40</f>
        <v>HC3</v>
      </c>
      <c r="BP26" t="str">
        <f>AE41</f>
        <v>fed</v>
      </c>
      <c r="BQ26" s="12" t="s">
        <v>267</v>
      </c>
      <c r="BR26" s="12" t="s">
        <v>225</v>
      </c>
      <c r="BV26">
        <f>AS6/BV20</f>
        <v>11.055150000000001</v>
      </c>
      <c r="BW26">
        <f t="shared" ref="BW26:CD30" si="52">AT6/BW20</f>
        <v>1.2116571677071708</v>
      </c>
      <c r="BX26">
        <f t="shared" si="52"/>
        <v>4.6714159524536134</v>
      </c>
      <c r="BY26">
        <f t="shared" si="52"/>
        <v>3.924523217472462</v>
      </c>
      <c r="BZ26">
        <f t="shared" si="52"/>
        <v>5.2151150418893613</v>
      </c>
      <c r="CA26">
        <f t="shared" si="52"/>
        <v>6.0066200412049939</v>
      </c>
      <c r="CB26">
        <f t="shared" si="52"/>
        <v>7.0979544748108978</v>
      </c>
      <c r="CC26">
        <f t="shared" si="52"/>
        <v>11.374251712141366</v>
      </c>
      <c r="CD26">
        <f t="shared" si="52"/>
        <v>6.4947472743366079</v>
      </c>
      <c r="CE26">
        <f>BB6/BP27</f>
        <v>6.6126514333861222</v>
      </c>
      <c r="CF26">
        <f>BC6/CE20</f>
        <v>183.05743792321343</v>
      </c>
    </row>
    <row r="27" spans="1:84">
      <c r="A27" s="5" t="s">
        <v>294</v>
      </c>
      <c r="B27">
        <f>SUM('sector employment'!B156:B157)</f>
        <v>770.89999389648438</v>
      </c>
      <c r="C27">
        <f>SUM('sector employment'!C156:C157)</f>
        <v>5016</v>
      </c>
      <c r="D27">
        <f>SUM('sector employment'!D156:D157)</f>
        <v>13079.300048828125</v>
      </c>
      <c r="E27">
        <f>SUM('sector employment'!E156:E157)</f>
        <v>30246.000244140625</v>
      </c>
      <c r="F27">
        <f>SUM('sector employment'!F156:F157)</f>
        <v>3456</v>
      </c>
      <c r="G27">
        <f>SUM('sector employment'!G156:G157)</f>
        <v>8045</v>
      </c>
      <c r="H27">
        <f>SUM('sector employment'!H156:H157)</f>
        <v>0</v>
      </c>
      <c r="I27">
        <f>SUM('sector employment'!I156:I157)</f>
        <v>0</v>
      </c>
      <c r="J27">
        <f>SUM('sector employment'!J156:J157)</f>
        <v>0</v>
      </c>
      <c r="K27">
        <f>SUM('sector employment'!K156:K157)</f>
        <v>139</v>
      </c>
      <c r="L27">
        <f>SUM('sector employment'!L156:L157)</f>
        <v>376</v>
      </c>
      <c r="M27">
        <f>SUM('sector employment'!M156:M157)</f>
        <v>716</v>
      </c>
      <c r="N27">
        <f>SUM('sector employment'!N156:N157)</f>
        <v>983</v>
      </c>
      <c r="O27">
        <f>SUM('sector employment'!O156:O157)</f>
        <v>96</v>
      </c>
      <c r="P27">
        <f>SUM('sector employment'!P156:P157)</f>
        <v>158</v>
      </c>
      <c r="Q27">
        <f>SUM('sector employment'!Q156:Q157)</f>
        <v>0</v>
      </c>
      <c r="R27">
        <f>SUM('sector employment'!R156:R157)</f>
        <v>0</v>
      </c>
      <c r="S27">
        <f>SUM('sector employment'!S156:S157)</f>
        <v>0</v>
      </c>
      <c r="T27">
        <f t="shared" si="46"/>
        <v>2468</v>
      </c>
      <c r="U27" t="s">
        <v>639</v>
      </c>
      <c r="V27">
        <f>ROUND(V5*'kap land'!$S$86,0)</f>
        <v>3</v>
      </c>
      <c r="W27">
        <f>ROUND(W5*'kap land'!$S$86,0)</f>
        <v>7</v>
      </c>
      <c r="X27">
        <f>ROUND(X5*'kap land'!$S$86,0)</f>
        <v>0</v>
      </c>
      <c r="Y27">
        <f>ROUND(Y5*'kap land'!$S$86,0)</f>
        <v>1</v>
      </c>
      <c r="Z27">
        <f>ROUND(Z5*'kap land'!$S$86,0)</f>
        <v>9</v>
      </c>
      <c r="AA27">
        <f>ROUND(AA5*'kap land'!$S$86,0)</f>
        <v>6</v>
      </c>
      <c r="AB27">
        <f>ROUND(AB5*'kap land'!$S$86,0)</f>
        <v>1</v>
      </c>
      <c r="AC27">
        <f>ROUND(AC5*'kap land'!$S$86,0)</f>
        <v>5</v>
      </c>
      <c r="AD27">
        <f>ROUND(AD5*'kap land'!$S$86,0)</f>
        <v>1</v>
      </c>
      <c r="AE27" t="s">
        <v>639</v>
      </c>
      <c r="AF27">
        <f t="shared" si="47"/>
        <v>10</v>
      </c>
      <c r="AG27">
        <f t="shared" si="48"/>
        <v>1</v>
      </c>
      <c r="AH27">
        <f t="shared" si="49"/>
        <v>15</v>
      </c>
      <c r="AI27">
        <f t="shared" si="50"/>
        <v>1</v>
      </c>
      <c r="AJ27">
        <f t="shared" si="51"/>
        <v>6</v>
      </c>
      <c r="AU27" t="str">
        <f>AF20</f>
        <v>L1</v>
      </c>
      <c r="AV27">
        <f>AF21</f>
        <v>8</v>
      </c>
      <c r="AW27">
        <f>AF22</f>
        <v>82</v>
      </c>
      <c r="AX27">
        <f>AF23</f>
        <v>97</v>
      </c>
      <c r="AY27">
        <f>AF24</f>
        <v>57</v>
      </c>
      <c r="AZ27">
        <f>AF25</f>
        <v>8</v>
      </c>
      <c r="BA27">
        <f>AF26</f>
        <v>165</v>
      </c>
      <c r="BB27">
        <f>AF27</f>
        <v>10</v>
      </c>
      <c r="BC27">
        <f>AF28</f>
        <v>35</v>
      </c>
      <c r="BD27">
        <f>AF29</f>
        <v>109</v>
      </c>
      <c r="BE27">
        <f>AF30</f>
        <v>184</v>
      </c>
      <c r="BF27">
        <f>AF31</f>
        <v>119</v>
      </c>
      <c r="BG27">
        <f>AF32</f>
        <v>17</v>
      </c>
      <c r="BH27">
        <f>AF33</f>
        <v>21</v>
      </c>
      <c r="BI27">
        <f>AF34</f>
        <v>20</v>
      </c>
      <c r="BJ27">
        <f>AF35</f>
        <v>10</v>
      </c>
      <c r="BK27">
        <f>AF36</f>
        <v>7</v>
      </c>
      <c r="BL27">
        <f>AF37</f>
        <v>32</v>
      </c>
      <c r="BM27">
        <f>AF38</f>
        <v>1</v>
      </c>
      <c r="BN27">
        <f>AF39</f>
        <v>55</v>
      </c>
      <c r="BO27">
        <f>AF40</f>
        <v>13</v>
      </c>
      <c r="BP27">
        <f>AF41</f>
        <v>35</v>
      </c>
      <c r="BQ27">
        <f>SUM(AV27:BP27)</f>
        <v>1085</v>
      </c>
      <c r="BR27">
        <f>'job core'!AT39</f>
        <v>1085</v>
      </c>
      <c r="BS27">
        <f>BQ27-BR27</f>
        <v>0</v>
      </c>
      <c r="BV27">
        <f t="shared" ref="BV27:BV30" si="53">AS7/BV21</f>
        <v>22.720199768066408</v>
      </c>
      <c r="BW27">
        <f t="shared" si="52"/>
        <v>15.60375</v>
      </c>
      <c r="BX27">
        <f t="shared" si="52"/>
        <v>22.524450073242189</v>
      </c>
      <c r="BY27">
        <f t="shared" si="52"/>
        <v>24.037141513630498</v>
      </c>
      <c r="BZ27">
        <f t="shared" si="52"/>
        <v>23.724404759914592</v>
      </c>
      <c r="CA27">
        <f t="shared" si="52"/>
        <v>23.468361542921802</v>
      </c>
      <c r="CB27">
        <f t="shared" si="52"/>
        <v>25.363263977050782</v>
      </c>
      <c r="CC27">
        <f t="shared" si="52"/>
        <v>25.459197079373393</v>
      </c>
      <c r="CD27">
        <f t="shared" si="52"/>
        <v>23.028738837348094</v>
      </c>
      <c r="CE27">
        <f t="shared" ref="CE27:CE30" si="54">BB7/BP28</f>
        <v>27.415099918141085</v>
      </c>
      <c r="CF27">
        <f>BC7/CE21</f>
        <v>506.54961207849846</v>
      </c>
    </row>
    <row r="28" spans="1:84">
      <c r="A28" s="6" t="s">
        <v>270</v>
      </c>
      <c r="B28">
        <f>SUM('sector employment'!B171:B180)</f>
        <v>2931.5999999046326</v>
      </c>
      <c r="C28">
        <f>SUM('sector employment'!C171:C180)</f>
        <v>1128.8000030517578</v>
      </c>
      <c r="D28">
        <f>SUM('sector employment'!D171:D180)</f>
        <v>3977.4998779296875</v>
      </c>
      <c r="E28">
        <f>SUM('sector employment'!E171:E180)</f>
        <v>20551.800048828125</v>
      </c>
      <c r="F28">
        <f>SUM('sector employment'!F171:F180)</f>
        <v>52646.60009765625</v>
      </c>
      <c r="G28">
        <f>SUM('sector employment'!G171:G180)</f>
        <v>61921</v>
      </c>
      <c r="H28">
        <f>SUM('sector employment'!H171:H180)</f>
        <v>37597</v>
      </c>
      <c r="I28">
        <f>SUM('sector employment'!I171:I180)</f>
        <v>14970</v>
      </c>
      <c r="J28">
        <f>SUM('sector employment'!J171:J180)</f>
        <v>5700</v>
      </c>
      <c r="K28">
        <f>SUM('sector employment'!K171:K180)</f>
        <v>505</v>
      </c>
      <c r="L28">
        <f>SUM('sector employment'!L171:L180)</f>
        <v>100</v>
      </c>
      <c r="M28">
        <f>SUM('sector employment'!M171:M180)</f>
        <v>190</v>
      </c>
      <c r="N28">
        <f>SUM('sector employment'!N171:N180)</f>
        <v>710</v>
      </c>
      <c r="O28">
        <f>SUM('sector employment'!O171:O180)</f>
        <v>1251</v>
      </c>
      <c r="P28">
        <f>SUM('sector employment'!P171:P180)</f>
        <v>1061</v>
      </c>
      <c r="Q28">
        <f>SUM('sector employment'!Q171:Q180)</f>
        <v>446</v>
      </c>
      <c r="R28">
        <f>SUM('sector employment'!R171:R180)</f>
        <v>146</v>
      </c>
      <c r="S28">
        <f>SUM('sector employment'!S171:S180)</f>
        <v>38</v>
      </c>
      <c r="T28">
        <f t="shared" si="46"/>
        <v>4447</v>
      </c>
      <c r="U28" t="s">
        <v>640</v>
      </c>
      <c r="V28">
        <f>ROUND(V7*'kap land'!$N$88,0)</f>
        <v>30</v>
      </c>
      <c r="W28">
        <f>ROUND(W7*'kap land'!$N$88,0)</f>
        <v>5</v>
      </c>
      <c r="X28">
        <f>ROUND(X7*'kap land'!$N$88,0)</f>
        <v>12</v>
      </c>
      <c r="Y28">
        <f>ROUND(Y7*'kap land'!$N$88,0)</f>
        <v>6</v>
      </c>
      <c r="Z28">
        <f>ROUND(Z7*'kap land'!$N$88,0)</f>
        <v>19</v>
      </c>
      <c r="AA28">
        <f>ROUND(AA7*'kap land'!$N$88,0)</f>
        <v>43</v>
      </c>
      <c r="AB28">
        <f>ROUND(AB7*'kap land'!$N$88,0)</f>
        <v>20</v>
      </c>
      <c r="AC28">
        <f>ROUND(AC7*'kap land'!$N$88,0)</f>
        <v>8</v>
      </c>
      <c r="AD28">
        <f>ROUND(AD7*'kap land'!$N$88,0)</f>
        <v>2</v>
      </c>
      <c r="AE28" t="s">
        <v>640</v>
      </c>
      <c r="AF28">
        <f t="shared" si="47"/>
        <v>35</v>
      </c>
      <c r="AG28">
        <f t="shared" si="48"/>
        <v>18</v>
      </c>
      <c r="AH28">
        <f t="shared" si="49"/>
        <v>62</v>
      </c>
      <c r="AI28">
        <f t="shared" si="50"/>
        <v>20</v>
      </c>
      <c r="AJ28">
        <f t="shared" si="51"/>
        <v>10</v>
      </c>
      <c r="AU28" t="str">
        <f>AG20</f>
        <v>L2</v>
      </c>
      <c r="AV28">
        <f>AG21</f>
        <v>5</v>
      </c>
      <c r="AW28">
        <f>AG22</f>
        <v>91</v>
      </c>
      <c r="AX28">
        <f>AG23</f>
        <v>56</v>
      </c>
      <c r="AY28">
        <f>AG24</f>
        <v>131</v>
      </c>
      <c r="AZ28">
        <f>AG25</f>
        <v>27</v>
      </c>
      <c r="BA28">
        <f>AG26</f>
        <v>96</v>
      </c>
      <c r="BB28">
        <f>AG27</f>
        <v>1</v>
      </c>
      <c r="BC28">
        <f>AG28</f>
        <v>18</v>
      </c>
      <c r="BD28">
        <f>AG29</f>
        <v>118</v>
      </c>
      <c r="BE28">
        <f>AG30-1</f>
        <v>200</v>
      </c>
      <c r="BF28">
        <f>AG31</f>
        <v>69</v>
      </c>
      <c r="BG28">
        <f>AG32</f>
        <v>38</v>
      </c>
      <c r="BH28">
        <f>AG33</f>
        <v>70</v>
      </c>
      <c r="BI28">
        <f>AG34</f>
        <v>12</v>
      </c>
      <c r="BJ28">
        <f>AG35</f>
        <v>2</v>
      </c>
      <c r="BK28">
        <f>AG36</f>
        <v>4</v>
      </c>
      <c r="BL28">
        <f>AG37</f>
        <v>15</v>
      </c>
      <c r="BM28">
        <f>AG38</f>
        <v>2</v>
      </c>
      <c r="BN28">
        <f>AG39</f>
        <v>32</v>
      </c>
      <c r="BO28">
        <f>AG40</f>
        <v>28</v>
      </c>
      <c r="BP28">
        <f>AG41</f>
        <v>51</v>
      </c>
      <c r="BQ28">
        <f>SUM(AV28:BP28)</f>
        <v>1066</v>
      </c>
      <c r="BR28">
        <f>'job core'!AT40</f>
        <v>1066</v>
      </c>
      <c r="BS28">
        <f t="shared" ref="BS28:BS32" si="55">BQ28-BR28</f>
        <v>0</v>
      </c>
      <c r="BV28">
        <f t="shared" si="53"/>
        <v>49.887090909090915</v>
      </c>
      <c r="BW28">
        <f t="shared" si="52"/>
        <v>45.151979907226561</v>
      </c>
      <c r="BX28">
        <f t="shared" si="52"/>
        <v>52.203067164179103</v>
      </c>
      <c r="BY28">
        <f t="shared" si="52"/>
        <v>55.052156586632364</v>
      </c>
      <c r="BZ28">
        <f t="shared" si="52"/>
        <v>49.875603964294037</v>
      </c>
      <c r="CA28">
        <f t="shared" si="52"/>
        <v>49.223709209359974</v>
      </c>
      <c r="CB28">
        <f t="shared" si="52"/>
        <v>50.860803468208104</v>
      </c>
      <c r="CC28">
        <f t="shared" si="52"/>
        <v>46.825499999999998</v>
      </c>
      <c r="CD28">
        <f t="shared" si="52"/>
        <v>37.881</v>
      </c>
      <c r="CE28">
        <f t="shared" si="54"/>
        <v>49.850024469972574</v>
      </c>
      <c r="CF28">
        <f>BC8/CE22</f>
        <v>492.6953817325039</v>
      </c>
    </row>
    <row r="29" spans="1:84">
      <c r="B29">
        <f>SUM(B19:B28)</f>
        <v>55800.78991317749</v>
      </c>
      <c r="C29">
        <f t="shared" ref="C29:S29" si="56">SUM(C19:C28)</f>
        <v>56602.900039672852</v>
      </c>
      <c r="D29">
        <f t="shared" si="56"/>
        <v>207604.89990234375</v>
      </c>
      <c r="E29">
        <f t="shared" si="56"/>
        <v>245623.70037841797</v>
      </c>
      <c r="F29">
        <f t="shared" si="56"/>
        <v>421224.00012207031</v>
      </c>
      <c r="G29">
        <f t="shared" si="56"/>
        <v>711111</v>
      </c>
      <c r="H29">
        <f t="shared" si="56"/>
        <v>456136</v>
      </c>
      <c r="I29">
        <f t="shared" si="56"/>
        <v>301456</v>
      </c>
      <c r="J29">
        <f t="shared" si="56"/>
        <v>321331</v>
      </c>
      <c r="K29">
        <f t="shared" si="56"/>
        <v>14502</v>
      </c>
      <c r="L29">
        <f t="shared" si="56"/>
        <v>4542</v>
      </c>
      <c r="M29">
        <f t="shared" si="56"/>
        <v>10312</v>
      </c>
      <c r="N29">
        <f t="shared" si="56"/>
        <v>8408</v>
      </c>
      <c r="O29">
        <f t="shared" si="56"/>
        <v>10251</v>
      </c>
      <c r="P29">
        <f t="shared" si="56"/>
        <v>12060</v>
      </c>
      <c r="Q29">
        <f t="shared" si="56"/>
        <v>5376</v>
      </c>
      <c r="R29">
        <f t="shared" si="56"/>
        <v>2632</v>
      </c>
      <c r="S29">
        <f t="shared" si="56"/>
        <v>1328</v>
      </c>
      <c r="U29" t="s">
        <v>641</v>
      </c>
      <c r="V29">
        <f>V8</f>
        <v>99</v>
      </c>
      <c r="W29">
        <f t="shared" ref="W29:AC29" si="57">W8</f>
        <v>10</v>
      </c>
      <c r="X29">
        <f t="shared" si="57"/>
        <v>50</v>
      </c>
      <c r="Y29">
        <f t="shared" si="57"/>
        <v>68</v>
      </c>
      <c r="Z29">
        <f>Z8+1</f>
        <v>91</v>
      </c>
      <c r="AA29">
        <f t="shared" si="57"/>
        <v>170</v>
      </c>
      <c r="AB29">
        <f t="shared" si="57"/>
        <v>82</v>
      </c>
      <c r="AC29">
        <f t="shared" si="57"/>
        <v>17</v>
      </c>
      <c r="AD29">
        <f>AD8-1</f>
        <v>14</v>
      </c>
      <c r="AE29" t="s">
        <v>641</v>
      </c>
      <c r="AF29">
        <f t="shared" si="47"/>
        <v>109</v>
      </c>
      <c r="AG29">
        <f t="shared" si="48"/>
        <v>118</v>
      </c>
      <c r="AH29">
        <f t="shared" si="49"/>
        <v>261</v>
      </c>
      <c r="AI29">
        <f t="shared" si="50"/>
        <v>82</v>
      </c>
      <c r="AJ29">
        <f t="shared" si="51"/>
        <v>31</v>
      </c>
      <c r="AU29" t="str">
        <f>AH20</f>
        <v>L3</v>
      </c>
      <c r="AV29">
        <f>AH21</f>
        <v>16</v>
      </c>
      <c r="AW29">
        <f>AH22</f>
        <v>47</v>
      </c>
      <c r="AX29">
        <f>AH23</f>
        <v>117</v>
      </c>
      <c r="AY29">
        <f>AH24</f>
        <v>114</v>
      </c>
      <c r="AZ29">
        <f>AH25</f>
        <v>4</v>
      </c>
      <c r="BA29">
        <f>AH26</f>
        <v>17</v>
      </c>
      <c r="BB29">
        <f>AH27</f>
        <v>15</v>
      </c>
      <c r="BC29">
        <f>AH28</f>
        <v>62</v>
      </c>
      <c r="BD29">
        <f>AH29+1</f>
        <v>262</v>
      </c>
      <c r="BE29">
        <f>AH30</f>
        <v>104</v>
      </c>
      <c r="BF29">
        <f>AH31</f>
        <v>143</v>
      </c>
      <c r="BG29">
        <f>AH32</f>
        <v>33</v>
      </c>
      <c r="BH29">
        <f>AH33</f>
        <v>10</v>
      </c>
      <c r="BI29">
        <f>AH34</f>
        <v>2</v>
      </c>
      <c r="BJ29">
        <f>AH35</f>
        <v>18</v>
      </c>
      <c r="BK29">
        <f>AH36</f>
        <v>30</v>
      </c>
      <c r="BL29">
        <f>AH37</f>
        <v>56</v>
      </c>
      <c r="BM29">
        <f>AH38</f>
        <v>0</v>
      </c>
      <c r="BN29">
        <f>AH39</f>
        <v>66</v>
      </c>
      <c r="BO29">
        <f>AH40</f>
        <v>24</v>
      </c>
      <c r="BP29">
        <f>AH41</f>
        <v>131</v>
      </c>
      <c r="BQ29">
        <f>SUM(AV29:BP29)</f>
        <v>1271</v>
      </c>
      <c r="BR29">
        <f>'job core'!AT41</f>
        <v>1271</v>
      </c>
      <c r="BS29">
        <f t="shared" si="55"/>
        <v>0</v>
      </c>
      <c r="BV29">
        <f t="shared" si="53"/>
        <v>111.72</v>
      </c>
      <c r="BW29">
        <v>0</v>
      </c>
      <c r="BX29">
        <f t="shared" si="52"/>
        <v>85.169930232558144</v>
      </c>
      <c r="BY29">
        <f t="shared" si="52"/>
        <v>82.72159756097561</v>
      </c>
      <c r="BZ29">
        <f t="shared" si="52"/>
        <v>85.551299999999998</v>
      </c>
      <c r="CA29">
        <f t="shared" si="52"/>
        <v>86.492512500000004</v>
      </c>
      <c r="CB29">
        <f t="shared" si="52"/>
        <v>84.576421875000008</v>
      </c>
      <c r="CC29">
        <v>0</v>
      </c>
      <c r="CD29">
        <v>0</v>
      </c>
      <c r="CE29">
        <f t="shared" si="54"/>
        <v>85.721159999999998</v>
      </c>
      <c r="CF29">
        <f>BC9/CE23</f>
        <v>1039.99008</v>
      </c>
    </row>
    <row r="30" spans="1:84">
      <c r="B30">
        <f>SUM('sector employment'!B2:B180)</f>
        <v>55800.78991317749</v>
      </c>
      <c r="C30">
        <f>SUM('sector employment'!C2:C180)</f>
        <v>56602.900039672852</v>
      </c>
      <c r="D30">
        <f>SUM('sector employment'!D2:D180)</f>
        <v>207604.89990234375</v>
      </c>
      <c r="E30">
        <f>SUM('sector employment'!E2:E180)</f>
        <v>245623.70037841797</v>
      </c>
      <c r="F30">
        <f>SUM('sector employment'!F2:F180)</f>
        <v>421224.00012207031</v>
      </c>
      <c r="G30">
        <f>SUM('sector employment'!G2:G180)</f>
        <v>711111</v>
      </c>
      <c r="H30">
        <f>SUM('sector employment'!H2:H180)</f>
        <v>456136</v>
      </c>
      <c r="I30">
        <f>SUM('sector employment'!I2:I180)</f>
        <v>301456</v>
      </c>
      <c r="J30">
        <f>SUM('sector employment'!J2:J180)</f>
        <v>321331</v>
      </c>
      <c r="K30">
        <f>SUM('sector employment'!K2:K180)</f>
        <v>14502</v>
      </c>
      <c r="L30">
        <f>SUM('sector employment'!L2:L180)</f>
        <v>4542</v>
      </c>
      <c r="M30">
        <f>SUM('sector employment'!M2:M180)</f>
        <v>10312</v>
      </c>
      <c r="N30">
        <f>SUM('sector employment'!N2:N180)</f>
        <v>8408</v>
      </c>
      <c r="O30">
        <f>SUM('sector employment'!O2:O180)</f>
        <v>10251</v>
      </c>
      <c r="P30">
        <f>SUM('sector employment'!P2:P180)</f>
        <v>12060</v>
      </c>
      <c r="Q30">
        <f>SUM('sector employment'!Q2:Q180)</f>
        <v>5376</v>
      </c>
      <c r="R30">
        <f>SUM('sector employment'!R2:R180)</f>
        <v>2632</v>
      </c>
      <c r="S30">
        <f>SUM('sector employment'!S2:S180)</f>
        <v>1328</v>
      </c>
      <c r="U30" t="s">
        <v>642</v>
      </c>
      <c r="V30">
        <f>ROUND(V9*'kap land'!$N$94,0)</f>
        <v>169</v>
      </c>
      <c r="W30">
        <f>ROUND(W9*'kap land'!$N$94,0)</f>
        <v>15</v>
      </c>
      <c r="X30">
        <f>ROUND(X9*'kap land'!$N$94,0)</f>
        <v>122</v>
      </c>
      <c r="Y30">
        <f>ROUND(Y9*'kap land'!$N$94,0)-1</f>
        <v>79</v>
      </c>
      <c r="Z30">
        <f>ROUND(Z9*'kap land'!$N$94,0)</f>
        <v>49</v>
      </c>
      <c r="AA30">
        <f>ROUND(AA9*'kap land'!$N$94,0)</f>
        <v>55</v>
      </c>
      <c r="AB30">
        <f>ROUND(AB9*'kap land'!$N$94,0)</f>
        <v>7</v>
      </c>
      <c r="AC30">
        <f>ROUND(AC9*'kap land'!$N$94,0)</f>
        <v>3</v>
      </c>
      <c r="AD30">
        <f>ROUND(AD9*'kap land'!$N$94,0)</f>
        <v>10</v>
      </c>
      <c r="AE30" t="s">
        <v>642</v>
      </c>
      <c r="AF30">
        <f t="shared" si="47"/>
        <v>184</v>
      </c>
      <c r="AG30">
        <f t="shared" si="48"/>
        <v>201</v>
      </c>
      <c r="AH30">
        <f t="shared" si="49"/>
        <v>104</v>
      </c>
      <c r="AI30">
        <f t="shared" si="50"/>
        <v>7</v>
      </c>
      <c r="AJ30">
        <f t="shared" si="51"/>
        <v>13</v>
      </c>
      <c r="AU30" t="str">
        <f>AI20</f>
        <v>L4</v>
      </c>
      <c r="AV30">
        <f>AI21</f>
        <v>5</v>
      </c>
      <c r="AW30">
        <f>AI22</f>
        <v>3</v>
      </c>
      <c r="AX30">
        <f>AI23</f>
        <v>29</v>
      </c>
      <c r="AY30">
        <f>AI24</f>
        <v>42</v>
      </c>
      <c r="AZ30">
        <f>AI25</f>
        <v>0</v>
      </c>
      <c r="BA30">
        <f>AI26</f>
        <v>0</v>
      </c>
      <c r="BB30">
        <f>AI27</f>
        <v>1</v>
      </c>
      <c r="BC30">
        <f>AI28</f>
        <v>20</v>
      </c>
      <c r="BD30">
        <f>AI29</f>
        <v>82</v>
      </c>
      <c r="BE30">
        <f>AI30</f>
        <v>7</v>
      </c>
      <c r="BF30">
        <f>AI31</f>
        <v>35</v>
      </c>
      <c r="BG30">
        <f>AI32</f>
        <v>13</v>
      </c>
      <c r="BH30">
        <f>AI33</f>
        <v>0</v>
      </c>
      <c r="BI30">
        <f>AI34</f>
        <v>0</v>
      </c>
      <c r="BJ30">
        <f>AI35</f>
        <v>1</v>
      </c>
      <c r="BK30">
        <f>AI36</f>
        <v>0</v>
      </c>
      <c r="BL30">
        <f>AI37</f>
        <v>18</v>
      </c>
      <c r="BM30">
        <f>AI38</f>
        <v>0</v>
      </c>
      <c r="BN30">
        <f>AI39</f>
        <v>16</v>
      </c>
      <c r="BO30">
        <f>AI40</f>
        <v>9</v>
      </c>
      <c r="BP30">
        <f>AI41</f>
        <v>25</v>
      </c>
      <c r="BQ30">
        <f>SUM(AV30:BP30)</f>
        <v>306</v>
      </c>
      <c r="BR30">
        <f>'job core'!AT42</f>
        <v>306</v>
      </c>
      <c r="BS30">
        <f t="shared" si="55"/>
        <v>0</v>
      </c>
      <c r="BV30">
        <f t="shared" si="53"/>
        <v>139.89115384615386</v>
      </c>
      <c r="BW30">
        <f t="shared" si="52"/>
        <v>132.66750000000002</v>
      </c>
      <c r="BX30">
        <f t="shared" si="52"/>
        <v>170.29268181818182</v>
      </c>
      <c r="BY30">
        <f t="shared" si="52"/>
        <v>166.47384375000001</v>
      </c>
      <c r="BZ30">
        <f t="shared" si="52"/>
        <v>157.95333333333332</v>
      </c>
      <c r="CA30">
        <f t="shared" si="52"/>
        <v>159.46937500000001</v>
      </c>
      <c r="CB30">
        <f t="shared" si="52"/>
        <v>158.75661111111111</v>
      </c>
      <c r="CC30">
        <v>0</v>
      </c>
      <c r="CD30">
        <v>0</v>
      </c>
      <c r="CE30">
        <f t="shared" si="54"/>
        <v>117.819</v>
      </c>
      <c r="CF30">
        <f>BC10/CE24</f>
        <v>3549.8858999999998</v>
      </c>
    </row>
    <row r="31" spans="1:84">
      <c r="K31">
        <f>SUM(K21:K28)</f>
        <v>14271</v>
      </c>
      <c r="L31">
        <f t="shared" ref="L31:S31" si="58">SUM(L21:L28)</f>
        <v>4304</v>
      </c>
      <c r="M31">
        <f t="shared" si="58"/>
        <v>10239</v>
      </c>
      <c r="N31">
        <f t="shared" si="58"/>
        <v>8364</v>
      </c>
      <c r="O31">
        <f t="shared" si="58"/>
        <v>9570</v>
      </c>
      <c r="P31">
        <f t="shared" si="58"/>
        <v>11630</v>
      </c>
      <c r="Q31">
        <f t="shared" si="58"/>
        <v>5336</v>
      </c>
      <c r="R31">
        <f t="shared" si="58"/>
        <v>2388</v>
      </c>
      <c r="S31">
        <f t="shared" si="58"/>
        <v>1271</v>
      </c>
      <c r="T31">
        <f>SUM(K31:S31)</f>
        <v>67373</v>
      </c>
      <c r="U31" t="s">
        <v>643</v>
      </c>
      <c r="V31">
        <f>ROUND(V10*'kap land'!$N$100,0)</f>
        <v>82</v>
      </c>
      <c r="W31">
        <f>ROUND(W10*'kap land'!$N$100,0)</f>
        <v>37</v>
      </c>
      <c r="X31">
        <f>ROUND(X10*'kap land'!$N$100,0)</f>
        <v>41</v>
      </c>
      <c r="Y31">
        <f>ROUND(Y10*'kap land'!$N$100,0)</f>
        <v>28</v>
      </c>
      <c r="Z31">
        <f>ROUND(Z10*'kap land'!$N$100,0)</f>
        <v>74</v>
      </c>
      <c r="AA31">
        <f>ROUND(AA10*'kap land'!$N$100,0)</f>
        <v>69</v>
      </c>
      <c r="AB31">
        <f>ROUND(AB10*'kap land'!$N$100,0)</f>
        <v>35</v>
      </c>
      <c r="AC31">
        <f>ROUND(AC10*'kap land'!$N$100,0)</f>
        <v>23</v>
      </c>
      <c r="AD31">
        <f>ROUND(AD10*'kap land'!$N$100,0)</f>
        <v>8</v>
      </c>
      <c r="AE31" t="s">
        <v>643</v>
      </c>
      <c r="AF31">
        <f t="shared" si="47"/>
        <v>119</v>
      </c>
      <c r="AG31">
        <f t="shared" si="48"/>
        <v>69</v>
      </c>
      <c r="AH31">
        <f t="shared" si="49"/>
        <v>143</v>
      </c>
      <c r="AI31">
        <f t="shared" si="50"/>
        <v>35</v>
      </c>
      <c r="AJ31">
        <f t="shared" si="51"/>
        <v>31</v>
      </c>
      <c r="AU31" t="str">
        <f>AJ20</f>
        <v>L5</v>
      </c>
      <c r="AV31">
        <f>AJ21</f>
        <v>3</v>
      </c>
      <c r="AW31">
        <f>AJ22</f>
        <v>5</v>
      </c>
      <c r="AX31">
        <f>AJ23</f>
        <v>26</v>
      </c>
      <c r="AY31">
        <f>AJ24</f>
        <v>36</v>
      </c>
      <c r="AZ31">
        <f>AJ25</f>
        <v>0</v>
      </c>
      <c r="BA31">
        <f>AJ26</f>
        <v>0</v>
      </c>
      <c r="BB31">
        <f>AJ27</f>
        <v>6</v>
      </c>
      <c r="BC31">
        <f>AJ28</f>
        <v>10</v>
      </c>
      <c r="BD31">
        <f>AJ29</f>
        <v>31</v>
      </c>
      <c r="BE31">
        <f>AJ30</f>
        <v>13</v>
      </c>
      <c r="BF31">
        <f>AJ31+1</f>
        <v>32</v>
      </c>
      <c r="BG31">
        <f>AJ32</f>
        <v>11</v>
      </c>
      <c r="BH31">
        <f>AJ33</f>
        <v>0</v>
      </c>
      <c r="BI31">
        <f>AJ34</f>
        <v>0</v>
      </c>
      <c r="BJ31">
        <f>AJ35</f>
        <v>7</v>
      </c>
      <c r="BK31">
        <f>AJ36</f>
        <v>4</v>
      </c>
      <c r="BL31">
        <f>AJ37</f>
        <v>9</v>
      </c>
      <c r="BM31">
        <f>AJ38</f>
        <v>0</v>
      </c>
      <c r="BN31">
        <f>AJ39</f>
        <v>15</v>
      </c>
      <c r="BO31">
        <f>AJ40</f>
        <v>8</v>
      </c>
      <c r="BP31">
        <f>AJ41</f>
        <v>10</v>
      </c>
      <c r="BQ31">
        <f>SUM(AV31:BP31)</f>
        <v>226</v>
      </c>
      <c r="BR31">
        <f>'job core'!AT43</f>
        <v>226</v>
      </c>
      <c r="BS31">
        <f t="shared" si="55"/>
        <v>0</v>
      </c>
    </row>
    <row r="32" spans="1:84">
      <c r="U32" t="s">
        <v>644</v>
      </c>
      <c r="V32">
        <f>ROUND(V11*'kap land'!$N$106,0)</f>
        <v>12</v>
      </c>
      <c r="W32">
        <f>ROUND(W11*'kap land'!$N$106,0)</f>
        <v>5</v>
      </c>
      <c r="X32">
        <f>ROUND(X11*'kap land'!$N$106,0)</f>
        <v>22</v>
      </c>
      <c r="Y32">
        <f>ROUND(Y11*'kap land'!$N$106,0)</f>
        <v>16</v>
      </c>
      <c r="Z32">
        <f>ROUND(Z11*'kap land'!$N$106,0)</f>
        <v>15</v>
      </c>
      <c r="AA32">
        <f>ROUND(AA11*'kap land'!$N$106,0)</f>
        <v>18</v>
      </c>
      <c r="AB32">
        <f>ROUND(AB11*'kap land'!$N$106,0)</f>
        <v>13</v>
      </c>
      <c r="AC32">
        <f>ROUND(AC11*'kap land'!$N$106,0)</f>
        <v>7</v>
      </c>
      <c r="AD32">
        <f>ROUND(AD11*'kap land'!$N$106,0)</f>
        <v>4</v>
      </c>
      <c r="AE32" t="s">
        <v>644</v>
      </c>
      <c r="AF32">
        <f t="shared" si="47"/>
        <v>17</v>
      </c>
      <c r="AG32">
        <f t="shared" si="48"/>
        <v>38</v>
      </c>
      <c r="AH32">
        <f t="shared" si="49"/>
        <v>33</v>
      </c>
      <c r="AI32">
        <f t="shared" si="50"/>
        <v>13</v>
      </c>
      <c r="AJ32">
        <f t="shared" si="51"/>
        <v>11</v>
      </c>
      <c r="AV32">
        <f t="shared" ref="AV32:BR32" si="59">SUM(AV27:AV31)</f>
        <v>37</v>
      </c>
      <c r="AW32">
        <f t="shared" si="59"/>
        <v>228</v>
      </c>
      <c r="AX32">
        <f t="shared" si="59"/>
        <v>325</v>
      </c>
      <c r="AY32">
        <f t="shared" si="59"/>
        <v>380</v>
      </c>
      <c r="AZ32">
        <f t="shared" si="59"/>
        <v>39</v>
      </c>
      <c r="BA32">
        <f t="shared" si="59"/>
        <v>278</v>
      </c>
      <c r="BB32">
        <f t="shared" si="59"/>
        <v>33</v>
      </c>
      <c r="BC32">
        <f t="shared" si="59"/>
        <v>145</v>
      </c>
      <c r="BD32">
        <f t="shared" si="59"/>
        <v>602</v>
      </c>
      <c r="BE32">
        <f t="shared" si="59"/>
        <v>508</v>
      </c>
      <c r="BF32">
        <f t="shared" si="59"/>
        <v>398</v>
      </c>
      <c r="BG32">
        <f t="shared" si="59"/>
        <v>112</v>
      </c>
      <c r="BH32">
        <f t="shared" si="59"/>
        <v>101</v>
      </c>
      <c r="BI32">
        <f t="shared" si="59"/>
        <v>34</v>
      </c>
      <c r="BJ32">
        <f t="shared" si="59"/>
        <v>38</v>
      </c>
      <c r="BK32">
        <f t="shared" si="59"/>
        <v>45</v>
      </c>
      <c r="BL32">
        <f t="shared" si="59"/>
        <v>130</v>
      </c>
      <c r="BM32">
        <f t="shared" si="59"/>
        <v>3</v>
      </c>
      <c r="BN32">
        <f t="shared" si="59"/>
        <v>184</v>
      </c>
      <c r="BO32">
        <f t="shared" si="59"/>
        <v>82</v>
      </c>
      <c r="BP32">
        <f t="shared" si="59"/>
        <v>252</v>
      </c>
      <c r="BQ32">
        <f t="shared" si="59"/>
        <v>3954</v>
      </c>
      <c r="BR32">
        <f t="shared" si="59"/>
        <v>3954</v>
      </c>
      <c r="BS32">
        <f t="shared" si="55"/>
        <v>0</v>
      </c>
    </row>
    <row r="33" spans="21:76">
      <c r="U33" t="s">
        <v>645</v>
      </c>
      <c r="V33">
        <f>ROUND(V12*'kap land'!$N$112,0)</f>
        <v>6</v>
      </c>
      <c r="W33">
        <f>ROUND(W12*'kap land'!$N$112,0)</f>
        <v>15</v>
      </c>
      <c r="X33">
        <f>ROUND(X12*'kap land'!$N$112,0)</f>
        <v>30</v>
      </c>
      <c r="Y33">
        <f>ROUND(Y12*'kap land'!$N$112,0)</f>
        <v>40</v>
      </c>
      <c r="Z33">
        <f>ROUND(Z12*'kap land'!$N$112,0)</f>
        <v>4</v>
      </c>
      <c r="AA33">
        <f>ROUND(AA12*'kap land'!$N$112,0)</f>
        <v>6</v>
      </c>
      <c r="AB33">
        <f>ROUND(AB12*'kap land'!$N$112,0)</f>
        <v>0</v>
      </c>
      <c r="AC33">
        <f>ROUND(AC12*'kap land'!$N$112,0)</f>
        <v>0</v>
      </c>
      <c r="AD33">
        <f>ROUND(AD12*'kap land'!$N$112,0)</f>
        <v>0</v>
      </c>
      <c r="AE33" t="s">
        <v>645</v>
      </c>
      <c r="AF33">
        <f t="shared" si="47"/>
        <v>21</v>
      </c>
      <c r="AG33">
        <f t="shared" si="48"/>
        <v>70</v>
      </c>
      <c r="AH33">
        <f t="shared" si="49"/>
        <v>10</v>
      </c>
      <c r="AI33">
        <f t="shared" si="50"/>
        <v>0</v>
      </c>
      <c r="AJ33">
        <f t="shared" si="51"/>
        <v>0</v>
      </c>
    </row>
    <row r="34" spans="21:76">
      <c r="U34" t="s">
        <v>646</v>
      </c>
      <c r="V34">
        <f>ROUND(V13*'kap land'!$N$118,0)</f>
        <v>13</v>
      </c>
      <c r="W34">
        <f>ROUND(W13*'kap land'!$N$118,0)</f>
        <v>7</v>
      </c>
      <c r="X34">
        <f>ROUND(X13*'kap land'!$N$118,0)</f>
        <v>8</v>
      </c>
      <c r="Y34">
        <f>ROUND(Y13*'kap land'!$N$118,0)</f>
        <v>4</v>
      </c>
      <c r="Z34">
        <f>ROUND(Z13*'kap land'!$N$118,0)</f>
        <v>2</v>
      </c>
      <c r="AA34">
        <f>ROUND(AA13*'kap land'!$N$118,0)</f>
        <v>0</v>
      </c>
      <c r="AB34">
        <f>ROUND(AB13*'kap land'!$N$118,0)</f>
        <v>0</v>
      </c>
      <c r="AC34">
        <f>ROUND(AC13*'kap land'!$N$118,0)</f>
        <v>0</v>
      </c>
      <c r="AD34">
        <f>ROUND(AD13*'kap land'!$N$118,0)</f>
        <v>0</v>
      </c>
      <c r="AE34" t="s">
        <v>646</v>
      </c>
      <c r="AF34">
        <f t="shared" si="47"/>
        <v>20</v>
      </c>
      <c r="AG34">
        <f t="shared" si="48"/>
        <v>12</v>
      </c>
      <c r="AH34">
        <f t="shared" si="49"/>
        <v>2</v>
      </c>
      <c r="AI34">
        <f t="shared" si="50"/>
        <v>0</v>
      </c>
      <c r="AJ34">
        <f t="shared" si="51"/>
        <v>0</v>
      </c>
      <c r="AU34" t="s">
        <v>247</v>
      </c>
      <c r="AV34">
        <f>AV27*BX26</f>
        <v>37.371327619628907</v>
      </c>
      <c r="AW34">
        <f>AW27*BZ26</f>
        <v>427.63943343492764</v>
      </c>
      <c r="AX34">
        <f t="shared" ref="AX34:BA38" si="60">AX27*CA26</f>
        <v>582.64214399688444</v>
      </c>
      <c r="AY34">
        <f t="shared" si="60"/>
        <v>404.58340506422115</v>
      </c>
      <c r="AZ34">
        <f t="shared" si="60"/>
        <v>90.994013697130924</v>
      </c>
      <c r="BA34">
        <f t="shared" si="60"/>
        <v>1071.6333002655404</v>
      </c>
      <c r="BB34">
        <f>BB27*BV26</f>
        <v>110.5515</v>
      </c>
      <c r="BC34">
        <f>BC27*BX26</f>
        <v>163.49955833587646</v>
      </c>
      <c r="BD34">
        <f t="shared" ref="BD34:BI38" si="61">BD27*BY26</f>
        <v>427.77303070449835</v>
      </c>
      <c r="BE34">
        <f t="shared" si="61"/>
        <v>959.58116770764252</v>
      </c>
      <c r="BF34">
        <f t="shared" si="61"/>
        <v>714.78778490339425</v>
      </c>
      <c r="BG34">
        <f t="shared" si="61"/>
        <v>120.66522607178527</v>
      </c>
      <c r="BH34">
        <f t="shared" si="61"/>
        <v>238.85928595496867</v>
      </c>
      <c r="BI34">
        <f t="shared" si="61"/>
        <v>129.89494548673215</v>
      </c>
      <c r="BJ34">
        <f>BJ28*BV26</f>
        <v>22.110300000000002</v>
      </c>
      <c r="BK34">
        <f>BK27*BW26</f>
        <v>8.4816001739501949</v>
      </c>
      <c r="BL34">
        <f>BL27*BX26</f>
        <v>149.48531047851563</v>
      </c>
      <c r="BM34">
        <f>BM27*BZ26</f>
        <v>5.2151150418893613</v>
      </c>
      <c r="BN34">
        <f>BN27*CA26</f>
        <v>330.36410226627464</v>
      </c>
      <c r="BO34">
        <f>BO27*CB26</f>
        <v>92.273408172541679</v>
      </c>
      <c r="BP34">
        <f>BP27*CE26</f>
        <v>231.44280016851428</v>
      </c>
      <c r="BQ34" s="187">
        <f>SUM(AV34:BP34)</f>
        <v>6319.8487595449187</v>
      </c>
      <c r="BR34">
        <f>BQ34/BQ27</f>
        <v>5.8247454005022297</v>
      </c>
      <c r="BS34" s="187"/>
      <c r="BT34" s="187">
        <f>BQ34</f>
        <v>6319.8487595449187</v>
      </c>
      <c r="BU34" s="187">
        <f>BQ35</f>
        <v>26173.572964315576</v>
      </c>
      <c r="BV34" s="187">
        <f>BQ36</f>
        <v>63752.620876949673</v>
      </c>
      <c r="BW34" s="187">
        <f>BQ37</f>
        <v>26670.072000000004</v>
      </c>
      <c r="BX34" s="187">
        <f>BQ38</f>
        <v>39987.236911591892</v>
      </c>
    </row>
    <row r="35" spans="21:76">
      <c r="U35" t="s">
        <v>648</v>
      </c>
      <c r="V35">
        <f>ROUND(V5*'kap land'!$T$86,0)</f>
        <v>3</v>
      </c>
      <c r="W35">
        <f>ROUND(W5*'kap land'!$T$86,0)</f>
        <v>7</v>
      </c>
      <c r="X35">
        <f>ROUND(X5*'kap land'!$T$86,0)</f>
        <v>0</v>
      </c>
      <c r="Y35">
        <f>ROUND(Y5*'kap land'!$T$86,0)</f>
        <v>2</v>
      </c>
      <c r="Z35">
        <f>ROUND(Z5*'kap land'!$T$86,0)</f>
        <v>11</v>
      </c>
      <c r="AA35">
        <f>ROUND(AA5*'kap land'!$T$86,0)</f>
        <v>7</v>
      </c>
      <c r="AB35">
        <f>ROUND(AB5*'kap land'!$T$86,0)</f>
        <v>1</v>
      </c>
      <c r="AC35">
        <f>ROUND(AC5*'kap land'!$T$86,0)</f>
        <v>5</v>
      </c>
      <c r="AD35">
        <f>ROUND(AD5*'kap land'!$T$86,0)</f>
        <v>2</v>
      </c>
      <c r="AE35" t="s">
        <v>648</v>
      </c>
      <c r="AF35">
        <f t="shared" si="47"/>
        <v>10</v>
      </c>
      <c r="AG35">
        <f t="shared" si="48"/>
        <v>2</v>
      </c>
      <c r="AH35">
        <f t="shared" si="49"/>
        <v>18</v>
      </c>
      <c r="AI35">
        <f t="shared" si="50"/>
        <v>1</v>
      </c>
      <c r="AJ35">
        <f t="shared" si="51"/>
        <v>7</v>
      </c>
      <c r="AU35" t="s">
        <v>248</v>
      </c>
      <c r="AV35">
        <f t="shared" ref="AV35:AV38" si="62">AV28*BX27</f>
        <v>112.62225036621095</v>
      </c>
      <c r="AW35">
        <f t="shared" ref="AW35:AW38" si="63">AW28*BZ27</f>
        <v>2158.9208331522277</v>
      </c>
      <c r="AX35">
        <f t="shared" si="60"/>
        <v>1314.2282464036209</v>
      </c>
      <c r="AY35">
        <f t="shared" si="60"/>
        <v>3322.5875809936524</v>
      </c>
      <c r="AZ35">
        <f t="shared" si="60"/>
        <v>687.3983211430816</v>
      </c>
      <c r="BA35">
        <f t="shared" si="60"/>
        <v>2210.7589283854168</v>
      </c>
      <c r="BB35">
        <f t="shared" ref="BB35:BB38" si="64">BB28*BV27</f>
        <v>22.720199768066408</v>
      </c>
      <c r="BC35">
        <f t="shared" ref="BC35:BC38" si="65">BC28*BX27</f>
        <v>405.44010131835938</v>
      </c>
      <c r="BD35">
        <f t="shared" si="61"/>
        <v>2836.3826986083986</v>
      </c>
      <c r="BE35">
        <f t="shared" si="61"/>
        <v>4744.8809519829183</v>
      </c>
      <c r="BF35">
        <f t="shared" si="61"/>
        <v>1619.3169464616044</v>
      </c>
      <c r="BG35">
        <f t="shared" si="61"/>
        <v>963.80403112792965</v>
      </c>
      <c r="BH35">
        <f t="shared" si="61"/>
        <v>1782.1437955561375</v>
      </c>
      <c r="BI35">
        <f t="shared" si="61"/>
        <v>276.3448660481771</v>
      </c>
      <c r="BJ35">
        <f t="shared" ref="BJ35:BJ38" si="66">BJ29*BV27</f>
        <v>408.96359582519534</v>
      </c>
      <c r="BK35">
        <f t="shared" ref="BK35:BK38" si="67">BK28*BW27</f>
        <v>62.414999999999999</v>
      </c>
      <c r="BL35">
        <f t="shared" ref="BL35:BL38" si="68">BL28*BX27</f>
        <v>337.86675109863285</v>
      </c>
      <c r="BM35">
        <f t="shared" ref="BM35:BO38" si="69">BM28*BZ27</f>
        <v>47.448809519829183</v>
      </c>
      <c r="BN35">
        <f t="shared" si="69"/>
        <v>750.98756937349765</v>
      </c>
      <c r="BO35">
        <f t="shared" si="69"/>
        <v>710.17139135742184</v>
      </c>
      <c r="BP35">
        <f t="shared" ref="BP35:BP38" si="70">BP28*CE27</f>
        <v>1398.1700958251954</v>
      </c>
      <c r="BQ35" s="187">
        <f>SUM(AV35:BP35)</f>
        <v>26173.572964315576</v>
      </c>
      <c r="BR35">
        <f t="shared" ref="BR35:BR38" si="71">BQ35/BQ28</f>
        <v>24.553070322997726</v>
      </c>
      <c r="BS35" s="187"/>
    </row>
    <row r="36" spans="21:76">
      <c r="U36" t="s">
        <v>290</v>
      </c>
      <c r="V36">
        <f>V6</f>
        <v>7</v>
      </c>
      <c r="W36">
        <f t="shared" ref="W36:AD36" si="72">W6</f>
        <v>0</v>
      </c>
      <c r="X36">
        <f t="shared" si="72"/>
        <v>4</v>
      </c>
      <c r="Y36">
        <f t="shared" si="72"/>
        <v>0</v>
      </c>
      <c r="Z36">
        <f t="shared" si="72"/>
        <v>19</v>
      </c>
      <c r="AA36">
        <f t="shared" si="72"/>
        <v>11</v>
      </c>
      <c r="AB36">
        <f t="shared" si="72"/>
        <v>0</v>
      </c>
      <c r="AC36">
        <f t="shared" si="72"/>
        <v>4</v>
      </c>
      <c r="AD36">
        <f t="shared" si="72"/>
        <v>0</v>
      </c>
      <c r="AE36" t="s">
        <v>290</v>
      </c>
      <c r="AF36">
        <f t="shared" si="47"/>
        <v>7</v>
      </c>
      <c r="AG36">
        <f t="shared" si="48"/>
        <v>4</v>
      </c>
      <c r="AH36">
        <f t="shared" si="49"/>
        <v>30</v>
      </c>
      <c r="AI36">
        <f t="shared" si="50"/>
        <v>0</v>
      </c>
      <c r="AJ36">
        <f t="shared" si="51"/>
        <v>4</v>
      </c>
      <c r="AU36" t="s">
        <v>249</v>
      </c>
      <c r="AV36">
        <f t="shared" si="62"/>
        <v>835.24907462686565</v>
      </c>
      <c r="AW36">
        <f t="shared" si="63"/>
        <v>2344.1533863218197</v>
      </c>
      <c r="AX36">
        <f t="shared" si="60"/>
        <v>5759.1739774951166</v>
      </c>
      <c r="AY36">
        <f t="shared" si="60"/>
        <v>5798.1315953757239</v>
      </c>
      <c r="AZ36">
        <f t="shared" si="60"/>
        <v>187.30199999999999</v>
      </c>
      <c r="BA36">
        <f t="shared" si="60"/>
        <v>643.97699999999998</v>
      </c>
      <c r="BB36">
        <f t="shared" si="64"/>
        <v>748.3063636363637</v>
      </c>
      <c r="BC36">
        <f t="shared" si="65"/>
        <v>3236.5901641791042</v>
      </c>
      <c r="BD36">
        <f t="shared" si="61"/>
        <v>14423.665025697679</v>
      </c>
      <c r="BE36">
        <f t="shared" si="61"/>
        <v>5187.0628122865801</v>
      </c>
      <c r="BF36">
        <f t="shared" si="61"/>
        <v>7038.9904169384763</v>
      </c>
      <c r="BG36">
        <f t="shared" si="61"/>
        <v>1678.4065144508675</v>
      </c>
      <c r="BH36">
        <f t="shared" si="61"/>
        <v>468.255</v>
      </c>
      <c r="BI36">
        <f t="shared" si="61"/>
        <v>75.762</v>
      </c>
      <c r="BJ36">
        <f t="shared" si="66"/>
        <v>49.887090909090915</v>
      </c>
      <c r="BK36">
        <f t="shared" si="67"/>
        <v>1354.5593972167969</v>
      </c>
      <c r="BL36">
        <f t="shared" si="68"/>
        <v>2923.3717611940297</v>
      </c>
      <c r="BM36">
        <f t="shared" si="69"/>
        <v>0</v>
      </c>
      <c r="BN36">
        <f t="shared" si="69"/>
        <v>3248.7648078177581</v>
      </c>
      <c r="BO36">
        <f t="shared" si="69"/>
        <v>1220.6592832369945</v>
      </c>
      <c r="BP36">
        <f t="shared" si="70"/>
        <v>6530.3532055664073</v>
      </c>
      <c r="BQ36" s="187">
        <f>SUM(AV36:BP36)</f>
        <v>63752.620876949673</v>
      </c>
      <c r="BR36">
        <f t="shared" si="71"/>
        <v>50.159418471242859</v>
      </c>
      <c r="BS36" s="187"/>
    </row>
    <row r="37" spans="21:76">
      <c r="U37" t="s">
        <v>649</v>
      </c>
      <c r="V37" s="12">
        <f>ROUND(V7*'kap land'!$O$88,0)</f>
        <v>27</v>
      </c>
      <c r="W37" s="12">
        <f>ROUND(W7*'kap land'!$O$88,0)</f>
        <v>5</v>
      </c>
      <c r="X37" s="12">
        <f>ROUND(X7*'kap land'!$O$88,0)</f>
        <v>10</v>
      </c>
      <c r="Y37" s="12">
        <f>ROUND(Y7*'kap land'!$O$88,0)</f>
        <v>5</v>
      </c>
      <c r="Z37" s="12">
        <f>ROUND(Z7*'kap land'!$O$88,0)</f>
        <v>17</v>
      </c>
      <c r="AA37" s="12">
        <f>ROUND(AA7*'kap land'!$O$88,0)</f>
        <v>39</v>
      </c>
      <c r="AB37" s="12">
        <f>ROUND(AB7*'kap land'!$O$88,0)</f>
        <v>18</v>
      </c>
      <c r="AC37" s="12">
        <f>ROUND(AC7*'kap land'!$O$88,0)</f>
        <v>7</v>
      </c>
      <c r="AD37" s="12">
        <f>ROUND(AD7*'kap land'!$O$88,0)</f>
        <v>2</v>
      </c>
      <c r="AE37" t="s">
        <v>649</v>
      </c>
      <c r="AF37">
        <f t="shared" si="47"/>
        <v>32</v>
      </c>
      <c r="AG37">
        <f t="shared" si="48"/>
        <v>15</v>
      </c>
      <c r="AH37">
        <f t="shared" si="49"/>
        <v>56</v>
      </c>
      <c r="AI37">
        <f t="shared" si="50"/>
        <v>18</v>
      </c>
      <c r="AJ37">
        <f t="shared" si="51"/>
        <v>9</v>
      </c>
      <c r="AU37" t="s">
        <v>250</v>
      </c>
      <c r="AV37">
        <f t="shared" si="62"/>
        <v>425.84965116279074</v>
      </c>
      <c r="AW37">
        <f t="shared" si="63"/>
        <v>256.65390000000002</v>
      </c>
      <c r="AX37">
        <f t="shared" si="60"/>
        <v>2508.2828625000002</v>
      </c>
      <c r="AY37">
        <f t="shared" si="60"/>
        <v>3552.2097187500003</v>
      </c>
      <c r="AZ37">
        <f t="shared" si="60"/>
        <v>0</v>
      </c>
      <c r="BA37">
        <f t="shared" si="60"/>
        <v>0</v>
      </c>
      <c r="BB37">
        <f t="shared" si="64"/>
        <v>111.72</v>
      </c>
      <c r="BC37">
        <f t="shared" si="65"/>
        <v>1703.3986046511629</v>
      </c>
      <c r="BD37">
        <f t="shared" si="61"/>
        <v>6783.1710000000003</v>
      </c>
      <c r="BE37">
        <f t="shared" si="61"/>
        <v>598.85910000000001</v>
      </c>
      <c r="BF37">
        <f t="shared" si="61"/>
        <v>3027.2379375</v>
      </c>
      <c r="BG37">
        <f t="shared" si="61"/>
        <v>1099.4934843750002</v>
      </c>
      <c r="BH37">
        <f t="shared" si="61"/>
        <v>0</v>
      </c>
      <c r="BI37">
        <f t="shared" si="61"/>
        <v>0</v>
      </c>
      <c r="BJ37">
        <f t="shared" si="66"/>
        <v>782.04</v>
      </c>
      <c r="BK37">
        <f t="shared" si="67"/>
        <v>0</v>
      </c>
      <c r="BL37">
        <f t="shared" si="68"/>
        <v>1533.0587441860466</v>
      </c>
      <c r="BM37">
        <f t="shared" si="69"/>
        <v>0</v>
      </c>
      <c r="BN37">
        <f t="shared" si="69"/>
        <v>1383.8802000000001</v>
      </c>
      <c r="BO37">
        <f t="shared" si="69"/>
        <v>761.18779687500012</v>
      </c>
      <c r="BP37">
        <f t="shared" si="70"/>
        <v>2143.029</v>
      </c>
      <c r="BQ37" s="187">
        <f>SUM(AV37:BP37)</f>
        <v>26670.072000000004</v>
      </c>
      <c r="BR37">
        <f t="shared" si="71"/>
        <v>87.157098039215697</v>
      </c>
      <c r="BS37" s="187"/>
    </row>
    <row r="38" spans="21:76">
      <c r="U38" t="s">
        <v>651</v>
      </c>
      <c r="V38">
        <f>ROUND(V9*'kap land'!$O$94,0)</f>
        <v>1</v>
      </c>
      <c r="W38">
        <f>ROUND(W9*'kap land'!$O$94,0)</f>
        <v>0</v>
      </c>
      <c r="X38">
        <f>ROUND(X9*'kap land'!$O$94,0)</f>
        <v>1</v>
      </c>
      <c r="Y38">
        <f>ROUND(Y9*'kap land'!$O$94,0)</f>
        <v>1</v>
      </c>
      <c r="Z38">
        <f>ROUND(Z9*'kap land'!$O$94,0)</f>
        <v>0</v>
      </c>
      <c r="AA38">
        <f>ROUND(AA9*'kap land'!$O$94,0)</f>
        <v>0</v>
      </c>
      <c r="AB38">
        <f>ROUND(AB9*'kap land'!$O$94,0)</f>
        <v>0</v>
      </c>
      <c r="AC38">
        <f>ROUND(AC9*'kap land'!$O$94,0)</f>
        <v>0</v>
      </c>
      <c r="AD38">
        <f>ROUND(AD9*'kap land'!$O$94,0)</f>
        <v>0</v>
      </c>
      <c r="AE38" t="s">
        <v>651</v>
      </c>
      <c r="AF38">
        <f t="shared" si="47"/>
        <v>1</v>
      </c>
      <c r="AG38">
        <f t="shared" si="48"/>
        <v>2</v>
      </c>
      <c r="AH38">
        <f t="shared" si="49"/>
        <v>0</v>
      </c>
      <c r="AI38">
        <f t="shared" si="50"/>
        <v>0</v>
      </c>
      <c r="AJ38">
        <f t="shared" si="51"/>
        <v>0</v>
      </c>
      <c r="AU38" t="s">
        <v>251</v>
      </c>
      <c r="AV38">
        <f t="shared" si="62"/>
        <v>510.87804545454549</v>
      </c>
      <c r="AW38">
        <f t="shared" si="63"/>
        <v>789.76666666666665</v>
      </c>
      <c r="AX38">
        <f t="shared" si="60"/>
        <v>4146.2037500000006</v>
      </c>
      <c r="AY38">
        <f t="shared" si="60"/>
        <v>5715.2380000000003</v>
      </c>
      <c r="AZ38">
        <f t="shared" si="60"/>
        <v>0</v>
      </c>
      <c r="BA38">
        <f t="shared" si="60"/>
        <v>0</v>
      </c>
      <c r="BB38">
        <f t="shared" si="64"/>
        <v>839.34692307692308</v>
      </c>
      <c r="BC38">
        <f t="shared" si="65"/>
        <v>1702.9268181818181</v>
      </c>
      <c r="BD38">
        <f t="shared" si="61"/>
        <v>5160.6891562500005</v>
      </c>
      <c r="BE38">
        <f t="shared" si="61"/>
        <v>2053.393333333333</v>
      </c>
      <c r="BF38">
        <f t="shared" si="61"/>
        <v>5103.0200000000004</v>
      </c>
      <c r="BG38">
        <f t="shared" si="61"/>
        <v>1746.3227222222222</v>
      </c>
      <c r="BH38">
        <f t="shared" si="61"/>
        <v>0</v>
      </c>
      <c r="BI38">
        <f t="shared" si="61"/>
        <v>0</v>
      </c>
      <c r="BJ38">
        <f t="shared" si="66"/>
        <v>5315.8638461538467</v>
      </c>
      <c r="BK38">
        <f t="shared" si="67"/>
        <v>530.67000000000007</v>
      </c>
      <c r="BL38">
        <f t="shared" si="68"/>
        <v>1532.6341363636363</v>
      </c>
      <c r="BM38">
        <f t="shared" si="69"/>
        <v>0</v>
      </c>
      <c r="BN38">
        <f t="shared" si="69"/>
        <v>2392.0406250000001</v>
      </c>
      <c r="BO38">
        <f t="shared" si="69"/>
        <v>1270.0528888888889</v>
      </c>
      <c r="BP38">
        <f t="shared" si="70"/>
        <v>1178.19</v>
      </c>
      <c r="BQ38" s="187">
        <f>SUM(AV38:BP38)</f>
        <v>39987.236911591892</v>
      </c>
      <c r="BR38">
        <f t="shared" si="71"/>
        <v>176.93467659996412</v>
      </c>
      <c r="BS38" s="187"/>
    </row>
    <row r="39" spans="21:76">
      <c r="U39" t="s">
        <v>652</v>
      </c>
      <c r="V39">
        <f>ROUND(V10*'kap land'!$O$100,0)</f>
        <v>38</v>
      </c>
      <c r="W39">
        <f>ROUND(W10*'kap land'!$O$100,0)</f>
        <v>17</v>
      </c>
      <c r="X39">
        <f>ROUND(X10*'kap land'!$O$100,0)</f>
        <v>19</v>
      </c>
      <c r="Y39">
        <f>ROUND(Y10*'kap land'!$O$100,0)</f>
        <v>13</v>
      </c>
      <c r="Z39">
        <f>ROUND(Z10*'kap land'!$O$100,0)</f>
        <v>34</v>
      </c>
      <c r="AA39">
        <f>ROUND(AA10*'kap land'!$O$100,0)</f>
        <v>32</v>
      </c>
      <c r="AB39">
        <f>ROUND(AB10*'kap land'!$O$100,0)</f>
        <v>16</v>
      </c>
      <c r="AC39">
        <f>ROUND(AC10*'kap land'!$O$100,0)</f>
        <v>11</v>
      </c>
      <c r="AD39">
        <f>ROUND(AD10*'kap land'!$O$100,0)</f>
        <v>4</v>
      </c>
      <c r="AE39" t="s">
        <v>652</v>
      </c>
      <c r="AF39">
        <f t="shared" si="47"/>
        <v>55</v>
      </c>
      <c r="AG39">
        <f t="shared" si="48"/>
        <v>32</v>
      </c>
      <c r="AH39">
        <f t="shared" si="49"/>
        <v>66</v>
      </c>
      <c r="AI39">
        <f t="shared" si="50"/>
        <v>16</v>
      </c>
      <c r="AJ39">
        <f t="shared" si="51"/>
        <v>15</v>
      </c>
      <c r="AV39">
        <f t="shared" ref="AV39:BQ39" si="73">SUM(AV34:AV38)</f>
        <v>1921.9703492300418</v>
      </c>
      <c r="AW39">
        <f t="shared" si="73"/>
        <v>5977.1342195756415</v>
      </c>
      <c r="AX39">
        <f t="shared" si="73"/>
        <v>14310.530980395622</v>
      </c>
      <c r="AY39">
        <f t="shared" si="73"/>
        <v>18792.750300183598</v>
      </c>
      <c r="AZ39">
        <f t="shared" si="73"/>
        <v>965.69433484021249</v>
      </c>
      <c r="BA39">
        <f t="shared" si="73"/>
        <v>3926.3692286509568</v>
      </c>
      <c r="BB39">
        <f t="shared" si="73"/>
        <v>1832.6449864813533</v>
      </c>
      <c r="BC39">
        <f t="shared" si="73"/>
        <v>7211.8552466663205</v>
      </c>
      <c r="BD39">
        <f t="shared" si="73"/>
        <v>29631.680911260577</v>
      </c>
      <c r="BE39">
        <f t="shared" si="73"/>
        <v>13543.777365310474</v>
      </c>
      <c r="BF39">
        <f t="shared" si="73"/>
        <v>17503.353085803476</v>
      </c>
      <c r="BG39">
        <f t="shared" si="73"/>
        <v>5608.6919782478053</v>
      </c>
      <c r="BH39">
        <f t="shared" si="73"/>
        <v>2489.2580815111064</v>
      </c>
      <c r="BI39">
        <f t="shared" si="73"/>
        <v>482.00181153490922</v>
      </c>
      <c r="BJ39">
        <f t="shared" si="73"/>
        <v>6578.8648328881327</v>
      </c>
      <c r="BK39">
        <f t="shared" si="73"/>
        <v>1956.1259973907472</v>
      </c>
      <c r="BL39">
        <f t="shared" si="73"/>
        <v>6476.4167033208614</v>
      </c>
      <c r="BM39">
        <f t="shared" si="73"/>
        <v>52.663924561718545</v>
      </c>
      <c r="BN39">
        <f t="shared" si="73"/>
        <v>8106.0373044575299</v>
      </c>
      <c r="BO39">
        <f t="shared" si="73"/>
        <v>4054.344768530847</v>
      </c>
      <c r="BP39">
        <f t="shared" si="73"/>
        <v>11481.185101560117</v>
      </c>
      <c r="BQ39" s="187">
        <f t="shared" si="73"/>
        <v>162903.35151240206</v>
      </c>
    </row>
    <row r="40" spans="21:76" ht="15" thickBot="1">
      <c r="U40" s="12" t="s">
        <v>653</v>
      </c>
      <c r="V40">
        <f>ROUND(V11*'kap land'!$O$106,0)</f>
        <v>9</v>
      </c>
      <c r="W40">
        <f>ROUND(W11*'kap land'!$O$106,0)</f>
        <v>4</v>
      </c>
      <c r="X40">
        <f>ROUND(X11*'kap land'!$O$106,0)</f>
        <v>16</v>
      </c>
      <c r="Y40">
        <f>ROUND(Y11*'kap land'!$O$106,0)</f>
        <v>12</v>
      </c>
      <c r="Z40">
        <f>ROUND(Z11*'kap land'!$O$106,0)</f>
        <v>11</v>
      </c>
      <c r="AA40">
        <f>ROUND(AA11*'kap land'!$O$106,0)</f>
        <v>13</v>
      </c>
      <c r="AB40">
        <f>ROUND(AB11*'kap land'!$O$106,0)</f>
        <v>9</v>
      </c>
      <c r="AC40">
        <f>ROUND(AC11*'kap land'!$O$106,0)</f>
        <v>5</v>
      </c>
      <c r="AD40">
        <f>ROUND(AD11*'kap land'!$O$106,0)</f>
        <v>3</v>
      </c>
      <c r="AE40" s="12" t="s">
        <v>653</v>
      </c>
      <c r="AF40">
        <f t="shared" si="47"/>
        <v>13</v>
      </c>
      <c r="AG40">
        <f t="shared" si="48"/>
        <v>28</v>
      </c>
      <c r="AH40">
        <f t="shared" si="49"/>
        <v>24</v>
      </c>
      <c r="AI40">
        <f t="shared" si="50"/>
        <v>9</v>
      </c>
      <c r="AJ40">
        <f t="shared" si="51"/>
        <v>8</v>
      </c>
    </row>
    <row r="41" spans="21:76" ht="15" thickBot="1">
      <c r="U41" s="12" t="s">
        <v>417</v>
      </c>
      <c r="V41">
        <f t="shared" ref="V41:AD41" si="74">V15</f>
        <v>29</v>
      </c>
      <c r="W41">
        <f t="shared" si="74"/>
        <v>6</v>
      </c>
      <c r="X41">
        <f t="shared" si="74"/>
        <v>11</v>
      </c>
      <c r="Y41">
        <f t="shared" si="74"/>
        <v>40</v>
      </c>
      <c r="Z41">
        <f t="shared" si="74"/>
        <v>71</v>
      </c>
      <c r="AA41">
        <f t="shared" si="74"/>
        <v>60</v>
      </c>
      <c r="AB41">
        <f t="shared" si="74"/>
        <v>25</v>
      </c>
      <c r="AC41">
        <f t="shared" si="74"/>
        <v>8</v>
      </c>
      <c r="AD41">
        <f t="shared" si="74"/>
        <v>2</v>
      </c>
      <c r="AE41" s="12" t="s">
        <v>417</v>
      </c>
      <c r="AF41">
        <f t="shared" si="47"/>
        <v>35</v>
      </c>
      <c r="AG41">
        <f t="shared" si="48"/>
        <v>51</v>
      </c>
      <c r="AH41">
        <f t="shared" si="49"/>
        <v>131</v>
      </c>
      <c r="AI41">
        <f t="shared" si="50"/>
        <v>25</v>
      </c>
      <c r="AJ41">
        <f t="shared" si="51"/>
        <v>10</v>
      </c>
      <c r="AR41" s="88" t="s">
        <v>271</v>
      </c>
      <c r="AS41">
        <f>AH16</f>
        <v>3977.5625993041995</v>
      </c>
      <c r="AU41" s="12" t="s">
        <v>664</v>
      </c>
      <c r="AW41">
        <f>BB32+BJ32</f>
        <v>71</v>
      </c>
      <c r="AY41" t="str">
        <f>U5</f>
        <v>nature</v>
      </c>
      <c r="AZ41">
        <f>AE5</f>
        <v>71</v>
      </c>
    </row>
    <row r="42" spans="21:76" ht="15" thickBot="1">
      <c r="U42" s="12" t="s">
        <v>267</v>
      </c>
      <c r="V42">
        <f t="shared" ref="V42:AD42" si="75">SUM(V21:V41)</f>
        <v>826</v>
      </c>
      <c r="W42">
        <f t="shared" si="75"/>
        <v>259</v>
      </c>
      <c r="X42">
        <f t="shared" si="75"/>
        <v>588</v>
      </c>
      <c r="Y42">
        <f t="shared" si="75"/>
        <v>479</v>
      </c>
      <c r="Z42">
        <f t="shared" si="75"/>
        <v>584</v>
      </c>
      <c r="AA42">
        <f t="shared" si="75"/>
        <v>686</v>
      </c>
      <c r="AB42">
        <f t="shared" si="75"/>
        <v>306</v>
      </c>
      <c r="AC42">
        <f t="shared" si="75"/>
        <v>149</v>
      </c>
      <c r="AD42">
        <f t="shared" si="75"/>
        <v>76</v>
      </c>
      <c r="AE42">
        <f>SUM(V42:AD42)</f>
        <v>3953</v>
      </c>
      <c r="AR42" s="89" t="s">
        <v>290</v>
      </c>
      <c r="AS42">
        <f>AI16</f>
        <v>1956.1259973907472</v>
      </c>
      <c r="AU42" s="12" t="s">
        <v>311</v>
      </c>
      <c r="AV42">
        <f>AV39+BC39+BL39</f>
        <v>15610.242299217223</v>
      </c>
      <c r="AW42">
        <f>AV32+BC32+BL32</f>
        <v>312</v>
      </c>
      <c r="AY42" t="str">
        <f t="shared" ref="AY42:AY50" si="76">U6</f>
        <v>util</v>
      </c>
      <c r="AZ42">
        <f t="shared" ref="AZ42:AZ50" si="77">AE6</f>
        <v>45</v>
      </c>
      <c r="BC42" t="s">
        <v>1213</v>
      </c>
      <c r="BD42" t="s">
        <v>1214</v>
      </c>
      <c r="BE42" t="s">
        <v>1215</v>
      </c>
      <c r="BF42" t="s">
        <v>1216</v>
      </c>
      <c r="BG42" t="s">
        <v>1217</v>
      </c>
      <c r="BH42" t="s">
        <v>1218</v>
      </c>
      <c r="BI42" t="s">
        <v>1219</v>
      </c>
      <c r="BJ42" t="s">
        <v>1220</v>
      </c>
      <c r="BK42" t="s">
        <v>1221</v>
      </c>
      <c r="BL42" t="s">
        <v>1222</v>
      </c>
      <c r="BM42" t="s">
        <v>1223</v>
      </c>
      <c r="BN42" t="s">
        <v>1224</v>
      </c>
      <c r="BO42" t="s">
        <v>1225</v>
      </c>
      <c r="BP42" t="s">
        <v>1226</v>
      </c>
      <c r="BQ42" t="s">
        <v>1227</v>
      </c>
      <c r="BR42" t="s">
        <v>1228</v>
      </c>
      <c r="BS42" t="s">
        <v>1229</v>
      </c>
      <c r="BT42" t="s">
        <v>1230</v>
      </c>
      <c r="BU42" t="s">
        <v>1231</v>
      </c>
      <c r="BV42" t="s">
        <v>1232</v>
      </c>
      <c r="BW42" t="s">
        <v>1233</v>
      </c>
      <c r="BX42" t="s">
        <v>1234</v>
      </c>
    </row>
    <row r="43" spans="21:76" ht="15" thickBot="1">
      <c r="AF43">
        <f>SUM(AF21:AF42)</f>
        <v>1085</v>
      </c>
      <c r="AG43">
        <f>SUM(AG21:AG42)</f>
        <v>1067</v>
      </c>
      <c r="AH43">
        <f>SUM(AH21:AH42)</f>
        <v>1270</v>
      </c>
      <c r="AI43">
        <f>SUM(AI21:AI42)</f>
        <v>306</v>
      </c>
      <c r="AJ43">
        <f>SUM(AJ21:AJ42)</f>
        <v>225</v>
      </c>
      <c r="AK43">
        <f>SUM(AF43:AJ43)</f>
        <v>3953</v>
      </c>
      <c r="AR43" s="89" t="s">
        <v>311</v>
      </c>
      <c r="AS43">
        <f>AJ16</f>
        <v>15610.242299217225</v>
      </c>
      <c r="AU43" s="12" t="s">
        <v>659</v>
      </c>
      <c r="AV43">
        <f>AW39+BA39+BM39</f>
        <v>9956.1673727883172</v>
      </c>
      <c r="AW43">
        <f>AW32+BE32+BM32</f>
        <v>739</v>
      </c>
      <c r="AY43" t="str">
        <f t="shared" si="76"/>
        <v>cons</v>
      </c>
      <c r="AZ43">
        <f t="shared" si="77"/>
        <v>312</v>
      </c>
      <c r="BC43" t="s">
        <v>1235</v>
      </c>
      <c r="BD43" t="s">
        <v>1236</v>
      </c>
      <c r="BE43" t="s">
        <v>1237</v>
      </c>
      <c r="BF43" t="s">
        <v>1238</v>
      </c>
      <c r="BG43" t="s">
        <v>1239</v>
      </c>
      <c r="BH43" t="s">
        <v>1240</v>
      </c>
      <c r="BI43" t="s">
        <v>1241</v>
      </c>
      <c r="BJ43" t="s">
        <v>1242</v>
      </c>
      <c r="BK43" t="s">
        <v>1243</v>
      </c>
      <c r="BL43" t="s">
        <v>1244</v>
      </c>
      <c r="BM43" t="s">
        <v>1245</v>
      </c>
      <c r="BN43" t="s">
        <v>1246</v>
      </c>
      <c r="BO43" t="s">
        <v>1247</v>
      </c>
      <c r="BP43" t="s">
        <v>1248</v>
      </c>
      <c r="BQ43" t="s">
        <v>1249</v>
      </c>
      <c r="BR43" t="s">
        <v>1250</v>
      </c>
      <c r="BS43" t="s">
        <v>1251</v>
      </c>
      <c r="BT43" t="s">
        <v>1252</v>
      </c>
      <c r="BU43" t="s">
        <v>1253</v>
      </c>
      <c r="BV43" t="s">
        <v>1254</v>
      </c>
      <c r="BW43" t="s">
        <v>1255</v>
      </c>
      <c r="BX43" t="s">
        <v>1256</v>
      </c>
    </row>
    <row r="44" spans="21:76" ht="15" thickBot="1">
      <c r="U44" s="12" t="s">
        <v>225</v>
      </c>
      <c r="AR44" s="90" t="s">
        <v>296</v>
      </c>
      <c r="AS44">
        <f>AK16</f>
        <v>29688.050441837317</v>
      </c>
      <c r="AU44" s="12" t="s">
        <v>660</v>
      </c>
      <c r="AV44">
        <f>AX39+BF39+BN39</f>
        <v>39919.92137065663</v>
      </c>
      <c r="AW44">
        <f>AX32+BF32+BN32</f>
        <v>907</v>
      </c>
      <c r="AY44" t="str">
        <f t="shared" si="76"/>
        <v>manutrans</v>
      </c>
      <c r="AZ44">
        <f t="shared" si="77"/>
        <v>601</v>
      </c>
      <c r="BC44" t="s">
        <v>1257</v>
      </c>
      <c r="BD44" t="s">
        <v>1258</v>
      </c>
      <c r="BE44" t="s">
        <v>1259</v>
      </c>
      <c r="BF44" t="s">
        <v>1260</v>
      </c>
      <c r="BG44" t="s">
        <v>1261</v>
      </c>
      <c r="BH44" t="s">
        <v>1262</v>
      </c>
      <c r="BI44" t="s">
        <v>1263</v>
      </c>
      <c r="BJ44" t="s">
        <v>1264</v>
      </c>
      <c r="BK44" t="s">
        <v>1265</v>
      </c>
      <c r="BL44" t="s">
        <v>1266</v>
      </c>
      <c r="BM44" t="s">
        <v>1267</v>
      </c>
      <c r="BN44" t="s">
        <v>1268</v>
      </c>
      <c r="BO44" t="s">
        <v>1269</v>
      </c>
      <c r="BP44" t="s">
        <v>1270</v>
      </c>
      <c r="BQ44" t="s">
        <v>1271</v>
      </c>
      <c r="BR44" t="s">
        <v>1272</v>
      </c>
      <c r="BS44" t="s">
        <v>1273</v>
      </c>
      <c r="BT44" t="s">
        <v>1274</v>
      </c>
      <c r="BU44" t="s">
        <v>1275</v>
      </c>
      <c r="BV44" t="s">
        <v>1276</v>
      </c>
      <c r="BW44" t="s">
        <v>1277</v>
      </c>
      <c r="BX44" t="s">
        <v>1278</v>
      </c>
    </row>
    <row r="45" spans="21:76" ht="15" thickBot="1">
      <c r="AR45" s="90" t="s">
        <v>295</v>
      </c>
      <c r="AS45">
        <f>AL16</f>
        <v>19626.239434009552</v>
      </c>
      <c r="AU45" s="12" t="s">
        <v>661</v>
      </c>
      <c r="AV45">
        <f>AY39+BG39+BO39</f>
        <v>28455.787046962247</v>
      </c>
      <c r="AW45">
        <f>AY32+BG32+BO32</f>
        <v>574</v>
      </c>
      <c r="AY45" t="str">
        <f t="shared" si="76"/>
        <v>trade</v>
      </c>
      <c r="AZ45">
        <f t="shared" si="77"/>
        <v>742</v>
      </c>
      <c r="BC45" t="s">
        <v>1279</v>
      </c>
      <c r="BD45" t="s">
        <v>1280</v>
      </c>
      <c r="BE45" t="s">
        <v>1281</v>
      </c>
      <c r="BF45" t="s">
        <v>1282</v>
      </c>
      <c r="BG45" t="s">
        <v>1283</v>
      </c>
      <c r="BH45" t="s">
        <v>1284</v>
      </c>
      <c r="BI45" t="s">
        <v>1285</v>
      </c>
      <c r="BJ45" t="s">
        <v>1286</v>
      </c>
      <c r="BK45" t="s">
        <v>1287</v>
      </c>
      <c r="BL45" t="s">
        <v>1288</v>
      </c>
      <c r="BM45" t="s">
        <v>1289</v>
      </c>
      <c r="BN45" t="s">
        <v>1290</v>
      </c>
      <c r="BO45" t="s">
        <v>1291</v>
      </c>
      <c r="BP45" t="s">
        <v>1292</v>
      </c>
      <c r="BQ45" t="s">
        <v>1293</v>
      </c>
      <c r="BR45" t="s">
        <v>1294</v>
      </c>
      <c r="BS45" t="s">
        <v>1295</v>
      </c>
      <c r="BT45" t="s">
        <v>1296</v>
      </c>
      <c r="BU45" t="s">
        <v>1297</v>
      </c>
      <c r="BV45" t="s">
        <v>1298</v>
      </c>
      <c r="BW45" t="s">
        <v>1299</v>
      </c>
      <c r="BX45" t="s">
        <v>1300</v>
      </c>
    </row>
    <row r="46" spans="21:76" ht="15" thickBot="1">
      <c r="AR46" s="91" t="s">
        <v>293</v>
      </c>
      <c r="AS46">
        <f>AM16</f>
        <v>39687.759924904341</v>
      </c>
      <c r="AU46" s="12" t="s">
        <v>662</v>
      </c>
      <c r="AV46">
        <f>AZ39+BH39</f>
        <v>3454.9524163513188</v>
      </c>
      <c r="AW46">
        <f>AZ32+BH32</f>
        <v>140</v>
      </c>
      <c r="AY46" t="str">
        <f t="shared" si="76"/>
        <v>services</v>
      </c>
      <c r="AZ46">
        <f t="shared" si="77"/>
        <v>904</v>
      </c>
      <c r="BC46" t="s">
        <v>1301</v>
      </c>
      <c r="BD46" t="s">
        <v>1302</v>
      </c>
      <c r="BE46" t="s">
        <v>1303</v>
      </c>
      <c r="BF46" t="s">
        <v>1304</v>
      </c>
      <c r="BG46" t="s">
        <v>1305</v>
      </c>
      <c r="BH46" t="s">
        <v>1306</v>
      </c>
      <c r="BI46" t="s">
        <v>1307</v>
      </c>
      <c r="BJ46" t="s">
        <v>1308</v>
      </c>
      <c r="BK46" t="s">
        <v>1309</v>
      </c>
      <c r="BL46" t="s">
        <v>1310</v>
      </c>
      <c r="BM46" t="s">
        <v>1311</v>
      </c>
      <c r="BN46" t="s">
        <v>1312</v>
      </c>
      <c r="BO46" t="s">
        <v>1313</v>
      </c>
      <c r="BP46" t="s">
        <v>1314</v>
      </c>
      <c r="BQ46" t="s">
        <v>1315</v>
      </c>
      <c r="BR46" t="s">
        <v>1316</v>
      </c>
      <c r="BS46" t="s">
        <v>1317</v>
      </c>
      <c r="BT46" t="s">
        <v>1318</v>
      </c>
      <c r="BU46" t="s">
        <v>1319</v>
      </c>
      <c r="BV46" t="s">
        <v>1320</v>
      </c>
      <c r="BW46" t="s">
        <v>1321</v>
      </c>
      <c r="BX46" t="s">
        <v>1322</v>
      </c>
    </row>
    <row r="47" spans="21:76" ht="15" thickBot="1">
      <c r="AR47" s="91" t="s">
        <v>269</v>
      </c>
      <c r="AS47">
        <f>AN16</f>
        <v>28398.752042787553</v>
      </c>
      <c r="AU47" s="12" t="s">
        <v>663</v>
      </c>
      <c r="AV47">
        <f>BA39+BI39</f>
        <v>4408.3710401858661</v>
      </c>
      <c r="AW47">
        <f>BA32+BI32</f>
        <v>312</v>
      </c>
      <c r="AY47" t="str">
        <f t="shared" si="76"/>
        <v>health</v>
      </c>
      <c r="AZ47">
        <f t="shared" si="77"/>
        <v>575</v>
      </c>
      <c r="BC47" t="s">
        <v>1323</v>
      </c>
      <c r="BD47" t="s">
        <v>1324</v>
      </c>
      <c r="BE47" t="s">
        <v>1325</v>
      </c>
      <c r="BF47" t="s">
        <v>1326</v>
      </c>
      <c r="BG47" t="s">
        <v>1327</v>
      </c>
      <c r="BH47" t="s">
        <v>1328</v>
      </c>
      <c r="BI47" t="s">
        <v>1329</v>
      </c>
      <c r="BJ47" t="s">
        <v>1330</v>
      </c>
      <c r="BK47" t="s">
        <v>1331</v>
      </c>
      <c r="BL47" t="s">
        <v>1332</v>
      </c>
      <c r="BM47" t="s">
        <v>1333</v>
      </c>
      <c r="BN47" t="s">
        <v>1334</v>
      </c>
      <c r="BO47" t="s">
        <v>1335</v>
      </c>
      <c r="BP47" t="s">
        <v>1336</v>
      </c>
      <c r="BQ47" t="s">
        <v>1337</v>
      </c>
      <c r="BR47" t="s">
        <v>1338</v>
      </c>
      <c r="BS47" t="s">
        <v>1339</v>
      </c>
      <c r="BT47" t="s">
        <v>1340</v>
      </c>
      <c r="BU47" t="s">
        <v>1341</v>
      </c>
      <c r="BV47" t="s">
        <v>1342</v>
      </c>
      <c r="BW47" t="s">
        <v>1343</v>
      </c>
      <c r="BX47" t="s">
        <v>1344</v>
      </c>
    </row>
    <row r="48" spans="21:76" ht="15" thickBot="1">
      <c r="U48" s="12"/>
      <c r="AR48" s="88" t="s">
        <v>312</v>
      </c>
      <c r="AS48">
        <f>AO16</f>
        <v>3454.9524163513188</v>
      </c>
      <c r="AU48" s="12" t="s">
        <v>665</v>
      </c>
      <c r="AW48">
        <f>BD32</f>
        <v>602</v>
      </c>
      <c r="AY48" t="str">
        <f t="shared" si="76"/>
        <v>accommo</v>
      </c>
      <c r="AZ48">
        <f t="shared" si="77"/>
        <v>140</v>
      </c>
    </row>
    <row r="49" spans="21:60" ht="15" thickBot="1">
      <c r="AR49" s="91" t="s">
        <v>294</v>
      </c>
      <c r="AS49">
        <f>AP16</f>
        <v>4401.8762929115301</v>
      </c>
      <c r="AU49" s="12" t="s">
        <v>417</v>
      </c>
      <c r="AW49">
        <f>BP32</f>
        <v>252</v>
      </c>
      <c r="AY49" t="str">
        <f t="shared" si="76"/>
        <v>restau</v>
      </c>
      <c r="AZ49">
        <f t="shared" si="77"/>
        <v>311</v>
      </c>
    </row>
    <row r="50" spans="21:60">
      <c r="AR50" s="92" t="s">
        <v>270</v>
      </c>
      <c r="AS50">
        <f>AQ16</f>
        <v>11481.185101560117</v>
      </c>
      <c r="AU50" s="12" t="s">
        <v>290</v>
      </c>
      <c r="AW50">
        <f>BK32</f>
        <v>45</v>
      </c>
      <c r="AY50" t="str">
        <f t="shared" si="76"/>
        <v>HS</v>
      </c>
      <c r="AZ50">
        <f t="shared" si="77"/>
        <v>0</v>
      </c>
      <c r="BC50">
        <f>AU26</f>
        <v>0</v>
      </c>
      <c r="BD50" t="str">
        <f>AU27</f>
        <v>L1</v>
      </c>
      <c r="BE50" t="str">
        <f>AU28</f>
        <v>L2</v>
      </c>
      <c r="BF50" t="str">
        <f>AU29</f>
        <v>L3</v>
      </c>
      <c r="BG50" t="str">
        <f>AU30</f>
        <v>L4</v>
      </c>
      <c r="BH50" t="str">
        <f>AU31</f>
        <v>L5</v>
      </c>
    </row>
    <row r="51" spans="21:60">
      <c r="U51" s="12"/>
      <c r="AW51">
        <f>SUM(AW41:AW50)</f>
        <v>3954</v>
      </c>
      <c r="BC51" t="str">
        <f>AV26</f>
        <v>const1</v>
      </c>
      <c r="BD51">
        <f>AV27</f>
        <v>8</v>
      </c>
      <c r="BE51">
        <f>AV28</f>
        <v>5</v>
      </c>
      <c r="BF51">
        <f>AV29</f>
        <v>16</v>
      </c>
      <c r="BG51">
        <f>AV30</f>
        <v>5</v>
      </c>
      <c r="BH51">
        <f>AV31</f>
        <v>3</v>
      </c>
    </row>
    <row r="52" spans="21:60">
      <c r="BC52" t="str">
        <f>AW26</f>
        <v>Retail1</v>
      </c>
      <c r="BD52">
        <f>AW27</f>
        <v>82</v>
      </c>
      <c r="BE52">
        <f>AW28</f>
        <v>91</v>
      </c>
      <c r="BF52">
        <f>AW29</f>
        <v>47</v>
      </c>
      <c r="BG52">
        <f>AW30</f>
        <v>3</v>
      </c>
      <c r="BH52">
        <f>AW31</f>
        <v>5</v>
      </c>
    </row>
    <row r="53" spans="21:60">
      <c r="BC53" t="str">
        <f>AX26</f>
        <v>Serv1</v>
      </c>
      <c r="BD53">
        <f>AX27</f>
        <v>97</v>
      </c>
      <c r="BE53">
        <f>AX28</f>
        <v>56</v>
      </c>
      <c r="BF53">
        <f>AX29</f>
        <v>117</v>
      </c>
      <c r="BG53">
        <f>AX30</f>
        <v>29</v>
      </c>
      <c r="BH53">
        <f>AX31</f>
        <v>26</v>
      </c>
    </row>
    <row r="54" spans="21:60">
      <c r="U54" s="12"/>
      <c r="BC54" t="str">
        <f>AY26</f>
        <v>HC1</v>
      </c>
      <c r="BD54">
        <f>AY27</f>
        <v>57</v>
      </c>
      <c r="BE54">
        <f>AY28</f>
        <v>131</v>
      </c>
      <c r="BF54">
        <f>AY29</f>
        <v>114</v>
      </c>
      <c r="BG54">
        <f>AY30</f>
        <v>42</v>
      </c>
      <c r="BH54">
        <f>AY31</f>
        <v>36</v>
      </c>
    </row>
    <row r="55" spans="21:60">
      <c r="BC55" t="str">
        <f>AZ26</f>
        <v>Accom1</v>
      </c>
      <c r="BD55">
        <f>AZ27</f>
        <v>8</v>
      </c>
      <c r="BE55">
        <f>AZ28</f>
        <v>27</v>
      </c>
      <c r="BF55">
        <f>AZ29</f>
        <v>4</v>
      </c>
      <c r="BG55">
        <f>AZ30</f>
        <v>0</v>
      </c>
      <c r="BH55">
        <f>AZ31</f>
        <v>0</v>
      </c>
    </row>
    <row r="56" spans="21:60">
      <c r="BC56" t="str">
        <f>BA26</f>
        <v>Rest1</v>
      </c>
      <c r="BD56">
        <f>BA27</f>
        <v>165</v>
      </c>
      <c r="BE56">
        <f>BA28</f>
        <v>96</v>
      </c>
      <c r="BF56">
        <f>BA29</f>
        <v>17</v>
      </c>
      <c r="BG56">
        <f>BA30</f>
        <v>0</v>
      </c>
      <c r="BH56">
        <f>BA31</f>
        <v>0</v>
      </c>
    </row>
    <row r="57" spans="21:60">
      <c r="BC57" t="str">
        <f>BB26</f>
        <v>ag2</v>
      </c>
      <c r="BD57">
        <f>BB27</f>
        <v>10</v>
      </c>
      <c r="BE57">
        <f>BB28</f>
        <v>1</v>
      </c>
      <c r="BF57">
        <f>BB29</f>
        <v>15</v>
      </c>
      <c r="BG57">
        <f>BB30</f>
        <v>1</v>
      </c>
      <c r="BH57">
        <f>BB31</f>
        <v>6</v>
      </c>
    </row>
    <row r="58" spans="21:60">
      <c r="BC58" t="str">
        <f>BC26</f>
        <v>const2</v>
      </c>
      <c r="BD58">
        <f>BC27</f>
        <v>35</v>
      </c>
      <c r="BE58">
        <f>BC28</f>
        <v>18</v>
      </c>
      <c r="BF58">
        <f>BC29</f>
        <v>62</v>
      </c>
      <c r="BG58">
        <f>BC30</f>
        <v>20</v>
      </c>
      <c r="BH58">
        <f>BC31</f>
        <v>10</v>
      </c>
    </row>
    <row r="59" spans="21:60">
      <c r="BC59" t="str">
        <f>BD26</f>
        <v>manuf2</v>
      </c>
      <c r="BD59">
        <f>BD27</f>
        <v>109</v>
      </c>
      <c r="BE59">
        <f>BD28</f>
        <v>118</v>
      </c>
      <c r="BF59">
        <f>BD29</f>
        <v>262</v>
      </c>
      <c r="BG59">
        <f>BD30</f>
        <v>82</v>
      </c>
      <c r="BH59">
        <f>BD31</f>
        <v>31</v>
      </c>
    </row>
    <row r="60" spans="21:60">
      <c r="BC60" t="str">
        <f>BE26</f>
        <v>Retail2</v>
      </c>
      <c r="BD60">
        <f>BE27</f>
        <v>184</v>
      </c>
      <c r="BE60">
        <f>BE28</f>
        <v>200</v>
      </c>
      <c r="BF60">
        <f>BE29</f>
        <v>104</v>
      </c>
      <c r="BG60">
        <f>BE30</f>
        <v>7</v>
      </c>
      <c r="BH60">
        <f>BE31</f>
        <v>13</v>
      </c>
    </row>
    <row r="61" spans="21:60">
      <c r="BC61" t="str">
        <f>BF26</f>
        <v>Serv2</v>
      </c>
      <c r="BD61">
        <f>BF27</f>
        <v>119</v>
      </c>
      <c r="BE61">
        <f>BF28</f>
        <v>69</v>
      </c>
      <c r="BF61">
        <f>BF29</f>
        <v>143</v>
      </c>
      <c r="BG61">
        <f>BF30</f>
        <v>35</v>
      </c>
      <c r="BH61">
        <f>BF31</f>
        <v>32</v>
      </c>
    </row>
    <row r="62" spans="21:60">
      <c r="BC62" t="str">
        <f>BG26</f>
        <v>HC2</v>
      </c>
      <c r="BD62">
        <f>BG27</f>
        <v>17</v>
      </c>
      <c r="BE62">
        <f>BG28</f>
        <v>38</v>
      </c>
      <c r="BF62">
        <f>BG29</f>
        <v>33</v>
      </c>
      <c r="BG62">
        <f>BG30</f>
        <v>13</v>
      </c>
      <c r="BH62">
        <f>BG31</f>
        <v>11</v>
      </c>
    </row>
    <row r="63" spans="21:60">
      <c r="BC63" t="str">
        <f>BH26</f>
        <v>Accom2</v>
      </c>
      <c r="BD63">
        <f>BH27</f>
        <v>21</v>
      </c>
      <c r="BE63">
        <f>BH28</f>
        <v>70</v>
      </c>
      <c r="BF63">
        <f>BH29</f>
        <v>10</v>
      </c>
      <c r="BG63">
        <f>BH30</f>
        <v>0</v>
      </c>
      <c r="BH63">
        <f>BH31</f>
        <v>0</v>
      </c>
    </row>
    <row r="64" spans="21:60">
      <c r="BC64" t="str">
        <f>BI26</f>
        <v>Rest2</v>
      </c>
      <c r="BD64">
        <f>BI27</f>
        <v>20</v>
      </c>
      <c r="BE64">
        <f>BI28</f>
        <v>12</v>
      </c>
      <c r="BF64">
        <f>BI29</f>
        <v>2</v>
      </c>
      <c r="BG64">
        <f>BI30</f>
        <v>0</v>
      </c>
      <c r="BH64">
        <f>BI31</f>
        <v>0</v>
      </c>
    </row>
    <row r="65" spans="55:60">
      <c r="BC65" t="str">
        <f>BJ26</f>
        <v>ag3</v>
      </c>
      <c r="BD65">
        <f>BJ27</f>
        <v>10</v>
      </c>
      <c r="BE65">
        <f>BJ28</f>
        <v>2</v>
      </c>
      <c r="BF65">
        <f>BJ29</f>
        <v>18</v>
      </c>
      <c r="BG65">
        <f>BJ30</f>
        <v>1</v>
      </c>
      <c r="BH65">
        <f>BJ31</f>
        <v>7</v>
      </c>
    </row>
    <row r="66" spans="55:60">
      <c r="BC66" t="str">
        <f>BK26</f>
        <v>util</v>
      </c>
      <c r="BD66">
        <f>BK27</f>
        <v>7</v>
      </c>
      <c r="BE66">
        <f>BK28</f>
        <v>4</v>
      </c>
      <c r="BF66">
        <f>BK29</f>
        <v>30</v>
      </c>
      <c r="BG66">
        <f>BK30</f>
        <v>0</v>
      </c>
      <c r="BH66">
        <f>BK31</f>
        <v>4</v>
      </c>
    </row>
    <row r="67" spans="55:60">
      <c r="BC67" t="str">
        <f>BL26</f>
        <v>const3</v>
      </c>
      <c r="BD67">
        <f>BL27</f>
        <v>32</v>
      </c>
      <c r="BE67">
        <f>BL28</f>
        <v>15</v>
      </c>
      <c r="BF67">
        <f>BL29</f>
        <v>56</v>
      </c>
      <c r="BG67">
        <f>BL30</f>
        <v>18</v>
      </c>
      <c r="BH67">
        <f>BL31</f>
        <v>9</v>
      </c>
    </row>
    <row r="68" spans="55:60">
      <c r="BC68" t="str">
        <f>BM26</f>
        <v>Retail3</v>
      </c>
      <c r="BD68">
        <f>BM27</f>
        <v>1</v>
      </c>
      <c r="BE68">
        <f>BM28</f>
        <v>2</v>
      </c>
      <c r="BF68">
        <f>BM29</f>
        <v>0</v>
      </c>
      <c r="BG68">
        <f>BM30</f>
        <v>0</v>
      </c>
      <c r="BH68">
        <f>BM31</f>
        <v>0</v>
      </c>
    </row>
    <row r="69" spans="55:60">
      <c r="BC69" t="str">
        <f>BN26</f>
        <v>Serv3</v>
      </c>
      <c r="BD69">
        <f>BN27</f>
        <v>55</v>
      </c>
      <c r="BE69">
        <f>BN28</f>
        <v>32</v>
      </c>
      <c r="BF69">
        <f>BN29</f>
        <v>66</v>
      </c>
      <c r="BG69">
        <f>BN30</f>
        <v>16</v>
      </c>
      <c r="BH69">
        <f>BN31</f>
        <v>15</v>
      </c>
    </row>
    <row r="70" spans="55:60">
      <c r="BC70" t="str">
        <f>BO26</f>
        <v>HC3</v>
      </c>
      <c r="BD70">
        <f>BO27</f>
        <v>13</v>
      </c>
      <c r="BE70">
        <f>BO28</f>
        <v>28</v>
      </c>
      <c r="BF70">
        <f>BO29</f>
        <v>24</v>
      </c>
      <c r="BG70">
        <f>BO30</f>
        <v>9</v>
      </c>
      <c r="BH70">
        <f>BO31</f>
        <v>8</v>
      </c>
    </row>
    <row r="71" spans="55:60">
      <c r="BC71" t="str">
        <f>BP26</f>
        <v>fed</v>
      </c>
      <c r="BD71">
        <f>BP27</f>
        <v>35</v>
      </c>
      <c r="BE71">
        <f>BP28</f>
        <v>51</v>
      </c>
      <c r="BF71">
        <f>BP29</f>
        <v>131</v>
      </c>
      <c r="BG71">
        <f>BP30</f>
        <v>25</v>
      </c>
      <c r="BH71">
        <f>BP31</f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opLeftCell="A13" workbookViewId="0">
      <selection activeCell="G65" sqref="G65:Z87"/>
    </sheetView>
  </sheetViews>
  <sheetFormatPr defaultRowHeight="14.4"/>
  <cols>
    <col min="7" max="7" width="13.21875" customWidth="1"/>
  </cols>
  <sheetData>
    <row r="1" spans="1:24"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</row>
    <row r="2" spans="1:24">
      <c r="A2" t="s">
        <v>724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24">
      <c r="A3" t="s">
        <v>725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0.2</v>
      </c>
      <c r="P3">
        <v>0.2</v>
      </c>
    </row>
    <row r="4" spans="1:24">
      <c r="A4" t="s">
        <v>726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</row>
    <row r="5" spans="1:24">
      <c r="A5" t="s">
        <v>727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</v>
      </c>
      <c r="P5">
        <v>0</v>
      </c>
    </row>
    <row r="6" spans="1:24">
      <c r="A6" t="s">
        <v>728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0.2</v>
      </c>
      <c r="P6">
        <v>0.2</v>
      </c>
    </row>
    <row r="7" spans="1:24">
      <c r="A7" t="s">
        <v>729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0.2</v>
      </c>
      <c r="P7">
        <v>0.2</v>
      </c>
    </row>
    <row r="8" spans="1:24">
      <c r="A8" t="s">
        <v>730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0.2</v>
      </c>
      <c r="P8">
        <v>0.2</v>
      </c>
    </row>
    <row r="9" spans="1:24">
      <c r="A9" t="s">
        <v>731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</v>
      </c>
      <c r="P9">
        <v>0</v>
      </c>
    </row>
    <row r="10" spans="1:24">
      <c r="A10" t="s">
        <v>732</v>
      </c>
      <c r="B10">
        <v>0.05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</v>
      </c>
      <c r="P10">
        <v>0</v>
      </c>
    </row>
    <row r="11" spans="1:24">
      <c r="A11" t="s">
        <v>733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</v>
      </c>
      <c r="P11">
        <v>0.1</v>
      </c>
    </row>
    <row r="12" spans="1:24">
      <c r="A12" t="s">
        <v>734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</row>
    <row r="13" spans="1:24">
      <c r="A13" t="s">
        <v>735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</row>
    <row r="14" spans="1:24">
      <c r="A14" t="s">
        <v>736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</row>
    <row r="16" spans="1:24">
      <c r="A16" s="12" t="s">
        <v>451</v>
      </c>
      <c r="B16" t="s">
        <v>621</v>
      </c>
      <c r="C16" t="s">
        <v>623</v>
      </c>
      <c r="D16" t="s">
        <v>624</v>
      </c>
      <c r="E16" t="s">
        <v>625</v>
      </c>
      <c r="F16" t="s">
        <v>626</v>
      </c>
      <c r="G16" t="s">
        <v>627</v>
      </c>
      <c r="H16" t="s">
        <v>639</v>
      </c>
      <c r="I16" t="s">
        <v>640</v>
      </c>
      <c r="J16" t="s">
        <v>641</v>
      </c>
      <c r="K16" t="s">
        <v>642</v>
      </c>
      <c r="L16" t="s">
        <v>643</v>
      </c>
      <c r="M16" t="s">
        <v>644</v>
      </c>
      <c r="N16" t="s">
        <v>645</v>
      </c>
      <c r="O16" t="s">
        <v>646</v>
      </c>
      <c r="P16" t="s">
        <v>648</v>
      </c>
      <c r="Q16" t="s">
        <v>290</v>
      </c>
      <c r="R16" t="s">
        <v>649</v>
      </c>
      <c r="S16" t="s">
        <v>651</v>
      </c>
      <c r="T16" t="s">
        <v>652</v>
      </c>
      <c r="U16" t="s">
        <v>653</v>
      </c>
      <c r="V16" s="12" t="s">
        <v>692</v>
      </c>
      <c r="W16" s="12" t="s">
        <v>693</v>
      </c>
      <c r="X16" s="12" t="s">
        <v>694</v>
      </c>
    </row>
    <row r="17" spans="1:24">
      <c r="A17" t="s">
        <v>621</v>
      </c>
      <c r="B17">
        <v>0.04</v>
      </c>
      <c r="C17">
        <v>0.03</v>
      </c>
      <c r="D17">
        <v>0.08</v>
      </c>
      <c r="E17">
        <v>0.1</v>
      </c>
      <c r="F17">
        <v>0.1</v>
      </c>
      <c r="G17">
        <v>0.1</v>
      </c>
      <c r="H17">
        <v>7.0000000000000007E-2</v>
      </c>
      <c r="I17">
        <v>0.04</v>
      </c>
      <c r="J17">
        <v>0.08</v>
      </c>
      <c r="K17">
        <v>0.03</v>
      </c>
      <c r="L17">
        <v>0.08</v>
      </c>
      <c r="M17">
        <v>0</v>
      </c>
      <c r="N17">
        <v>0.1</v>
      </c>
      <c r="O17">
        <v>0.1</v>
      </c>
      <c r="P17">
        <v>7.0000000000000007E-2</v>
      </c>
      <c r="Q17">
        <v>0.1</v>
      </c>
      <c r="R17">
        <v>0.04</v>
      </c>
      <c r="S17">
        <v>0.03</v>
      </c>
      <c r="T17">
        <v>0.08</v>
      </c>
      <c r="U17">
        <v>0</v>
      </c>
      <c r="V17">
        <v>0.08</v>
      </c>
      <c r="W17">
        <v>0.08</v>
      </c>
      <c r="X17">
        <v>0.08</v>
      </c>
    </row>
    <row r="18" spans="1:24">
      <c r="A18" t="s">
        <v>623</v>
      </c>
      <c r="B18">
        <v>0</v>
      </c>
      <c r="C18">
        <v>0.05</v>
      </c>
      <c r="D18">
        <v>0.05</v>
      </c>
      <c r="E18">
        <v>0.05</v>
      </c>
      <c r="F18">
        <v>0</v>
      </c>
      <c r="G18">
        <v>0</v>
      </c>
      <c r="H18">
        <v>0</v>
      </c>
      <c r="I18">
        <v>0</v>
      </c>
      <c r="J18">
        <v>0</v>
      </c>
      <c r="K18">
        <v>0.05</v>
      </c>
      <c r="L18">
        <v>0.05</v>
      </c>
      <c r="M18">
        <v>0.05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  <c r="T18">
        <v>0.05</v>
      </c>
      <c r="U18">
        <v>0.05</v>
      </c>
      <c r="V18">
        <v>0</v>
      </c>
      <c r="W18">
        <v>0</v>
      </c>
      <c r="X18">
        <v>0</v>
      </c>
    </row>
    <row r="19" spans="1:24">
      <c r="A19" t="s">
        <v>624</v>
      </c>
      <c r="B19">
        <v>0.05</v>
      </c>
      <c r="C19">
        <v>0.03</v>
      </c>
      <c r="D19">
        <v>0.04</v>
      </c>
      <c r="E19">
        <v>0.05</v>
      </c>
      <c r="F19">
        <v>0.1</v>
      </c>
      <c r="G19">
        <v>0.1</v>
      </c>
      <c r="H19">
        <v>0.03</v>
      </c>
      <c r="I19">
        <v>0.05</v>
      </c>
      <c r="J19">
        <v>0</v>
      </c>
      <c r="K19">
        <v>0.03</v>
      </c>
      <c r="L19">
        <v>0.04</v>
      </c>
      <c r="M19">
        <v>0.05</v>
      </c>
      <c r="N19">
        <v>0.1</v>
      </c>
      <c r="O19">
        <v>0.1</v>
      </c>
      <c r="P19">
        <v>0.03</v>
      </c>
      <c r="Q19">
        <v>0.03</v>
      </c>
      <c r="R19">
        <v>0.05</v>
      </c>
      <c r="S19">
        <v>0.03</v>
      </c>
      <c r="T19">
        <v>0.04</v>
      </c>
      <c r="U19">
        <v>0.05</v>
      </c>
      <c r="V19">
        <v>0</v>
      </c>
      <c r="W19">
        <v>0</v>
      </c>
      <c r="X19">
        <v>0</v>
      </c>
    </row>
    <row r="20" spans="1:24">
      <c r="A20" t="s">
        <v>625</v>
      </c>
      <c r="B20">
        <v>0</v>
      </c>
      <c r="C20">
        <v>0.03</v>
      </c>
      <c r="D20">
        <v>0</v>
      </c>
      <c r="E20">
        <v>0.1</v>
      </c>
      <c r="F20">
        <v>0</v>
      </c>
      <c r="G20">
        <v>0</v>
      </c>
      <c r="H20">
        <v>0</v>
      </c>
      <c r="I20">
        <v>0</v>
      </c>
      <c r="J20">
        <v>0</v>
      </c>
      <c r="K20">
        <v>0.03</v>
      </c>
      <c r="L20">
        <v>0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0.03</v>
      </c>
      <c r="T20">
        <v>0</v>
      </c>
      <c r="U20">
        <v>0.1</v>
      </c>
      <c r="V20">
        <v>0</v>
      </c>
      <c r="W20">
        <v>0</v>
      </c>
      <c r="X20">
        <v>0</v>
      </c>
    </row>
    <row r="21" spans="1:24">
      <c r="A21" t="s">
        <v>626</v>
      </c>
      <c r="B21">
        <v>0.05</v>
      </c>
      <c r="C21">
        <v>0.03</v>
      </c>
      <c r="D21">
        <v>0</v>
      </c>
      <c r="E21">
        <v>0</v>
      </c>
      <c r="F21">
        <v>0</v>
      </c>
      <c r="G21">
        <v>0</v>
      </c>
      <c r="H21">
        <v>0</v>
      </c>
      <c r="I21">
        <v>0.05</v>
      </c>
      <c r="J21">
        <v>0</v>
      </c>
      <c r="K21">
        <v>0.03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0.05</v>
      </c>
      <c r="S21">
        <v>0.03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627</v>
      </c>
      <c r="B22">
        <v>0</v>
      </c>
      <c r="C22">
        <v>0.03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0.03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639</v>
      </c>
      <c r="B23">
        <v>0</v>
      </c>
      <c r="C23">
        <v>0.03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0.03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640</v>
      </c>
      <c r="B24">
        <v>0.04</v>
      </c>
      <c r="C24">
        <v>0.08</v>
      </c>
      <c r="D24">
        <v>0.1</v>
      </c>
      <c r="E24">
        <v>0.1</v>
      </c>
      <c r="F24">
        <v>0.1</v>
      </c>
      <c r="G24">
        <v>0.1</v>
      </c>
      <c r="H24">
        <v>7.0000000000000007E-2</v>
      </c>
      <c r="I24">
        <v>0.04</v>
      </c>
      <c r="J24">
        <v>0.08</v>
      </c>
      <c r="K24">
        <v>0.08</v>
      </c>
      <c r="L24">
        <v>0.1</v>
      </c>
      <c r="M24">
        <v>0.1</v>
      </c>
      <c r="N24">
        <v>0.1</v>
      </c>
      <c r="O24">
        <v>0.1</v>
      </c>
      <c r="P24">
        <v>7.0000000000000007E-2</v>
      </c>
      <c r="Q24">
        <v>0.1</v>
      </c>
      <c r="R24">
        <v>0.04</v>
      </c>
      <c r="S24">
        <v>0.08</v>
      </c>
      <c r="T24">
        <v>0.1</v>
      </c>
      <c r="U24">
        <v>0.1</v>
      </c>
      <c r="V24">
        <v>0.08</v>
      </c>
      <c r="W24">
        <v>0.08</v>
      </c>
      <c r="X24">
        <v>0.08</v>
      </c>
    </row>
    <row r="25" spans="1:24">
      <c r="A25" t="s">
        <v>641</v>
      </c>
      <c r="B25">
        <v>0.49</v>
      </c>
      <c r="C25">
        <v>0.2</v>
      </c>
      <c r="D25">
        <v>0.45</v>
      </c>
      <c r="E25">
        <v>0.3</v>
      </c>
      <c r="F25">
        <v>0.4</v>
      </c>
      <c r="G25">
        <v>0.4</v>
      </c>
      <c r="H25">
        <v>0.61</v>
      </c>
      <c r="I25">
        <v>0.49</v>
      </c>
      <c r="J25">
        <v>0.67</v>
      </c>
      <c r="K25">
        <v>0.23</v>
      </c>
      <c r="L25">
        <v>0.45</v>
      </c>
      <c r="M25">
        <v>0.3</v>
      </c>
      <c r="N25">
        <v>0.4</v>
      </c>
      <c r="O25">
        <v>0.4</v>
      </c>
      <c r="P25">
        <v>0.61</v>
      </c>
      <c r="Q25">
        <v>0.5</v>
      </c>
      <c r="R25">
        <v>0.49</v>
      </c>
      <c r="S25">
        <v>0.23</v>
      </c>
      <c r="T25">
        <v>0.45</v>
      </c>
      <c r="U25">
        <v>0.3</v>
      </c>
      <c r="V25">
        <v>0.8</v>
      </c>
      <c r="W25">
        <v>0.8</v>
      </c>
      <c r="X25">
        <v>0.8</v>
      </c>
    </row>
    <row r="26" spans="1:24">
      <c r="A26" t="s">
        <v>642</v>
      </c>
      <c r="B26">
        <v>0</v>
      </c>
      <c r="C26">
        <v>0.03</v>
      </c>
      <c r="D26">
        <v>0.05</v>
      </c>
      <c r="E26">
        <v>0.05</v>
      </c>
      <c r="F26">
        <v>0</v>
      </c>
      <c r="G26">
        <v>0</v>
      </c>
      <c r="H26">
        <v>0</v>
      </c>
      <c r="I26">
        <v>0</v>
      </c>
      <c r="J26">
        <v>0</v>
      </c>
      <c r="K26">
        <v>0.03</v>
      </c>
      <c r="L26">
        <v>0.05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0.03</v>
      </c>
      <c r="T26">
        <v>0.05</v>
      </c>
      <c r="U26">
        <v>0.05</v>
      </c>
      <c r="V26">
        <v>0</v>
      </c>
      <c r="W26">
        <v>0</v>
      </c>
      <c r="X26">
        <v>0</v>
      </c>
    </row>
    <row r="27" spans="1:24">
      <c r="A27" t="s">
        <v>643</v>
      </c>
      <c r="B27">
        <v>0.05</v>
      </c>
      <c r="C27">
        <v>7.0000000000000007E-2</v>
      </c>
      <c r="D27">
        <v>0.1</v>
      </c>
      <c r="E27">
        <v>0.05</v>
      </c>
      <c r="F27">
        <v>0.05</v>
      </c>
      <c r="G27">
        <v>0.05</v>
      </c>
      <c r="H27">
        <v>0.03</v>
      </c>
      <c r="I27">
        <v>0.05</v>
      </c>
      <c r="J27">
        <v>0</v>
      </c>
      <c r="K27">
        <v>7.0000000000000007E-2</v>
      </c>
      <c r="L27">
        <v>0.1</v>
      </c>
      <c r="M27">
        <v>0.05</v>
      </c>
      <c r="N27">
        <v>0.05</v>
      </c>
      <c r="O27">
        <v>0.05</v>
      </c>
      <c r="P27">
        <v>0.03</v>
      </c>
      <c r="Q27">
        <v>0.04</v>
      </c>
      <c r="R27">
        <v>0.05</v>
      </c>
      <c r="S27">
        <v>7.0000000000000007E-2</v>
      </c>
      <c r="T27">
        <v>0.1</v>
      </c>
      <c r="U27">
        <v>0.05</v>
      </c>
      <c r="V27">
        <v>0</v>
      </c>
      <c r="W27">
        <v>0</v>
      </c>
      <c r="X27">
        <v>0</v>
      </c>
    </row>
    <row r="28" spans="1:24">
      <c r="A28" t="s">
        <v>644</v>
      </c>
      <c r="B28">
        <v>0</v>
      </c>
      <c r="C28">
        <v>0.03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0.03</v>
      </c>
      <c r="L28">
        <v>0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  <c r="S28">
        <v>0.03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645</v>
      </c>
      <c r="B29">
        <v>0.05</v>
      </c>
      <c r="C29">
        <v>0.03</v>
      </c>
      <c r="D29">
        <v>0</v>
      </c>
      <c r="E29">
        <v>0</v>
      </c>
      <c r="F29">
        <v>0</v>
      </c>
      <c r="G29">
        <v>0</v>
      </c>
      <c r="H29">
        <v>0</v>
      </c>
      <c r="I29">
        <v>0.05</v>
      </c>
      <c r="J29">
        <v>0</v>
      </c>
      <c r="K29">
        <v>0.03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0.05</v>
      </c>
      <c r="S29">
        <v>0.03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646</v>
      </c>
      <c r="B30">
        <v>0</v>
      </c>
      <c r="C30">
        <v>0.03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0.03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648</v>
      </c>
      <c r="B31">
        <v>0</v>
      </c>
      <c r="C31">
        <v>0.03</v>
      </c>
      <c r="D31">
        <v>0</v>
      </c>
      <c r="E31">
        <v>0</v>
      </c>
      <c r="F31">
        <v>0</v>
      </c>
      <c r="G31">
        <v>0</v>
      </c>
      <c r="H31">
        <v>0.1</v>
      </c>
      <c r="I31">
        <v>0</v>
      </c>
      <c r="J31">
        <v>0</v>
      </c>
      <c r="K31">
        <v>0.03</v>
      </c>
      <c r="L31">
        <v>0</v>
      </c>
      <c r="M31">
        <v>0</v>
      </c>
      <c r="N31">
        <v>0</v>
      </c>
      <c r="O31">
        <v>0</v>
      </c>
      <c r="P31">
        <v>0.1</v>
      </c>
      <c r="Q31">
        <v>0</v>
      </c>
      <c r="R31">
        <v>0</v>
      </c>
      <c r="S31">
        <v>0.03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290</v>
      </c>
      <c r="B32">
        <v>0.15</v>
      </c>
      <c r="C32">
        <v>0.1</v>
      </c>
      <c r="D32">
        <v>0</v>
      </c>
      <c r="E32">
        <v>0.1</v>
      </c>
      <c r="F32">
        <v>0.15</v>
      </c>
      <c r="G32">
        <v>0.15</v>
      </c>
      <c r="H32">
        <v>0</v>
      </c>
      <c r="I32">
        <v>0.15</v>
      </c>
      <c r="J32">
        <v>0.09</v>
      </c>
      <c r="K32">
        <v>0.1</v>
      </c>
      <c r="L32">
        <v>0</v>
      </c>
      <c r="M32">
        <v>0.1</v>
      </c>
      <c r="N32">
        <v>0.15</v>
      </c>
      <c r="O32">
        <v>0.15</v>
      </c>
      <c r="P32">
        <v>0</v>
      </c>
      <c r="Q32">
        <v>0.2</v>
      </c>
      <c r="R32">
        <v>0.15</v>
      </c>
      <c r="S32">
        <v>0.1</v>
      </c>
      <c r="T32">
        <v>0</v>
      </c>
      <c r="U32">
        <v>0.1</v>
      </c>
      <c r="V32">
        <v>0</v>
      </c>
      <c r="W32">
        <v>0</v>
      </c>
      <c r="X32">
        <v>0</v>
      </c>
    </row>
    <row r="33" spans="1:32">
      <c r="A33" t="s">
        <v>649</v>
      </c>
      <c r="B33">
        <v>0.08</v>
      </c>
      <c r="C33">
        <v>0.08</v>
      </c>
      <c r="D33">
        <v>0.08</v>
      </c>
      <c r="E33">
        <v>0.1</v>
      </c>
      <c r="F33">
        <v>0</v>
      </c>
      <c r="G33">
        <v>0</v>
      </c>
      <c r="H33">
        <v>7.0000000000000007E-2</v>
      </c>
      <c r="I33">
        <v>0.08</v>
      </c>
      <c r="J33">
        <v>0.08</v>
      </c>
      <c r="K33">
        <v>0.08</v>
      </c>
      <c r="L33">
        <v>0.08</v>
      </c>
      <c r="M33">
        <v>0.1</v>
      </c>
      <c r="N33">
        <v>0</v>
      </c>
      <c r="O33">
        <v>0</v>
      </c>
      <c r="P33">
        <v>7.0000000000000007E-2</v>
      </c>
      <c r="Q33">
        <v>0</v>
      </c>
      <c r="R33">
        <v>0.08</v>
      </c>
      <c r="S33">
        <v>0.08</v>
      </c>
      <c r="T33">
        <v>0.08</v>
      </c>
      <c r="U33">
        <v>0.1</v>
      </c>
      <c r="V33">
        <v>0.04</v>
      </c>
      <c r="W33">
        <v>0.04</v>
      </c>
      <c r="X33">
        <v>0.04</v>
      </c>
    </row>
    <row r="34" spans="1:32">
      <c r="A34" t="s">
        <v>651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32">
      <c r="A35" t="s">
        <v>652</v>
      </c>
      <c r="B35">
        <v>0</v>
      </c>
      <c r="C35">
        <v>0.06</v>
      </c>
      <c r="D35">
        <v>0.05</v>
      </c>
      <c r="E35">
        <v>0</v>
      </c>
      <c r="F35">
        <v>0.1</v>
      </c>
      <c r="G35">
        <v>0.1</v>
      </c>
      <c r="H35">
        <v>0.02</v>
      </c>
      <c r="I35">
        <v>0</v>
      </c>
      <c r="J35">
        <v>0</v>
      </c>
      <c r="K35">
        <v>0.03</v>
      </c>
      <c r="L35">
        <v>0.05</v>
      </c>
      <c r="M35">
        <v>0</v>
      </c>
      <c r="N35">
        <v>0.1</v>
      </c>
      <c r="O35">
        <v>0.1</v>
      </c>
      <c r="P35">
        <v>0.02</v>
      </c>
      <c r="Q35">
        <v>0.03</v>
      </c>
      <c r="R35">
        <v>0</v>
      </c>
      <c r="S35">
        <v>0.03</v>
      </c>
      <c r="T35">
        <v>0.05</v>
      </c>
      <c r="U35">
        <v>0</v>
      </c>
      <c r="V35">
        <v>0</v>
      </c>
      <c r="W35">
        <v>0</v>
      </c>
      <c r="X35">
        <v>0</v>
      </c>
    </row>
    <row r="36" spans="1:32">
      <c r="A36" t="s">
        <v>653</v>
      </c>
      <c r="B36">
        <v>0</v>
      </c>
      <c r="C36">
        <v>0.03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</v>
      </c>
      <c r="T36">
        <v>0</v>
      </c>
      <c r="U36">
        <v>0.1</v>
      </c>
      <c r="V36">
        <v>0</v>
      </c>
      <c r="W36">
        <v>0</v>
      </c>
      <c r="X36">
        <v>0</v>
      </c>
    </row>
    <row r="37" spans="1:32">
      <c r="A37" s="12"/>
    </row>
    <row r="38" spans="1:32">
      <c r="A38" s="12"/>
      <c r="B38">
        <f>SUM(B17:B37)</f>
        <v>1.0000000000000002</v>
      </c>
      <c r="C38">
        <f t="shared" ref="C38:U38" si="0">SUM(C17:C37)</f>
        <v>1.0000000000000002</v>
      </c>
      <c r="D38">
        <f t="shared" si="0"/>
        <v>1</v>
      </c>
      <c r="E38">
        <f t="shared" si="0"/>
        <v>1</v>
      </c>
      <c r="F38">
        <f t="shared" si="0"/>
        <v>1.0000000000000002</v>
      </c>
      <c r="G38">
        <f t="shared" si="0"/>
        <v>1.0000000000000002</v>
      </c>
      <c r="H38">
        <f t="shared" si="0"/>
        <v>1</v>
      </c>
      <c r="I38">
        <f t="shared" si="0"/>
        <v>1.0000000000000002</v>
      </c>
      <c r="J38">
        <f t="shared" si="0"/>
        <v>1</v>
      </c>
      <c r="K38">
        <f t="shared" si="0"/>
        <v>1.0000000000000002</v>
      </c>
      <c r="L38">
        <f t="shared" si="0"/>
        <v>1</v>
      </c>
      <c r="M38">
        <f t="shared" si="0"/>
        <v>1.0000000000000002</v>
      </c>
      <c r="N38">
        <f t="shared" si="0"/>
        <v>1.0000000000000002</v>
      </c>
      <c r="O38">
        <f t="shared" si="0"/>
        <v>1.0000000000000002</v>
      </c>
      <c r="P38">
        <f t="shared" si="0"/>
        <v>1</v>
      </c>
      <c r="Q38">
        <f t="shared" si="0"/>
        <v>1</v>
      </c>
      <c r="R38">
        <f t="shared" si="0"/>
        <v>1.0000000000000002</v>
      </c>
      <c r="S38">
        <f t="shared" si="0"/>
        <v>1.0000000000000002</v>
      </c>
      <c r="T38">
        <f t="shared" si="0"/>
        <v>1</v>
      </c>
      <c r="U38">
        <f t="shared" si="0"/>
        <v>1.0000000000000002</v>
      </c>
      <c r="V38">
        <f t="shared" ref="V38" si="1">SUM(V17:V37)</f>
        <v>1</v>
      </c>
      <c r="W38">
        <f t="shared" ref="W38" si="2">SUM(W17:W37)</f>
        <v>1</v>
      </c>
      <c r="X38">
        <f t="shared" ref="X38" si="3">SUM(X17:X37)</f>
        <v>1</v>
      </c>
    </row>
    <row r="39" spans="1:32">
      <c r="A39" s="12"/>
    </row>
    <row r="40" spans="1:32">
      <c r="D40" s="12" t="s">
        <v>781</v>
      </c>
      <c r="Z40" s="194"/>
      <c r="AA40" s="194"/>
      <c r="AB40" s="194"/>
      <c r="AC40" s="194"/>
      <c r="AD40" s="194"/>
      <c r="AE40" s="194"/>
    </row>
    <row r="41" spans="1:32">
      <c r="A41" t="s">
        <v>621</v>
      </c>
      <c r="B41" s="195">
        <f>'Seaside SAM'!D61</f>
        <v>981.19347011661193</v>
      </c>
      <c r="C41" s="195">
        <f t="array" ref="C41">MMULT(B17:X17,B41:B63)</f>
        <v>40726.424972956636</v>
      </c>
      <c r="D41">
        <f>G89</f>
        <v>40726.424972956636</v>
      </c>
      <c r="E41" s="195"/>
      <c r="F41" s="195"/>
      <c r="G41">
        <f>B17</f>
        <v>0.04</v>
      </c>
      <c r="H41">
        <f>B18</f>
        <v>0</v>
      </c>
      <c r="I41">
        <f>B19</f>
        <v>0.05</v>
      </c>
      <c r="J41">
        <f>B20</f>
        <v>0</v>
      </c>
      <c r="K41">
        <f>B21</f>
        <v>0.05</v>
      </c>
      <c r="L41">
        <f>B22</f>
        <v>0</v>
      </c>
      <c r="M41">
        <f>B23</f>
        <v>0</v>
      </c>
      <c r="N41">
        <f>B24</f>
        <v>0.04</v>
      </c>
      <c r="O41">
        <f>B25</f>
        <v>0.49</v>
      </c>
      <c r="P41">
        <f>B26</f>
        <v>0</v>
      </c>
      <c r="Q41">
        <f>B27</f>
        <v>0.05</v>
      </c>
      <c r="R41">
        <f>B28</f>
        <v>0</v>
      </c>
      <c r="S41">
        <f>B29</f>
        <v>0.05</v>
      </c>
      <c r="T41">
        <f>B30</f>
        <v>0</v>
      </c>
      <c r="U41">
        <f>B31</f>
        <v>0</v>
      </c>
      <c r="V41">
        <f>B32</f>
        <v>0.15</v>
      </c>
      <c r="W41">
        <f>B33</f>
        <v>0.08</v>
      </c>
      <c r="X41">
        <f>B34</f>
        <v>0</v>
      </c>
      <c r="Y41">
        <f>B35</f>
        <v>0</v>
      </c>
      <c r="Z41">
        <f>B36</f>
        <v>0</v>
      </c>
      <c r="AA41" s="196"/>
      <c r="AB41" s="196"/>
      <c r="AC41" s="196"/>
      <c r="AD41" s="196"/>
      <c r="AE41" s="196"/>
      <c r="AF41" s="6"/>
    </row>
    <row r="42" spans="1:32">
      <c r="A42" t="s">
        <v>623</v>
      </c>
      <c r="B42" s="195">
        <f>'Seaside SAM'!D62</f>
        <v>13728.878057721126</v>
      </c>
      <c r="C42" s="195">
        <f t="array" ref="C42:C44">MMULT(B18:X20,B41:B63)</f>
        <v>12340.64052397934</v>
      </c>
      <c r="D42">
        <f>H89</f>
        <v>12340.64052397934</v>
      </c>
      <c r="E42" s="195"/>
      <c r="F42" s="195"/>
      <c r="G42">
        <f>C17</f>
        <v>0.03</v>
      </c>
      <c r="H42">
        <f>C18</f>
        <v>0.05</v>
      </c>
      <c r="I42">
        <f>C19</f>
        <v>0.03</v>
      </c>
      <c r="J42">
        <f>C20</f>
        <v>0.03</v>
      </c>
      <c r="K42">
        <f>C21</f>
        <v>0.03</v>
      </c>
      <c r="L42">
        <f>C22</f>
        <v>0.03</v>
      </c>
      <c r="M42">
        <f>C23</f>
        <v>0.03</v>
      </c>
      <c r="N42">
        <f>C24</f>
        <v>0.08</v>
      </c>
      <c r="O42">
        <f>C25</f>
        <v>0.2</v>
      </c>
      <c r="P42">
        <f>C26</f>
        <v>0.03</v>
      </c>
      <c r="Q42">
        <f>C27</f>
        <v>7.0000000000000007E-2</v>
      </c>
      <c r="R42">
        <f>C28</f>
        <v>0.03</v>
      </c>
      <c r="S42">
        <f>C29</f>
        <v>0.03</v>
      </c>
      <c r="T42">
        <f>C30</f>
        <v>0.03</v>
      </c>
      <c r="U42">
        <f>C31</f>
        <v>0.03</v>
      </c>
      <c r="V42">
        <f>C32</f>
        <v>0.1</v>
      </c>
      <c r="W42">
        <f>C33</f>
        <v>0.08</v>
      </c>
      <c r="X42">
        <f>C34</f>
        <v>0</v>
      </c>
      <c r="Y42">
        <f>C35</f>
        <v>0.06</v>
      </c>
      <c r="Z42">
        <f>C36</f>
        <v>0.03</v>
      </c>
      <c r="AA42" s="196"/>
      <c r="AB42" s="196"/>
      <c r="AC42" s="196"/>
      <c r="AD42" s="196"/>
      <c r="AE42" s="196"/>
      <c r="AF42" s="6"/>
    </row>
    <row r="43" spans="1:32">
      <c r="A43" t="s">
        <v>624</v>
      </c>
      <c r="B43" s="195">
        <f>'Seaside SAM'!D63</f>
        <v>61417.501288697422</v>
      </c>
      <c r="C43" s="195">
        <v>29985.376403112947</v>
      </c>
      <c r="D43">
        <f>I89</f>
        <v>29985.376403112947</v>
      </c>
      <c r="E43" s="195"/>
      <c r="F43" s="195"/>
      <c r="G43">
        <f>D17</f>
        <v>0.08</v>
      </c>
      <c r="H43">
        <f>D18</f>
        <v>0.05</v>
      </c>
      <c r="I43">
        <f>D19</f>
        <v>0.04</v>
      </c>
      <c r="J43">
        <f>D20</f>
        <v>0</v>
      </c>
      <c r="K43">
        <f>D21</f>
        <v>0</v>
      </c>
      <c r="L43">
        <f>D22</f>
        <v>0</v>
      </c>
      <c r="M43">
        <f>D23</f>
        <v>0</v>
      </c>
      <c r="N43">
        <f>D24</f>
        <v>0.1</v>
      </c>
      <c r="O43">
        <f>D25</f>
        <v>0.45</v>
      </c>
      <c r="P43">
        <f>D26</f>
        <v>0.05</v>
      </c>
      <c r="Q43">
        <f>D27</f>
        <v>0.1</v>
      </c>
      <c r="R43">
        <f>D28</f>
        <v>0</v>
      </c>
      <c r="S43">
        <f>D29</f>
        <v>0</v>
      </c>
      <c r="T43">
        <f>D30</f>
        <v>0</v>
      </c>
      <c r="U43">
        <f>D31</f>
        <v>0</v>
      </c>
      <c r="V43">
        <f>D32</f>
        <v>0</v>
      </c>
      <c r="W43">
        <f>D33</f>
        <v>0.08</v>
      </c>
      <c r="X43">
        <f>D34</f>
        <v>0</v>
      </c>
      <c r="Y43">
        <f>D35</f>
        <v>0.05</v>
      </c>
      <c r="Z43">
        <f>D36</f>
        <v>0</v>
      </c>
      <c r="AA43" s="196"/>
      <c r="AB43" s="196"/>
      <c r="AC43" s="196"/>
      <c r="AD43" s="196"/>
      <c r="AE43" s="196"/>
      <c r="AF43" s="6"/>
    </row>
    <row r="44" spans="1:32">
      <c r="A44" t="s">
        <v>625</v>
      </c>
      <c r="B44" s="195">
        <f>'Seaside SAM'!D64</f>
        <v>28640.873816422201</v>
      </c>
      <c r="C44" s="195">
        <v>4897.8547678835466</v>
      </c>
      <c r="D44">
        <f>J89</f>
        <v>4897.8547678835466</v>
      </c>
      <c r="E44" s="195"/>
      <c r="F44" s="195"/>
      <c r="G44">
        <f>E17</f>
        <v>0.1</v>
      </c>
      <c r="H44">
        <f>E18</f>
        <v>0.05</v>
      </c>
      <c r="I44">
        <f>E19</f>
        <v>0.05</v>
      </c>
      <c r="J44">
        <f>E20</f>
        <v>0.1</v>
      </c>
      <c r="K44">
        <f>E21</f>
        <v>0</v>
      </c>
      <c r="L44">
        <f>E22</f>
        <v>0</v>
      </c>
      <c r="M44">
        <f>E23</f>
        <v>0</v>
      </c>
      <c r="N44">
        <f>E24</f>
        <v>0.1</v>
      </c>
      <c r="O44">
        <f>E25</f>
        <v>0.3</v>
      </c>
      <c r="P44">
        <f>E26</f>
        <v>0.05</v>
      </c>
      <c r="Q44">
        <f>E27</f>
        <v>0.05</v>
      </c>
      <c r="R44">
        <f>E28</f>
        <v>0</v>
      </c>
      <c r="S44">
        <f>E29</f>
        <v>0</v>
      </c>
      <c r="T44">
        <f>E30</f>
        <v>0</v>
      </c>
      <c r="U44">
        <f>E31</f>
        <v>0</v>
      </c>
      <c r="V44">
        <f>E32</f>
        <v>0.1</v>
      </c>
      <c r="W44">
        <f>E33</f>
        <v>0.1</v>
      </c>
      <c r="X44">
        <f>E34</f>
        <v>0</v>
      </c>
      <c r="Y44">
        <f>E35</f>
        <v>0</v>
      </c>
      <c r="Z44">
        <f>E36</f>
        <v>0</v>
      </c>
      <c r="AA44" s="196"/>
      <c r="AB44" s="196"/>
      <c r="AC44" s="196"/>
      <c r="AD44" s="196"/>
      <c r="AE44" s="196"/>
      <c r="AF44" s="6"/>
    </row>
    <row r="45" spans="1:32">
      <c r="A45" t="s">
        <v>626</v>
      </c>
      <c r="B45" s="195">
        <f>'Seaside SAM'!D65</f>
        <v>3496.5090765435998</v>
      </c>
      <c r="C45" s="195">
        <f t="array" ref="C45">MMULT(B21:X21,B41:B63)</f>
        <v>1373.9394689190785</v>
      </c>
      <c r="D45">
        <f>K89</f>
        <v>1373.9394689190785</v>
      </c>
      <c r="E45" s="195"/>
      <c r="F45" s="195"/>
      <c r="G45">
        <f>F17</f>
        <v>0.1</v>
      </c>
      <c r="H45">
        <f>F18</f>
        <v>0</v>
      </c>
      <c r="I45">
        <f>F19</f>
        <v>0.1</v>
      </c>
      <c r="J45">
        <f>F20</f>
        <v>0</v>
      </c>
      <c r="K45">
        <f>F21</f>
        <v>0</v>
      </c>
      <c r="L45">
        <f>F22</f>
        <v>0</v>
      </c>
      <c r="M45">
        <f>F23</f>
        <v>0</v>
      </c>
      <c r="N45">
        <f>F24</f>
        <v>0.1</v>
      </c>
      <c r="O45">
        <f>F25</f>
        <v>0.4</v>
      </c>
      <c r="P45">
        <f>F26</f>
        <v>0</v>
      </c>
      <c r="Q45">
        <f>F27</f>
        <v>0.05</v>
      </c>
      <c r="R45">
        <f>F28</f>
        <v>0</v>
      </c>
      <c r="S45">
        <f>F29</f>
        <v>0</v>
      </c>
      <c r="T45">
        <f>F30</f>
        <v>0</v>
      </c>
      <c r="U45">
        <f>F31</f>
        <v>0</v>
      </c>
      <c r="V45">
        <f>F32</f>
        <v>0.15</v>
      </c>
      <c r="W45">
        <f>F33</f>
        <v>0</v>
      </c>
      <c r="X45">
        <f>F34</f>
        <v>0</v>
      </c>
      <c r="Y45">
        <f>F35</f>
        <v>0.1</v>
      </c>
      <c r="Z45">
        <f>F36</f>
        <v>0</v>
      </c>
      <c r="AA45" s="196"/>
      <c r="AB45" s="196"/>
      <c r="AC45" s="196"/>
      <c r="AD45" s="196"/>
      <c r="AE45" s="196"/>
      <c r="AF45" s="6"/>
    </row>
    <row r="46" spans="1:32">
      <c r="A46" t="s">
        <v>627</v>
      </c>
      <c r="B46" s="195">
        <f>'Seaside SAM'!D66</f>
        <v>161482.98570247498</v>
      </c>
      <c r="C46" s="195">
        <f t="array" ref="C46">MMULT(B22:X22,B41:B63)</f>
        <v>976.86923763367611</v>
      </c>
      <c r="D46">
        <f>L89</f>
        <v>976.86923763367611</v>
      </c>
      <c r="E46" s="195"/>
      <c r="F46" s="195"/>
      <c r="G46">
        <f>G17</f>
        <v>0.1</v>
      </c>
      <c r="H46">
        <f>G18</f>
        <v>0</v>
      </c>
      <c r="I46">
        <f>G19</f>
        <v>0.1</v>
      </c>
      <c r="J46">
        <f>G20</f>
        <v>0</v>
      </c>
      <c r="K46">
        <f>G21</f>
        <v>0</v>
      </c>
      <c r="L46">
        <f>G22</f>
        <v>0</v>
      </c>
      <c r="M46">
        <f>G23</f>
        <v>0</v>
      </c>
      <c r="N46">
        <f>G24</f>
        <v>0.1</v>
      </c>
      <c r="O46">
        <f>G25</f>
        <v>0.4</v>
      </c>
      <c r="P46">
        <f>G26</f>
        <v>0</v>
      </c>
      <c r="Q46">
        <f>G27</f>
        <v>0.05</v>
      </c>
      <c r="R46">
        <f>G28</f>
        <v>0</v>
      </c>
      <c r="S46">
        <f>G29</f>
        <v>0</v>
      </c>
      <c r="T46">
        <f>G30</f>
        <v>0</v>
      </c>
      <c r="U46">
        <f>G31</f>
        <v>0</v>
      </c>
      <c r="V46">
        <f>G32</f>
        <v>0.15</v>
      </c>
      <c r="W46">
        <f>G33</f>
        <v>0</v>
      </c>
      <c r="X46">
        <f>G34</f>
        <v>0</v>
      </c>
      <c r="Y46">
        <f>G35</f>
        <v>0.1</v>
      </c>
      <c r="Z46">
        <f>G36</f>
        <v>0</v>
      </c>
      <c r="AA46" s="196"/>
      <c r="AB46" s="196"/>
      <c r="AC46" s="196"/>
      <c r="AD46" s="196"/>
      <c r="AE46" s="196"/>
      <c r="AF46" s="6"/>
    </row>
    <row r="47" spans="1:32">
      <c r="A47" t="s">
        <v>639</v>
      </c>
      <c r="B47" s="195">
        <f>'Seaside SAM'!D67</f>
        <v>237.62852530569799</v>
      </c>
      <c r="C47" s="195"/>
      <c r="D47">
        <f>M89</f>
        <v>976.86923763367611</v>
      </c>
      <c r="E47" s="195"/>
      <c r="F47" s="195"/>
      <c r="G47">
        <f>H17</f>
        <v>7.0000000000000007E-2</v>
      </c>
      <c r="H47">
        <f>H18</f>
        <v>0</v>
      </c>
      <c r="I47">
        <f>H19</f>
        <v>0.03</v>
      </c>
      <c r="J47">
        <f>H20</f>
        <v>0</v>
      </c>
      <c r="K47">
        <f>H21</f>
        <v>0</v>
      </c>
      <c r="L47">
        <f>H22</f>
        <v>0</v>
      </c>
      <c r="M47">
        <f>H23</f>
        <v>0</v>
      </c>
      <c r="N47">
        <f>H24</f>
        <v>7.0000000000000007E-2</v>
      </c>
      <c r="O47">
        <f>H25</f>
        <v>0.61</v>
      </c>
      <c r="P47">
        <f>H26</f>
        <v>0</v>
      </c>
      <c r="Q47">
        <f>H27</f>
        <v>0.03</v>
      </c>
      <c r="R47">
        <f>H28</f>
        <v>0</v>
      </c>
      <c r="S47">
        <f>H29</f>
        <v>0</v>
      </c>
      <c r="T47">
        <f>H30</f>
        <v>0</v>
      </c>
      <c r="U47">
        <f>H31</f>
        <v>0.1</v>
      </c>
      <c r="V47">
        <f>H32</f>
        <v>0</v>
      </c>
      <c r="W47">
        <f>H33</f>
        <v>7.0000000000000007E-2</v>
      </c>
      <c r="X47">
        <f>H34</f>
        <v>0</v>
      </c>
      <c r="Y47">
        <f>H35</f>
        <v>0.02</v>
      </c>
      <c r="Z47">
        <f>H36</f>
        <v>0</v>
      </c>
      <c r="AA47" s="196"/>
      <c r="AB47" s="196"/>
      <c r="AC47" s="196"/>
      <c r="AD47" s="196"/>
      <c r="AE47" s="196"/>
      <c r="AF47" s="6"/>
    </row>
    <row r="48" spans="1:32">
      <c r="A48" t="s">
        <v>640</v>
      </c>
      <c r="B48" s="195">
        <f>'Seaside SAM'!D68</f>
        <v>2843.447867757292</v>
      </c>
      <c r="C48" s="195"/>
      <c r="D48">
        <f>N89</f>
        <v>46912.251462739732</v>
      </c>
      <c r="E48" s="195"/>
      <c r="F48" s="195"/>
      <c r="G48">
        <f>I17</f>
        <v>0.04</v>
      </c>
      <c r="H48">
        <f>I18</f>
        <v>0</v>
      </c>
      <c r="I48">
        <f>I19</f>
        <v>0.05</v>
      </c>
      <c r="J48">
        <f>I20</f>
        <v>0</v>
      </c>
      <c r="K48">
        <f>I21</f>
        <v>0.05</v>
      </c>
      <c r="L48">
        <f>I22</f>
        <v>0</v>
      </c>
      <c r="M48">
        <f>I23</f>
        <v>0</v>
      </c>
      <c r="N48">
        <f>I24</f>
        <v>0.04</v>
      </c>
      <c r="O48">
        <f>I25</f>
        <v>0.49</v>
      </c>
      <c r="P48">
        <f>I26</f>
        <v>0</v>
      </c>
      <c r="Q48">
        <f>I27</f>
        <v>0.05</v>
      </c>
      <c r="R48">
        <f>I28</f>
        <v>0</v>
      </c>
      <c r="S48">
        <f>I29</f>
        <v>0.05</v>
      </c>
      <c r="T48">
        <f>I30</f>
        <v>0</v>
      </c>
      <c r="U48">
        <f>I31</f>
        <v>0</v>
      </c>
      <c r="V48">
        <f>I32</f>
        <v>0.15</v>
      </c>
      <c r="W48">
        <f>I33</f>
        <v>0.08</v>
      </c>
      <c r="X48">
        <f>I34</f>
        <v>0</v>
      </c>
      <c r="Y48">
        <f>I35</f>
        <v>0</v>
      </c>
      <c r="Z48">
        <f>I36</f>
        <v>0</v>
      </c>
      <c r="AA48" s="196"/>
      <c r="AB48" s="196"/>
      <c r="AC48" s="196"/>
      <c r="AD48" s="196"/>
      <c r="AE48" s="196"/>
      <c r="AF48" s="6"/>
    </row>
    <row r="49" spans="1:32">
      <c r="A49" t="s">
        <v>641</v>
      </c>
      <c r="B49" s="195">
        <f>'Seaside SAM'!D69</f>
        <v>1174.2362107676508</v>
      </c>
      <c r="C49" s="195"/>
      <c r="D49">
        <f>O89</f>
        <v>209109.77226524588</v>
      </c>
      <c r="E49" s="195"/>
      <c r="F49" s="195"/>
      <c r="G49">
        <f>J17</f>
        <v>0.08</v>
      </c>
      <c r="H49">
        <f>J18</f>
        <v>0</v>
      </c>
      <c r="I49">
        <f>J19</f>
        <v>0</v>
      </c>
      <c r="J49">
        <f>J20</f>
        <v>0</v>
      </c>
      <c r="K49">
        <f>J21</f>
        <v>0</v>
      </c>
      <c r="L49">
        <f>J22</f>
        <v>0</v>
      </c>
      <c r="M49">
        <f>J23</f>
        <v>0</v>
      </c>
      <c r="N49">
        <f>J24</f>
        <v>0.08</v>
      </c>
      <c r="O49">
        <f>J25</f>
        <v>0.67</v>
      </c>
      <c r="P49">
        <f>J26</f>
        <v>0</v>
      </c>
      <c r="Q49">
        <f>J27</f>
        <v>0</v>
      </c>
      <c r="R49">
        <f>J28</f>
        <v>0</v>
      </c>
      <c r="S49">
        <f>J29</f>
        <v>0</v>
      </c>
      <c r="T49">
        <f>J30</f>
        <v>0</v>
      </c>
      <c r="U49">
        <f>J31</f>
        <v>0</v>
      </c>
      <c r="V49">
        <f>J32</f>
        <v>0.09</v>
      </c>
      <c r="W49">
        <f>J33</f>
        <v>0.08</v>
      </c>
      <c r="X49">
        <f>J34</f>
        <v>0</v>
      </c>
      <c r="Y49">
        <f>J35</f>
        <v>0</v>
      </c>
      <c r="Z49">
        <f>J36</f>
        <v>0</v>
      </c>
      <c r="AA49" s="196"/>
      <c r="AB49" s="196"/>
      <c r="AC49" s="196"/>
      <c r="AD49" s="196"/>
      <c r="AE49" s="196"/>
      <c r="AF49" s="6"/>
    </row>
    <row r="50" spans="1:32">
      <c r="A50" t="s">
        <v>642</v>
      </c>
      <c r="B50" s="195">
        <f>'Seaside SAM'!D70</f>
        <v>18601.540621301465</v>
      </c>
      <c r="C50" s="195"/>
      <c r="D50">
        <f>P89</f>
        <v>11689.394365556889</v>
      </c>
      <c r="E50" s="195"/>
      <c r="F50" s="195"/>
      <c r="G50">
        <f>K17</f>
        <v>0.03</v>
      </c>
      <c r="H50">
        <f>K18</f>
        <v>0.05</v>
      </c>
      <c r="I50">
        <f>K19</f>
        <v>0.03</v>
      </c>
      <c r="J50">
        <f>K20</f>
        <v>0.03</v>
      </c>
      <c r="K50">
        <f>K21</f>
        <v>0.03</v>
      </c>
      <c r="L50">
        <f>K22</f>
        <v>0.03</v>
      </c>
      <c r="M50">
        <f>K23</f>
        <v>0.03</v>
      </c>
      <c r="N50">
        <f>K24</f>
        <v>0.08</v>
      </c>
      <c r="O50">
        <f>K25</f>
        <v>0.23</v>
      </c>
      <c r="P50">
        <f>K26</f>
        <v>0.03</v>
      </c>
      <c r="Q50">
        <f>K27</f>
        <v>7.0000000000000007E-2</v>
      </c>
      <c r="R50">
        <f>K28</f>
        <v>0.03</v>
      </c>
      <c r="S50">
        <f>K29</f>
        <v>0.03</v>
      </c>
      <c r="T50">
        <f>K30</f>
        <v>0.03</v>
      </c>
      <c r="U50">
        <f>K31</f>
        <v>0.03</v>
      </c>
      <c r="V50">
        <f>K32</f>
        <v>0.1</v>
      </c>
      <c r="W50">
        <f>K33</f>
        <v>0.08</v>
      </c>
      <c r="X50">
        <f>K34</f>
        <v>0</v>
      </c>
      <c r="Y50">
        <f>K35</f>
        <v>0.03</v>
      </c>
      <c r="Z50">
        <f>K36</f>
        <v>0.03</v>
      </c>
      <c r="AA50" s="196"/>
      <c r="AB50" s="196"/>
      <c r="AC50" s="196"/>
      <c r="AD50" s="196"/>
      <c r="AE50" s="196"/>
      <c r="AF50" s="6"/>
    </row>
    <row r="51" spans="1:32">
      <c r="A51" t="s">
        <v>643</v>
      </c>
      <c r="B51" s="195">
        <f>'Seaside SAM'!D71</f>
        <v>74401.181116886451</v>
      </c>
      <c r="C51" s="195"/>
      <c r="D51">
        <f>Q89</f>
        <v>31975.758310026762</v>
      </c>
      <c r="E51" s="195"/>
      <c r="F51" s="195"/>
      <c r="G51">
        <f>L17</f>
        <v>0.08</v>
      </c>
      <c r="H51">
        <f>L18</f>
        <v>0.05</v>
      </c>
      <c r="I51">
        <f>L19</f>
        <v>0.04</v>
      </c>
      <c r="J51">
        <f>L20</f>
        <v>0</v>
      </c>
      <c r="K51">
        <f>L21</f>
        <v>0</v>
      </c>
      <c r="L51">
        <f>L22</f>
        <v>0</v>
      </c>
      <c r="M51">
        <f>L23</f>
        <v>0</v>
      </c>
      <c r="N51">
        <f>L24</f>
        <v>0.1</v>
      </c>
      <c r="O51">
        <f>L25</f>
        <v>0.45</v>
      </c>
      <c r="P51">
        <f>L26</f>
        <v>0.05</v>
      </c>
      <c r="Q51">
        <f>L27</f>
        <v>0.1</v>
      </c>
      <c r="R51">
        <f>L28</f>
        <v>0</v>
      </c>
      <c r="S51">
        <f>L29</f>
        <v>0</v>
      </c>
      <c r="T51">
        <f>L30</f>
        <v>0</v>
      </c>
      <c r="U51">
        <f>L31</f>
        <v>0</v>
      </c>
      <c r="V51">
        <f>L32</f>
        <v>0</v>
      </c>
      <c r="W51">
        <f>L33</f>
        <v>0.08</v>
      </c>
      <c r="X51">
        <f>L34</f>
        <v>0</v>
      </c>
      <c r="Y51">
        <f>L35</f>
        <v>0.05</v>
      </c>
      <c r="Z51">
        <f>L36</f>
        <v>0</v>
      </c>
      <c r="AA51" s="196"/>
      <c r="AB51" s="196"/>
      <c r="AC51" s="196"/>
      <c r="AD51" s="196"/>
      <c r="AE51" s="196"/>
      <c r="AF51" s="6"/>
    </row>
    <row r="52" spans="1:32">
      <c r="A52" t="s">
        <v>644</v>
      </c>
      <c r="B52" s="195">
        <f>'Seaside SAM'!D72</f>
        <v>5161.1807600793709</v>
      </c>
      <c r="C52" s="195"/>
      <c r="D52">
        <f>R89</f>
        <v>1492.9873136416134</v>
      </c>
      <c r="E52" s="195"/>
      <c r="F52" s="195"/>
      <c r="G52">
        <f>M17</f>
        <v>0</v>
      </c>
      <c r="H52">
        <f>M18</f>
        <v>0.05</v>
      </c>
      <c r="I52">
        <f>M19</f>
        <v>0.05</v>
      </c>
      <c r="J52">
        <f>M20</f>
        <v>0.1</v>
      </c>
      <c r="K52">
        <f>M21</f>
        <v>0</v>
      </c>
      <c r="L52">
        <f>M22</f>
        <v>0</v>
      </c>
      <c r="M52">
        <f>M23</f>
        <v>0</v>
      </c>
      <c r="N52">
        <f>M24</f>
        <v>0.1</v>
      </c>
      <c r="O52">
        <f>M25</f>
        <v>0.3</v>
      </c>
      <c r="P52">
        <f>M26</f>
        <v>0.05</v>
      </c>
      <c r="Q52">
        <f>M27</f>
        <v>0.05</v>
      </c>
      <c r="R52">
        <f>M28</f>
        <v>0.1</v>
      </c>
      <c r="S52">
        <f>M29</f>
        <v>0</v>
      </c>
      <c r="T52">
        <f>M30</f>
        <v>0</v>
      </c>
      <c r="U52">
        <f>M31</f>
        <v>0</v>
      </c>
      <c r="V52">
        <f>M32</f>
        <v>0.1</v>
      </c>
      <c r="W52">
        <f>M33</f>
        <v>0.1</v>
      </c>
      <c r="X52">
        <f>M34</f>
        <v>0</v>
      </c>
      <c r="Y52">
        <f>M35</f>
        <v>0</v>
      </c>
      <c r="Z52">
        <f>M36</f>
        <v>0</v>
      </c>
      <c r="AA52" s="196"/>
      <c r="AB52" s="196"/>
      <c r="AC52" s="196"/>
      <c r="AD52" s="196"/>
      <c r="AE52" s="196"/>
      <c r="AF52" s="6"/>
    </row>
    <row r="53" spans="1:32">
      <c r="A53" t="s">
        <v>645</v>
      </c>
      <c r="B53" s="195">
        <f>'Seaside SAM'!D73</f>
        <v>17576.943334329597</v>
      </c>
      <c r="C53" s="195"/>
      <c r="D53">
        <f>S89</f>
        <v>1373.9394689190785</v>
      </c>
      <c r="E53" s="195"/>
      <c r="F53" s="195"/>
      <c r="G53">
        <f>N17</f>
        <v>0.1</v>
      </c>
      <c r="H53">
        <f>N18</f>
        <v>0</v>
      </c>
      <c r="I53">
        <f>N19</f>
        <v>0.1</v>
      </c>
      <c r="J53">
        <f>N20</f>
        <v>0</v>
      </c>
      <c r="K53">
        <f>N21</f>
        <v>0</v>
      </c>
      <c r="L53">
        <f>N22</f>
        <v>0</v>
      </c>
      <c r="M53">
        <f>N23</f>
        <v>0</v>
      </c>
      <c r="N53">
        <f>N24</f>
        <v>0.1</v>
      </c>
      <c r="O53">
        <f>N25</f>
        <v>0.4</v>
      </c>
      <c r="P53">
        <f>N26</f>
        <v>0</v>
      </c>
      <c r="Q53">
        <f>N27</f>
        <v>0.05</v>
      </c>
      <c r="R53">
        <f>N28</f>
        <v>0</v>
      </c>
      <c r="S53">
        <f>N29</f>
        <v>0</v>
      </c>
      <c r="T53">
        <f>N30</f>
        <v>0</v>
      </c>
      <c r="U53">
        <f>N31</f>
        <v>0</v>
      </c>
      <c r="V53">
        <f>N32</f>
        <v>0.15</v>
      </c>
      <c r="W53">
        <f>N33</f>
        <v>0</v>
      </c>
      <c r="X53">
        <f>N34</f>
        <v>0</v>
      </c>
      <c r="Y53">
        <f>N35</f>
        <v>0.1</v>
      </c>
      <c r="Z53">
        <f>N36</f>
        <v>0</v>
      </c>
      <c r="AA53" s="196"/>
      <c r="AB53" s="196"/>
      <c r="AC53" s="196"/>
      <c r="AD53" s="196"/>
      <c r="AE53" s="196"/>
      <c r="AF53" s="6"/>
    </row>
    <row r="54" spans="1:32">
      <c r="A54" t="s">
        <v>646</v>
      </c>
      <c r="B54" s="195">
        <f>'Seaside SAM'!D74</f>
        <v>13754.943049257199</v>
      </c>
      <c r="C54" s="195"/>
      <c r="D54">
        <f>T89</f>
        <v>976.86923763367611</v>
      </c>
      <c r="E54" s="195"/>
      <c r="F54" s="195"/>
      <c r="G54">
        <f>O17</f>
        <v>0.1</v>
      </c>
      <c r="H54">
        <f>O18</f>
        <v>0</v>
      </c>
      <c r="I54">
        <f>O19</f>
        <v>0.1</v>
      </c>
      <c r="J54">
        <f>O20</f>
        <v>0</v>
      </c>
      <c r="K54">
        <f>O21</f>
        <v>0</v>
      </c>
      <c r="L54">
        <f>O22</f>
        <v>0</v>
      </c>
      <c r="M54">
        <f>O23</f>
        <v>0</v>
      </c>
      <c r="N54">
        <f>O24</f>
        <v>0.1</v>
      </c>
      <c r="O54">
        <f>O25</f>
        <v>0.4</v>
      </c>
      <c r="P54">
        <f>O26</f>
        <v>0</v>
      </c>
      <c r="Q54">
        <f>O27</f>
        <v>0.05</v>
      </c>
      <c r="R54">
        <f>O28</f>
        <v>0</v>
      </c>
      <c r="S54">
        <f>O29</f>
        <v>0</v>
      </c>
      <c r="T54">
        <f>O30</f>
        <v>0</v>
      </c>
      <c r="U54">
        <f>O31</f>
        <v>0</v>
      </c>
      <c r="V54">
        <f>O32</f>
        <v>0.15</v>
      </c>
      <c r="W54">
        <f>O33</f>
        <v>0</v>
      </c>
      <c r="X54">
        <f>O34</f>
        <v>0</v>
      </c>
      <c r="Y54">
        <f>O35</f>
        <v>0.1</v>
      </c>
      <c r="Z54">
        <f>O36</f>
        <v>0</v>
      </c>
      <c r="AA54" s="196"/>
      <c r="AB54" s="196"/>
      <c r="AC54" s="196"/>
      <c r="AD54" s="196"/>
      <c r="AE54" s="196"/>
      <c r="AF54" s="6"/>
    </row>
    <row r="55" spans="1:32">
      <c r="A55" t="s">
        <v>648</v>
      </c>
      <c r="B55" s="195">
        <f>'Seaside SAM'!D75</f>
        <v>266.395609562115</v>
      </c>
      <c r="C55" s="195"/>
      <c r="D55">
        <f>U89</f>
        <v>1027.2716511204574</v>
      </c>
      <c r="E55" s="195"/>
      <c r="F55" s="195"/>
      <c r="G55">
        <f>P17</f>
        <v>7.0000000000000007E-2</v>
      </c>
      <c r="H55">
        <f>P18</f>
        <v>0</v>
      </c>
      <c r="I55">
        <f>P19</f>
        <v>0.03</v>
      </c>
      <c r="J55">
        <f>P20</f>
        <v>0</v>
      </c>
      <c r="K55">
        <f>P21</f>
        <v>0</v>
      </c>
      <c r="L55">
        <f>P22</f>
        <v>0</v>
      </c>
      <c r="M55">
        <f>P23</f>
        <v>0</v>
      </c>
      <c r="N55">
        <f>P24</f>
        <v>7.0000000000000007E-2</v>
      </c>
      <c r="O55">
        <f>P25</f>
        <v>0.61</v>
      </c>
      <c r="P55">
        <f>P26</f>
        <v>0</v>
      </c>
      <c r="Q55">
        <f>P27</f>
        <v>0.03</v>
      </c>
      <c r="R55">
        <f>P28</f>
        <v>0</v>
      </c>
      <c r="S55">
        <f>P29</f>
        <v>0</v>
      </c>
      <c r="T55">
        <f>P30</f>
        <v>0</v>
      </c>
      <c r="U55">
        <f>P31</f>
        <v>0.1</v>
      </c>
      <c r="V55">
        <f>P32</f>
        <v>0</v>
      </c>
      <c r="W55">
        <f>P33</f>
        <v>7.0000000000000007E-2</v>
      </c>
      <c r="X55">
        <f>P34</f>
        <v>0</v>
      </c>
      <c r="Y55">
        <f>P35</f>
        <v>0.02</v>
      </c>
      <c r="Z55">
        <f>P36</f>
        <v>0</v>
      </c>
      <c r="AA55" s="196"/>
      <c r="AB55" s="196"/>
      <c r="AC55" s="196"/>
      <c r="AD55" s="196"/>
      <c r="AE55" s="196"/>
      <c r="AF55" s="6"/>
    </row>
    <row r="56" spans="1:32">
      <c r="A56" t="s">
        <v>290</v>
      </c>
      <c r="B56" s="195">
        <f>'Seaside SAM'!D76</f>
        <v>101.981284124756</v>
      </c>
      <c r="C56" s="195"/>
      <c r="D56">
        <f>V89</f>
        <v>37941.211706403177</v>
      </c>
      <c r="E56" s="195"/>
      <c r="F56" s="195"/>
      <c r="G56">
        <f>Q17</f>
        <v>0.1</v>
      </c>
      <c r="H56">
        <f>Q18</f>
        <v>0</v>
      </c>
      <c r="I56">
        <f>Q19</f>
        <v>0.03</v>
      </c>
      <c r="J56">
        <f>Q20</f>
        <v>0</v>
      </c>
      <c r="K56">
        <f>Q21</f>
        <v>0</v>
      </c>
      <c r="L56">
        <f>Q22</f>
        <v>0</v>
      </c>
      <c r="M56">
        <f>Q23</f>
        <v>0</v>
      </c>
      <c r="N56">
        <f>Q24</f>
        <v>0.1</v>
      </c>
      <c r="O56">
        <f>Q25</f>
        <v>0.5</v>
      </c>
      <c r="P56">
        <f>Q26</f>
        <v>0</v>
      </c>
      <c r="Q56">
        <f>Q27</f>
        <v>0.04</v>
      </c>
      <c r="R56">
        <f>Q28</f>
        <v>0</v>
      </c>
      <c r="S56">
        <f>Q29</f>
        <v>0</v>
      </c>
      <c r="T56">
        <f>Q30</f>
        <v>0</v>
      </c>
      <c r="U56">
        <f>Q31</f>
        <v>0</v>
      </c>
      <c r="V56">
        <f>Q32</f>
        <v>0.2</v>
      </c>
      <c r="W56">
        <f>Q33</f>
        <v>0</v>
      </c>
      <c r="X56">
        <f>Q34</f>
        <v>0</v>
      </c>
      <c r="Y56">
        <f>Q35</f>
        <v>0.03</v>
      </c>
      <c r="Z56">
        <f>Q36</f>
        <v>0</v>
      </c>
      <c r="AA56" s="196"/>
      <c r="AB56" s="196"/>
      <c r="AC56" s="196"/>
      <c r="AD56" s="196"/>
      <c r="AE56" s="196"/>
      <c r="AF56" s="6"/>
    </row>
    <row r="57" spans="1:32">
      <c r="A57" t="s">
        <v>649</v>
      </c>
      <c r="B57" s="195">
        <f>'Seaside SAM'!D77</f>
        <v>4116.7632878341419</v>
      </c>
      <c r="C57" s="195"/>
      <c r="D57">
        <f>W89</f>
        <v>22690.756679375714</v>
      </c>
      <c r="E57" s="195"/>
      <c r="F57" s="195"/>
      <c r="G57">
        <f>R17</f>
        <v>0.04</v>
      </c>
      <c r="H57">
        <f>R18</f>
        <v>0</v>
      </c>
      <c r="I57">
        <f>R19</f>
        <v>0.05</v>
      </c>
      <c r="J57">
        <f>R20</f>
        <v>0</v>
      </c>
      <c r="K57">
        <f>R21</f>
        <v>0.05</v>
      </c>
      <c r="L57">
        <f>R22</f>
        <v>0</v>
      </c>
      <c r="M57">
        <f>R23</f>
        <v>0</v>
      </c>
      <c r="N57">
        <f>R24</f>
        <v>0.04</v>
      </c>
      <c r="O57">
        <f>R25</f>
        <v>0.49</v>
      </c>
      <c r="P57">
        <f>R26</f>
        <v>0</v>
      </c>
      <c r="Q57">
        <f>R27</f>
        <v>0.05</v>
      </c>
      <c r="R57">
        <f>R28</f>
        <v>0</v>
      </c>
      <c r="S57">
        <f>R29</f>
        <v>0.05</v>
      </c>
      <c r="T57">
        <f>R30</f>
        <v>0</v>
      </c>
      <c r="U57">
        <f>R31</f>
        <v>0</v>
      </c>
      <c r="V57">
        <f>R32</f>
        <v>0.15</v>
      </c>
      <c r="W57">
        <f>R33</f>
        <v>0.08</v>
      </c>
      <c r="X57">
        <f>R34</f>
        <v>0</v>
      </c>
      <c r="Y57">
        <f>R35</f>
        <v>0</v>
      </c>
      <c r="Z57">
        <f>R36</f>
        <v>0</v>
      </c>
      <c r="AA57" s="196"/>
      <c r="AB57" s="196"/>
      <c r="AC57" s="196"/>
      <c r="AD57" s="196"/>
      <c r="AE57" s="196"/>
      <c r="AF57" s="6"/>
    </row>
    <row r="58" spans="1:32">
      <c r="A58" t="s">
        <v>651</v>
      </c>
      <c r="B58" s="195">
        <f>'Seaside SAM'!D78</f>
        <v>231.88924209994798</v>
      </c>
      <c r="C58" s="195"/>
      <c r="D58">
        <f>X89</f>
        <v>0</v>
      </c>
      <c r="E58" s="195"/>
      <c r="F58" s="195"/>
      <c r="G58">
        <f>S17</f>
        <v>0.03</v>
      </c>
      <c r="H58">
        <f>S18</f>
        <v>0.05</v>
      </c>
      <c r="I58">
        <f>S19</f>
        <v>0.03</v>
      </c>
      <c r="J58">
        <f>S20</f>
        <v>0.03</v>
      </c>
      <c r="K58">
        <f>S21</f>
        <v>0.03</v>
      </c>
      <c r="L58">
        <f>S22</f>
        <v>0.03</v>
      </c>
      <c r="M58">
        <f>S23</f>
        <v>0.03</v>
      </c>
      <c r="N58">
        <f>S24</f>
        <v>0.08</v>
      </c>
      <c r="O58">
        <f>S25</f>
        <v>0.23</v>
      </c>
      <c r="P58">
        <f>S26</f>
        <v>0.03</v>
      </c>
      <c r="Q58">
        <f>S27</f>
        <v>7.0000000000000007E-2</v>
      </c>
      <c r="R58">
        <f>S28</f>
        <v>0.03</v>
      </c>
      <c r="S58">
        <f>S29</f>
        <v>0.03</v>
      </c>
      <c r="T58">
        <f>S30</f>
        <v>0.03</v>
      </c>
      <c r="U58">
        <f>S31</f>
        <v>0.03</v>
      </c>
      <c r="V58">
        <f>S32</f>
        <v>0.1</v>
      </c>
      <c r="W58">
        <f>S33</f>
        <v>0.08</v>
      </c>
      <c r="X58">
        <f>S34</f>
        <v>0</v>
      </c>
      <c r="Y58">
        <f>S35</f>
        <v>0.03</v>
      </c>
      <c r="Z58">
        <f>S36</f>
        <v>0.03</v>
      </c>
      <c r="AA58" s="196"/>
      <c r="AB58" s="196"/>
      <c r="AC58" s="196"/>
      <c r="AD58" s="196"/>
      <c r="AE58" s="196"/>
      <c r="AF58" s="6"/>
    </row>
    <row r="59" spans="1:32">
      <c r="A59" t="s">
        <v>652</v>
      </c>
      <c r="B59" s="195">
        <f>'Seaside SAM'!D79</f>
        <v>39221.964850381693</v>
      </c>
      <c r="C59" s="195"/>
      <c r="D59">
        <f>Y89</f>
        <v>29785.04597964522</v>
      </c>
      <c r="E59" s="195"/>
      <c r="F59" s="195"/>
      <c r="G59">
        <f>T17</f>
        <v>0.08</v>
      </c>
      <c r="H59">
        <f>T18</f>
        <v>0.05</v>
      </c>
      <c r="I59">
        <f>T19</f>
        <v>0.04</v>
      </c>
      <c r="J59">
        <f>T20</f>
        <v>0</v>
      </c>
      <c r="K59">
        <f>T21</f>
        <v>0</v>
      </c>
      <c r="L59">
        <f>T22</f>
        <v>0</v>
      </c>
      <c r="M59">
        <f>T23</f>
        <v>0</v>
      </c>
      <c r="N59">
        <f>T24</f>
        <v>0.1</v>
      </c>
      <c r="O59">
        <f>T25</f>
        <v>0.45</v>
      </c>
      <c r="P59">
        <f>T26</f>
        <v>0.05</v>
      </c>
      <c r="Q59">
        <f>T27</f>
        <v>0.1</v>
      </c>
      <c r="R59">
        <f>T28</f>
        <v>0</v>
      </c>
      <c r="S59">
        <f>T29</f>
        <v>0</v>
      </c>
      <c r="T59">
        <f>T30</f>
        <v>0</v>
      </c>
      <c r="U59">
        <f>T31</f>
        <v>0</v>
      </c>
      <c r="V59">
        <f>T32</f>
        <v>0</v>
      </c>
      <c r="W59">
        <f>T33</f>
        <v>0.08</v>
      </c>
      <c r="X59">
        <f>T34</f>
        <v>0</v>
      </c>
      <c r="Y59">
        <f>T35</f>
        <v>0.05</v>
      </c>
      <c r="Z59">
        <f>T36</f>
        <v>0</v>
      </c>
      <c r="AA59" s="196"/>
      <c r="AB59" s="196"/>
      <c r="AC59" s="196"/>
      <c r="AD59" s="196"/>
      <c r="AE59" s="196"/>
      <c r="AF59" s="6"/>
    </row>
    <row r="60" spans="1:32">
      <c r="A60" t="s">
        <v>653</v>
      </c>
      <c r="B60" s="195">
        <f>'Seaside SAM'!D80</f>
        <v>5407.8007259971273</v>
      </c>
      <c r="C60" s="195"/>
      <c r="D60">
        <f>Z89</f>
        <v>1517.6493102333889</v>
      </c>
      <c r="E60" s="195"/>
      <c r="F60" s="195"/>
      <c r="G60">
        <f>U17</f>
        <v>0</v>
      </c>
      <c r="H60">
        <f>U18</f>
        <v>0.05</v>
      </c>
      <c r="I60">
        <f>U19</f>
        <v>0.05</v>
      </c>
      <c r="J60">
        <f>U20</f>
        <v>0.1</v>
      </c>
      <c r="K60">
        <f>U21</f>
        <v>0</v>
      </c>
      <c r="L60">
        <f>U22</f>
        <v>0</v>
      </c>
      <c r="M60">
        <f>U23</f>
        <v>0</v>
      </c>
      <c r="N60">
        <f>U24</f>
        <v>0.1</v>
      </c>
      <c r="O60">
        <f>U25</f>
        <v>0.3</v>
      </c>
      <c r="P60">
        <f>U26</f>
        <v>0.05</v>
      </c>
      <c r="Q60">
        <f>U27</f>
        <v>0.05</v>
      </c>
      <c r="R60">
        <f>U28</f>
        <v>0</v>
      </c>
      <c r="S60">
        <f>U29</f>
        <v>0</v>
      </c>
      <c r="T60">
        <f>U30</f>
        <v>0</v>
      </c>
      <c r="U60">
        <f>U31</f>
        <v>0</v>
      </c>
      <c r="V60">
        <f>U32</f>
        <v>0.1</v>
      </c>
      <c r="W60">
        <f>U33</f>
        <v>0.1</v>
      </c>
      <c r="X60">
        <f>U34</f>
        <v>0</v>
      </c>
      <c r="Y60">
        <f>U35</f>
        <v>0</v>
      </c>
      <c r="Z60">
        <f>U36</f>
        <v>0.1</v>
      </c>
      <c r="AA60" s="196"/>
      <c r="AB60" s="196"/>
      <c r="AC60" s="196"/>
      <c r="AD60" s="196"/>
      <c r="AE60" s="196"/>
      <c r="AF60" s="6"/>
    </row>
    <row r="61" spans="1:32">
      <c r="A61" s="12" t="s">
        <v>692</v>
      </c>
      <c r="B61" s="195">
        <f>'Seaside SAM'!D81</f>
        <v>16527.764650000001</v>
      </c>
      <c r="C61" s="195"/>
      <c r="D61" s="195"/>
      <c r="E61" s="195"/>
      <c r="F61" s="195"/>
      <c r="G61">
        <f>V17</f>
        <v>0.08</v>
      </c>
      <c r="H61">
        <f>V18</f>
        <v>0</v>
      </c>
      <c r="I61">
        <f>V19</f>
        <v>0</v>
      </c>
      <c r="J61">
        <f>V20</f>
        <v>0</v>
      </c>
      <c r="K61">
        <f>V21</f>
        <v>0</v>
      </c>
      <c r="L61">
        <f>V22</f>
        <v>0</v>
      </c>
      <c r="M61">
        <f>V23</f>
        <v>0</v>
      </c>
      <c r="N61">
        <f>V24</f>
        <v>0.08</v>
      </c>
      <c r="O61">
        <f>V25</f>
        <v>0.8</v>
      </c>
      <c r="P61">
        <f>V26</f>
        <v>0</v>
      </c>
      <c r="Q61">
        <f>V27</f>
        <v>0</v>
      </c>
      <c r="R61">
        <f>V28</f>
        <v>0</v>
      </c>
      <c r="S61">
        <f>V29</f>
        <v>0</v>
      </c>
      <c r="T61">
        <f>V30</f>
        <v>0</v>
      </c>
      <c r="U61">
        <f>V31</f>
        <v>0</v>
      </c>
      <c r="V61">
        <f>V32</f>
        <v>0</v>
      </c>
      <c r="W61">
        <f>V33</f>
        <v>0.04</v>
      </c>
      <c r="X61">
        <f>V34</f>
        <v>0</v>
      </c>
      <c r="Y61">
        <f>V35</f>
        <v>0</v>
      </c>
      <c r="Z61">
        <f>V36</f>
        <v>0</v>
      </c>
      <c r="AA61" s="196"/>
      <c r="AB61" s="196"/>
      <c r="AC61" s="196"/>
      <c r="AD61" s="196"/>
      <c r="AE61" s="196"/>
      <c r="AF61" s="6"/>
    </row>
    <row r="62" spans="1:32">
      <c r="A62" s="12" t="s">
        <v>693</v>
      </c>
      <c r="B62" s="195">
        <f>'Seaside SAM'!D82</f>
        <v>9440.9290949999995</v>
      </c>
      <c r="C62" s="195"/>
      <c r="D62" s="195"/>
      <c r="E62" s="195"/>
      <c r="F62" s="195"/>
      <c r="G62">
        <f>W17</f>
        <v>0.08</v>
      </c>
      <c r="H62">
        <f>W18</f>
        <v>0</v>
      </c>
      <c r="I62">
        <f>W19</f>
        <v>0</v>
      </c>
      <c r="J62">
        <f>W20</f>
        <v>0</v>
      </c>
      <c r="K62">
        <f>W21</f>
        <v>0</v>
      </c>
      <c r="L62">
        <f>W22</f>
        <v>0</v>
      </c>
      <c r="M62">
        <f>W23</f>
        <v>0</v>
      </c>
      <c r="N62">
        <f>W24</f>
        <v>0.08</v>
      </c>
      <c r="O62">
        <f>W25</f>
        <v>0.8</v>
      </c>
      <c r="P62">
        <f>W26</f>
        <v>0</v>
      </c>
      <c r="Q62">
        <f>W27</f>
        <v>0</v>
      </c>
      <c r="R62">
        <f>W28</f>
        <v>0</v>
      </c>
      <c r="S62">
        <f>W29</f>
        <v>0</v>
      </c>
      <c r="T62">
        <f>W30</f>
        <v>0</v>
      </c>
      <c r="U62">
        <f>W31</f>
        <v>0</v>
      </c>
      <c r="V62">
        <f>W32</f>
        <v>0</v>
      </c>
      <c r="W62">
        <f>W33</f>
        <v>0.04</v>
      </c>
      <c r="X62">
        <f>W34</f>
        <v>0</v>
      </c>
      <c r="Y62">
        <f>W35</f>
        <v>0</v>
      </c>
      <c r="Z62">
        <f>W36</f>
        <v>0</v>
      </c>
      <c r="AA62" s="196"/>
      <c r="AB62" s="196"/>
      <c r="AC62" s="196"/>
      <c r="AD62" s="196"/>
      <c r="AE62" s="196"/>
      <c r="AF62" s="6"/>
    </row>
    <row r="63" spans="1:32">
      <c r="A63" s="12" t="s">
        <v>694</v>
      </c>
      <c r="B63" s="195">
        <f>'Seaside SAM'!D83</f>
        <v>8956.3507200000004</v>
      </c>
      <c r="C63" s="195"/>
      <c r="D63" s="195"/>
      <c r="E63" s="195"/>
      <c r="F63" s="195"/>
      <c r="G63">
        <f>X17</f>
        <v>0.08</v>
      </c>
      <c r="H63">
        <f>X18</f>
        <v>0</v>
      </c>
      <c r="I63">
        <f>X19</f>
        <v>0</v>
      </c>
      <c r="J63">
        <f>X20</f>
        <v>0</v>
      </c>
      <c r="K63">
        <f>X21</f>
        <v>0</v>
      </c>
      <c r="L63">
        <f>X22</f>
        <v>0</v>
      </c>
      <c r="M63">
        <f>X23</f>
        <v>0</v>
      </c>
      <c r="N63">
        <f>X24</f>
        <v>0.08</v>
      </c>
      <c r="O63">
        <f>X25</f>
        <v>0.8</v>
      </c>
      <c r="P63">
        <f>X26</f>
        <v>0</v>
      </c>
      <c r="Q63">
        <f>X27</f>
        <v>0</v>
      </c>
      <c r="R63">
        <f>X28</f>
        <v>0</v>
      </c>
      <c r="S63">
        <f>X29</f>
        <v>0</v>
      </c>
      <c r="T63">
        <f>X30</f>
        <v>0</v>
      </c>
      <c r="U63">
        <f>X31</f>
        <v>0</v>
      </c>
      <c r="V63">
        <f>X32</f>
        <v>0</v>
      </c>
      <c r="W63">
        <f>X33</f>
        <v>0.04</v>
      </c>
      <c r="X63">
        <f>X34</f>
        <v>0</v>
      </c>
      <c r="Y63">
        <f>X35</f>
        <v>0</v>
      </c>
      <c r="Z63">
        <f>X36</f>
        <v>0</v>
      </c>
      <c r="AA63" s="196"/>
      <c r="AB63" s="196"/>
      <c r="AC63" s="196"/>
      <c r="AD63" s="196"/>
      <c r="AE63" s="196"/>
      <c r="AF63" s="6"/>
    </row>
    <row r="64" spans="1:32">
      <c r="A64" s="6"/>
      <c r="B64" s="195"/>
      <c r="C64" s="195"/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6"/>
      <c r="Z64" s="196"/>
      <c r="AA64" s="196"/>
      <c r="AB64" s="196"/>
      <c r="AC64" s="196"/>
      <c r="AD64" s="196"/>
      <c r="AE64" s="196"/>
      <c r="AF64" s="6"/>
    </row>
    <row r="65" spans="1:32">
      <c r="A65" t="s">
        <v>621</v>
      </c>
      <c r="B65" s="6"/>
      <c r="C65" s="6"/>
      <c r="D65" s="6"/>
      <c r="E65" s="6"/>
      <c r="F65" s="6"/>
      <c r="G65" s="6">
        <f>$B41*G41</f>
        <v>39.247738804664479</v>
      </c>
      <c r="H65" s="6">
        <f t="shared" ref="H65:Z79" si="4">$B41*H41</f>
        <v>0</v>
      </c>
      <c r="I65" s="6">
        <f t="shared" si="4"/>
        <v>49.059673505830602</v>
      </c>
      <c r="J65" s="6">
        <f t="shared" si="4"/>
        <v>0</v>
      </c>
      <c r="K65" s="6">
        <f t="shared" si="4"/>
        <v>49.059673505830602</v>
      </c>
      <c r="L65" s="6">
        <f t="shared" si="4"/>
        <v>0</v>
      </c>
      <c r="M65" s="6">
        <f t="shared" si="4"/>
        <v>0</v>
      </c>
      <c r="N65" s="6">
        <f t="shared" si="4"/>
        <v>39.247738804664479</v>
      </c>
      <c r="O65" s="6">
        <f t="shared" si="4"/>
        <v>480.78480035713983</v>
      </c>
      <c r="P65" s="6">
        <f t="shared" si="4"/>
        <v>0</v>
      </c>
      <c r="Q65" s="6">
        <f t="shared" si="4"/>
        <v>49.059673505830602</v>
      </c>
      <c r="R65" s="6">
        <f t="shared" si="4"/>
        <v>0</v>
      </c>
      <c r="S65" s="6">
        <f t="shared" si="4"/>
        <v>49.059673505830602</v>
      </c>
      <c r="T65" s="6">
        <f t="shared" si="4"/>
        <v>0</v>
      </c>
      <c r="U65" s="6">
        <f t="shared" si="4"/>
        <v>0</v>
      </c>
      <c r="V65" s="6">
        <f t="shared" si="4"/>
        <v>147.17902051749178</v>
      </c>
      <c r="W65" s="6">
        <f t="shared" si="4"/>
        <v>78.495477609328958</v>
      </c>
      <c r="X65" s="6">
        <f t="shared" si="4"/>
        <v>0</v>
      </c>
      <c r="Y65" s="6">
        <f t="shared" si="4"/>
        <v>0</v>
      </c>
      <c r="Z65" s="6">
        <f t="shared" si="4"/>
        <v>0</v>
      </c>
      <c r="AA65" s="6"/>
      <c r="AB65" s="6"/>
      <c r="AC65" s="6"/>
      <c r="AD65" s="6"/>
      <c r="AE65" s="6"/>
      <c r="AF65" s="6"/>
    </row>
    <row r="66" spans="1:32">
      <c r="A66" t="s">
        <v>623</v>
      </c>
      <c r="B66" s="6"/>
      <c r="C66" s="6"/>
      <c r="D66" s="6"/>
      <c r="E66" s="6"/>
      <c r="F66" s="6"/>
      <c r="G66" s="6">
        <f t="shared" ref="G66:V87" si="5">$B42*G42</f>
        <v>411.86634173163372</v>
      </c>
      <c r="H66" s="6">
        <f t="shared" si="5"/>
        <v>686.44390288605632</v>
      </c>
      <c r="I66" s="6">
        <f t="shared" si="5"/>
        <v>411.86634173163372</v>
      </c>
      <c r="J66" s="6">
        <f t="shared" si="5"/>
        <v>411.86634173163372</v>
      </c>
      <c r="K66" s="6">
        <f t="shared" si="5"/>
        <v>411.86634173163372</v>
      </c>
      <c r="L66" s="6">
        <f t="shared" si="5"/>
        <v>411.86634173163372</v>
      </c>
      <c r="M66" s="6">
        <f t="shared" si="5"/>
        <v>411.86634173163372</v>
      </c>
      <c r="N66" s="6">
        <f t="shared" si="5"/>
        <v>1098.3102446176902</v>
      </c>
      <c r="O66" s="6">
        <f t="shared" si="5"/>
        <v>2745.7756115442253</v>
      </c>
      <c r="P66" s="6">
        <f t="shared" si="5"/>
        <v>411.86634173163372</v>
      </c>
      <c r="Q66" s="6">
        <f t="shared" si="5"/>
        <v>961.02146404047892</v>
      </c>
      <c r="R66" s="6">
        <f t="shared" si="5"/>
        <v>411.86634173163372</v>
      </c>
      <c r="S66" s="6">
        <f t="shared" si="5"/>
        <v>411.86634173163372</v>
      </c>
      <c r="T66" s="6">
        <f t="shared" si="5"/>
        <v>411.86634173163372</v>
      </c>
      <c r="U66" s="6">
        <f t="shared" si="5"/>
        <v>411.86634173163372</v>
      </c>
      <c r="V66" s="6">
        <f t="shared" si="5"/>
        <v>1372.8878057721126</v>
      </c>
      <c r="W66" s="6">
        <f t="shared" si="4"/>
        <v>1098.3102446176902</v>
      </c>
      <c r="X66" s="6">
        <f t="shared" si="4"/>
        <v>0</v>
      </c>
      <c r="Y66" s="6">
        <f t="shared" si="4"/>
        <v>823.73268346326745</v>
      </c>
      <c r="Z66" s="6">
        <f t="shared" si="4"/>
        <v>411.86634173163372</v>
      </c>
      <c r="AA66" s="6"/>
      <c r="AB66" s="6"/>
      <c r="AC66" s="6"/>
      <c r="AD66" s="6"/>
      <c r="AE66" s="6"/>
      <c r="AF66" s="6"/>
    </row>
    <row r="67" spans="1:32">
      <c r="A67" t="s">
        <v>624</v>
      </c>
      <c r="B67" s="6"/>
      <c r="C67" s="6"/>
      <c r="D67" s="6"/>
      <c r="E67" s="6"/>
      <c r="F67" s="6"/>
      <c r="G67" s="6">
        <f t="shared" si="5"/>
        <v>4913.4001030957943</v>
      </c>
      <c r="H67" s="6">
        <f t="shared" si="4"/>
        <v>3070.8750644348711</v>
      </c>
      <c r="I67" s="6">
        <f t="shared" si="4"/>
        <v>2456.7000515478971</v>
      </c>
      <c r="J67" s="6">
        <f t="shared" si="4"/>
        <v>0</v>
      </c>
      <c r="K67" s="6">
        <f t="shared" si="4"/>
        <v>0</v>
      </c>
      <c r="L67" s="6">
        <f t="shared" si="4"/>
        <v>0</v>
      </c>
      <c r="M67" s="6">
        <f t="shared" si="4"/>
        <v>0</v>
      </c>
      <c r="N67" s="6">
        <f t="shared" si="4"/>
        <v>6141.7501288697422</v>
      </c>
      <c r="O67" s="6">
        <f t="shared" si="4"/>
        <v>27637.875579913842</v>
      </c>
      <c r="P67" s="6">
        <f t="shared" si="4"/>
        <v>3070.8750644348711</v>
      </c>
      <c r="Q67" s="6">
        <f t="shared" si="4"/>
        <v>6141.7501288697422</v>
      </c>
      <c r="R67" s="6">
        <f t="shared" si="4"/>
        <v>0</v>
      </c>
      <c r="S67" s="6">
        <f t="shared" si="4"/>
        <v>0</v>
      </c>
      <c r="T67" s="6">
        <f t="shared" si="4"/>
        <v>0</v>
      </c>
      <c r="U67" s="6">
        <f t="shared" si="4"/>
        <v>0</v>
      </c>
      <c r="V67" s="6">
        <f t="shared" si="4"/>
        <v>0</v>
      </c>
      <c r="W67" s="6">
        <f t="shared" si="4"/>
        <v>4913.4001030957943</v>
      </c>
      <c r="X67" s="6">
        <f t="shared" si="4"/>
        <v>0</v>
      </c>
      <c r="Y67" s="6">
        <f t="shared" si="4"/>
        <v>3070.8750644348711</v>
      </c>
      <c r="Z67" s="6">
        <f t="shared" si="4"/>
        <v>0</v>
      </c>
      <c r="AA67" s="6"/>
      <c r="AB67" s="6"/>
      <c r="AC67" s="6"/>
      <c r="AD67" s="6"/>
      <c r="AE67" s="6"/>
      <c r="AF67" s="6"/>
    </row>
    <row r="68" spans="1:32">
      <c r="A68" t="s">
        <v>625</v>
      </c>
      <c r="B68" s="6"/>
      <c r="C68" s="6"/>
      <c r="D68" s="6"/>
      <c r="E68" s="6"/>
      <c r="F68" s="6"/>
      <c r="G68" s="6">
        <f t="shared" si="5"/>
        <v>2864.0873816422204</v>
      </c>
      <c r="H68" s="6">
        <f t="shared" si="4"/>
        <v>1432.0436908211102</v>
      </c>
      <c r="I68" s="6">
        <f t="shared" si="4"/>
        <v>1432.0436908211102</v>
      </c>
      <c r="J68" s="6">
        <f t="shared" si="4"/>
        <v>2864.0873816422204</v>
      </c>
      <c r="K68" s="6">
        <f t="shared" si="4"/>
        <v>0</v>
      </c>
      <c r="L68" s="6">
        <f t="shared" si="4"/>
        <v>0</v>
      </c>
      <c r="M68" s="6">
        <f t="shared" si="4"/>
        <v>0</v>
      </c>
      <c r="N68" s="6">
        <f t="shared" si="4"/>
        <v>2864.0873816422204</v>
      </c>
      <c r="O68" s="6">
        <f t="shared" si="4"/>
        <v>8592.2621449266608</v>
      </c>
      <c r="P68" s="6">
        <f t="shared" si="4"/>
        <v>1432.0436908211102</v>
      </c>
      <c r="Q68" s="6">
        <f t="shared" si="4"/>
        <v>1432.0436908211102</v>
      </c>
      <c r="R68" s="6">
        <f t="shared" si="4"/>
        <v>0</v>
      </c>
      <c r="S68" s="6">
        <f t="shared" si="4"/>
        <v>0</v>
      </c>
      <c r="T68" s="6">
        <f t="shared" si="4"/>
        <v>0</v>
      </c>
      <c r="U68" s="6">
        <f t="shared" si="4"/>
        <v>0</v>
      </c>
      <c r="V68" s="6">
        <f t="shared" si="4"/>
        <v>2864.0873816422204</v>
      </c>
      <c r="W68" s="6">
        <f t="shared" si="4"/>
        <v>2864.0873816422204</v>
      </c>
      <c r="X68" s="6">
        <f t="shared" si="4"/>
        <v>0</v>
      </c>
      <c r="Y68" s="6">
        <f t="shared" si="4"/>
        <v>0</v>
      </c>
      <c r="Z68" s="6">
        <f t="shared" si="4"/>
        <v>0</v>
      </c>
      <c r="AA68" s="6"/>
      <c r="AB68" s="6"/>
      <c r="AC68" s="6"/>
      <c r="AD68" s="6"/>
      <c r="AE68" s="6"/>
      <c r="AF68" s="6"/>
    </row>
    <row r="69" spans="1:32">
      <c r="A69" t="s">
        <v>626</v>
      </c>
      <c r="B69" s="6"/>
      <c r="C69" s="6"/>
      <c r="D69" s="6"/>
      <c r="E69" s="6"/>
      <c r="F69" s="6"/>
      <c r="G69" s="6">
        <f t="shared" si="5"/>
        <v>349.65090765436003</v>
      </c>
      <c r="H69" s="6">
        <f t="shared" si="4"/>
        <v>0</v>
      </c>
      <c r="I69" s="6">
        <f t="shared" si="4"/>
        <v>349.65090765436003</v>
      </c>
      <c r="J69" s="6">
        <f t="shared" si="4"/>
        <v>0</v>
      </c>
      <c r="K69" s="6">
        <f t="shared" si="4"/>
        <v>0</v>
      </c>
      <c r="L69" s="6">
        <f t="shared" si="4"/>
        <v>0</v>
      </c>
      <c r="M69" s="6">
        <f t="shared" si="4"/>
        <v>0</v>
      </c>
      <c r="N69" s="6">
        <f t="shared" si="4"/>
        <v>349.65090765436003</v>
      </c>
      <c r="O69" s="6">
        <f t="shared" si="4"/>
        <v>1398.6036306174401</v>
      </c>
      <c r="P69" s="6">
        <f t="shared" si="4"/>
        <v>0</v>
      </c>
      <c r="Q69" s="6">
        <f t="shared" si="4"/>
        <v>174.82545382718001</v>
      </c>
      <c r="R69" s="6">
        <f t="shared" si="4"/>
        <v>0</v>
      </c>
      <c r="S69" s="6">
        <f t="shared" si="4"/>
        <v>0</v>
      </c>
      <c r="T69" s="6">
        <f t="shared" si="4"/>
        <v>0</v>
      </c>
      <c r="U69" s="6">
        <f t="shared" si="4"/>
        <v>0</v>
      </c>
      <c r="V69" s="6">
        <f t="shared" si="4"/>
        <v>524.47636148153993</v>
      </c>
      <c r="W69" s="6">
        <f t="shared" si="4"/>
        <v>0</v>
      </c>
      <c r="X69" s="6">
        <f t="shared" si="4"/>
        <v>0</v>
      </c>
      <c r="Y69" s="6">
        <f t="shared" si="4"/>
        <v>349.65090765436003</v>
      </c>
      <c r="Z69" s="6">
        <f t="shared" si="4"/>
        <v>0</v>
      </c>
      <c r="AA69" s="6"/>
      <c r="AB69" s="6"/>
      <c r="AC69" s="6"/>
      <c r="AD69" s="6"/>
      <c r="AE69" s="6"/>
      <c r="AF69" s="6"/>
    </row>
    <row r="70" spans="1:32">
      <c r="A70" t="s">
        <v>627</v>
      </c>
      <c r="B70" s="6"/>
      <c r="C70" s="6"/>
      <c r="D70" s="6"/>
      <c r="E70" s="6"/>
      <c r="F70" s="6"/>
      <c r="G70" s="6">
        <f t="shared" si="5"/>
        <v>16148.298570247498</v>
      </c>
      <c r="H70" s="6">
        <f t="shared" si="4"/>
        <v>0</v>
      </c>
      <c r="I70" s="6">
        <f t="shared" si="4"/>
        <v>16148.298570247498</v>
      </c>
      <c r="J70" s="6">
        <f t="shared" si="4"/>
        <v>0</v>
      </c>
      <c r="K70" s="6">
        <f t="shared" si="4"/>
        <v>0</v>
      </c>
      <c r="L70" s="6">
        <f t="shared" si="4"/>
        <v>0</v>
      </c>
      <c r="M70" s="6">
        <f t="shared" si="4"/>
        <v>0</v>
      </c>
      <c r="N70" s="6">
        <f t="shared" si="4"/>
        <v>16148.298570247498</v>
      </c>
      <c r="O70" s="6">
        <f t="shared" si="4"/>
        <v>64593.194280989992</v>
      </c>
      <c r="P70" s="6">
        <f t="shared" si="4"/>
        <v>0</v>
      </c>
      <c r="Q70" s="6">
        <f t="shared" si="4"/>
        <v>8074.149285123749</v>
      </c>
      <c r="R70" s="6">
        <f t="shared" si="4"/>
        <v>0</v>
      </c>
      <c r="S70" s="6">
        <f t="shared" si="4"/>
        <v>0</v>
      </c>
      <c r="T70" s="6">
        <f t="shared" si="4"/>
        <v>0</v>
      </c>
      <c r="U70" s="6">
        <f t="shared" si="4"/>
        <v>0</v>
      </c>
      <c r="V70" s="6">
        <f t="shared" si="4"/>
        <v>24222.447855371247</v>
      </c>
      <c r="W70" s="6">
        <f t="shared" si="4"/>
        <v>0</v>
      </c>
      <c r="X70" s="6">
        <f t="shared" si="4"/>
        <v>0</v>
      </c>
      <c r="Y70" s="6">
        <f t="shared" si="4"/>
        <v>16148.298570247498</v>
      </c>
      <c r="Z70" s="6">
        <f t="shared" si="4"/>
        <v>0</v>
      </c>
      <c r="AA70" s="6"/>
      <c r="AB70" s="6"/>
      <c r="AC70" s="6"/>
      <c r="AD70" s="6"/>
      <c r="AE70" s="6"/>
      <c r="AF70" s="6"/>
    </row>
    <row r="71" spans="1:32">
      <c r="A71" t="s">
        <v>639</v>
      </c>
      <c r="B71" s="6"/>
      <c r="C71" s="6"/>
      <c r="D71" s="6"/>
      <c r="E71" s="6"/>
      <c r="F71" s="6"/>
      <c r="G71" s="6">
        <f t="shared" si="5"/>
        <v>16.633996771398859</v>
      </c>
      <c r="H71" s="6">
        <f t="shared" si="4"/>
        <v>0</v>
      </c>
      <c r="I71" s="6">
        <f t="shared" si="4"/>
        <v>7.1288557591709392</v>
      </c>
      <c r="J71" s="6">
        <f t="shared" si="4"/>
        <v>0</v>
      </c>
      <c r="K71" s="6">
        <f t="shared" si="4"/>
        <v>0</v>
      </c>
      <c r="L71" s="6">
        <f t="shared" si="4"/>
        <v>0</v>
      </c>
      <c r="M71" s="6">
        <f t="shared" si="4"/>
        <v>0</v>
      </c>
      <c r="N71" s="6">
        <f t="shared" si="4"/>
        <v>16.633996771398859</v>
      </c>
      <c r="O71" s="6">
        <f t="shared" si="4"/>
        <v>144.95340043647576</v>
      </c>
      <c r="P71" s="6">
        <f t="shared" si="4"/>
        <v>0</v>
      </c>
      <c r="Q71" s="6">
        <f t="shared" si="4"/>
        <v>7.1288557591709392</v>
      </c>
      <c r="R71" s="6">
        <f t="shared" si="4"/>
        <v>0</v>
      </c>
      <c r="S71" s="6">
        <f t="shared" si="4"/>
        <v>0</v>
      </c>
      <c r="T71" s="6">
        <f t="shared" si="4"/>
        <v>0</v>
      </c>
      <c r="U71" s="6">
        <f t="shared" si="4"/>
        <v>23.762852530569802</v>
      </c>
      <c r="V71" s="6">
        <f t="shared" si="4"/>
        <v>0</v>
      </c>
      <c r="W71" s="6">
        <f t="shared" si="4"/>
        <v>16.633996771398859</v>
      </c>
      <c r="X71" s="6">
        <f t="shared" si="4"/>
        <v>0</v>
      </c>
      <c r="Y71" s="6">
        <f t="shared" si="4"/>
        <v>4.75257050611396</v>
      </c>
      <c r="Z71" s="6">
        <f t="shared" si="4"/>
        <v>0</v>
      </c>
      <c r="AA71" s="6"/>
      <c r="AB71" s="6"/>
      <c r="AC71" s="6"/>
      <c r="AD71" s="6"/>
      <c r="AE71" s="6"/>
      <c r="AF71" s="6"/>
    </row>
    <row r="72" spans="1:32">
      <c r="A72" t="s">
        <v>640</v>
      </c>
      <c r="B72" s="6"/>
      <c r="C72" s="6"/>
      <c r="D72" s="6"/>
      <c r="E72" s="6"/>
      <c r="F72" s="6"/>
      <c r="G72" s="6">
        <f t="shared" si="5"/>
        <v>113.73791471029168</v>
      </c>
      <c r="H72" s="6">
        <f t="shared" si="4"/>
        <v>0</v>
      </c>
      <c r="I72" s="6">
        <f t="shared" si="4"/>
        <v>142.17239338786462</v>
      </c>
      <c r="J72" s="6">
        <f t="shared" si="4"/>
        <v>0</v>
      </c>
      <c r="K72" s="6">
        <f t="shared" si="4"/>
        <v>142.17239338786462</v>
      </c>
      <c r="L72" s="6">
        <f t="shared" si="4"/>
        <v>0</v>
      </c>
      <c r="M72" s="6">
        <f t="shared" si="4"/>
        <v>0</v>
      </c>
      <c r="N72" s="6">
        <f t="shared" si="4"/>
        <v>113.73791471029168</v>
      </c>
      <c r="O72" s="6">
        <f t="shared" si="4"/>
        <v>1393.289455201073</v>
      </c>
      <c r="P72" s="6">
        <f t="shared" si="4"/>
        <v>0</v>
      </c>
      <c r="Q72" s="6">
        <f t="shared" si="4"/>
        <v>142.17239338786462</v>
      </c>
      <c r="R72" s="6">
        <f t="shared" si="4"/>
        <v>0</v>
      </c>
      <c r="S72" s="6">
        <f t="shared" si="4"/>
        <v>142.17239338786462</v>
      </c>
      <c r="T72" s="6">
        <f t="shared" si="4"/>
        <v>0</v>
      </c>
      <c r="U72" s="6">
        <f t="shared" si="4"/>
        <v>0</v>
      </c>
      <c r="V72" s="6">
        <f t="shared" si="4"/>
        <v>426.51718016359376</v>
      </c>
      <c r="W72" s="6">
        <f t="shared" si="4"/>
        <v>227.47582942058335</v>
      </c>
      <c r="X72" s="6">
        <f t="shared" si="4"/>
        <v>0</v>
      </c>
      <c r="Y72" s="6">
        <f t="shared" si="4"/>
        <v>0</v>
      </c>
      <c r="Z72" s="6">
        <f t="shared" si="4"/>
        <v>0</v>
      </c>
      <c r="AA72" s="6"/>
      <c r="AB72" s="6"/>
      <c r="AC72" s="6"/>
      <c r="AD72" s="6"/>
      <c r="AE72" s="6"/>
      <c r="AF72" s="6"/>
    </row>
    <row r="73" spans="1:32">
      <c r="A73" t="s">
        <v>641</v>
      </c>
      <c r="G73" s="6">
        <f t="shared" si="5"/>
        <v>93.938896861412076</v>
      </c>
      <c r="H73" s="6">
        <f t="shared" si="4"/>
        <v>0</v>
      </c>
      <c r="I73" s="6">
        <f t="shared" si="4"/>
        <v>0</v>
      </c>
      <c r="J73" s="6">
        <f t="shared" si="4"/>
        <v>0</v>
      </c>
      <c r="K73" s="6">
        <f t="shared" si="4"/>
        <v>0</v>
      </c>
      <c r="L73" s="6">
        <f t="shared" si="4"/>
        <v>0</v>
      </c>
      <c r="M73" s="6">
        <f t="shared" si="4"/>
        <v>0</v>
      </c>
      <c r="N73" s="6">
        <f t="shared" si="4"/>
        <v>93.938896861412076</v>
      </c>
      <c r="O73" s="6">
        <f t="shared" si="4"/>
        <v>786.73826121432614</v>
      </c>
      <c r="P73" s="6">
        <f t="shared" si="4"/>
        <v>0</v>
      </c>
      <c r="Q73" s="6">
        <f t="shared" si="4"/>
        <v>0</v>
      </c>
      <c r="R73" s="6">
        <f t="shared" si="4"/>
        <v>0</v>
      </c>
      <c r="S73" s="6">
        <f t="shared" si="4"/>
        <v>0</v>
      </c>
      <c r="T73" s="6">
        <f t="shared" si="4"/>
        <v>0</v>
      </c>
      <c r="U73" s="6">
        <f t="shared" si="4"/>
        <v>0</v>
      </c>
      <c r="V73" s="6">
        <f t="shared" si="4"/>
        <v>105.68125896908857</v>
      </c>
      <c r="W73" s="6">
        <f t="shared" si="4"/>
        <v>93.938896861412076</v>
      </c>
      <c r="X73" s="6">
        <f t="shared" si="4"/>
        <v>0</v>
      </c>
      <c r="Y73" s="6">
        <f t="shared" si="4"/>
        <v>0</v>
      </c>
      <c r="Z73" s="6">
        <f t="shared" si="4"/>
        <v>0</v>
      </c>
    </row>
    <row r="74" spans="1:32">
      <c r="A74" t="s">
        <v>642</v>
      </c>
      <c r="G74" s="6">
        <f t="shared" si="5"/>
        <v>558.0462186390439</v>
      </c>
      <c r="H74" s="6">
        <f t="shared" si="4"/>
        <v>930.07703106507324</v>
      </c>
      <c r="I74" s="6">
        <f t="shared" si="4"/>
        <v>558.0462186390439</v>
      </c>
      <c r="J74" s="6">
        <f t="shared" si="4"/>
        <v>558.0462186390439</v>
      </c>
      <c r="K74" s="6">
        <f t="shared" si="4"/>
        <v>558.0462186390439</v>
      </c>
      <c r="L74" s="6">
        <f t="shared" si="4"/>
        <v>558.0462186390439</v>
      </c>
      <c r="M74" s="6">
        <f t="shared" si="4"/>
        <v>558.0462186390439</v>
      </c>
      <c r="N74" s="6">
        <f t="shared" si="4"/>
        <v>1488.1232497041171</v>
      </c>
      <c r="O74" s="6">
        <f t="shared" si="4"/>
        <v>4278.3543428993371</v>
      </c>
      <c r="P74" s="6">
        <f t="shared" si="4"/>
        <v>558.0462186390439</v>
      </c>
      <c r="Q74" s="6">
        <f t="shared" si="4"/>
        <v>1302.1078434911026</v>
      </c>
      <c r="R74" s="6">
        <f t="shared" si="4"/>
        <v>558.0462186390439</v>
      </c>
      <c r="S74" s="6">
        <f t="shared" si="4"/>
        <v>558.0462186390439</v>
      </c>
      <c r="T74" s="6">
        <f t="shared" si="4"/>
        <v>558.0462186390439</v>
      </c>
      <c r="U74" s="6">
        <f t="shared" si="4"/>
        <v>558.0462186390439</v>
      </c>
      <c r="V74" s="6">
        <f t="shared" si="4"/>
        <v>1860.1540621301465</v>
      </c>
      <c r="W74" s="6">
        <f t="shared" si="4"/>
        <v>1488.1232497041171</v>
      </c>
      <c r="X74" s="6">
        <f t="shared" si="4"/>
        <v>0</v>
      </c>
      <c r="Y74" s="6">
        <f t="shared" si="4"/>
        <v>558.0462186390439</v>
      </c>
      <c r="Z74" s="6">
        <f t="shared" si="4"/>
        <v>558.0462186390439</v>
      </c>
    </row>
    <row r="75" spans="1:32">
      <c r="A75" t="s">
        <v>643</v>
      </c>
      <c r="G75" s="6">
        <f t="shared" si="5"/>
        <v>5952.0944893509159</v>
      </c>
      <c r="H75" s="6">
        <f t="shared" si="4"/>
        <v>3720.0590558443228</v>
      </c>
      <c r="I75" s="6">
        <f t="shared" si="4"/>
        <v>2976.0472446754579</v>
      </c>
      <c r="J75" s="6">
        <f t="shared" si="4"/>
        <v>0</v>
      </c>
      <c r="K75" s="6">
        <f t="shared" si="4"/>
        <v>0</v>
      </c>
      <c r="L75" s="6">
        <f t="shared" si="4"/>
        <v>0</v>
      </c>
      <c r="M75" s="6">
        <f t="shared" si="4"/>
        <v>0</v>
      </c>
      <c r="N75" s="6">
        <f t="shared" si="4"/>
        <v>7440.1181116886455</v>
      </c>
      <c r="O75" s="6">
        <f t="shared" si="4"/>
        <v>33480.531502598904</v>
      </c>
      <c r="P75" s="6">
        <f t="shared" si="4"/>
        <v>3720.0590558443228</v>
      </c>
      <c r="Q75" s="6">
        <f t="shared" si="4"/>
        <v>7440.1181116886455</v>
      </c>
      <c r="R75" s="6">
        <f t="shared" si="4"/>
        <v>0</v>
      </c>
      <c r="S75" s="6">
        <f t="shared" si="4"/>
        <v>0</v>
      </c>
      <c r="T75" s="6">
        <f t="shared" si="4"/>
        <v>0</v>
      </c>
      <c r="U75" s="6">
        <f t="shared" si="4"/>
        <v>0</v>
      </c>
      <c r="V75" s="6">
        <f t="shared" si="4"/>
        <v>0</v>
      </c>
      <c r="W75" s="6">
        <f t="shared" si="4"/>
        <v>5952.0944893509159</v>
      </c>
      <c r="X75" s="6">
        <f t="shared" si="4"/>
        <v>0</v>
      </c>
      <c r="Y75" s="6">
        <f t="shared" si="4"/>
        <v>3720.0590558443228</v>
      </c>
      <c r="Z75" s="6">
        <f t="shared" si="4"/>
        <v>0</v>
      </c>
    </row>
    <row r="76" spans="1:32">
      <c r="A76" t="s">
        <v>644</v>
      </c>
      <c r="G76" s="6">
        <f t="shared" si="5"/>
        <v>0</v>
      </c>
      <c r="H76" s="6">
        <f t="shared" si="4"/>
        <v>258.05903800396857</v>
      </c>
      <c r="I76" s="6">
        <f t="shared" si="4"/>
        <v>258.05903800396857</v>
      </c>
      <c r="J76" s="6">
        <f t="shared" si="4"/>
        <v>516.11807600793713</v>
      </c>
      <c r="K76" s="6">
        <f t="shared" si="4"/>
        <v>0</v>
      </c>
      <c r="L76" s="6">
        <f t="shared" si="4"/>
        <v>0</v>
      </c>
      <c r="M76" s="6">
        <f t="shared" si="4"/>
        <v>0</v>
      </c>
      <c r="N76" s="6">
        <f t="shared" si="4"/>
        <v>516.11807600793713</v>
      </c>
      <c r="O76" s="6">
        <f t="shared" si="4"/>
        <v>1548.3542280238112</v>
      </c>
      <c r="P76" s="6">
        <f t="shared" si="4"/>
        <v>258.05903800396857</v>
      </c>
      <c r="Q76" s="6">
        <f t="shared" si="4"/>
        <v>258.05903800396857</v>
      </c>
      <c r="R76" s="6">
        <f t="shared" si="4"/>
        <v>516.11807600793713</v>
      </c>
      <c r="S76" s="6">
        <f t="shared" si="4"/>
        <v>0</v>
      </c>
      <c r="T76" s="6">
        <f t="shared" si="4"/>
        <v>0</v>
      </c>
      <c r="U76" s="6">
        <f t="shared" si="4"/>
        <v>0</v>
      </c>
      <c r="V76" s="6">
        <f t="shared" si="4"/>
        <v>516.11807600793713</v>
      </c>
      <c r="W76" s="6">
        <f t="shared" si="4"/>
        <v>516.11807600793713</v>
      </c>
      <c r="X76" s="6">
        <f t="shared" si="4"/>
        <v>0</v>
      </c>
      <c r="Y76" s="6">
        <f t="shared" si="4"/>
        <v>0</v>
      </c>
      <c r="Z76" s="6">
        <f t="shared" si="4"/>
        <v>0</v>
      </c>
    </row>
    <row r="77" spans="1:32">
      <c r="A77" t="s">
        <v>645</v>
      </c>
      <c r="G77" s="6">
        <f t="shared" si="5"/>
        <v>1757.6943334329599</v>
      </c>
      <c r="H77" s="6">
        <f t="shared" si="4"/>
        <v>0</v>
      </c>
      <c r="I77" s="6">
        <f t="shared" si="4"/>
        <v>1757.6943334329599</v>
      </c>
      <c r="J77" s="6">
        <f t="shared" si="4"/>
        <v>0</v>
      </c>
      <c r="K77" s="6">
        <f t="shared" si="4"/>
        <v>0</v>
      </c>
      <c r="L77" s="6">
        <f t="shared" si="4"/>
        <v>0</v>
      </c>
      <c r="M77" s="6">
        <f t="shared" si="4"/>
        <v>0</v>
      </c>
      <c r="N77" s="6">
        <f t="shared" si="4"/>
        <v>1757.6943334329599</v>
      </c>
      <c r="O77" s="6">
        <f t="shared" si="4"/>
        <v>7030.7773337318395</v>
      </c>
      <c r="P77" s="6">
        <f t="shared" si="4"/>
        <v>0</v>
      </c>
      <c r="Q77" s="6">
        <f t="shared" si="4"/>
        <v>878.84716671647993</v>
      </c>
      <c r="R77" s="6">
        <f t="shared" si="4"/>
        <v>0</v>
      </c>
      <c r="S77" s="6">
        <f t="shared" si="4"/>
        <v>0</v>
      </c>
      <c r="T77" s="6">
        <f t="shared" si="4"/>
        <v>0</v>
      </c>
      <c r="U77" s="6">
        <f t="shared" si="4"/>
        <v>0</v>
      </c>
      <c r="V77" s="6">
        <f t="shared" si="4"/>
        <v>2636.5415001494393</v>
      </c>
      <c r="W77" s="6">
        <f t="shared" si="4"/>
        <v>0</v>
      </c>
      <c r="X77" s="6">
        <f t="shared" si="4"/>
        <v>0</v>
      </c>
      <c r="Y77" s="6">
        <f t="shared" si="4"/>
        <v>1757.6943334329599</v>
      </c>
      <c r="Z77" s="6">
        <f t="shared" si="4"/>
        <v>0</v>
      </c>
    </row>
    <row r="78" spans="1:32">
      <c r="A78" t="s">
        <v>646</v>
      </c>
      <c r="G78" s="6">
        <f t="shared" si="5"/>
        <v>1375.4943049257199</v>
      </c>
      <c r="H78" s="6">
        <f t="shared" si="4"/>
        <v>0</v>
      </c>
      <c r="I78" s="6">
        <f t="shared" si="4"/>
        <v>1375.4943049257199</v>
      </c>
      <c r="J78" s="6">
        <f t="shared" si="4"/>
        <v>0</v>
      </c>
      <c r="K78" s="6">
        <f t="shared" si="4"/>
        <v>0</v>
      </c>
      <c r="L78" s="6">
        <f t="shared" si="4"/>
        <v>0</v>
      </c>
      <c r="M78" s="6">
        <f t="shared" si="4"/>
        <v>0</v>
      </c>
      <c r="N78" s="6">
        <f t="shared" si="4"/>
        <v>1375.4943049257199</v>
      </c>
      <c r="O78" s="6">
        <f t="shared" si="4"/>
        <v>5501.9772197028797</v>
      </c>
      <c r="P78" s="6">
        <f t="shared" si="4"/>
        <v>0</v>
      </c>
      <c r="Q78" s="6">
        <f t="shared" si="4"/>
        <v>687.74715246285996</v>
      </c>
      <c r="R78" s="6">
        <f t="shared" si="4"/>
        <v>0</v>
      </c>
      <c r="S78" s="6">
        <f t="shared" si="4"/>
        <v>0</v>
      </c>
      <c r="T78" s="6">
        <f t="shared" si="4"/>
        <v>0</v>
      </c>
      <c r="U78" s="6">
        <f t="shared" si="4"/>
        <v>0</v>
      </c>
      <c r="V78" s="6">
        <f t="shared" si="4"/>
        <v>2063.2414573885799</v>
      </c>
      <c r="W78" s="6">
        <f t="shared" si="4"/>
        <v>0</v>
      </c>
      <c r="X78" s="6">
        <f t="shared" si="4"/>
        <v>0</v>
      </c>
      <c r="Y78" s="6">
        <f t="shared" si="4"/>
        <v>1375.4943049257199</v>
      </c>
      <c r="Z78" s="6">
        <f t="shared" si="4"/>
        <v>0</v>
      </c>
    </row>
    <row r="79" spans="1:32">
      <c r="A79" t="s">
        <v>648</v>
      </c>
      <c r="G79" s="6">
        <f t="shared" si="5"/>
        <v>18.64769266934805</v>
      </c>
      <c r="H79" s="6">
        <f t="shared" si="4"/>
        <v>0</v>
      </c>
      <c r="I79" s="6">
        <f t="shared" si="4"/>
        <v>7.9918682868634496</v>
      </c>
      <c r="J79" s="6">
        <f t="shared" si="4"/>
        <v>0</v>
      </c>
      <c r="K79" s="6">
        <f t="shared" si="4"/>
        <v>0</v>
      </c>
      <c r="L79" s="6">
        <f t="shared" ref="H79:Z87" si="6">$B55*L55</f>
        <v>0</v>
      </c>
      <c r="M79" s="6">
        <f t="shared" si="6"/>
        <v>0</v>
      </c>
      <c r="N79" s="6">
        <f t="shared" si="6"/>
        <v>18.64769266934805</v>
      </c>
      <c r="O79" s="6">
        <f t="shared" si="6"/>
        <v>162.50132183289014</v>
      </c>
      <c r="P79" s="6">
        <f t="shared" si="6"/>
        <v>0</v>
      </c>
      <c r="Q79" s="6">
        <f t="shared" si="6"/>
        <v>7.9918682868634496</v>
      </c>
      <c r="R79" s="6">
        <f t="shared" si="6"/>
        <v>0</v>
      </c>
      <c r="S79" s="6">
        <f t="shared" si="6"/>
        <v>0</v>
      </c>
      <c r="T79" s="6">
        <f t="shared" si="6"/>
        <v>0</v>
      </c>
      <c r="U79" s="6">
        <f t="shared" si="6"/>
        <v>26.639560956211501</v>
      </c>
      <c r="V79" s="6">
        <f t="shared" si="6"/>
        <v>0</v>
      </c>
      <c r="W79" s="6">
        <f t="shared" si="6"/>
        <v>18.64769266934805</v>
      </c>
      <c r="X79" s="6">
        <f t="shared" si="6"/>
        <v>0</v>
      </c>
      <c r="Y79" s="6">
        <f t="shared" si="6"/>
        <v>5.3279121912422998</v>
      </c>
      <c r="Z79" s="6">
        <f t="shared" si="6"/>
        <v>0</v>
      </c>
    </row>
    <row r="80" spans="1:32">
      <c r="A80" t="s">
        <v>290</v>
      </c>
      <c r="G80" s="6">
        <f t="shared" si="5"/>
        <v>10.198128412475601</v>
      </c>
      <c r="H80" s="6">
        <f t="shared" si="6"/>
        <v>0</v>
      </c>
      <c r="I80" s="6">
        <f t="shared" si="6"/>
        <v>3.05943852374268</v>
      </c>
      <c r="J80" s="6">
        <f t="shared" si="6"/>
        <v>0</v>
      </c>
      <c r="K80" s="6">
        <f t="shared" si="6"/>
        <v>0</v>
      </c>
      <c r="L80" s="6">
        <f t="shared" si="6"/>
        <v>0</v>
      </c>
      <c r="M80" s="6">
        <f t="shared" si="6"/>
        <v>0</v>
      </c>
      <c r="N80" s="6">
        <f t="shared" si="6"/>
        <v>10.198128412475601</v>
      </c>
      <c r="O80" s="6">
        <f t="shared" si="6"/>
        <v>50.990642062378001</v>
      </c>
      <c r="P80" s="6">
        <f t="shared" si="6"/>
        <v>0</v>
      </c>
      <c r="Q80" s="6">
        <f t="shared" si="6"/>
        <v>4.07925136499024</v>
      </c>
      <c r="R80" s="6">
        <f t="shared" si="6"/>
        <v>0</v>
      </c>
      <c r="S80" s="6">
        <f t="shared" si="6"/>
        <v>0</v>
      </c>
      <c r="T80" s="6">
        <f t="shared" si="6"/>
        <v>0</v>
      </c>
      <c r="U80" s="6">
        <f t="shared" si="6"/>
        <v>0</v>
      </c>
      <c r="V80" s="6">
        <f t="shared" si="6"/>
        <v>20.396256824951202</v>
      </c>
      <c r="W80" s="6">
        <f t="shared" si="6"/>
        <v>0</v>
      </c>
      <c r="X80" s="6">
        <f t="shared" si="6"/>
        <v>0</v>
      </c>
      <c r="Y80" s="6">
        <f t="shared" si="6"/>
        <v>3.05943852374268</v>
      </c>
      <c r="Z80" s="6">
        <f t="shared" si="6"/>
        <v>0</v>
      </c>
    </row>
    <row r="81" spans="1:26">
      <c r="A81" t="s">
        <v>649</v>
      </c>
      <c r="G81" s="6">
        <f t="shared" si="5"/>
        <v>164.67053151336569</v>
      </c>
      <c r="H81" s="6">
        <f t="shared" si="6"/>
        <v>0</v>
      </c>
      <c r="I81" s="6">
        <f t="shared" si="6"/>
        <v>205.8381643917071</v>
      </c>
      <c r="J81" s="6">
        <f t="shared" si="6"/>
        <v>0</v>
      </c>
      <c r="K81" s="6">
        <f t="shared" si="6"/>
        <v>205.8381643917071</v>
      </c>
      <c r="L81" s="6">
        <f t="shared" si="6"/>
        <v>0</v>
      </c>
      <c r="M81" s="6">
        <f t="shared" si="6"/>
        <v>0</v>
      </c>
      <c r="N81" s="6">
        <f t="shared" si="6"/>
        <v>164.67053151336569</v>
      </c>
      <c r="O81" s="6">
        <f t="shared" si="6"/>
        <v>2017.2140110387295</v>
      </c>
      <c r="P81" s="6">
        <f t="shared" si="6"/>
        <v>0</v>
      </c>
      <c r="Q81" s="6">
        <f t="shared" si="6"/>
        <v>205.8381643917071</v>
      </c>
      <c r="R81" s="6">
        <f t="shared" si="6"/>
        <v>0</v>
      </c>
      <c r="S81" s="6">
        <f t="shared" si="6"/>
        <v>205.8381643917071</v>
      </c>
      <c r="T81" s="6">
        <f t="shared" si="6"/>
        <v>0</v>
      </c>
      <c r="U81" s="6">
        <f t="shared" si="6"/>
        <v>0</v>
      </c>
      <c r="V81" s="6">
        <f t="shared" si="6"/>
        <v>617.51449317512129</v>
      </c>
      <c r="W81" s="6">
        <f t="shared" si="6"/>
        <v>329.34106302673138</v>
      </c>
      <c r="X81" s="6">
        <f t="shared" si="6"/>
        <v>0</v>
      </c>
      <c r="Y81" s="6">
        <f t="shared" si="6"/>
        <v>0</v>
      </c>
      <c r="Z81" s="6">
        <f t="shared" si="6"/>
        <v>0</v>
      </c>
    </row>
    <row r="82" spans="1:26">
      <c r="A82" t="s">
        <v>651</v>
      </c>
      <c r="G82" s="6">
        <f t="shared" si="5"/>
        <v>6.956677262998439</v>
      </c>
      <c r="H82" s="6">
        <f t="shared" si="6"/>
        <v>11.594462104997399</v>
      </c>
      <c r="I82" s="6">
        <f t="shared" si="6"/>
        <v>6.956677262998439</v>
      </c>
      <c r="J82" s="6">
        <f t="shared" si="6"/>
        <v>6.956677262998439</v>
      </c>
      <c r="K82" s="6">
        <f t="shared" si="6"/>
        <v>6.956677262998439</v>
      </c>
      <c r="L82" s="6">
        <f t="shared" si="6"/>
        <v>6.956677262998439</v>
      </c>
      <c r="M82" s="6">
        <f t="shared" si="6"/>
        <v>6.956677262998439</v>
      </c>
      <c r="N82" s="6">
        <f t="shared" si="6"/>
        <v>18.551139367995837</v>
      </c>
      <c r="O82" s="6">
        <f t="shared" si="6"/>
        <v>53.334525682988037</v>
      </c>
      <c r="P82" s="6">
        <f t="shared" si="6"/>
        <v>6.956677262998439</v>
      </c>
      <c r="Q82" s="6">
        <f t="shared" si="6"/>
        <v>16.232246946996359</v>
      </c>
      <c r="R82" s="6">
        <f t="shared" si="6"/>
        <v>6.956677262998439</v>
      </c>
      <c r="S82" s="6">
        <f t="shared" si="6"/>
        <v>6.956677262998439</v>
      </c>
      <c r="T82" s="6">
        <f t="shared" si="6"/>
        <v>6.956677262998439</v>
      </c>
      <c r="U82" s="6">
        <f t="shared" si="6"/>
        <v>6.956677262998439</v>
      </c>
      <c r="V82" s="6">
        <f t="shared" si="6"/>
        <v>23.188924209994799</v>
      </c>
      <c r="W82" s="6">
        <f t="shared" si="6"/>
        <v>18.551139367995837</v>
      </c>
      <c r="X82" s="6">
        <f t="shared" si="6"/>
        <v>0</v>
      </c>
      <c r="Y82" s="6">
        <f t="shared" si="6"/>
        <v>6.956677262998439</v>
      </c>
      <c r="Z82" s="6">
        <f t="shared" si="6"/>
        <v>6.956677262998439</v>
      </c>
    </row>
    <row r="83" spans="1:26">
      <c r="A83" t="s">
        <v>652</v>
      </c>
      <c r="G83" s="6">
        <f t="shared" si="5"/>
        <v>3137.7571880305354</v>
      </c>
      <c r="H83" s="6">
        <f t="shared" si="6"/>
        <v>1961.0982425190848</v>
      </c>
      <c r="I83" s="6">
        <f t="shared" si="6"/>
        <v>1568.8785940152677</v>
      </c>
      <c r="J83" s="6">
        <f t="shared" si="6"/>
        <v>0</v>
      </c>
      <c r="K83" s="6">
        <f t="shared" si="6"/>
        <v>0</v>
      </c>
      <c r="L83" s="6">
        <f t="shared" si="6"/>
        <v>0</v>
      </c>
      <c r="M83" s="6">
        <f t="shared" si="6"/>
        <v>0</v>
      </c>
      <c r="N83" s="6">
        <f t="shared" si="6"/>
        <v>3922.1964850381696</v>
      </c>
      <c r="O83" s="6">
        <f t="shared" si="6"/>
        <v>17649.884182671762</v>
      </c>
      <c r="P83" s="6">
        <f t="shared" si="6"/>
        <v>1961.0982425190848</v>
      </c>
      <c r="Q83" s="6">
        <f t="shared" si="6"/>
        <v>3922.1964850381696</v>
      </c>
      <c r="R83" s="6">
        <f t="shared" si="6"/>
        <v>0</v>
      </c>
      <c r="S83" s="6">
        <f t="shared" si="6"/>
        <v>0</v>
      </c>
      <c r="T83" s="6">
        <f t="shared" si="6"/>
        <v>0</v>
      </c>
      <c r="U83" s="6">
        <f t="shared" si="6"/>
        <v>0</v>
      </c>
      <c r="V83" s="6">
        <f t="shared" si="6"/>
        <v>0</v>
      </c>
      <c r="W83" s="6">
        <f t="shared" si="6"/>
        <v>3137.7571880305354</v>
      </c>
      <c r="X83" s="6">
        <f t="shared" si="6"/>
        <v>0</v>
      </c>
      <c r="Y83" s="6">
        <f t="shared" si="6"/>
        <v>1961.0982425190848</v>
      </c>
      <c r="Z83" s="6">
        <f t="shared" si="6"/>
        <v>0</v>
      </c>
    </row>
    <row r="84" spans="1:26">
      <c r="A84" t="s">
        <v>653</v>
      </c>
      <c r="G84" s="6">
        <f t="shared" si="5"/>
        <v>0</v>
      </c>
      <c r="H84" s="6">
        <f t="shared" si="6"/>
        <v>270.39003629985638</v>
      </c>
      <c r="I84" s="6">
        <f t="shared" si="6"/>
        <v>270.39003629985638</v>
      </c>
      <c r="J84" s="6">
        <f t="shared" si="6"/>
        <v>540.78007259971275</v>
      </c>
      <c r="K84" s="6">
        <f t="shared" si="6"/>
        <v>0</v>
      </c>
      <c r="L84" s="6">
        <f t="shared" si="6"/>
        <v>0</v>
      </c>
      <c r="M84" s="6">
        <f t="shared" si="6"/>
        <v>0</v>
      </c>
      <c r="N84" s="6">
        <f t="shared" si="6"/>
        <v>540.78007259971275</v>
      </c>
      <c r="O84" s="6">
        <f t="shared" si="6"/>
        <v>1622.3402177991381</v>
      </c>
      <c r="P84" s="6">
        <f t="shared" si="6"/>
        <v>270.39003629985638</v>
      </c>
      <c r="Q84" s="6">
        <f t="shared" si="6"/>
        <v>270.39003629985638</v>
      </c>
      <c r="R84" s="6">
        <f t="shared" si="6"/>
        <v>0</v>
      </c>
      <c r="S84" s="6">
        <f t="shared" si="6"/>
        <v>0</v>
      </c>
      <c r="T84" s="6">
        <f t="shared" si="6"/>
        <v>0</v>
      </c>
      <c r="U84" s="6">
        <f t="shared" si="6"/>
        <v>0</v>
      </c>
      <c r="V84" s="6">
        <f t="shared" si="6"/>
        <v>540.78007259971275</v>
      </c>
      <c r="W84" s="6">
        <f t="shared" si="6"/>
        <v>540.78007259971275</v>
      </c>
      <c r="X84" s="6">
        <f t="shared" si="6"/>
        <v>0</v>
      </c>
      <c r="Y84" s="6">
        <f t="shared" si="6"/>
        <v>0</v>
      </c>
      <c r="Z84" s="6">
        <f t="shared" si="6"/>
        <v>540.78007259971275</v>
      </c>
    </row>
    <row r="85" spans="1:26">
      <c r="A85" s="12" t="s">
        <v>692</v>
      </c>
      <c r="G85" s="6">
        <f t="shared" si="5"/>
        <v>1322.221172</v>
      </c>
      <c r="H85" s="6">
        <f t="shared" si="6"/>
        <v>0</v>
      </c>
      <c r="I85" s="6">
        <f t="shared" si="6"/>
        <v>0</v>
      </c>
      <c r="J85" s="6">
        <f t="shared" si="6"/>
        <v>0</v>
      </c>
      <c r="K85" s="6">
        <f t="shared" si="6"/>
        <v>0</v>
      </c>
      <c r="L85" s="6">
        <f t="shared" si="6"/>
        <v>0</v>
      </c>
      <c r="M85" s="6">
        <f t="shared" si="6"/>
        <v>0</v>
      </c>
      <c r="N85" s="6">
        <f t="shared" si="6"/>
        <v>1322.221172</v>
      </c>
      <c r="O85" s="6">
        <f t="shared" si="6"/>
        <v>13222.211720000001</v>
      </c>
      <c r="P85" s="6">
        <f t="shared" si="6"/>
        <v>0</v>
      </c>
      <c r="Q85" s="6">
        <f t="shared" si="6"/>
        <v>0</v>
      </c>
      <c r="R85" s="6">
        <f t="shared" si="6"/>
        <v>0</v>
      </c>
      <c r="S85" s="6">
        <f t="shared" si="6"/>
        <v>0</v>
      </c>
      <c r="T85" s="6">
        <f t="shared" si="6"/>
        <v>0</v>
      </c>
      <c r="U85" s="6">
        <f t="shared" si="6"/>
        <v>0</v>
      </c>
      <c r="V85" s="6">
        <f t="shared" si="6"/>
        <v>0</v>
      </c>
      <c r="W85" s="6">
        <f t="shared" si="6"/>
        <v>661.11058600000001</v>
      </c>
      <c r="X85" s="6">
        <f t="shared" si="6"/>
        <v>0</v>
      </c>
      <c r="Y85" s="6">
        <f t="shared" si="6"/>
        <v>0</v>
      </c>
      <c r="Z85" s="6">
        <f t="shared" si="6"/>
        <v>0</v>
      </c>
    </row>
    <row r="86" spans="1:26">
      <c r="A86" s="12" t="s">
        <v>693</v>
      </c>
      <c r="G86" s="6">
        <f t="shared" si="5"/>
        <v>755.27432759999999</v>
      </c>
      <c r="H86" s="6">
        <f t="shared" si="6"/>
        <v>0</v>
      </c>
      <c r="I86" s="6">
        <f t="shared" si="6"/>
        <v>0</v>
      </c>
      <c r="J86" s="6">
        <f t="shared" si="6"/>
        <v>0</v>
      </c>
      <c r="K86" s="6">
        <f t="shared" si="6"/>
        <v>0</v>
      </c>
      <c r="L86" s="6">
        <f t="shared" si="6"/>
        <v>0</v>
      </c>
      <c r="M86" s="6">
        <f t="shared" si="6"/>
        <v>0</v>
      </c>
      <c r="N86" s="6">
        <f t="shared" si="6"/>
        <v>755.27432759999999</v>
      </c>
      <c r="O86" s="6">
        <f t="shared" si="6"/>
        <v>7552.7432760000002</v>
      </c>
      <c r="P86" s="6">
        <f t="shared" si="6"/>
        <v>0</v>
      </c>
      <c r="Q86" s="6">
        <f t="shared" si="6"/>
        <v>0</v>
      </c>
      <c r="R86" s="6">
        <f t="shared" si="6"/>
        <v>0</v>
      </c>
      <c r="S86" s="6">
        <f t="shared" si="6"/>
        <v>0</v>
      </c>
      <c r="T86" s="6">
        <f t="shared" si="6"/>
        <v>0</v>
      </c>
      <c r="U86" s="6">
        <f t="shared" si="6"/>
        <v>0</v>
      </c>
      <c r="V86" s="6">
        <f t="shared" si="6"/>
        <v>0</v>
      </c>
      <c r="W86" s="6">
        <f t="shared" si="6"/>
        <v>377.6371638</v>
      </c>
      <c r="X86" s="6">
        <f t="shared" si="6"/>
        <v>0</v>
      </c>
      <c r="Y86" s="6">
        <f t="shared" si="6"/>
        <v>0</v>
      </c>
      <c r="Z86" s="6">
        <f t="shared" si="6"/>
        <v>0</v>
      </c>
    </row>
    <row r="87" spans="1:26">
      <c r="A87" s="12" t="s">
        <v>694</v>
      </c>
      <c r="G87" s="6">
        <f t="shared" si="5"/>
        <v>716.50805760000003</v>
      </c>
      <c r="H87" s="6">
        <f t="shared" si="6"/>
        <v>0</v>
      </c>
      <c r="I87" s="6">
        <f t="shared" si="6"/>
        <v>0</v>
      </c>
      <c r="J87" s="6">
        <f t="shared" si="6"/>
        <v>0</v>
      </c>
      <c r="K87" s="6">
        <f t="shared" si="6"/>
        <v>0</v>
      </c>
      <c r="L87" s="6">
        <f t="shared" si="6"/>
        <v>0</v>
      </c>
      <c r="M87" s="6">
        <f t="shared" si="6"/>
        <v>0</v>
      </c>
      <c r="N87" s="6">
        <f t="shared" si="6"/>
        <v>716.50805760000003</v>
      </c>
      <c r="O87" s="6">
        <f t="shared" si="6"/>
        <v>7165.0805760000003</v>
      </c>
      <c r="P87" s="6">
        <f t="shared" si="6"/>
        <v>0</v>
      </c>
      <c r="Q87" s="6">
        <f t="shared" si="6"/>
        <v>0</v>
      </c>
      <c r="R87" s="6">
        <f t="shared" si="6"/>
        <v>0</v>
      </c>
      <c r="S87" s="6">
        <f t="shared" si="6"/>
        <v>0</v>
      </c>
      <c r="T87" s="6">
        <f t="shared" si="6"/>
        <v>0</v>
      </c>
      <c r="U87" s="6">
        <f t="shared" si="6"/>
        <v>0</v>
      </c>
      <c r="V87" s="6">
        <f t="shared" si="6"/>
        <v>0</v>
      </c>
      <c r="W87" s="6">
        <f t="shared" si="6"/>
        <v>358.25402880000001</v>
      </c>
      <c r="X87" s="6">
        <f t="shared" si="6"/>
        <v>0</v>
      </c>
      <c r="Y87" s="6">
        <f t="shared" si="6"/>
        <v>0</v>
      </c>
      <c r="Z87" s="6">
        <f t="shared" si="6"/>
        <v>0</v>
      </c>
    </row>
    <row r="89" spans="1:26">
      <c r="G89">
        <f>SUM(G65:G88)</f>
        <v>40726.424972956636</v>
      </c>
      <c r="H89">
        <f t="shared" ref="H89:Z89" si="7">SUM(H65:H88)</f>
        <v>12340.64052397934</v>
      </c>
      <c r="I89">
        <f t="shared" si="7"/>
        <v>29985.376403112947</v>
      </c>
      <c r="J89">
        <f t="shared" si="7"/>
        <v>4897.8547678835466</v>
      </c>
      <c r="K89">
        <f t="shared" si="7"/>
        <v>1373.9394689190785</v>
      </c>
      <c r="L89">
        <f t="shared" si="7"/>
        <v>976.86923763367611</v>
      </c>
      <c r="M89">
        <f t="shared" si="7"/>
        <v>976.86923763367611</v>
      </c>
      <c r="N89">
        <f t="shared" si="7"/>
        <v>46912.251462739732</v>
      </c>
      <c r="O89">
        <f t="shared" si="7"/>
        <v>209109.77226524588</v>
      </c>
      <c r="P89">
        <f t="shared" si="7"/>
        <v>11689.394365556889</v>
      </c>
      <c r="Q89">
        <f t="shared" si="7"/>
        <v>31975.758310026762</v>
      </c>
      <c r="R89">
        <f t="shared" si="7"/>
        <v>1492.9873136416134</v>
      </c>
      <c r="S89">
        <f t="shared" si="7"/>
        <v>1373.9394689190785</v>
      </c>
      <c r="T89">
        <f t="shared" si="7"/>
        <v>976.86923763367611</v>
      </c>
      <c r="U89">
        <f t="shared" si="7"/>
        <v>1027.2716511204574</v>
      </c>
      <c r="V89">
        <f t="shared" si="7"/>
        <v>37941.211706403177</v>
      </c>
      <c r="W89">
        <f t="shared" si="7"/>
        <v>22690.756679375714</v>
      </c>
      <c r="X89">
        <f t="shared" si="7"/>
        <v>0</v>
      </c>
      <c r="Y89">
        <f t="shared" si="7"/>
        <v>29785.04597964522</v>
      </c>
      <c r="Z89">
        <f t="shared" si="7"/>
        <v>1517.6493102333889</v>
      </c>
    </row>
    <row r="91" spans="1:26">
      <c r="G91" t="s">
        <v>761</v>
      </c>
      <c r="H91" t="s">
        <v>762</v>
      </c>
      <c r="I91" t="s">
        <v>763</v>
      </c>
      <c r="J91" t="s">
        <v>764</v>
      </c>
      <c r="K91" t="s">
        <v>765</v>
      </c>
      <c r="L91" t="s">
        <v>766</v>
      </c>
      <c r="M91" t="s">
        <v>767</v>
      </c>
      <c r="N91" t="s">
        <v>768</v>
      </c>
      <c r="O91" t="s">
        <v>769</v>
      </c>
      <c r="P91" t="s">
        <v>770</v>
      </c>
      <c r="Q91" t="s">
        <v>771</v>
      </c>
      <c r="R91" t="s">
        <v>772</v>
      </c>
      <c r="S91" t="s">
        <v>773</v>
      </c>
      <c r="T91" t="s">
        <v>774</v>
      </c>
      <c r="U91" t="s">
        <v>775</v>
      </c>
      <c r="V91" t="s">
        <v>776</v>
      </c>
      <c r="W91" t="s">
        <v>777</v>
      </c>
      <c r="X91" t="s">
        <v>778</v>
      </c>
      <c r="Y91" t="s">
        <v>779</v>
      </c>
      <c r="Z91" t="s">
        <v>780</v>
      </c>
    </row>
    <row r="94" spans="1:26">
      <c r="G94" s="12" t="s">
        <v>783</v>
      </c>
    </row>
    <row r="95" spans="1:26">
      <c r="H95" s="12" t="s">
        <v>1</v>
      </c>
      <c r="I95" s="12" t="s">
        <v>2</v>
      </c>
      <c r="J95" s="12" t="s">
        <v>3</v>
      </c>
      <c r="K95" s="12" t="s">
        <v>4</v>
      </c>
      <c r="L95" s="12" t="s">
        <v>5</v>
      </c>
    </row>
    <row r="96" spans="1:26">
      <c r="G96" s="12" t="s">
        <v>784</v>
      </c>
      <c r="H96">
        <v>300</v>
      </c>
      <c r="I96">
        <v>1000</v>
      </c>
      <c r="J96">
        <v>2000</v>
      </c>
      <c r="K96">
        <v>2500</v>
      </c>
      <c r="L96">
        <v>3000</v>
      </c>
    </row>
    <row r="97" spans="6:32">
      <c r="G97" s="12" t="s">
        <v>785</v>
      </c>
      <c r="H97">
        <f>'HH Cons'!O3</f>
        <v>473</v>
      </c>
      <c r="I97">
        <f>'HH Cons'!O4</f>
        <v>850</v>
      </c>
      <c r="J97">
        <f>'HH Cons'!O5</f>
        <v>1328</v>
      </c>
      <c r="K97">
        <f>'HH Cons'!O6</f>
        <v>466</v>
      </c>
      <c r="L97">
        <f>'HH Cons'!O7</f>
        <v>714</v>
      </c>
    </row>
    <row r="99" spans="6:32">
      <c r="H99">
        <f>H96*H97</f>
        <v>141900</v>
      </c>
      <c r="I99">
        <f t="shared" ref="I99:L99" si="8">I96*I97</f>
        <v>850000</v>
      </c>
      <c r="J99">
        <f t="shared" si="8"/>
        <v>2656000</v>
      </c>
      <c r="K99">
        <f t="shared" si="8"/>
        <v>1165000</v>
      </c>
      <c r="L99">
        <f t="shared" si="8"/>
        <v>2142000</v>
      </c>
    </row>
    <row r="101" spans="6:32">
      <c r="H101">
        <f>H99/1000</f>
        <v>141.9</v>
      </c>
      <c r="I101">
        <f t="shared" ref="I101:L101" si="9">I99/1000</f>
        <v>850</v>
      </c>
      <c r="J101">
        <f t="shared" si="9"/>
        <v>2656</v>
      </c>
      <c r="K101">
        <f t="shared" si="9"/>
        <v>1165</v>
      </c>
      <c r="L101">
        <f t="shared" si="9"/>
        <v>2142</v>
      </c>
    </row>
    <row r="105" spans="6:32">
      <c r="F105" t="s">
        <v>621</v>
      </c>
      <c r="G105" t="s">
        <v>792</v>
      </c>
      <c r="H105" t="s">
        <v>793</v>
      </c>
      <c r="I105" t="s">
        <v>794</v>
      </c>
      <c r="J105" t="s">
        <v>795</v>
      </c>
      <c r="K105" t="s">
        <v>796</v>
      </c>
      <c r="L105" t="s">
        <v>797</v>
      </c>
      <c r="M105" t="s">
        <v>798</v>
      </c>
      <c r="N105" t="s">
        <v>799</v>
      </c>
      <c r="O105" t="s">
        <v>800</v>
      </c>
      <c r="P105" t="s">
        <v>801</v>
      </c>
      <c r="Q105" t="s">
        <v>802</v>
      </c>
      <c r="R105" t="s">
        <v>803</v>
      </c>
      <c r="S105" t="s">
        <v>804</v>
      </c>
      <c r="T105" t="s">
        <v>805</v>
      </c>
      <c r="U105" t="s">
        <v>806</v>
      </c>
      <c r="V105" t="s">
        <v>807</v>
      </c>
      <c r="W105" t="s">
        <v>808</v>
      </c>
      <c r="X105" t="s">
        <v>809</v>
      </c>
      <c r="Y105" t="s">
        <v>810</v>
      </c>
      <c r="Z105" t="s">
        <v>811</v>
      </c>
      <c r="AA105" t="s">
        <v>812</v>
      </c>
      <c r="AB105" t="s">
        <v>813</v>
      </c>
      <c r="AC105" t="s">
        <v>814</v>
      </c>
      <c r="AD105">
        <f>Y17</f>
        <v>0</v>
      </c>
      <c r="AE105">
        <f t="shared" ref="AE105:AF120" si="10">Z17</f>
        <v>0</v>
      </c>
      <c r="AF105">
        <f t="shared" si="10"/>
        <v>0</v>
      </c>
    </row>
    <row r="106" spans="6:32">
      <c r="F106" t="s">
        <v>623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 t="s">
        <v>822</v>
      </c>
      <c r="O106" t="s">
        <v>823</v>
      </c>
      <c r="P106" t="s">
        <v>824</v>
      </c>
      <c r="Q106" t="s">
        <v>825</v>
      </c>
      <c r="R106" t="s">
        <v>826</v>
      </c>
      <c r="S106" t="s">
        <v>827</v>
      </c>
      <c r="T106" t="s">
        <v>828</v>
      </c>
      <c r="U106" t="s">
        <v>829</v>
      </c>
      <c r="V106" t="s">
        <v>830</v>
      </c>
      <c r="W106" t="s">
        <v>831</v>
      </c>
      <c r="X106" t="s">
        <v>832</v>
      </c>
      <c r="Y106" t="s">
        <v>833</v>
      </c>
      <c r="Z106" t="s">
        <v>834</v>
      </c>
      <c r="AA106" t="s">
        <v>835</v>
      </c>
      <c r="AB106" t="s">
        <v>836</v>
      </c>
      <c r="AC106" t="s">
        <v>837</v>
      </c>
      <c r="AD106">
        <f t="shared" ref="AD106:AD124" si="11">Y18</f>
        <v>0</v>
      </c>
      <c r="AE106">
        <f t="shared" si="10"/>
        <v>0</v>
      </c>
      <c r="AF106">
        <f t="shared" si="10"/>
        <v>0</v>
      </c>
    </row>
    <row r="107" spans="6:32">
      <c r="F107" t="s">
        <v>624</v>
      </c>
      <c r="G107" t="s">
        <v>838</v>
      </c>
      <c r="H107" t="s">
        <v>839</v>
      </c>
      <c r="I107" t="s">
        <v>840</v>
      </c>
      <c r="J107" t="s">
        <v>841</v>
      </c>
      <c r="K107" t="s">
        <v>842</v>
      </c>
      <c r="L107" t="s">
        <v>843</v>
      </c>
      <c r="M107" t="s">
        <v>844</v>
      </c>
      <c r="N107" t="s">
        <v>845</v>
      </c>
      <c r="O107" t="s">
        <v>846</v>
      </c>
      <c r="P107" t="s">
        <v>847</v>
      </c>
      <c r="Q107" t="s">
        <v>848</v>
      </c>
      <c r="R107" t="s">
        <v>849</v>
      </c>
      <c r="S107" t="s">
        <v>850</v>
      </c>
      <c r="T107" t="s">
        <v>851</v>
      </c>
      <c r="U107" t="s">
        <v>852</v>
      </c>
      <c r="V107" t="s">
        <v>853</v>
      </c>
      <c r="W107" t="s">
        <v>854</v>
      </c>
      <c r="X107" t="s">
        <v>855</v>
      </c>
      <c r="Y107" t="s">
        <v>856</v>
      </c>
      <c r="Z107" t="s">
        <v>857</v>
      </c>
      <c r="AA107" t="s">
        <v>858</v>
      </c>
      <c r="AB107" t="s">
        <v>859</v>
      </c>
      <c r="AC107" t="s">
        <v>860</v>
      </c>
      <c r="AD107">
        <f t="shared" si="11"/>
        <v>0</v>
      </c>
      <c r="AE107">
        <f t="shared" si="10"/>
        <v>0</v>
      </c>
      <c r="AF107">
        <f t="shared" si="10"/>
        <v>0</v>
      </c>
    </row>
    <row r="108" spans="6:32">
      <c r="F108" t="s">
        <v>625</v>
      </c>
      <c r="G108" t="s">
        <v>861</v>
      </c>
      <c r="H108" t="s">
        <v>862</v>
      </c>
      <c r="I108" t="s">
        <v>697</v>
      </c>
      <c r="J108" t="s">
        <v>863</v>
      </c>
      <c r="K108" t="s">
        <v>864</v>
      </c>
      <c r="L108" t="s">
        <v>865</v>
      </c>
      <c r="M108" t="s">
        <v>866</v>
      </c>
      <c r="N108" t="s">
        <v>867</v>
      </c>
      <c r="O108" t="s">
        <v>868</v>
      </c>
      <c r="P108" t="s">
        <v>869</v>
      </c>
      <c r="Q108" t="s">
        <v>870</v>
      </c>
      <c r="R108" t="s">
        <v>871</v>
      </c>
      <c r="S108" t="s">
        <v>872</v>
      </c>
      <c r="T108" t="s">
        <v>873</v>
      </c>
      <c r="U108" t="s">
        <v>874</v>
      </c>
      <c r="V108" t="s">
        <v>875</v>
      </c>
      <c r="W108" t="s">
        <v>876</v>
      </c>
      <c r="X108" t="s">
        <v>877</v>
      </c>
      <c r="Y108" t="s">
        <v>878</v>
      </c>
      <c r="Z108" t="s">
        <v>879</v>
      </c>
      <c r="AA108" t="s">
        <v>880</v>
      </c>
      <c r="AB108" t="s">
        <v>881</v>
      </c>
      <c r="AC108" t="s">
        <v>882</v>
      </c>
      <c r="AD108">
        <f t="shared" si="11"/>
        <v>0</v>
      </c>
      <c r="AE108">
        <f t="shared" si="10"/>
        <v>0</v>
      </c>
      <c r="AF108">
        <f t="shared" si="10"/>
        <v>0</v>
      </c>
    </row>
    <row r="109" spans="6:32">
      <c r="F109" t="s">
        <v>626</v>
      </c>
      <c r="G109" t="s">
        <v>883</v>
      </c>
      <c r="H109" t="s">
        <v>884</v>
      </c>
      <c r="I109" t="s">
        <v>698</v>
      </c>
      <c r="J109" t="s">
        <v>885</v>
      </c>
      <c r="K109" t="s">
        <v>886</v>
      </c>
      <c r="L109" t="s">
        <v>887</v>
      </c>
      <c r="M109" t="s">
        <v>888</v>
      </c>
      <c r="N109" t="s">
        <v>889</v>
      </c>
      <c r="O109" t="s">
        <v>890</v>
      </c>
      <c r="P109" t="s">
        <v>891</v>
      </c>
      <c r="Q109" t="s">
        <v>892</v>
      </c>
      <c r="R109" t="s">
        <v>893</v>
      </c>
      <c r="S109" t="s">
        <v>894</v>
      </c>
      <c r="T109" t="s">
        <v>895</v>
      </c>
      <c r="U109" t="s">
        <v>896</v>
      </c>
      <c r="V109" t="s">
        <v>897</v>
      </c>
      <c r="W109" t="s">
        <v>898</v>
      </c>
      <c r="X109" t="s">
        <v>899</v>
      </c>
      <c r="Y109" t="s">
        <v>900</v>
      </c>
      <c r="Z109" t="s">
        <v>901</v>
      </c>
      <c r="AA109" t="s">
        <v>902</v>
      </c>
      <c r="AB109" t="s">
        <v>903</v>
      </c>
      <c r="AC109" t="s">
        <v>904</v>
      </c>
      <c r="AD109">
        <f t="shared" si="11"/>
        <v>0</v>
      </c>
      <c r="AE109">
        <f t="shared" si="10"/>
        <v>0</v>
      </c>
      <c r="AF109">
        <f t="shared" si="10"/>
        <v>0</v>
      </c>
    </row>
    <row r="110" spans="6:32">
      <c r="F110" t="s">
        <v>627</v>
      </c>
      <c r="G110" t="s">
        <v>905</v>
      </c>
      <c r="H110" t="s">
        <v>906</v>
      </c>
      <c r="I110" t="s">
        <v>699</v>
      </c>
      <c r="J110" t="s">
        <v>907</v>
      </c>
      <c r="K110" t="s">
        <v>908</v>
      </c>
      <c r="L110" t="s">
        <v>909</v>
      </c>
      <c r="M110" t="s">
        <v>910</v>
      </c>
      <c r="N110" t="s">
        <v>911</v>
      </c>
      <c r="O110" t="s">
        <v>912</v>
      </c>
      <c r="P110" t="s">
        <v>913</v>
      </c>
      <c r="Q110" t="s">
        <v>914</v>
      </c>
      <c r="R110" t="s">
        <v>915</v>
      </c>
      <c r="S110" t="s">
        <v>916</v>
      </c>
      <c r="T110" t="s">
        <v>917</v>
      </c>
      <c r="U110" t="s">
        <v>918</v>
      </c>
      <c r="V110" t="s">
        <v>919</v>
      </c>
      <c r="W110" t="s">
        <v>920</v>
      </c>
      <c r="X110" t="s">
        <v>921</v>
      </c>
      <c r="Y110" t="s">
        <v>922</v>
      </c>
      <c r="Z110" t="s">
        <v>923</v>
      </c>
      <c r="AA110" t="s">
        <v>924</v>
      </c>
      <c r="AB110" t="s">
        <v>925</v>
      </c>
      <c r="AC110" t="s">
        <v>926</v>
      </c>
      <c r="AD110">
        <f t="shared" si="11"/>
        <v>0</v>
      </c>
      <c r="AE110">
        <f t="shared" si="10"/>
        <v>0</v>
      </c>
      <c r="AF110">
        <f t="shared" si="10"/>
        <v>0</v>
      </c>
    </row>
    <row r="111" spans="6:32">
      <c r="F111" t="s">
        <v>639</v>
      </c>
      <c r="G111" t="s">
        <v>927</v>
      </c>
      <c r="H111" t="s">
        <v>928</v>
      </c>
      <c r="I111" t="s">
        <v>700</v>
      </c>
      <c r="J111" t="s">
        <v>929</v>
      </c>
      <c r="K111" t="s">
        <v>930</v>
      </c>
      <c r="L111" t="s">
        <v>931</v>
      </c>
      <c r="M111" t="s">
        <v>932</v>
      </c>
      <c r="N111" t="s">
        <v>933</v>
      </c>
      <c r="O111" t="s">
        <v>934</v>
      </c>
      <c r="P111" t="s">
        <v>935</v>
      </c>
      <c r="Q111" t="s">
        <v>936</v>
      </c>
      <c r="R111" t="s">
        <v>937</v>
      </c>
      <c r="S111" t="s">
        <v>938</v>
      </c>
      <c r="T111" t="s">
        <v>939</v>
      </c>
      <c r="U111" t="s">
        <v>940</v>
      </c>
      <c r="V111" t="s">
        <v>941</v>
      </c>
      <c r="W111" t="s">
        <v>942</v>
      </c>
      <c r="X111" t="s">
        <v>943</v>
      </c>
      <c r="Y111" t="s">
        <v>944</v>
      </c>
      <c r="Z111" t="s">
        <v>945</v>
      </c>
      <c r="AA111" t="s">
        <v>946</v>
      </c>
      <c r="AB111" t="s">
        <v>947</v>
      </c>
      <c r="AC111" t="s">
        <v>948</v>
      </c>
      <c r="AD111">
        <f t="shared" si="11"/>
        <v>0</v>
      </c>
      <c r="AE111">
        <f t="shared" si="10"/>
        <v>0</v>
      </c>
      <c r="AF111">
        <f t="shared" si="10"/>
        <v>0</v>
      </c>
    </row>
    <row r="112" spans="6:32">
      <c r="F112" t="s">
        <v>640</v>
      </c>
      <c r="G112" t="s">
        <v>949</v>
      </c>
      <c r="H112" t="s">
        <v>950</v>
      </c>
      <c r="I112" t="s">
        <v>701</v>
      </c>
      <c r="J112" t="s">
        <v>951</v>
      </c>
      <c r="K112" t="s">
        <v>952</v>
      </c>
      <c r="L112" t="s">
        <v>953</v>
      </c>
      <c r="M112" t="s">
        <v>954</v>
      </c>
      <c r="N112" t="s">
        <v>955</v>
      </c>
      <c r="O112" t="s">
        <v>956</v>
      </c>
      <c r="P112" t="s">
        <v>957</v>
      </c>
      <c r="Q112" t="s">
        <v>958</v>
      </c>
      <c r="R112" t="s">
        <v>959</v>
      </c>
      <c r="S112" t="s">
        <v>960</v>
      </c>
      <c r="T112" t="s">
        <v>961</v>
      </c>
      <c r="U112" t="s">
        <v>962</v>
      </c>
      <c r="V112" t="s">
        <v>963</v>
      </c>
      <c r="W112" t="s">
        <v>964</v>
      </c>
      <c r="X112" t="s">
        <v>965</v>
      </c>
      <c r="Y112" t="s">
        <v>966</v>
      </c>
      <c r="Z112" t="s">
        <v>967</v>
      </c>
      <c r="AA112" t="s">
        <v>968</v>
      </c>
      <c r="AB112" t="s">
        <v>969</v>
      </c>
      <c r="AC112" t="s">
        <v>970</v>
      </c>
      <c r="AD112">
        <f t="shared" si="11"/>
        <v>0</v>
      </c>
      <c r="AE112">
        <f t="shared" si="10"/>
        <v>0</v>
      </c>
      <c r="AF112">
        <f t="shared" si="10"/>
        <v>0</v>
      </c>
    </row>
    <row r="113" spans="6:32">
      <c r="F113" t="s">
        <v>641</v>
      </c>
      <c r="G113" t="s">
        <v>971</v>
      </c>
      <c r="H113" t="s">
        <v>972</v>
      </c>
      <c r="I113" t="s">
        <v>702</v>
      </c>
      <c r="J113" t="s">
        <v>973</v>
      </c>
      <c r="K113" t="s">
        <v>974</v>
      </c>
      <c r="L113" t="s">
        <v>975</v>
      </c>
      <c r="M113" t="s">
        <v>976</v>
      </c>
      <c r="N113" t="s">
        <v>977</v>
      </c>
      <c r="O113" t="s">
        <v>978</v>
      </c>
      <c r="P113" t="s">
        <v>979</v>
      </c>
      <c r="Q113" t="s">
        <v>980</v>
      </c>
      <c r="R113" t="s">
        <v>981</v>
      </c>
      <c r="S113" t="s">
        <v>982</v>
      </c>
      <c r="T113" t="s">
        <v>983</v>
      </c>
      <c r="U113" t="s">
        <v>984</v>
      </c>
      <c r="V113" t="s">
        <v>985</v>
      </c>
      <c r="W113" t="s">
        <v>986</v>
      </c>
      <c r="X113" t="s">
        <v>987</v>
      </c>
      <c r="Y113" t="s">
        <v>988</v>
      </c>
      <c r="Z113" t="s">
        <v>989</v>
      </c>
      <c r="AA113" t="s">
        <v>990</v>
      </c>
      <c r="AB113" t="s">
        <v>991</v>
      </c>
      <c r="AC113" t="s">
        <v>992</v>
      </c>
      <c r="AD113">
        <f t="shared" si="11"/>
        <v>0</v>
      </c>
      <c r="AE113">
        <f t="shared" si="10"/>
        <v>0</v>
      </c>
      <c r="AF113">
        <f t="shared" si="10"/>
        <v>0</v>
      </c>
    </row>
    <row r="114" spans="6:32">
      <c r="F114" t="s">
        <v>642</v>
      </c>
      <c r="G114" t="s">
        <v>993</v>
      </c>
      <c r="H114" t="s">
        <v>994</v>
      </c>
      <c r="I114" t="s">
        <v>703</v>
      </c>
      <c r="J114" t="s">
        <v>995</v>
      </c>
      <c r="K114" t="s">
        <v>996</v>
      </c>
      <c r="L114" t="s">
        <v>997</v>
      </c>
      <c r="M114" t="s">
        <v>998</v>
      </c>
      <c r="N114" t="s">
        <v>999</v>
      </c>
      <c r="O114" t="s">
        <v>1000</v>
      </c>
      <c r="P114" t="s">
        <v>1001</v>
      </c>
      <c r="Q114" t="s">
        <v>1002</v>
      </c>
      <c r="R114" t="s">
        <v>1003</v>
      </c>
      <c r="S114" t="s">
        <v>1004</v>
      </c>
      <c r="T114" t="s">
        <v>1005</v>
      </c>
      <c r="U114" t="s">
        <v>1006</v>
      </c>
      <c r="V114" t="s">
        <v>1007</v>
      </c>
      <c r="W114" t="s">
        <v>1008</v>
      </c>
      <c r="X114" t="s">
        <v>1009</v>
      </c>
      <c r="Y114" t="s">
        <v>1010</v>
      </c>
      <c r="Z114" t="s">
        <v>1011</v>
      </c>
      <c r="AA114" t="s">
        <v>1012</v>
      </c>
      <c r="AB114" t="s">
        <v>1013</v>
      </c>
      <c r="AC114" t="s">
        <v>1014</v>
      </c>
      <c r="AD114">
        <f t="shared" si="11"/>
        <v>0</v>
      </c>
      <c r="AE114">
        <f t="shared" si="10"/>
        <v>0</v>
      </c>
      <c r="AF114">
        <f t="shared" si="10"/>
        <v>0</v>
      </c>
    </row>
    <row r="115" spans="6:32">
      <c r="F115" t="s">
        <v>643</v>
      </c>
      <c r="G115" t="s">
        <v>1015</v>
      </c>
      <c r="H115" t="s">
        <v>1016</v>
      </c>
      <c r="I115" t="s">
        <v>704</v>
      </c>
      <c r="J115" t="s">
        <v>1017</v>
      </c>
      <c r="K115" t="s">
        <v>1018</v>
      </c>
      <c r="L115" t="s">
        <v>1019</v>
      </c>
      <c r="M115" t="s">
        <v>1020</v>
      </c>
      <c r="N115" t="s">
        <v>1021</v>
      </c>
      <c r="O115" t="s">
        <v>1022</v>
      </c>
      <c r="P115" t="s">
        <v>1023</v>
      </c>
      <c r="Q115" t="s">
        <v>1024</v>
      </c>
      <c r="R115" t="s">
        <v>1025</v>
      </c>
      <c r="S115" t="s">
        <v>1026</v>
      </c>
      <c r="T115" t="s">
        <v>1027</v>
      </c>
      <c r="U115" t="s">
        <v>1028</v>
      </c>
      <c r="V115" t="s">
        <v>1029</v>
      </c>
      <c r="W115" t="s">
        <v>1030</v>
      </c>
      <c r="X115" t="s">
        <v>1031</v>
      </c>
      <c r="Y115" t="s">
        <v>1032</v>
      </c>
      <c r="Z115" t="s">
        <v>1033</v>
      </c>
      <c r="AA115" t="s">
        <v>1034</v>
      </c>
      <c r="AB115" t="s">
        <v>1035</v>
      </c>
      <c r="AC115" t="s">
        <v>1036</v>
      </c>
      <c r="AD115">
        <f t="shared" si="11"/>
        <v>0</v>
      </c>
      <c r="AE115">
        <f t="shared" si="10"/>
        <v>0</v>
      </c>
      <c r="AF115">
        <f t="shared" si="10"/>
        <v>0</v>
      </c>
    </row>
    <row r="116" spans="6:32">
      <c r="F116" t="s">
        <v>644</v>
      </c>
      <c r="G116" t="s">
        <v>1037</v>
      </c>
      <c r="H116" t="s">
        <v>1038</v>
      </c>
      <c r="I116" t="s">
        <v>705</v>
      </c>
      <c r="J116" t="s">
        <v>1039</v>
      </c>
      <c r="K116" t="s">
        <v>1040</v>
      </c>
      <c r="L116" t="s">
        <v>1041</v>
      </c>
      <c r="M116" t="s">
        <v>1042</v>
      </c>
      <c r="N116" t="s">
        <v>1043</v>
      </c>
      <c r="O116" t="s">
        <v>1044</v>
      </c>
      <c r="P116" t="s">
        <v>1045</v>
      </c>
      <c r="Q116" t="s">
        <v>1046</v>
      </c>
      <c r="R116" t="s">
        <v>1047</v>
      </c>
      <c r="S116" t="s">
        <v>1048</v>
      </c>
      <c r="T116" t="s">
        <v>1049</v>
      </c>
      <c r="U116" t="s">
        <v>1050</v>
      </c>
      <c r="V116" t="s">
        <v>1051</v>
      </c>
      <c r="W116" t="s">
        <v>1052</v>
      </c>
      <c r="X116" t="s">
        <v>1053</v>
      </c>
      <c r="Y116" t="s">
        <v>1054</v>
      </c>
      <c r="Z116" t="s">
        <v>1055</v>
      </c>
      <c r="AA116" t="s">
        <v>1056</v>
      </c>
      <c r="AB116" t="s">
        <v>1057</v>
      </c>
      <c r="AC116" t="s">
        <v>1058</v>
      </c>
      <c r="AD116">
        <f t="shared" si="11"/>
        <v>0</v>
      </c>
      <c r="AE116">
        <f t="shared" si="10"/>
        <v>0</v>
      </c>
      <c r="AF116">
        <f t="shared" si="10"/>
        <v>0</v>
      </c>
    </row>
    <row r="117" spans="6:32">
      <c r="F117" t="s">
        <v>645</v>
      </c>
      <c r="G117" t="s">
        <v>1059</v>
      </c>
      <c r="H117" t="s">
        <v>1060</v>
      </c>
      <c r="I117" t="s">
        <v>706</v>
      </c>
      <c r="J117" t="s">
        <v>1061</v>
      </c>
      <c r="K117" t="s">
        <v>1062</v>
      </c>
      <c r="L117" t="s">
        <v>1063</v>
      </c>
      <c r="M117" t="s">
        <v>1064</v>
      </c>
      <c r="N117" t="s">
        <v>1065</v>
      </c>
      <c r="O117" t="s">
        <v>1066</v>
      </c>
      <c r="P117" t="s">
        <v>1067</v>
      </c>
      <c r="Q117" t="s">
        <v>1068</v>
      </c>
      <c r="R117" t="s">
        <v>1069</v>
      </c>
      <c r="S117" t="s">
        <v>1070</v>
      </c>
      <c r="T117" t="s">
        <v>1071</v>
      </c>
      <c r="U117" t="s">
        <v>1072</v>
      </c>
      <c r="V117" t="s">
        <v>1073</v>
      </c>
      <c r="W117" t="s">
        <v>1074</v>
      </c>
      <c r="X117" t="s">
        <v>1075</v>
      </c>
      <c r="Y117" t="s">
        <v>1076</v>
      </c>
      <c r="Z117" t="s">
        <v>1077</v>
      </c>
      <c r="AA117" t="s">
        <v>1078</v>
      </c>
      <c r="AB117" t="s">
        <v>1079</v>
      </c>
      <c r="AC117" t="s">
        <v>1080</v>
      </c>
      <c r="AD117">
        <f t="shared" si="11"/>
        <v>0</v>
      </c>
      <c r="AE117">
        <f t="shared" si="10"/>
        <v>0</v>
      </c>
      <c r="AF117">
        <f t="shared" si="10"/>
        <v>0</v>
      </c>
    </row>
    <row r="118" spans="6:32">
      <c r="F118" t="s">
        <v>646</v>
      </c>
      <c r="G118" t="s">
        <v>1081</v>
      </c>
      <c r="H118" t="s">
        <v>1082</v>
      </c>
      <c r="I118" t="s">
        <v>707</v>
      </c>
      <c r="J118" t="s">
        <v>1083</v>
      </c>
      <c r="K118" t="s">
        <v>1084</v>
      </c>
      <c r="L118" t="s">
        <v>1085</v>
      </c>
      <c r="M118" t="s">
        <v>1086</v>
      </c>
      <c r="N118" t="s">
        <v>1087</v>
      </c>
      <c r="O118" t="s">
        <v>1088</v>
      </c>
      <c r="P118" t="s">
        <v>1089</v>
      </c>
      <c r="Q118" t="s">
        <v>1090</v>
      </c>
      <c r="R118" t="s">
        <v>1091</v>
      </c>
      <c r="S118" t="s">
        <v>1092</v>
      </c>
      <c r="T118" t="s">
        <v>1093</v>
      </c>
      <c r="U118" t="s">
        <v>1094</v>
      </c>
      <c r="V118" t="s">
        <v>1095</v>
      </c>
      <c r="W118" t="s">
        <v>1096</v>
      </c>
      <c r="X118" t="s">
        <v>1097</v>
      </c>
      <c r="Y118" t="s">
        <v>1098</v>
      </c>
      <c r="Z118" t="s">
        <v>1099</v>
      </c>
      <c r="AA118" t="s">
        <v>1100</v>
      </c>
      <c r="AB118" t="s">
        <v>1101</v>
      </c>
      <c r="AC118" t="s">
        <v>1102</v>
      </c>
      <c r="AD118">
        <f t="shared" si="11"/>
        <v>0</v>
      </c>
      <c r="AE118">
        <f t="shared" si="10"/>
        <v>0</v>
      </c>
      <c r="AF118">
        <f t="shared" si="10"/>
        <v>0</v>
      </c>
    </row>
    <row r="119" spans="6:32">
      <c r="F119" t="s">
        <v>648</v>
      </c>
      <c r="G119" t="s">
        <v>739</v>
      </c>
      <c r="H119" t="s">
        <v>740</v>
      </c>
      <c r="I119" t="s">
        <v>708</v>
      </c>
      <c r="J119" t="s">
        <v>741</v>
      </c>
      <c r="K119" t="s">
        <v>742</v>
      </c>
      <c r="L119" t="s">
        <v>743</v>
      </c>
      <c r="M119" t="s">
        <v>744</v>
      </c>
      <c r="N119" t="s">
        <v>745</v>
      </c>
      <c r="O119" t="s">
        <v>746</v>
      </c>
      <c r="P119" t="s">
        <v>747</v>
      </c>
      <c r="Q119" t="s">
        <v>748</v>
      </c>
      <c r="R119" t="s">
        <v>749</v>
      </c>
      <c r="S119" t="s">
        <v>750</v>
      </c>
      <c r="T119" t="s">
        <v>751</v>
      </c>
      <c r="U119" t="s">
        <v>752</v>
      </c>
      <c r="V119" t="s">
        <v>753</v>
      </c>
      <c r="W119" t="s">
        <v>754</v>
      </c>
      <c r="X119" t="s">
        <v>755</v>
      </c>
      <c r="Y119" t="s">
        <v>756</v>
      </c>
      <c r="Z119" t="s">
        <v>757</v>
      </c>
      <c r="AA119" t="s">
        <v>758</v>
      </c>
      <c r="AB119" t="s">
        <v>759</v>
      </c>
      <c r="AC119" t="s">
        <v>760</v>
      </c>
      <c r="AD119">
        <f t="shared" si="11"/>
        <v>0</v>
      </c>
      <c r="AE119">
        <f t="shared" si="10"/>
        <v>0</v>
      </c>
      <c r="AF119">
        <f t="shared" si="10"/>
        <v>0</v>
      </c>
    </row>
    <row r="120" spans="6:32">
      <c r="F120" t="s">
        <v>290</v>
      </c>
      <c r="G120" t="s">
        <v>1103</v>
      </c>
      <c r="H120" t="s">
        <v>1104</v>
      </c>
      <c r="I120" t="s">
        <v>709</v>
      </c>
      <c r="J120" t="s">
        <v>1105</v>
      </c>
      <c r="K120" t="s">
        <v>1106</v>
      </c>
      <c r="L120" t="s">
        <v>1107</v>
      </c>
      <c r="M120" t="s">
        <v>1108</v>
      </c>
      <c r="N120" t="s">
        <v>1109</v>
      </c>
      <c r="O120" t="s">
        <v>1110</v>
      </c>
      <c r="P120" t="s">
        <v>1111</v>
      </c>
      <c r="Q120" t="s">
        <v>1112</v>
      </c>
      <c r="R120" t="s">
        <v>1113</v>
      </c>
      <c r="S120" t="s">
        <v>1114</v>
      </c>
      <c r="T120" t="s">
        <v>1115</v>
      </c>
      <c r="U120" t="s">
        <v>1116</v>
      </c>
      <c r="V120" t="s">
        <v>1117</v>
      </c>
      <c r="W120" t="s">
        <v>1118</v>
      </c>
      <c r="X120" t="s">
        <v>1119</v>
      </c>
      <c r="Y120" t="s">
        <v>1120</v>
      </c>
      <c r="Z120" t="s">
        <v>1121</v>
      </c>
      <c r="AA120" t="s">
        <v>1122</v>
      </c>
      <c r="AB120" t="s">
        <v>1123</v>
      </c>
      <c r="AC120" t="s">
        <v>1124</v>
      </c>
      <c r="AD120">
        <f t="shared" si="11"/>
        <v>0</v>
      </c>
      <c r="AE120">
        <f t="shared" si="10"/>
        <v>0</v>
      </c>
      <c r="AF120">
        <f t="shared" si="10"/>
        <v>0</v>
      </c>
    </row>
    <row r="121" spans="6:32">
      <c r="F121" t="s">
        <v>649</v>
      </c>
      <c r="G121" t="s">
        <v>1125</v>
      </c>
      <c r="H121" t="s">
        <v>1126</v>
      </c>
      <c r="I121" t="s">
        <v>710</v>
      </c>
      <c r="J121" t="s">
        <v>1127</v>
      </c>
      <c r="K121" t="s">
        <v>1128</v>
      </c>
      <c r="L121" t="s">
        <v>1129</v>
      </c>
      <c r="M121" t="s">
        <v>1130</v>
      </c>
      <c r="N121" t="s">
        <v>1131</v>
      </c>
      <c r="O121" t="s">
        <v>1132</v>
      </c>
      <c r="P121" t="s">
        <v>1133</v>
      </c>
      <c r="Q121" t="s">
        <v>1134</v>
      </c>
      <c r="R121" t="s">
        <v>1135</v>
      </c>
      <c r="S121" t="s">
        <v>1136</v>
      </c>
      <c r="T121" t="s">
        <v>1137</v>
      </c>
      <c r="U121" t="s">
        <v>1138</v>
      </c>
      <c r="V121" t="s">
        <v>1139</v>
      </c>
      <c r="W121" t="s">
        <v>1140</v>
      </c>
      <c r="X121" t="s">
        <v>1141</v>
      </c>
      <c r="Y121" t="s">
        <v>1142</v>
      </c>
      <c r="Z121" t="s">
        <v>1143</v>
      </c>
      <c r="AA121" t="s">
        <v>1144</v>
      </c>
      <c r="AB121" t="s">
        <v>1145</v>
      </c>
      <c r="AC121" t="s">
        <v>1146</v>
      </c>
      <c r="AD121">
        <f t="shared" si="11"/>
        <v>0</v>
      </c>
      <c r="AE121">
        <f t="shared" ref="AE121:AE124" si="12">Z33</f>
        <v>0</v>
      </c>
      <c r="AF121">
        <f t="shared" ref="AF121:AF124" si="13">AA33</f>
        <v>0</v>
      </c>
    </row>
    <row r="122" spans="6:32">
      <c r="F122" t="s">
        <v>651</v>
      </c>
      <c r="G122" t="s">
        <v>1147</v>
      </c>
      <c r="H122" t="s">
        <v>1148</v>
      </c>
      <c r="I122" t="s">
        <v>711</v>
      </c>
      <c r="J122" t="s">
        <v>1149</v>
      </c>
      <c r="K122" t="s">
        <v>1150</v>
      </c>
      <c r="L122" t="s">
        <v>1151</v>
      </c>
      <c r="M122" t="s">
        <v>1152</v>
      </c>
      <c r="N122" t="s">
        <v>1153</v>
      </c>
      <c r="O122" t="s">
        <v>1154</v>
      </c>
      <c r="P122" t="s">
        <v>1155</v>
      </c>
      <c r="Q122" t="s">
        <v>1156</v>
      </c>
      <c r="R122" t="s">
        <v>1157</v>
      </c>
      <c r="S122" t="s">
        <v>1158</v>
      </c>
      <c r="T122" t="s">
        <v>1159</v>
      </c>
      <c r="U122" t="s">
        <v>1160</v>
      </c>
      <c r="V122" t="s">
        <v>1161</v>
      </c>
      <c r="W122" t="s">
        <v>1162</v>
      </c>
      <c r="X122" t="s">
        <v>1163</v>
      </c>
      <c r="Y122" t="s">
        <v>1164</v>
      </c>
      <c r="Z122" t="s">
        <v>1165</v>
      </c>
      <c r="AA122" t="s">
        <v>1166</v>
      </c>
      <c r="AB122" t="s">
        <v>1167</v>
      </c>
      <c r="AC122" t="s">
        <v>1168</v>
      </c>
      <c r="AD122">
        <f t="shared" si="11"/>
        <v>0</v>
      </c>
      <c r="AE122">
        <f t="shared" si="12"/>
        <v>0</v>
      </c>
      <c r="AF122">
        <f t="shared" si="13"/>
        <v>0</v>
      </c>
    </row>
    <row r="123" spans="6:32">
      <c r="F123" t="s">
        <v>652</v>
      </c>
      <c r="G123" t="s">
        <v>1169</v>
      </c>
      <c r="H123" t="s">
        <v>1170</v>
      </c>
      <c r="I123" t="s">
        <v>712</v>
      </c>
      <c r="J123" t="s">
        <v>1171</v>
      </c>
      <c r="K123" t="s">
        <v>1172</v>
      </c>
      <c r="L123" t="s">
        <v>1173</v>
      </c>
      <c r="M123" t="s">
        <v>1174</v>
      </c>
      <c r="N123" t="s">
        <v>1175</v>
      </c>
      <c r="O123" t="s">
        <v>1176</v>
      </c>
      <c r="P123" t="s">
        <v>1177</v>
      </c>
      <c r="Q123" t="s">
        <v>1178</v>
      </c>
      <c r="R123" t="s">
        <v>1179</v>
      </c>
      <c r="S123" t="s">
        <v>1180</v>
      </c>
      <c r="T123" t="s">
        <v>1181</v>
      </c>
      <c r="U123" t="s">
        <v>1182</v>
      </c>
      <c r="V123" t="s">
        <v>1183</v>
      </c>
      <c r="W123" t="s">
        <v>1184</v>
      </c>
      <c r="X123" t="s">
        <v>1185</v>
      </c>
      <c r="Y123" t="s">
        <v>1186</v>
      </c>
      <c r="Z123" t="s">
        <v>1187</v>
      </c>
      <c r="AA123" t="s">
        <v>1188</v>
      </c>
      <c r="AB123" t="s">
        <v>1189</v>
      </c>
      <c r="AC123" t="s">
        <v>1190</v>
      </c>
      <c r="AD123">
        <f t="shared" si="11"/>
        <v>0</v>
      </c>
      <c r="AE123">
        <f t="shared" si="12"/>
        <v>0</v>
      </c>
      <c r="AF123">
        <f t="shared" si="13"/>
        <v>0</v>
      </c>
    </row>
    <row r="124" spans="6:32">
      <c r="F124" t="s">
        <v>653</v>
      </c>
      <c r="G124" t="s">
        <v>1191</v>
      </c>
      <c r="H124" t="s">
        <v>1192</v>
      </c>
      <c r="I124" t="s">
        <v>713</v>
      </c>
      <c r="J124" t="s">
        <v>1193</v>
      </c>
      <c r="K124" t="s">
        <v>1194</v>
      </c>
      <c r="L124" t="s">
        <v>1195</v>
      </c>
      <c r="M124" t="s">
        <v>1196</v>
      </c>
      <c r="N124" t="s">
        <v>1197</v>
      </c>
      <c r="O124" t="s">
        <v>1198</v>
      </c>
      <c r="P124" t="s">
        <v>1199</v>
      </c>
      <c r="Q124" t="s">
        <v>1200</v>
      </c>
      <c r="R124" t="s">
        <v>1201</v>
      </c>
      <c r="S124" t="s">
        <v>1202</v>
      </c>
      <c r="T124" t="s">
        <v>1203</v>
      </c>
      <c r="U124" t="s">
        <v>1204</v>
      </c>
      <c r="V124" t="s">
        <v>1205</v>
      </c>
      <c r="W124" t="s">
        <v>1206</v>
      </c>
      <c r="X124" t="s">
        <v>1207</v>
      </c>
      <c r="Y124" t="s">
        <v>1208</v>
      </c>
      <c r="Z124" t="s">
        <v>1209</v>
      </c>
      <c r="AA124" t="s">
        <v>1210</v>
      </c>
      <c r="AB124" t="s">
        <v>1211</v>
      </c>
      <c r="AC124" t="s">
        <v>1212</v>
      </c>
      <c r="AD124">
        <f t="shared" si="11"/>
        <v>0</v>
      </c>
      <c r="AE124">
        <f t="shared" si="12"/>
        <v>0</v>
      </c>
      <c r="AF124">
        <f t="shared" si="13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A22" sqref="A22:XFD25"/>
    </sheetView>
  </sheetViews>
  <sheetFormatPr defaultRowHeight="14.4"/>
  <sheetData>
    <row r="1" spans="1:24">
      <c r="A1" t="str">
        <f>capcom!A16</f>
        <v>dummy</v>
      </c>
      <c r="B1" t="str">
        <f>capcom!B16</f>
        <v>const1</v>
      </c>
      <c r="C1" t="str">
        <f>capcom!C16</f>
        <v>Retail1</v>
      </c>
      <c r="D1" t="str">
        <f>capcom!D16</f>
        <v>Serv1</v>
      </c>
      <c r="E1" t="str">
        <f>capcom!E16</f>
        <v>HC1</v>
      </c>
      <c r="F1" t="str">
        <f>capcom!F16</f>
        <v>Accom1</v>
      </c>
      <c r="G1" t="str">
        <f>capcom!G16</f>
        <v>Rest1</v>
      </c>
      <c r="H1" t="str">
        <f>capcom!H16</f>
        <v>ag2</v>
      </c>
      <c r="I1" t="str">
        <f>capcom!I16</f>
        <v>const2</v>
      </c>
      <c r="J1" t="str">
        <f>capcom!J16</f>
        <v>manuf2</v>
      </c>
      <c r="K1" t="str">
        <f>capcom!K16</f>
        <v>Retail2</v>
      </c>
      <c r="L1" t="str">
        <f>capcom!L16</f>
        <v>Serv2</v>
      </c>
      <c r="M1" t="str">
        <f>capcom!M16</f>
        <v>HC2</v>
      </c>
      <c r="N1" t="str">
        <f>capcom!N16</f>
        <v>Accom2</v>
      </c>
      <c r="O1" t="str">
        <f>capcom!O16</f>
        <v>Rest2</v>
      </c>
      <c r="P1" t="str">
        <f>capcom!P16</f>
        <v>ag3</v>
      </c>
      <c r="Q1" t="str">
        <f>capcom!Q16</f>
        <v>util</v>
      </c>
      <c r="R1" t="str">
        <f>capcom!R16</f>
        <v>const3</v>
      </c>
      <c r="S1" t="str">
        <f>capcom!S16</f>
        <v>Retail3</v>
      </c>
      <c r="T1" t="str">
        <f>capcom!T16</f>
        <v>Serv3</v>
      </c>
      <c r="U1" t="str">
        <f>capcom!U16</f>
        <v>HC3</v>
      </c>
      <c r="V1" t="str">
        <f>capcom!V16</f>
        <v>HS1</v>
      </c>
      <c r="W1" t="str">
        <f>capcom!W16</f>
        <v>HS2</v>
      </c>
      <c r="X1" t="str">
        <f>capcom!X16</f>
        <v>HS3</v>
      </c>
    </row>
    <row r="2" spans="1:24">
      <c r="A2" t="str">
        <f>capcom!A17</f>
        <v>const1</v>
      </c>
      <c r="B2">
        <f>capcom!B17</f>
        <v>0.04</v>
      </c>
      <c r="C2">
        <f>capcom!C17</f>
        <v>0.03</v>
      </c>
      <c r="D2">
        <f>capcom!D17</f>
        <v>0.08</v>
      </c>
      <c r="E2">
        <f>capcom!E17</f>
        <v>0.1</v>
      </c>
      <c r="F2">
        <f>capcom!F17</f>
        <v>0.1</v>
      </c>
      <c r="G2">
        <f>capcom!G17</f>
        <v>0.1</v>
      </c>
      <c r="H2">
        <f>capcom!H17</f>
        <v>7.0000000000000007E-2</v>
      </c>
      <c r="I2">
        <f>capcom!I17</f>
        <v>0.04</v>
      </c>
      <c r="J2">
        <f>capcom!J17</f>
        <v>0.08</v>
      </c>
      <c r="K2">
        <f>capcom!K17</f>
        <v>0.03</v>
      </c>
      <c r="L2">
        <f>capcom!L17</f>
        <v>0.08</v>
      </c>
      <c r="M2">
        <f>capcom!M17</f>
        <v>0</v>
      </c>
      <c r="N2">
        <f>capcom!N17</f>
        <v>0.1</v>
      </c>
      <c r="O2">
        <f>capcom!O17</f>
        <v>0.1</v>
      </c>
      <c r="P2">
        <f>capcom!P17</f>
        <v>7.0000000000000007E-2</v>
      </c>
      <c r="Q2">
        <f>capcom!Q17</f>
        <v>0.1</v>
      </c>
      <c r="R2">
        <f>capcom!R17</f>
        <v>0.04</v>
      </c>
      <c r="S2">
        <f>capcom!S17</f>
        <v>0.03</v>
      </c>
      <c r="T2">
        <f>capcom!T17</f>
        <v>0.08</v>
      </c>
      <c r="U2">
        <f>capcom!U17</f>
        <v>0</v>
      </c>
      <c r="V2">
        <f>capcom!V17</f>
        <v>0.08</v>
      </c>
      <c r="W2">
        <f>capcom!W17</f>
        <v>0.08</v>
      </c>
      <c r="X2">
        <f>capcom!X17</f>
        <v>0.08</v>
      </c>
    </row>
    <row r="3" spans="1:24">
      <c r="A3" t="str">
        <f>capcom!A18</f>
        <v>Retail1</v>
      </c>
      <c r="B3">
        <f>capcom!B18</f>
        <v>0</v>
      </c>
      <c r="C3">
        <f>capcom!C18</f>
        <v>0.05</v>
      </c>
      <c r="D3">
        <f>capcom!D18</f>
        <v>0.05</v>
      </c>
      <c r="E3">
        <f>capcom!E18</f>
        <v>0.05</v>
      </c>
      <c r="F3">
        <f>capcom!F18</f>
        <v>0</v>
      </c>
      <c r="G3">
        <f>capcom!G18</f>
        <v>0</v>
      </c>
      <c r="H3">
        <f>capcom!H18</f>
        <v>0</v>
      </c>
      <c r="I3">
        <f>capcom!I18</f>
        <v>0</v>
      </c>
      <c r="J3">
        <f>capcom!J18</f>
        <v>0</v>
      </c>
      <c r="K3">
        <f>capcom!K18</f>
        <v>0.05</v>
      </c>
      <c r="L3">
        <f>capcom!L18</f>
        <v>0.05</v>
      </c>
      <c r="M3">
        <f>capcom!M18</f>
        <v>0.05</v>
      </c>
      <c r="N3">
        <f>capcom!N18</f>
        <v>0</v>
      </c>
      <c r="O3">
        <f>capcom!O18</f>
        <v>0</v>
      </c>
      <c r="P3">
        <f>capcom!P18</f>
        <v>0</v>
      </c>
      <c r="Q3">
        <f>capcom!Q18</f>
        <v>0</v>
      </c>
      <c r="R3">
        <f>capcom!R18</f>
        <v>0</v>
      </c>
      <c r="S3">
        <f>capcom!S18</f>
        <v>0.05</v>
      </c>
      <c r="T3">
        <f>capcom!T18</f>
        <v>0.05</v>
      </c>
      <c r="U3">
        <f>capcom!U18</f>
        <v>0.05</v>
      </c>
      <c r="V3">
        <f>capcom!V18</f>
        <v>0</v>
      </c>
      <c r="W3">
        <f>capcom!W18</f>
        <v>0</v>
      </c>
      <c r="X3">
        <f>capcom!X18</f>
        <v>0</v>
      </c>
    </row>
    <row r="4" spans="1:24">
      <c r="A4" t="str">
        <f>capcom!A19</f>
        <v>Serv1</v>
      </c>
      <c r="B4">
        <f>capcom!B19</f>
        <v>0.05</v>
      </c>
      <c r="C4">
        <f>capcom!C19</f>
        <v>0.03</v>
      </c>
      <c r="D4">
        <f>capcom!D19</f>
        <v>0.04</v>
      </c>
      <c r="E4">
        <f>capcom!E19</f>
        <v>0.05</v>
      </c>
      <c r="F4">
        <f>capcom!F19</f>
        <v>0.1</v>
      </c>
      <c r="G4">
        <f>capcom!G19</f>
        <v>0.1</v>
      </c>
      <c r="H4">
        <f>capcom!H19</f>
        <v>0.03</v>
      </c>
      <c r="I4">
        <f>capcom!I19</f>
        <v>0.05</v>
      </c>
      <c r="J4">
        <f>capcom!J19</f>
        <v>0</v>
      </c>
      <c r="K4">
        <f>capcom!K19</f>
        <v>0.03</v>
      </c>
      <c r="L4">
        <f>capcom!L19</f>
        <v>0.04</v>
      </c>
      <c r="M4">
        <f>capcom!M19</f>
        <v>0.05</v>
      </c>
      <c r="N4">
        <f>capcom!N19</f>
        <v>0.1</v>
      </c>
      <c r="O4">
        <f>capcom!O19</f>
        <v>0.1</v>
      </c>
      <c r="P4">
        <f>capcom!P19</f>
        <v>0.03</v>
      </c>
      <c r="Q4">
        <f>capcom!Q19</f>
        <v>0.03</v>
      </c>
      <c r="R4">
        <f>capcom!R19</f>
        <v>0.05</v>
      </c>
      <c r="S4">
        <f>capcom!S19</f>
        <v>0.03</v>
      </c>
      <c r="T4">
        <f>capcom!T19</f>
        <v>0.04</v>
      </c>
      <c r="U4">
        <f>capcom!U19</f>
        <v>0.05</v>
      </c>
      <c r="V4">
        <f>capcom!V19</f>
        <v>0</v>
      </c>
      <c r="W4">
        <f>capcom!W19</f>
        <v>0</v>
      </c>
      <c r="X4">
        <f>capcom!X19</f>
        <v>0</v>
      </c>
    </row>
    <row r="5" spans="1:24">
      <c r="A5" t="str">
        <f>capcom!A20</f>
        <v>HC1</v>
      </c>
      <c r="B5">
        <f>capcom!B20</f>
        <v>0</v>
      </c>
      <c r="C5">
        <f>capcom!C20</f>
        <v>0.03</v>
      </c>
      <c r="D5">
        <f>capcom!D20</f>
        <v>0</v>
      </c>
      <c r="E5">
        <f>capcom!E20</f>
        <v>0.1</v>
      </c>
      <c r="F5">
        <f>capcom!F20</f>
        <v>0</v>
      </c>
      <c r="G5">
        <f>capcom!G20</f>
        <v>0</v>
      </c>
      <c r="H5">
        <f>capcom!H20</f>
        <v>0</v>
      </c>
      <c r="I5">
        <f>capcom!I20</f>
        <v>0</v>
      </c>
      <c r="J5">
        <f>capcom!J20</f>
        <v>0</v>
      </c>
      <c r="K5">
        <f>capcom!K20</f>
        <v>0.03</v>
      </c>
      <c r="L5">
        <f>capcom!L20</f>
        <v>0</v>
      </c>
      <c r="M5">
        <f>capcom!M20</f>
        <v>0.1</v>
      </c>
      <c r="N5">
        <f>capcom!N20</f>
        <v>0</v>
      </c>
      <c r="O5">
        <f>capcom!O20</f>
        <v>0</v>
      </c>
      <c r="P5">
        <f>capcom!P20</f>
        <v>0</v>
      </c>
      <c r="Q5">
        <f>capcom!Q20</f>
        <v>0</v>
      </c>
      <c r="R5">
        <f>capcom!R20</f>
        <v>0</v>
      </c>
      <c r="S5">
        <f>capcom!S20</f>
        <v>0.03</v>
      </c>
      <c r="T5">
        <f>capcom!T20</f>
        <v>0</v>
      </c>
      <c r="U5">
        <f>capcom!U20</f>
        <v>0.1</v>
      </c>
      <c r="V5">
        <f>capcom!V20</f>
        <v>0</v>
      </c>
      <c r="W5">
        <f>capcom!W20</f>
        <v>0</v>
      </c>
      <c r="X5">
        <f>capcom!X20</f>
        <v>0</v>
      </c>
    </row>
    <row r="6" spans="1:24">
      <c r="A6" t="str">
        <f>capcom!A21</f>
        <v>Accom1</v>
      </c>
      <c r="B6">
        <f>capcom!B21</f>
        <v>0.05</v>
      </c>
      <c r="C6">
        <f>capcom!C21</f>
        <v>0.03</v>
      </c>
      <c r="D6">
        <f>capcom!D21</f>
        <v>0</v>
      </c>
      <c r="E6">
        <f>capcom!E21</f>
        <v>0</v>
      </c>
      <c r="F6">
        <f>capcom!F21</f>
        <v>0</v>
      </c>
      <c r="G6">
        <f>capcom!G21</f>
        <v>0</v>
      </c>
      <c r="H6">
        <f>capcom!H21</f>
        <v>0</v>
      </c>
      <c r="I6">
        <f>capcom!I21</f>
        <v>0.05</v>
      </c>
      <c r="J6">
        <f>capcom!J21</f>
        <v>0</v>
      </c>
      <c r="K6">
        <f>capcom!K21</f>
        <v>0.03</v>
      </c>
      <c r="L6">
        <f>capcom!L21</f>
        <v>0</v>
      </c>
      <c r="M6">
        <f>capcom!M21</f>
        <v>0</v>
      </c>
      <c r="N6">
        <f>capcom!N21</f>
        <v>0</v>
      </c>
      <c r="O6">
        <f>capcom!O21</f>
        <v>0</v>
      </c>
      <c r="P6">
        <f>capcom!P21</f>
        <v>0</v>
      </c>
      <c r="Q6">
        <f>capcom!Q21</f>
        <v>0</v>
      </c>
      <c r="R6">
        <f>capcom!R21</f>
        <v>0.05</v>
      </c>
      <c r="S6">
        <f>capcom!S21</f>
        <v>0.03</v>
      </c>
      <c r="T6">
        <f>capcom!T21</f>
        <v>0</v>
      </c>
      <c r="U6">
        <f>capcom!U21</f>
        <v>0</v>
      </c>
      <c r="V6">
        <f>capcom!V21</f>
        <v>0</v>
      </c>
      <c r="W6">
        <f>capcom!W21</f>
        <v>0</v>
      </c>
      <c r="X6">
        <f>capcom!X21</f>
        <v>0</v>
      </c>
    </row>
    <row r="7" spans="1:24">
      <c r="A7" t="str">
        <f>capcom!A22</f>
        <v>Rest1</v>
      </c>
      <c r="B7">
        <f>capcom!B22</f>
        <v>0</v>
      </c>
      <c r="C7">
        <f>capcom!C22</f>
        <v>0.03</v>
      </c>
      <c r="D7">
        <f>capcom!D22</f>
        <v>0</v>
      </c>
      <c r="E7">
        <f>capcom!E22</f>
        <v>0</v>
      </c>
      <c r="F7">
        <f>capcom!F22</f>
        <v>0</v>
      </c>
      <c r="G7">
        <f>capcom!G22</f>
        <v>0</v>
      </c>
      <c r="H7">
        <f>capcom!H22</f>
        <v>0</v>
      </c>
      <c r="I7">
        <f>capcom!I22</f>
        <v>0</v>
      </c>
      <c r="J7">
        <f>capcom!J22</f>
        <v>0</v>
      </c>
      <c r="K7">
        <f>capcom!K22</f>
        <v>0.03</v>
      </c>
      <c r="L7">
        <f>capcom!L22</f>
        <v>0</v>
      </c>
      <c r="M7">
        <f>capcom!M22</f>
        <v>0</v>
      </c>
      <c r="N7">
        <f>capcom!N22</f>
        <v>0</v>
      </c>
      <c r="O7">
        <f>capcom!O22</f>
        <v>0</v>
      </c>
      <c r="P7">
        <f>capcom!P22</f>
        <v>0</v>
      </c>
      <c r="Q7">
        <f>capcom!Q22</f>
        <v>0</v>
      </c>
      <c r="R7">
        <f>capcom!R22</f>
        <v>0</v>
      </c>
      <c r="S7">
        <f>capcom!S22</f>
        <v>0.03</v>
      </c>
      <c r="T7">
        <f>capcom!T22</f>
        <v>0</v>
      </c>
      <c r="U7">
        <f>capcom!U22</f>
        <v>0</v>
      </c>
      <c r="V7">
        <f>capcom!V22</f>
        <v>0</v>
      </c>
      <c r="W7">
        <f>capcom!W22</f>
        <v>0</v>
      </c>
      <c r="X7">
        <f>capcom!X22</f>
        <v>0</v>
      </c>
    </row>
    <row r="8" spans="1:24">
      <c r="A8" t="str">
        <f>capcom!A23</f>
        <v>ag2</v>
      </c>
      <c r="B8">
        <f>capcom!B23</f>
        <v>0</v>
      </c>
      <c r="C8">
        <f>capcom!C23</f>
        <v>0.03</v>
      </c>
      <c r="D8">
        <f>capcom!D23</f>
        <v>0</v>
      </c>
      <c r="E8">
        <f>capcom!E23</f>
        <v>0</v>
      </c>
      <c r="F8">
        <f>capcom!F23</f>
        <v>0</v>
      </c>
      <c r="G8">
        <f>capcom!G23</f>
        <v>0</v>
      </c>
      <c r="H8">
        <f>capcom!H23</f>
        <v>0</v>
      </c>
      <c r="I8">
        <f>capcom!I23</f>
        <v>0</v>
      </c>
      <c r="J8">
        <f>capcom!J23</f>
        <v>0</v>
      </c>
      <c r="K8">
        <f>capcom!K23</f>
        <v>0.03</v>
      </c>
      <c r="L8">
        <f>capcom!L23</f>
        <v>0</v>
      </c>
      <c r="M8">
        <f>capcom!M23</f>
        <v>0</v>
      </c>
      <c r="N8">
        <f>capcom!N23</f>
        <v>0</v>
      </c>
      <c r="O8">
        <f>capcom!O23</f>
        <v>0</v>
      </c>
      <c r="P8">
        <f>capcom!P23</f>
        <v>0</v>
      </c>
      <c r="Q8">
        <f>capcom!Q23</f>
        <v>0</v>
      </c>
      <c r="R8">
        <f>capcom!R23</f>
        <v>0</v>
      </c>
      <c r="S8">
        <f>capcom!S23</f>
        <v>0.03</v>
      </c>
      <c r="T8">
        <f>capcom!T23</f>
        <v>0</v>
      </c>
      <c r="U8">
        <f>capcom!U23</f>
        <v>0</v>
      </c>
      <c r="V8">
        <f>capcom!V23</f>
        <v>0</v>
      </c>
      <c r="W8">
        <f>capcom!W23</f>
        <v>0</v>
      </c>
      <c r="X8">
        <f>capcom!X23</f>
        <v>0</v>
      </c>
    </row>
    <row r="9" spans="1:24">
      <c r="A9" t="str">
        <f>capcom!A24</f>
        <v>const2</v>
      </c>
      <c r="B9">
        <f>capcom!B24</f>
        <v>0.04</v>
      </c>
      <c r="C9">
        <f>capcom!C24</f>
        <v>0.08</v>
      </c>
      <c r="D9">
        <f>capcom!D24</f>
        <v>0.1</v>
      </c>
      <c r="E9">
        <f>capcom!E24</f>
        <v>0.1</v>
      </c>
      <c r="F9">
        <f>capcom!F24</f>
        <v>0.1</v>
      </c>
      <c r="G9">
        <f>capcom!G24</f>
        <v>0.1</v>
      </c>
      <c r="H9">
        <f>capcom!H24</f>
        <v>7.0000000000000007E-2</v>
      </c>
      <c r="I9">
        <f>capcom!I24</f>
        <v>0.04</v>
      </c>
      <c r="J9">
        <f>capcom!J24</f>
        <v>0.08</v>
      </c>
      <c r="K9">
        <f>capcom!K24</f>
        <v>0.08</v>
      </c>
      <c r="L9">
        <f>capcom!L24</f>
        <v>0.1</v>
      </c>
      <c r="M9">
        <f>capcom!M24</f>
        <v>0.1</v>
      </c>
      <c r="N9">
        <f>capcom!N24</f>
        <v>0.1</v>
      </c>
      <c r="O9">
        <f>capcom!O24</f>
        <v>0.1</v>
      </c>
      <c r="P9">
        <f>capcom!P24</f>
        <v>7.0000000000000007E-2</v>
      </c>
      <c r="Q9">
        <f>capcom!Q24</f>
        <v>0.1</v>
      </c>
      <c r="R9">
        <f>capcom!R24</f>
        <v>0.04</v>
      </c>
      <c r="S9">
        <f>capcom!S24</f>
        <v>0.08</v>
      </c>
      <c r="T9">
        <f>capcom!T24</f>
        <v>0.1</v>
      </c>
      <c r="U9">
        <f>capcom!U24</f>
        <v>0.1</v>
      </c>
      <c r="V9">
        <f>capcom!V24</f>
        <v>0.08</v>
      </c>
      <c r="W9">
        <f>capcom!W24</f>
        <v>0.08</v>
      </c>
      <c r="X9">
        <f>capcom!X24</f>
        <v>0.08</v>
      </c>
    </row>
    <row r="10" spans="1:24">
      <c r="A10" t="str">
        <f>capcom!A25</f>
        <v>manuf2</v>
      </c>
      <c r="B10">
        <f>capcom!B25</f>
        <v>0.49</v>
      </c>
      <c r="C10">
        <f>capcom!C25</f>
        <v>0.2</v>
      </c>
      <c r="D10">
        <f>capcom!D25</f>
        <v>0.45</v>
      </c>
      <c r="E10">
        <f>capcom!E25</f>
        <v>0.3</v>
      </c>
      <c r="F10">
        <f>capcom!F25</f>
        <v>0.4</v>
      </c>
      <c r="G10">
        <f>capcom!G25</f>
        <v>0.4</v>
      </c>
      <c r="H10">
        <f>capcom!H25</f>
        <v>0.61</v>
      </c>
      <c r="I10">
        <f>capcom!I25</f>
        <v>0.49</v>
      </c>
      <c r="J10">
        <f>capcom!J25</f>
        <v>0.67</v>
      </c>
      <c r="K10">
        <f>capcom!K25</f>
        <v>0.23</v>
      </c>
      <c r="L10">
        <f>capcom!L25</f>
        <v>0.45</v>
      </c>
      <c r="M10">
        <f>capcom!M25</f>
        <v>0.3</v>
      </c>
      <c r="N10">
        <f>capcom!N25</f>
        <v>0.4</v>
      </c>
      <c r="O10">
        <f>capcom!O25</f>
        <v>0.4</v>
      </c>
      <c r="P10">
        <f>capcom!P25</f>
        <v>0.61</v>
      </c>
      <c r="Q10">
        <f>capcom!Q25</f>
        <v>0.5</v>
      </c>
      <c r="R10">
        <f>capcom!R25</f>
        <v>0.49</v>
      </c>
      <c r="S10">
        <f>capcom!S25</f>
        <v>0.23</v>
      </c>
      <c r="T10">
        <f>capcom!T25</f>
        <v>0.45</v>
      </c>
      <c r="U10">
        <f>capcom!U25</f>
        <v>0.3</v>
      </c>
      <c r="V10">
        <f>capcom!V25</f>
        <v>0.8</v>
      </c>
      <c r="W10">
        <f>capcom!W25</f>
        <v>0.8</v>
      </c>
      <c r="X10">
        <f>capcom!X25</f>
        <v>0.8</v>
      </c>
    </row>
    <row r="11" spans="1:24">
      <c r="A11" t="str">
        <f>capcom!A26</f>
        <v>Retail2</v>
      </c>
      <c r="B11">
        <f>capcom!B26</f>
        <v>0</v>
      </c>
      <c r="C11">
        <f>capcom!C26</f>
        <v>0.03</v>
      </c>
      <c r="D11">
        <f>capcom!D26</f>
        <v>0.05</v>
      </c>
      <c r="E11">
        <f>capcom!E26</f>
        <v>0.05</v>
      </c>
      <c r="F11">
        <f>capcom!F26</f>
        <v>0</v>
      </c>
      <c r="G11">
        <f>capcom!G26</f>
        <v>0</v>
      </c>
      <c r="H11">
        <f>capcom!H26</f>
        <v>0</v>
      </c>
      <c r="I11">
        <f>capcom!I26</f>
        <v>0</v>
      </c>
      <c r="J11">
        <f>capcom!J26</f>
        <v>0</v>
      </c>
      <c r="K11">
        <f>capcom!K26</f>
        <v>0.03</v>
      </c>
      <c r="L11">
        <f>capcom!L26</f>
        <v>0.05</v>
      </c>
      <c r="M11">
        <f>capcom!M26</f>
        <v>0.05</v>
      </c>
      <c r="N11">
        <f>capcom!N26</f>
        <v>0</v>
      </c>
      <c r="O11">
        <f>capcom!O26</f>
        <v>0</v>
      </c>
      <c r="P11">
        <f>capcom!P26</f>
        <v>0</v>
      </c>
      <c r="Q11">
        <f>capcom!Q26</f>
        <v>0</v>
      </c>
      <c r="R11">
        <f>capcom!R26</f>
        <v>0</v>
      </c>
      <c r="S11">
        <f>capcom!S26</f>
        <v>0.03</v>
      </c>
      <c r="T11">
        <f>capcom!T26</f>
        <v>0.05</v>
      </c>
      <c r="U11">
        <f>capcom!U26</f>
        <v>0.05</v>
      </c>
      <c r="V11">
        <f>capcom!V26</f>
        <v>0</v>
      </c>
      <c r="W11">
        <f>capcom!W26</f>
        <v>0</v>
      </c>
      <c r="X11">
        <f>capcom!X26</f>
        <v>0</v>
      </c>
    </row>
    <row r="12" spans="1:24">
      <c r="A12" t="str">
        <f>capcom!A27</f>
        <v>Serv2</v>
      </c>
      <c r="B12">
        <f>capcom!B27</f>
        <v>0.05</v>
      </c>
      <c r="C12">
        <f>capcom!C27</f>
        <v>7.0000000000000007E-2</v>
      </c>
      <c r="D12">
        <f>capcom!D27</f>
        <v>0.1</v>
      </c>
      <c r="E12">
        <f>capcom!E27</f>
        <v>0.05</v>
      </c>
      <c r="F12">
        <f>capcom!F27</f>
        <v>0.05</v>
      </c>
      <c r="G12">
        <f>capcom!G27</f>
        <v>0.05</v>
      </c>
      <c r="H12">
        <f>capcom!H27</f>
        <v>0.03</v>
      </c>
      <c r="I12">
        <f>capcom!I27</f>
        <v>0.05</v>
      </c>
      <c r="J12">
        <f>capcom!J27</f>
        <v>0</v>
      </c>
      <c r="K12">
        <f>capcom!K27</f>
        <v>7.0000000000000007E-2</v>
      </c>
      <c r="L12">
        <f>capcom!L27</f>
        <v>0.1</v>
      </c>
      <c r="M12">
        <f>capcom!M27</f>
        <v>0.05</v>
      </c>
      <c r="N12">
        <f>capcom!N27</f>
        <v>0.05</v>
      </c>
      <c r="O12">
        <f>capcom!O27</f>
        <v>0.05</v>
      </c>
      <c r="P12">
        <f>capcom!P27</f>
        <v>0.03</v>
      </c>
      <c r="Q12">
        <f>capcom!Q27</f>
        <v>0.04</v>
      </c>
      <c r="R12">
        <f>capcom!R27</f>
        <v>0.05</v>
      </c>
      <c r="S12">
        <f>capcom!S27</f>
        <v>7.0000000000000007E-2</v>
      </c>
      <c r="T12">
        <f>capcom!T27</f>
        <v>0.1</v>
      </c>
      <c r="U12">
        <f>capcom!U27</f>
        <v>0.05</v>
      </c>
      <c r="V12">
        <f>capcom!V27</f>
        <v>0</v>
      </c>
      <c r="W12">
        <f>capcom!W27</f>
        <v>0</v>
      </c>
      <c r="X12">
        <f>capcom!X27</f>
        <v>0</v>
      </c>
    </row>
    <row r="13" spans="1:24">
      <c r="A13" t="str">
        <f>capcom!A28</f>
        <v>HC2</v>
      </c>
      <c r="B13">
        <f>capcom!B28</f>
        <v>0</v>
      </c>
      <c r="C13">
        <f>capcom!C28</f>
        <v>0.03</v>
      </c>
      <c r="D13">
        <f>capcom!D28</f>
        <v>0</v>
      </c>
      <c r="E13">
        <f>capcom!E28</f>
        <v>0</v>
      </c>
      <c r="F13">
        <f>capcom!F28</f>
        <v>0</v>
      </c>
      <c r="G13">
        <f>capcom!G28</f>
        <v>0</v>
      </c>
      <c r="H13">
        <f>capcom!H28</f>
        <v>0</v>
      </c>
      <c r="I13">
        <f>capcom!I28</f>
        <v>0</v>
      </c>
      <c r="J13">
        <f>capcom!J28</f>
        <v>0</v>
      </c>
      <c r="K13">
        <f>capcom!K28</f>
        <v>0.03</v>
      </c>
      <c r="L13">
        <f>capcom!L28</f>
        <v>0</v>
      </c>
      <c r="M13">
        <f>capcom!M28</f>
        <v>0.1</v>
      </c>
      <c r="N13">
        <f>capcom!N28</f>
        <v>0</v>
      </c>
      <c r="O13">
        <f>capcom!O28</f>
        <v>0</v>
      </c>
      <c r="P13">
        <f>capcom!P28</f>
        <v>0</v>
      </c>
      <c r="Q13">
        <f>capcom!Q28</f>
        <v>0</v>
      </c>
      <c r="R13">
        <f>capcom!R28</f>
        <v>0</v>
      </c>
      <c r="S13">
        <f>capcom!S28</f>
        <v>0.03</v>
      </c>
      <c r="T13">
        <f>capcom!T28</f>
        <v>0</v>
      </c>
      <c r="U13">
        <f>capcom!U28</f>
        <v>0</v>
      </c>
      <c r="V13">
        <f>capcom!V28</f>
        <v>0</v>
      </c>
      <c r="W13">
        <f>capcom!W28</f>
        <v>0</v>
      </c>
      <c r="X13">
        <f>capcom!X28</f>
        <v>0</v>
      </c>
    </row>
    <row r="14" spans="1:24">
      <c r="A14" t="str">
        <f>capcom!A29</f>
        <v>Accom2</v>
      </c>
      <c r="B14">
        <f>capcom!B29</f>
        <v>0.05</v>
      </c>
      <c r="C14">
        <f>capcom!C29</f>
        <v>0.03</v>
      </c>
      <c r="D14">
        <f>capcom!D29</f>
        <v>0</v>
      </c>
      <c r="E14">
        <f>capcom!E29</f>
        <v>0</v>
      </c>
      <c r="F14">
        <f>capcom!F29</f>
        <v>0</v>
      </c>
      <c r="G14">
        <f>capcom!G29</f>
        <v>0</v>
      </c>
      <c r="H14">
        <f>capcom!H29</f>
        <v>0</v>
      </c>
      <c r="I14">
        <f>capcom!I29</f>
        <v>0.05</v>
      </c>
      <c r="J14">
        <f>capcom!J29</f>
        <v>0</v>
      </c>
      <c r="K14">
        <f>capcom!K29</f>
        <v>0.03</v>
      </c>
      <c r="L14">
        <f>capcom!L29</f>
        <v>0</v>
      </c>
      <c r="M14">
        <f>capcom!M29</f>
        <v>0</v>
      </c>
      <c r="N14">
        <f>capcom!N29</f>
        <v>0</v>
      </c>
      <c r="O14">
        <f>capcom!O29</f>
        <v>0</v>
      </c>
      <c r="P14">
        <f>capcom!P29</f>
        <v>0</v>
      </c>
      <c r="Q14">
        <f>capcom!Q29</f>
        <v>0</v>
      </c>
      <c r="R14">
        <f>capcom!R29</f>
        <v>0.05</v>
      </c>
      <c r="S14">
        <f>capcom!S29</f>
        <v>0.03</v>
      </c>
      <c r="T14">
        <f>capcom!T29</f>
        <v>0</v>
      </c>
      <c r="U14">
        <f>capcom!U29</f>
        <v>0</v>
      </c>
      <c r="V14">
        <f>capcom!V29</f>
        <v>0</v>
      </c>
      <c r="W14">
        <f>capcom!W29</f>
        <v>0</v>
      </c>
      <c r="X14">
        <f>capcom!X29</f>
        <v>0</v>
      </c>
    </row>
    <row r="15" spans="1:24">
      <c r="A15" t="str">
        <f>capcom!A30</f>
        <v>Rest2</v>
      </c>
      <c r="B15">
        <f>capcom!B30</f>
        <v>0</v>
      </c>
      <c r="C15">
        <f>capcom!C30</f>
        <v>0.03</v>
      </c>
      <c r="D15">
        <f>capcom!D30</f>
        <v>0</v>
      </c>
      <c r="E15">
        <f>capcom!E30</f>
        <v>0</v>
      </c>
      <c r="F15">
        <f>capcom!F30</f>
        <v>0</v>
      </c>
      <c r="G15">
        <f>capcom!G30</f>
        <v>0</v>
      </c>
      <c r="H15">
        <f>capcom!H30</f>
        <v>0</v>
      </c>
      <c r="I15">
        <f>capcom!I30</f>
        <v>0</v>
      </c>
      <c r="J15">
        <f>capcom!J30</f>
        <v>0</v>
      </c>
      <c r="K15">
        <f>capcom!K30</f>
        <v>0.03</v>
      </c>
      <c r="L15">
        <f>capcom!L30</f>
        <v>0</v>
      </c>
      <c r="M15">
        <f>capcom!M30</f>
        <v>0</v>
      </c>
      <c r="N15">
        <f>capcom!N30</f>
        <v>0</v>
      </c>
      <c r="O15">
        <f>capcom!O30</f>
        <v>0</v>
      </c>
      <c r="P15">
        <f>capcom!P30</f>
        <v>0</v>
      </c>
      <c r="Q15">
        <f>capcom!Q30</f>
        <v>0</v>
      </c>
      <c r="R15">
        <f>capcom!R30</f>
        <v>0</v>
      </c>
      <c r="S15">
        <f>capcom!S30</f>
        <v>0.03</v>
      </c>
      <c r="T15">
        <f>capcom!T30</f>
        <v>0</v>
      </c>
      <c r="U15">
        <f>capcom!U30</f>
        <v>0</v>
      </c>
      <c r="V15">
        <f>capcom!V30</f>
        <v>0</v>
      </c>
      <c r="W15">
        <f>capcom!W30</f>
        <v>0</v>
      </c>
      <c r="X15">
        <f>capcom!X30</f>
        <v>0</v>
      </c>
    </row>
    <row r="16" spans="1:24">
      <c r="A16" t="str">
        <f>capcom!A31</f>
        <v>ag3</v>
      </c>
      <c r="B16">
        <f>capcom!B31</f>
        <v>0</v>
      </c>
      <c r="C16">
        <f>capcom!C31</f>
        <v>0.03</v>
      </c>
      <c r="D16">
        <f>capcom!D31</f>
        <v>0</v>
      </c>
      <c r="E16">
        <f>capcom!E31</f>
        <v>0</v>
      </c>
      <c r="F16">
        <f>capcom!F31</f>
        <v>0</v>
      </c>
      <c r="G16">
        <f>capcom!G31</f>
        <v>0</v>
      </c>
      <c r="H16">
        <f>capcom!H31</f>
        <v>0.1</v>
      </c>
      <c r="I16">
        <f>capcom!I31</f>
        <v>0</v>
      </c>
      <c r="J16">
        <f>capcom!J31</f>
        <v>0</v>
      </c>
      <c r="K16">
        <f>capcom!K31</f>
        <v>0.03</v>
      </c>
      <c r="L16">
        <f>capcom!L31</f>
        <v>0</v>
      </c>
      <c r="M16">
        <f>capcom!M31</f>
        <v>0</v>
      </c>
      <c r="N16">
        <f>capcom!N31</f>
        <v>0</v>
      </c>
      <c r="O16">
        <f>capcom!O31</f>
        <v>0</v>
      </c>
      <c r="P16">
        <f>capcom!P31</f>
        <v>0.1</v>
      </c>
      <c r="Q16">
        <f>capcom!Q31</f>
        <v>0</v>
      </c>
      <c r="R16">
        <f>capcom!R31</f>
        <v>0</v>
      </c>
      <c r="S16">
        <f>capcom!S31</f>
        <v>0.03</v>
      </c>
      <c r="T16">
        <f>capcom!T31</f>
        <v>0</v>
      </c>
      <c r="U16">
        <f>capcom!U31</f>
        <v>0</v>
      </c>
      <c r="V16">
        <f>capcom!V31</f>
        <v>0</v>
      </c>
      <c r="W16">
        <f>capcom!W31</f>
        <v>0</v>
      </c>
      <c r="X16">
        <f>capcom!X31</f>
        <v>0</v>
      </c>
    </row>
    <row r="17" spans="1:24">
      <c r="A17" t="str">
        <f>capcom!A32</f>
        <v>util</v>
      </c>
      <c r="B17">
        <f>capcom!B32</f>
        <v>0.15</v>
      </c>
      <c r="C17">
        <f>capcom!C32</f>
        <v>0.1</v>
      </c>
      <c r="D17">
        <f>capcom!D32</f>
        <v>0</v>
      </c>
      <c r="E17">
        <f>capcom!E32</f>
        <v>0.1</v>
      </c>
      <c r="F17">
        <f>capcom!F32</f>
        <v>0.15</v>
      </c>
      <c r="G17">
        <f>capcom!G32</f>
        <v>0.15</v>
      </c>
      <c r="H17">
        <f>capcom!H32</f>
        <v>0</v>
      </c>
      <c r="I17">
        <f>capcom!I32</f>
        <v>0.15</v>
      </c>
      <c r="J17">
        <f>capcom!J32</f>
        <v>0.09</v>
      </c>
      <c r="K17">
        <f>capcom!K32</f>
        <v>0.1</v>
      </c>
      <c r="L17">
        <f>capcom!L32</f>
        <v>0</v>
      </c>
      <c r="M17">
        <f>capcom!M32</f>
        <v>0.1</v>
      </c>
      <c r="N17">
        <f>capcom!N32</f>
        <v>0.15</v>
      </c>
      <c r="O17">
        <f>capcom!O32</f>
        <v>0.15</v>
      </c>
      <c r="P17">
        <f>capcom!P32</f>
        <v>0</v>
      </c>
      <c r="Q17">
        <f>capcom!Q32</f>
        <v>0.2</v>
      </c>
      <c r="R17">
        <f>capcom!R32</f>
        <v>0.15</v>
      </c>
      <c r="S17">
        <f>capcom!S32</f>
        <v>0.1</v>
      </c>
      <c r="T17">
        <f>capcom!T32</f>
        <v>0</v>
      </c>
      <c r="U17">
        <f>capcom!U32</f>
        <v>0.1</v>
      </c>
      <c r="V17">
        <f>capcom!V32</f>
        <v>0</v>
      </c>
      <c r="W17">
        <f>capcom!W32</f>
        <v>0</v>
      </c>
      <c r="X17">
        <f>capcom!X32</f>
        <v>0</v>
      </c>
    </row>
    <row r="18" spans="1:24">
      <c r="A18" t="str">
        <f>capcom!A33</f>
        <v>const3</v>
      </c>
      <c r="B18">
        <f>capcom!B33</f>
        <v>0.08</v>
      </c>
      <c r="C18">
        <f>capcom!C33</f>
        <v>0.08</v>
      </c>
      <c r="D18">
        <f>capcom!D33</f>
        <v>0.08</v>
      </c>
      <c r="E18">
        <f>capcom!E33</f>
        <v>0.1</v>
      </c>
      <c r="F18">
        <f>capcom!F33</f>
        <v>0</v>
      </c>
      <c r="G18">
        <f>capcom!G33</f>
        <v>0</v>
      </c>
      <c r="H18">
        <f>capcom!H33</f>
        <v>7.0000000000000007E-2</v>
      </c>
      <c r="I18">
        <f>capcom!I33</f>
        <v>0.08</v>
      </c>
      <c r="J18">
        <f>capcom!J33</f>
        <v>0.08</v>
      </c>
      <c r="K18">
        <f>capcom!K33</f>
        <v>0.08</v>
      </c>
      <c r="L18">
        <f>capcom!L33</f>
        <v>0.08</v>
      </c>
      <c r="M18">
        <f>capcom!M33</f>
        <v>0.1</v>
      </c>
      <c r="N18">
        <f>capcom!N33</f>
        <v>0</v>
      </c>
      <c r="O18">
        <f>capcom!O33</f>
        <v>0</v>
      </c>
      <c r="P18">
        <f>capcom!P33</f>
        <v>7.0000000000000007E-2</v>
      </c>
      <c r="Q18">
        <f>capcom!Q33</f>
        <v>0</v>
      </c>
      <c r="R18">
        <f>capcom!R33</f>
        <v>0.08</v>
      </c>
      <c r="S18">
        <f>capcom!S33</f>
        <v>0.08</v>
      </c>
      <c r="T18">
        <f>capcom!T33</f>
        <v>0.08</v>
      </c>
      <c r="U18">
        <f>capcom!U33</f>
        <v>0.1</v>
      </c>
      <c r="V18">
        <f>capcom!V33</f>
        <v>0.04</v>
      </c>
      <c r="W18">
        <f>capcom!W33</f>
        <v>0.04</v>
      </c>
      <c r="X18">
        <f>capcom!X33</f>
        <v>0.04</v>
      </c>
    </row>
    <row r="19" spans="1:24">
      <c r="A19" t="str">
        <f>capcom!A34</f>
        <v>Retail3</v>
      </c>
      <c r="B19">
        <f>capcom!B34</f>
        <v>0</v>
      </c>
      <c r="C19">
        <f>capcom!C34</f>
        <v>0</v>
      </c>
      <c r="D19">
        <f>capcom!D34</f>
        <v>0</v>
      </c>
      <c r="E19">
        <f>capcom!E34</f>
        <v>0</v>
      </c>
      <c r="F19">
        <f>capcom!F34</f>
        <v>0</v>
      </c>
      <c r="G19">
        <f>capcom!G34</f>
        <v>0</v>
      </c>
      <c r="H19">
        <f>capcom!H34</f>
        <v>0</v>
      </c>
      <c r="I19">
        <f>capcom!I34</f>
        <v>0</v>
      </c>
      <c r="J19">
        <f>capcom!J34</f>
        <v>0</v>
      </c>
      <c r="K19">
        <f>capcom!K34</f>
        <v>0</v>
      </c>
      <c r="L19">
        <f>capcom!L34</f>
        <v>0</v>
      </c>
      <c r="M19">
        <f>capcom!M34</f>
        <v>0</v>
      </c>
      <c r="N19">
        <f>capcom!N34</f>
        <v>0</v>
      </c>
      <c r="O19">
        <f>capcom!O34</f>
        <v>0</v>
      </c>
      <c r="P19">
        <f>capcom!P34</f>
        <v>0</v>
      </c>
      <c r="Q19">
        <f>capcom!Q34</f>
        <v>0</v>
      </c>
      <c r="R19">
        <f>capcom!R34</f>
        <v>0</v>
      </c>
      <c r="S19">
        <f>capcom!S34</f>
        <v>0</v>
      </c>
      <c r="T19">
        <f>capcom!T34</f>
        <v>0</v>
      </c>
      <c r="U19">
        <f>capcom!U34</f>
        <v>0</v>
      </c>
      <c r="V19">
        <f>capcom!V34</f>
        <v>0</v>
      </c>
      <c r="W19">
        <f>capcom!W34</f>
        <v>0</v>
      </c>
      <c r="X19">
        <f>capcom!X34</f>
        <v>0</v>
      </c>
    </row>
    <row r="20" spans="1:24">
      <c r="A20" t="str">
        <f>capcom!A35</f>
        <v>Serv3</v>
      </c>
      <c r="B20">
        <f>capcom!B35</f>
        <v>0</v>
      </c>
      <c r="C20">
        <f>capcom!C35</f>
        <v>0.06</v>
      </c>
      <c r="D20">
        <f>capcom!D35</f>
        <v>0.05</v>
      </c>
      <c r="E20">
        <f>capcom!E35</f>
        <v>0</v>
      </c>
      <c r="F20">
        <f>capcom!F35</f>
        <v>0.1</v>
      </c>
      <c r="G20">
        <f>capcom!G35</f>
        <v>0.1</v>
      </c>
      <c r="H20">
        <f>capcom!H35</f>
        <v>0.02</v>
      </c>
      <c r="I20">
        <f>capcom!I35</f>
        <v>0</v>
      </c>
      <c r="J20">
        <f>capcom!J35</f>
        <v>0</v>
      </c>
      <c r="K20">
        <f>capcom!K35</f>
        <v>0.03</v>
      </c>
      <c r="L20">
        <f>capcom!L35</f>
        <v>0.05</v>
      </c>
      <c r="M20">
        <f>capcom!M35</f>
        <v>0</v>
      </c>
      <c r="N20">
        <f>capcom!N35</f>
        <v>0.1</v>
      </c>
      <c r="O20">
        <f>capcom!O35</f>
        <v>0.1</v>
      </c>
      <c r="P20">
        <f>capcom!P35</f>
        <v>0.02</v>
      </c>
      <c r="Q20">
        <f>capcom!Q35</f>
        <v>0.03</v>
      </c>
      <c r="R20">
        <f>capcom!R35</f>
        <v>0</v>
      </c>
      <c r="S20">
        <f>capcom!S35</f>
        <v>0.03</v>
      </c>
      <c r="T20">
        <f>capcom!T35</f>
        <v>0.05</v>
      </c>
      <c r="U20">
        <f>capcom!U35</f>
        <v>0</v>
      </c>
      <c r="V20">
        <f>capcom!V35</f>
        <v>0</v>
      </c>
      <c r="W20">
        <f>capcom!W35</f>
        <v>0</v>
      </c>
      <c r="X20">
        <f>capcom!X35</f>
        <v>0</v>
      </c>
    </row>
    <row r="21" spans="1:24">
      <c r="A21" t="str">
        <f>capcom!A36</f>
        <v>HC3</v>
      </c>
      <c r="B21">
        <f>capcom!B36</f>
        <v>0</v>
      </c>
      <c r="C21">
        <f>capcom!C36</f>
        <v>0.03</v>
      </c>
      <c r="D21">
        <f>capcom!D36</f>
        <v>0</v>
      </c>
      <c r="E21">
        <f>capcom!E36</f>
        <v>0</v>
      </c>
      <c r="F21">
        <f>capcom!F36</f>
        <v>0</v>
      </c>
      <c r="G21">
        <f>capcom!G36</f>
        <v>0</v>
      </c>
      <c r="H21">
        <f>capcom!H36</f>
        <v>0</v>
      </c>
      <c r="I21">
        <f>capcom!I36</f>
        <v>0</v>
      </c>
      <c r="J21">
        <f>capcom!J36</f>
        <v>0</v>
      </c>
      <c r="K21">
        <f>capcom!K36</f>
        <v>0.03</v>
      </c>
      <c r="L21">
        <f>capcom!L36</f>
        <v>0</v>
      </c>
      <c r="M21">
        <f>capcom!M36</f>
        <v>0</v>
      </c>
      <c r="N21">
        <f>capcom!N36</f>
        <v>0</v>
      </c>
      <c r="O21">
        <f>capcom!O36</f>
        <v>0</v>
      </c>
      <c r="P21">
        <f>capcom!P36</f>
        <v>0</v>
      </c>
      <c r="Q21">
        <f>capcom!Q36</f>
        <v>0</v>
      </c>
      <c r="R21">
        <f>capcom!R36</f>
        <v>0</v>
      </c>
      <c r="S21">
        <f>capcom!S36</f>
        <v>0.03</v>
      </c>
      <c r="T21">
        <f>capcom!T36</f>
        <v>0</v>
      </c>
      <c r="U21">
        <f>capcom!U36</f>
        <v>0.1</v>
      </c>
      <c r="V21">
        <f>capcom!V36</f>
        <v>0</v>
      </c>
      <c r="W21">
        <f>capcom!W36</f>
        <v>0</v>
      </c>
      <c r="X21">
        <f>capcom!X36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A16" workbookViewId="0">
      <selection activeCell="O13" sqref="O13"/>
    </sheetView>
  </sheetViews>
  <sheetFormatPr defaultRowHeight="14.4"/>
  <sheetData>
    <row r="1" spans="1:25"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25">
      <c r="A2" t="s">
        <v>676</v>
      </c>
      <c r="B2">
        <v>0.17780934388732392</v>
      </c>
      <c r="C2">
        <v>0.87732948980281689</v>
      </c>
      <c r="D2">
        <v>2.4647289281830989</v>
      </c>
      <c r="E2">
        <v>1.0202504925633804</v>
      </c>
      <c r="F2">
        <v>1.5374410732394364</v>
      </c>
      <c r="N2">
        <f>'job core'!AS24</f>
        <v>0</v>
      </c>
      <c r="O2" t="str">
        <f>'job core'!AT24</f>
        <v>HH</v>
      </c>
      <c r="P2" t="str">
        <f>'job core'!AU24</f>
        <v>HHW</v>
      </c>
      <c r="Q2" t="str">
        <f>'job core'!AV24</f>
        <v>HN</v>
      </c>
    </row>
    <row r="3" spans="1:25">
      <c r="A3" t="s">
        <v>677</v>
      </c>
      <c r="B3">
        <v>0.52323748240029655</v>
      </c>
      <c r="C3">
        <v>0.58606774326409661</v>
      </c>
      <c r="D3">
        <v>2.9794742589394057</v>
      </c>
      <c r="E3">
        <v>1.2121026026642372</v>
      </c>
      <c r="F3">
        <v>3.1842977570759108</v>
      </c>
      <c r="N3" t="str">
        <f>'job core'!AS25</f>
        <v>HH1</v>
      </c>
      <c r="O3">
        <f>'job core'!AT25</f>
        <v>473</v>
      </c>
      <c r="P3">
        <f>'job core'!AU25</f>
        <v>84</v>
      </c>
      <c r="Q3">
        <f>'job core'!AV25</f>
        <v>389</v>
      </c>
    </row>
    <row r="4" spans="1:25">
      <c r="A4" t="s">
        <v>678</v>
      </c>
      <c r="B4">
        <v>2.8704223420752437</v>
      </c>
      <c r="C4">
        <v>3.9873466562601223</v>
      </c>
      <c r="D4">
        <v>19.965529197645679</v>
      </c>
      <c r="E4">
        <v>9.2473324956569893</v>
      </c>
      <c r="F4">
        <v>36.658938836444797</v>
      </c>
      <c r="J4" s="12" t="s">
        <v>688</v>
      </c>
      <c r="K4" s="12" t="s">
        <v>689</v>
      </c>
      <c r="N4" t="str">
        <f>'job core'!AS26</f>
        <v>HH2</v>
      </c>
      <c r="O4">
        <f>'job core'!AT26</f>
        <v>850</v>
      </c>
      <c r="P4">
        <f>'job core'!AU26</f>
        <v>421</v>
      </c>
      <c r="Q4">
        <f>'job core'!AV26</f>
        <v>429</v>
      </c>
    </row>
    <row r="5" spans="1:25">
      <c r="A5" t="s">
        <v>679</v>
      </c>
      <c r="B5">
        <v>3.8237137007793773</v>
      </c>
      <c r="C5">
        <v>4.7309530841129508</v>
      </c>
      <c r="D5">
        <v>26.908449848035776</v>
      </c>
      <c r="E5">
        <v>12.758210341614092</v>
      </c>
      <c r="F5">
        <v>45.972502506829166</v>
      </c>
      <c r="N5" t="str">
        <f>'job core'!AS27</f>
        <v>HH3</v>
      </c>
      <c r="O5">
        <f>'job core'!AT27</f>
        <v>1328</v>
      </c>
      <c r="P5">
        <f>'job core'!AU27</f>
        <v>838</v>
      </c>
      <c r="Q5">
        <f>'job core'!AV27</f>
        <v>489</v>
      </c>
    </row>
    <row r="6" spans="1:25">
      <c r="A6" t="s">
        <v>680</v>
      </c>
      <c r="B6">
        <v>7.2530488303784928</v>
      </c>
      <c r="C6">
        <v>7.5714908490160475</v>
      </c>
      <c r="D6">
        <v>44.267560092328239</v>
      </c>
      <c r="E6">
        <v>21.309648775270968</v>
      </c>
      <c r="F6">
        <v>65.92403165273862</v>
      </c>
      <c r="I6" s="12" t="s">
        <v>304</v>
      </c>
      <c r="J6">
        <v>4.3541400241694959</v>
      </c>
      <c r="K6">
        <v>8.3666319410831704</v>
      </c>
      <c r="N6" t="str">
        <f>'job core'!AS28</f>
        <v>HH4</v>
      </c>
      <c r="O6">
        <f>'job core'!AT28</f>
        <v>466</v>
      </c>
      <c r="P6">
        <f>'job core'!AU28</f>
        <v>357</v>
      </c>
      <c r="Q6">
        <f>'job core'!AV28</f>
        <v>108</v>
      </c>
    </row>
    <row r="7" spans="1:25">
      <c r="A7" t="s">
        <v>681</v>
      </c>
      <c r="B7">
        <v>0</v>
      </c>
      <c r="C7">
        <v>0</v>
      </c>
      <c r="D7">
        <v>0</v>
      </c>
      <c r="E7">
        <v>0</v>
      </c>
      <c r="F7">
        <v>0</v>
      </c>
      <c r="N7" t="str">
        <f>'job core'!AS29</f>
        <v>HH5</v>
      </c>
      <c r="O7">
        <f>'job core'!AT29</f>
        <v>714</v>
      </c>
      <c r="P7">
        <f>'job core'!AU29</f>
        <v>607</v>
      </c>
      <c r="Q7">
        <f>'job core'!AV29</f>
        <v>107</v>
      </c>
    </row>
    <row r="8" spans="1:25">
      <c r="A8" t="s">
        <v>682</v>
      </c>
      <c r="B8">
        <v>4.7176737140402523</v>
      </c>
      <c r="C8">
        <v>6.7267364974684307</v>
      </c>
      <c r="D8">
        <v>37.930024232986732</v>
      </c>
      <c r="E8">
        <v>17.910069559118813</v>
      </c>
      <c r="F8">
        <v>54.778776373359364</v>
      </c>
      <c r="I8" t="s">
        <v>690</v>
      </c>
      <c r="N8">
        <f>'job core'!AS30</f>
        <v>0</v>
      </c>
      <c r="O8">
        <f>'job core'!AT30</f>
        <v>3831</v>
      </c>
      <c r="P8">
        <f>'job core'!AU30</f>
        <v>2307</v>
      </c>
      <c r="Q8">
        <f>'job core'!AV30</f>
        <v>1522</v>
      </c>
    </row>
    <row r="9" spans="1:25">
      <c r="A9" t="s">
        <v>683</v>
      </c>
      <c r="B9">
        <v>2.2044048814636579</v>
      </c>
      <c r="C9">
        <v>2.3826159037166388</v>
      </c>
      <c r="D9">
        <v>17.074079636651017</v>
      </c>
      <c r="E9">
        <v>9.5908598984494695</v>
      </c>
      <c r="F9">
        <v>32.50037941210249</v>
      </c>
      <c r="J9" t="s">
        <v>666</v>
      </c>
      <c r="K9" t="s">
        <v>691</v>
      </c>
    </row>
    <row r="10" spans="1:25">
      <c r="A10" t="s">
        <v>684</v>
      </c>
      <c r="B10">
        <v>1.3891714318339696</v>
      </c>
      <c r="C10">
        <v>1.7156691662217773</v>
      </c>
      <c r="D10">
        <v>10.564073527648814</v>
      </c>
      <c r="E10">
        <v>5.2611467530069005</v>
      </c>
      <c r="F10">
        <v>19.52889046940626</v>
      </c>
      <c r="I10" t="s">
        <v>1</v>
      </c>
      <c r="J10">
        <v>274</v>
      </c>
      <c r="K10">
        <v>46</v>
      </c>
      <c r="O10">
        <f>O3</f>
        <v>473</v>
      </c>
      <c r="P10">
        <f>O4</f>
        <v>850</v>
      </c>
      <c r="Q10">
        <f>O5</f>
        <v>1328</v>
      </c>
      <c r="R10">
        <f>O6</f>
        <v>466</v>
      </c>
      <c r="S10">
        <f>O7</f>
        <v>714</v>
      </c>
    </row>
    <row r="11" spans="1:25">
      <c r="A11" t="s">
        <v>685</v>
      </c>
      <c r="B11">
        <v>1.8162596512914801E-3</v>
      </c>
      <c r="C11">
        <v>2.3260581337502047E-3</v>
      </c>
      <c r="D11">
        <v>1.4007020726675283E-2</v>
      </c>
      <c r="E11">
        <v>7.1858153329602209E-3</v>
      </c>
      <c r="F11">
        <v>2.4182553714258113E-2</v>
      </c>
      <c r="I11" t="s">
        <v>2</v>
      </c>
      <c r="J11">
        <v>1164</v>
      </c>
      <c r="K11">
        <v>448</v>
      </c>
      <c r="O11" s="12" t="s">
        <v>1</v>
      </c>
      <c r="P11" s="12" t="s">
        <v>2</v>
      </c>
      <c r="Q11" s="12" t="s">
        <v>3</v>
      </c>
      <c r="R11" s="12" t="s">
        <v>4</v>
      </c>
      <c r="S11" s="12" t="s">
        <v>5</v>
      </c>
      <c r="U11" s="12" t="s">
        <v>1</v>
      </c>
      <c r="V11" s="12" t="s">
        <v>2</v>
      </c>
      <c r="W11" s="12" t="s">
        <v>3</v>
      </c>
      <c r="X11" s="12" t="s">
        <v>4</v>
      </c>
      <c r="Y11" s="12" t="s">
        <v>5</v>
      </c>
    </row>
    <row r="12" spans="1:25">
      <c r="A12" t="s">
        <v>686</v>
      </c>
      <c r="B12">
        <v>1.424122548843266E-2</v>
      </c>
      <c r="C12">
        <v>1.6857742765474901E-2</v>
      </c>
      <c r="D12">
        <v>0.10174168514161429</v>
      </c>
      <c r="E12">
        <v>5.0810396405948942E-2</v>
      </c>
      <c r="F12">
        <v>0.16356981242077448</v>
      </c>
      <c r="I12" t="s">
        <v>3</v>
      </c>
      <c r="J12">
        <v>2593</v>
      </c>
      <c r="K12">
        <v>1847</v>
      </c>
      <c r="N12" t="s">
        <v>621</v>
      </c>
    </row>
    <row r="13" spans="1:25">
      <c r="A13" t="s">
        <v>687</v>
      </c>
      <c r="B13">
        <v>1.6208595078286068</v>
      </c>
      <c r="C13">
        <v>2.1831049768513107</v>
      </c>
      <c r="D13">
        <v>11.642676650089182</v>
      </c>
      <c r="E13">
        <v>5.5732551709468083</v>
      </c>
      <c r="F13">
        <v>20.721454787991341</v>
      </c>
      <c r="I13" t="s">
        <v>4</v>
      </c>
      <c r="J13">
        <v>959</v>
      </c>
      <c r="K13">
        <v>851</v>
      </c>
      <c r="N13" t="s">
        <v>623</v>
      </c>
      <c r="O13">
        <f>0.25*H22*O10</f>
        <v>0.30969657112262555</v>
      </c>
      <c r="P13">
        <f t="shared" ref="P13:S13" si="0">0.25*I22*P10</f>
        <v>0.72793055365573534</v>
      </c>
      <c r="Q13">
        <f t="shared" si="0"/>
        <v>2.5563269161659719</v>
      </c>
      <c r="R13">
        <f t="shared" si="0"/>
        <v>1.1233725085964954</v>
      </c>
      <c r="S13">
        <f t="shared" si="0"/>
        <v>5.425887713354391</v>
      </c>
    </row>
    <row r="14" spans="1:25">
      <c r="I14" t="s">
        <v>5</v>
      </c>
      <c r="J14">
        <v>1206</v>
      </c>
      <c r="K14">
        <v>1080</v>
      </c>
      <c r="N14" t="s">
        <v>624</v>
      </c>
      <c r="O14">
        <f>0.25*H23*O10</f>
        <v>0.41254940247916183</v>
      </c>
      <c r="P14">
        <f t="shared" ref="P14:S14" si="1">0.25*I23*P10</f>
        <v>0.86368344533848973</v>
      </c>
      <c r="Q14">
        <f t="shared" si="1"/>
        <v>3.4452778054561808</v>
      </c>
      <c r="R14">
        <f t="shared" si="1"/>
        <v>1.5498764387883646</v>
      </c>
      <c r="S14">
        <f t="shared" si="1"/>
        <v>6.804387808846605</v>
      </c>
    </row>
    <row r="15" spans="1:25">
      <c r="B15">
        <f>SUM(B2:B14)</f>
        <v>24.596398719826947</v>
      </c>
      <c r="C15">
        <f>SUM(C2:C14)</f>
        <v>30.780498167613416</v>
      </c>
      <c r="D15">
        <f>SUM(D2:D14)</f>
        <v>173.91234507837623</v>
      </c>
      <c r="E15">
        <f>SUM(E2:E14)</f>
        <v>83.940872301030566</v>
      </c>
      <c r="F15">
        <f>SUM(F2:F14)</f>
        <v>280.99446523532231</v>
      </c>
      <c r="N15" t="s">
        <v>625</v>
      </c>
      <c r="O15">
        <f>0.25*H26*O10</f>
        <v>0.50900083639166038</v>
      </c>
      <c r="P15">
        <f t="shared" ref="P15:S15" si="2">0.25*I26*P10</f>
        <v>1.2280339396151561</v>
      </c>
      <c r="Q15">
        <f t="shared" si="2"/>
        <v>4.856447375762281</v>
      </c>
      <c r="R15">
        <f t="shared" si="2"/>
        <v>2.1757279495696995</v>
      </c>
      <c r="S15">
        <f t="shared" si="2"/>
        <v>8.107803965708662</v>
      </c>
    </row>
    <row r="16" spans="1:25">
      <c r="A16" s="12" t="s">
        <v>666</v>
      </c>
      <c r="B16">
        <v>274</v>
      </c>
      <c r="C16">
        <v>1164</v>
      </c>
      <c r="D16">
        <v>2593</v>
      </c>
      <c r="E16">
        <v>959</v>
      </c>
      <c r="F16">
        <v>1206</v>
      </c>
      <c r="N16" t="s">
        <v>626</v>
      </c>
      <c r="O16">
        <f>0.25*0.2*H27*O10</f>
        <v>4.7567678327203933E-2</v>
      </c>
      <c r="P16">
        <f t="shared" ref="P16:S16" si="3">0.25*0.2*I27*P10</f>
        <v>8.6994137377970057E-2</v>
      </c>
      <c r="Q16">
        <f t="shared" si="3"/>
        <v>0.4372228645868213</v>
      </c>
      <c r="R16">
        <f t="shared" si="3"/>
        <v>0.23302089221467431</v>
      </c>
      <c r="S16">
        <f t="shared" si="3"/>
        <v>0.96207590797019815</v>
      </c>
    </row>
    <row r="17" spans="1:19">
      <c r="N17" t="s">
        <v>627</v>
      </c>
      <c r="O17">
        <f>0.25*0.8*H27*O10</f>
        <v>0.19027071330881573</v>
      </c>
      <c r="P17">
        <f t="shared" ref="P17:S17" si="4">0.25*0.8*I27*P10</f>
        <v>0.34797654951188023</v>
      </c>
      <c r="Q17">
        <f t="shared" si="4"/>
        <v>1.7488914583472852</v>
      </c>
      <c r="R17">
        <f t="shared" si="4"/>
        <v>0.93208356885869725</v>
      </c>
      <c r="S17">
        <f t="shared" si="4"/>
        <v>3.8483036318807926</v>
      </c>
    </row>
    <row r="18" spans="1:19">
      <c r="B18">
        <f>B15/B16</f>
        <v>8.9767878539514401E-2</v>
      </c>
      <c r="C18">
        <f t="shared" ref="C18:F18" si="5">C15/C16</f>
        <v>2.6443726948121492E-2</v>
      </c>
      <c r="D18">
        <f t="shared" si="5"/>
        <v>6.7069936397368385E-2</v>
      </c>
      <c r="E18">
        <f t="shared" si="5"/>
        <v>8.7529585298259188E-2</v>
      </c>
      <c r="F18">
        <f t="shared" si="5"/>
        <v>0.23299706901768019</v>
      </c>
      <c r="N18" t="s">
        <v>639</v>
      </c>
      <c r="O18">
        <f>0.03*O13</f>
        <v>9.2908971336787671E-3</v>
      </c>
      <c r="P18">
        <f t="shared" ref="P18:S18" si="6">0.03*P13</f>
        <v>2.1837916609672058E-2</v>
      </c>
      <c r="Q18">
        <f t="shared" si="6"/>
        <v>7.6689807484979153E-2</v>
      </c>
      <c r="R18">
        <f t="shared" si="6"/>
        <v>3.3701175257894858E-2</v>
      </c>
      <c r="S18">
        <f t="shared" si="6"/>
        <v>0.16277663140063173</v>
      </c>
    </row>
    <row r="19" spans="1:19">
      <c r="N19" t="s">
        <v>640</v>
      </c>
    </row>
    <row r="20" spans="1:19">
      <c r="A20" t="s">
        <v>676</v>
      </c>
      <c r="B20">
        <f>B2*0.25</f>
        <v>4.4452335971830979E-2</v>
      </c>
      <c r="C20">
        <f>C2</f>
        <v>0.87732948980281689</v>
      </c>
      <c r="D20">
        <f t="shared" ref="D20:F20" si="7">D2</f>
        <v>2.4647289281830989</v>
      </c>
      <c r="E20">
        <f t="shared" si="7"/>
        <v>1.0202504925633804</v>
      </c>
      <c r="F20">
        <f t="shared" si="7"/>
        <v>1.5374410732394364</v>
      </c>
      <c r="G20" t="s">
        <v>676</v>
      </c>
      <c r="H20">
        <f>B20/B$34</f>
        <v>1.622348028169014E-4</v>
      </c>
      <c r="I20">
        <f t="shared" ref="I20:L31" si="8">C20/C$34</f>
        <v>7.5371949295774648E-4</v>
      </c>
      <c r="J20">
        <f t="shared" si="8"/>
        <v>9.5053178873239451E-4</v>
      </c>
      <c r="K20">
        <f t="shared" si="8"/>
        <v>1.0638691267605635E-3</v>
      </c>
      <c r="L20">
        <f t="shared" si="8"/>
        <v>1.27482676056338E-3</v>
      </c>
      <c r="N20" t="s">
        <v>641</v>
      </c>
      <c r="O20">
        <f>(H29+H30+H31)*O10</f>
        <v>0.70644319130841293</v>
      </c>
      <c r="P20">
        <f t="shared" ref="P20:S20" si="9">(I29+I30+I31)*P10</f>
        <v>1.6082005679449789</v>
      </c>
      <c r="Q20">
        <f t="shared" si="9"/>
        <v>6.0220550993873978</v>
      </c>
      <c r="R20">
        <f t="shared" si="9"/>
        <v>2.7363536437242377</v>
      </c>
      <c r="S20">
        <f t="shared" si="9"/>
        <v>12.379082842492728</v>
      </c>
    </row>
    <row r="21" spans="1:19">
      <c r="A21" t="s">
        <v>677</v>
      </c>
      <c r="B21">
        <f t="shared" ref="B21:B31" si="10">B3*0.25</f>
        <v>0.13080937060007414</v>
      </c>
      <c r="C21">
        <f t="shared" ref="C21:F31" si="11">C3</f>
        <v>0.58606774326409661</v>
      </c>
      <c r="D21">
        <f t="shared" si="11"/>
        <v>2.9794742589394057</v>
      </c>
      <c r="E21">
        <f t="shared" si="11"/>
        <v>1.2121026026642372</v>
      </c>
      <c r="F21">
        <f t="shared" si="11"/>
        <v>3.1842977570759108</v>
      </c>
      <c r="G21" t="s">
        <v>677</v>
      </c>
      <c r="H21">
        <f t="shared" ref="H21:H31" si="12">B21/B$34</f>
        <v>4.7740646204406619E-4</v>
      </c>
      <c r="I21">
        <f t="shared" si="8"/>
        <v>5.0349462479733383E-4</v>
      </c>
      <c r="J21">
        <f t="shared" si="8"/>
        <v>1.1490452213418457E-3</v>
      </c>
      <c r="K21">
        <f t="shared" si="8"/>
        <v>1.2639234647176614E-3</v>
      </c>
      <c r="L21">
        <f t="shared" si="8"/>
        <v>2.6403795663979359E-3</v>
      </c>
      <c r="N21" t="s">
        <v>642</v>
      </c>
      <c r="O21">
        <f>0.6*H22*O10</f>
        <v>0.74327177069430128</v>
      </c>
      <c r="P21">
        <f t="shared" ref="P21:S21" si="13">0.6*I22*P10</f>
        <v>1.7470333287737645</v>
      </c>
      <c r="Q21">
        <f t="shared" si="13"/>
        <v>6.1351845987983324</v>
      </c>
      <c r="R21">
        <f t="shared" si="13"/>
        <v>2.6960940206315893</v>
      </c>
      <c r="S21">
        <f t="shared" si="13"/>
        <v>13.02213051205054</v>
      </c>
    </row>
    <row r="22" spans="1:19">
      <c r="A22" t="s">
        <v>678</v>
      </c>
      <c r="B22">
        <f t="shared" si="10"/>
        <v>0.71760558551881093</v>
      </c>
      <c r="C22">
        <f t="shared" si="11"/>
        <v>3.9873466562601223</v>
      </c>
      <c r="D22">
        <f t="shared" si="11"/>
        <v>19.965529197645679</v>
      </c>
      <c r="E22">
        <f t="shared" si="11"/>
        <v>9.2473324956569893</v>
      </c>
      <c r="F22">
        <f t="shared" si="11"/>
        <v>36.658938836444797</v>
      </c>
      <c r="G22" t="s">
        <v>678</v>
      </c>
      <c r="H22">
        <f t="shared" si="12"/>
        <v>2.6189984872949305E-3</v>
      </c>
      <c r="I22">
        <f t="shared" si="8"/>
        <v>3.4255555466152251E-3</v>
      </c>
      <c r="J22">
        <f t="shared" si="8"/>
        <v>7.6997798679697953E-3</v>
      </c>
      <c r="K22">
        <f t="shared" si="8"/>
        <v>9.6426824772231374E-3</v>
      </c>
      <c r="L22">
        <f t="shared" si="8"/>
        <v>3.0397130046803313E-2</v>
      </c>
      <c r="N22" t="s">
        <v>643</v>
      </c>
      <c r="O22">
        <f>0.6*H23*O10</f>
        <v>0.99011856594998848</v>
      </c>
      <c r="P22">
        <f t="shared" ref="P22:S22" si="14">0.6*I23*P10</f>
        <v>2.0728402688123753</v>
      </c>
      <c r="Q22">
        <f t="shared" si="14"/>
        <v>8.2686667330948342</v>
      </c>
      <c r="R22">
        <f t="shared" si="14"/>
        <v>3.7197034530920745</v>
      </c>
      <c r="S22">
        <f t="shared" si="14"/>
        <v>16.330530741231851</v>
      </c>
    </row>
    <row r="23" spans="1:19">
      <c r="A23" t="s">
        <v>679</v>
      </c>
      <c r="B23">
        <f t="shared" si="10"/>
        <v>0.95592842519484433</v>
      </c>
      <c r="C23">
        <f t="shared" si="11"/>
        <v>4.7309530841129508</v>
      </c>
      <c r="D23">
        <f t="shared" si="11"/>
        <v>26.908449848035776</v>
      </c>
      <c r="E23">
        <f t="shared" si="11"/>
        <v>12.758210341614092</v>
      </c>
      <c r="F23">
        <f t="shared" si="11"/>
        <v>45.972502506829166</v>
      </c>
      <c r="G23" t="s">
        <v>679</v>
      </c>
      <c r="H23">
        <f t="shared" si="12"/>
        <v>3.4887898729738845E-3</v>
      </c>
      <c r="I23">
        <f t="shared" si="8"/>
        <v>4.064392683945834E-3</v>
      </c>
      <c r="J23">
        <f t="shared" si="8"/>
        <v>1.0377342787518617E-2</v>
      </c>
      <c r="K23">
        <f t="shared" si="8"/>
        <v>1.3303660418784245E-2</v>
      </c>
      <c r="L23">
        <f t="shared" si="8"/>
        <v>3.811981965740395E-2</v>
      </c>
      <c r="N23" t="s">
        <v>644</v>
      </c>
      <c r="O23">
        <f>0.6*H26*O10</f>
        <v>1.2216020073399849</v>
      </c>
      <c r="P23">
        <f t="shared" ref="P23:S23" si="15">0.6*I26*P10</f>
        <v>2.9472814550763746</v>
      </c>
      <c r="Q23">
        <f t="shared" si="15"/>
        <v>11.655473701829473</v>
      </c>
      <c r="R23">
        <f t="shared" si="15"/>
        <v>5.2217470789672795</v>
      </c>
      <c r="S23">
        <f t="shared" si="15"/>
        <v>19.458729517700789</v>
      </c>
    </row>
    <row r="24" spans="1:19">
      <c r="A24" t="s">
        <v>680</v>
      </c>
      <c r="B24">
        <f t="shared" si="10"/>
        <v>1.8132622075946232</v>
      </c>
      <c r="C24">
        <f t="shared" si="11"/>
        <v>7.5714908490160475</v>
      </c>
      <c r="D24">
        <f t="shared" si="11"/>
        <v>44.267560092328239</v>
      </c>
      <c r="E24">
        <f t="shared" si="11"/>
        <v>21.309648775270968</v>
      </c>
      <c r="F24">
        <f t="shared" si="11"/>
        <v>65.92403165273862</v>
      </c>
      <c r="G24" t="s">
        <v>680</v>
      </c>
      <c r="H24">
        <f t="shared" si="12"/>
        <v>6.6177452831920553E-3</v>
      </c>
      <c r="I24">
        <f t="shared" si="8"/>
        <v>6.5047172242405906E-3</v>
      </c>
      <c r="J24">
        <f t="shared" si="8"/>
        <v>1.7071947586705837E-2</v>
      </c>
      <c r="K24">
        <f t="shared" si="8"/>
        <v>2.2220697367331562E-2</v>
      </c>
      <c r="L24">
        <f t="shared" si="8"/>
        <v>5.4663376163133187E-2</v>
      </c>
      <c r="N24" t="s">
        <v>645</v>
      </c>
      <c r="O24">
        <f>0.75*0.2*H27*O10</f>
        <v>0.14270303498161183</v>
      </c>
      <c r="P24">
        <f t="shared" ref="P24:S24" si="16">0.75*0.2*I27*P10</f>
        <v>0.26098241213391021</v>
      </c>
      <c r="Q24">
        <f t="shared" si="16"/>
        <v>1.311668593760464</v>
      </c>
      <c r="R24">
        <f t="shared" si="16"/>
        <v>0.699062676644023</v>
      </c>
      <c r="S24">
        <f t="shared" si="16"/>
        <v>2.8862277239105945</v>
      </c>
    </row>
    <row r="25" spans="1:19">
      <c r="A25" t="s">
        <v>681</v>
      </c>
      <c r="B25">
        <f t="shared" si="10"/>
        <v>0</v>
      </c>
      <c r="C25">
        <f t="shared" si="11"/>
        <v>0</v>
      </c>
      <c r="D25">
        <f t="shared" si="11"/>
        <v>0</v>
      </c>
      <c r="E25">
        <f t="shared" si="11"/>
        <v>0</v>
      </c>
      <c r="F25">
        <f t="shared" si="11"/>
        <v>0</v>
      </c>
      <c r="G25" t="s">
        <v>681</v>
      </c>
      <c r="H25">
        <f t="shared" si="12"/>
        <v>0</v>
      </c>
      <c r="I25">
        <f t="shared" si="8"/>
        <v>0</v>
      </c>
      <c r="J25">
        <f t="shared" si="8"/>
        <v>0</v>
      </c>
      <c r="K25">
        <f t="shared" si="8"/>
        <v>0</v>
      </c>
      <c r="L25">
        <f t="shared" si="8"/>
        <v>0</v>
      </c>
      <c r="N25" t="s">
        <v>646</v>
      </c>
      <c r="O25">
        <f>0.75*0.8*H27*O10</f>
        <v>0.5708121399264473</v>
      </c>
      <c r="P25">
        <f t="shared" ref="P25:S25" si="17">0.75*0.8*I27*P10</f>
        <v>1.0439296485356409</v>
      </c>
      <c r="Q25">
        <f t="shared" si="17"/>
        <v>5.2466743750418559</v>
      </c>
      <c r="R25">
        <f t="shared" si="17"/>
        <v>2.796250706576092</v>
      </c>
      <c r="S25">
        <f t="shared" si="17"/>
        <v>11.544910895642378</v>
      </c>
    </row>
    <row r="26" spans="1:19">
      <c r="A26" t="s">
        <v>682</v>
      </c>
      <c r="B26">
        <f t="shared" si="10"/>
        <v>1.1794184285100631</v>
      </c>
      <c r="C26">
        <f t="shared" si="11"/>
        <v>6.7267364974684307</v>
      </c>
      <c r="D26">
        <f t="shared" si="11"/>
        <v>37.930024232986732</v>
      </c>
      <c r="E26">
        <f t="shared" si="11"/>
        <v>17.910069559118813</v>
      </c>
      <c r="F26">
        <f t="shared" si="11"/>
        <v>54.778776373359364</v>
      </c>
      <c r="G26" t="s">
        <v>682</v>
      </c>
      <c r="H26">
        <f t="shared" si="12"/>
        <v>4.3044468193797923E-3</v>
      </c>
      <c r="I26">
        <f t="shared" si="8"/>
        <v>5.7789832452477931E-3</v>
      </c>
      <c r="J26">
        <f t="shared" si="8"/>
        <v>1.4627853541452653E-2</v>
      </c>
      <c r="K26">
        <f t="shared" si="8"/>
        <v>1.867577639115622E-2</v>
      </c>
      <c r="L26">
        <f t="shared" si="8"/>
        <v>4.542187095635105E-2</v>
      </c>
      <c r="N26" t="s">
        <v>648</v>
      </c>
      <c r="O26">
        <f>0.002*O21</f>
        <v>1.4865435413886027E-3</v>
      </c>
      <c r="P26">
        <f t="shared" ref="P26:S26" si="18">0.002*P21</f>
        <v>3.4940666575475291E-3</v>
      </c>
      <c r="Q26">
        <f t="shared" si="18"/>
        <v>1.2270369197596664E-2</v>
      </c>
      <c r="R26">
        <f t="shared" si="18"/>
        <v>5.3921880412631787E-3</v>
      </c>
      <c r="S26">
        <f t="shared" si="18"/>
        <v>2.6044261024101078E-2</v>
      </c>
    </row>
    <row r="27" spans="1:19">
      <c r="A27" t="s">
        <v>683</v>
      </c>
      <c r="B27">
        <f t="shared" si="10"/>
        <v>0.55110122036591447</v>
      </c>
      <c r="C27">
        <f t="shared" si="11"/>
        <v>2.3826159037166388</v>
      </c>
      <c r="D27">
        <f t="shared" si="11"/>
        <v>17.074079636651017</v>
      </c>
      <c r="E27">
        <f t="shared" si="11"/>
        <v>9.5908598984494695</v>
      </c>
      <c r="F27">
        <f t="shared" si="11"/>
        <v>32.50037941210249</v>
      </c>
      <c r="G27" t="s">
        <v>683</v>
      </c>
      <c r="H27">
        <f t="shared" si="12"/>
        <v>2.0113183225033376E-3</v>
      </c>
      <c r="I27">
        <f t="shared" si="8"/>
        <v>2.0469208794816483E-3</v>
      </c>
      <c r="J27">
        <f t="shared" si="8"/>
        <v>6.5846816955846578E-3</v>
      </c>
      <c r="K27">
        <f t="shared" si="8"/>
        <v>1.0000896661574004E-2</v>
      </c>
      <c r="L27">
        <f t="shared" si="8"/>
        <v>2.6948904985159609E-2</v>
      </c>
      <c r="N27" t="s">
        <v>290</v>
      </c>
      <c r="O27">
        <f>(H20+H21)*O10</f>
        <v>0.30255031827923767</v>
      </c>
      <c r="P27">
        <f t="shared" ref="P27:S27" si="19">(I20+I21)*P10</f>
        <v>1.0686320000918184</v>
      </c>
      <c r="Q27">
        <f t="shared" si="19"/>
        <v>2.7882382693785908</v>
      </c>
      <c r="R27">
        <f t="shared" si="19"/>
        <v>1.0847513476288528</v>
      </c>
      <c r="S27">
        <f t="shared" si="19"/>
        <v>2.7954573174503796</v>
      </c>
    </row>
    <row r="28" spans="1:19">
      <c r="A28" t="s">
        <v>684</v>
      </c>
      <c r="B28">
        <f t="shared" si="10"/>
        <v>0.34729285795849241</v>
      </c>
      <c r="C28">
        <f t="shared" si="11"/>
        <v>1.7156691662217773</v>
      </c>
      <c r="D28">
        <f t="shared" si="11"/>
        <v>10.564073527648814</v>
      </c>
      <c r="E28">
        <f t="shared" si="11"/>
        <v>5.2611467530069005</v>
      </c>
      <c r="F28">
        <f t="shared" si="11"/>
        <v>19.52889046940626</v>
      </c>
      <c r="G28" t="s">
        <v>684</v>
      </c>
      <c r="H28">
        <f t="shared" si="12"/>
        <v>1.2674921823302642E-3</v>
      </c>
      <c r="I28">
        <f t="shared" si="8"/>
        <v>1.4739425826647572E-3</v>
      </c>
      <c r="J28">
        <f t="shared" si="8"/>
        <v>4.0740738633431601E-3</v>
      </c>
      <c r="K28">
        <f t="shared" si="8"/>
        <v>5.4860758634065702E-3</v>
      </c>
      <c r="L28">
        <f t="shared" si="8"/>
        <v>1.6193109841962074E-2</v>
      </c>
      <c r="N28" t="s">
        <v>649</v>
      </c>
    </row>
    <row r="29" spans="1:19">
      <c r="A29" t="s">
        <v>685</v>
      </c>
      <c r="B29">
        <f t="shared" si="10"/>
        <v>4.5406491282287003E-4</v>
      </c>
      <c r="C29">
        <f t="shared" si="11"/>
        <v>2.3260581337502047E-3</v>
      </c>
      <c r="D29">
        <f t="shared" si="11"/>
        <v>1.4007020726675283E-2</v>
      </c>
      <c r="E29">
        <f t="shared" si="11"/>
        <v>7.1858153329602209E-3</v>
      </c>
      <c r="F29">
        <f t="shared" si="11"/>
        <v>2.4182553714258113E-2</v>
      </c>
      <c r="G29" t="s">
        <v>685</v>
      </c>
      <c r="H29">
        <f t="shared" si="12"/>
        <v>1.6571712146820074E-6</v>
      </c>
      <c r="I29">
        <f t="shared" si="8"/>
        <v>1.998331730025949E-6</v>
      </c>
      <c r="J29">
        <f t="shared" si="8"/>
        <v>5.4018591309970235E-6</v>
      </c>
      <c r="K29">
        <f t="shared" si="8"/>
        <v>7.4930295442755175E-6</v>
      </c>
      <c r="L29">
        <f t="shared" si="8"/>
        <v>2.0051868751457804E-5</v>
      </c>
      <c r="N29" t="s">
        <v>651</v>
      </c>
      <c r="O29">
        <f>0.15*H22*O10</f>
        <v>0.18581794267357532</v>
      </c>
      <c r="P29">
        <f t="shared" ref="P29:S29" si="20">0.15*I22*P10</f>
        <v>0.43675833219344112</v>
      </c>
      <c r="Q29">
        <f t="shared" si="20"/>
        <v>1.5337961496995831</v>
      </c>
      <c r="R29">
        <f t="shared" si="20"/>
        <v>0.67402350515789733</v>
      </c>
      <c r="S29">
        <f t="shared" si="20"/>
        <v>3.2555326280126349</v>
      </c>
    </row>
    <row r="30" spans="1:19">
      <c r="A30" t="s">
        <v>686</v>
      </c>
      <c r="B30">
        <f t="shared" si="10"/>
        <v>3.5603063721081651E-3</v>
      </c>
      <c r="C30">
        <f t="shared" si="11"/>
        <v>1.6857742765474901E-2</v>
      </c>
      <c r="D30">
        <f t="shared" si="11"/>
        <v>0.10174168514161429</v>
      </c>
      <c r="E30">
        <f t="shared" si="11"/>
        <v>5.0810396405948942E-2</v>
      </c>
      <c r="F30">
        <f t="shared" si="11"/>
        <v>0.16356981242077448</v>
      </c>
      <c r="G30" t="s">
        <v>686</v>
      </c>
      <c r="H30">
        <f t="shared" si="12"/>
        <v>1.2993818876307172E-5</v>
      </c>
      <c r="I30">
        <f t="shared" si="8"/>
        <v>1.4482596877555757E-5</v>
      </c>
      <c r="J30">
        <f t="shared" si="8"/>
        <v>3.923705558874442E-5</v>
      </c>
      <c r="K30">
        <f t="shared" si="8"/>
        <v>5.2982686554691288E-5</v>
      </c>
      <c r="L30">
        <f t="shared" si="8"/>
        <v>1.3563002688289757E-4</v>
      </c>
      <c r="N30" t="s">
        <v>652</v>
      </c>
      <c r="O30">
        <f>0.15*H23*O10</f>
        <v>0.24752964148749712</v>
      </c>
      <c r="P30">
        <f t="shared" ref="P30:S30" si="21">0.15*I23*P10</f>
        <v>0.51821006720309382</v>
      </c>
      <c r="Q30">
        <f t="shared" si="21"/>
        <v>2.0671666832737086</v>
      </c>
      <c r="R30">
        <f t="shared" si="21"/>
        <v>0.92992586327301863</v>
      </c>
      <c r="S30">
        <f t="shared" si="21"/>
        <v>4.0826326853079626</v>
      </c>
    </row>
    <row r="31" spans="1:19">
      <c r="A31" t="s">
        <v>687</v>
      </c>
      <c r="B31">
        <f t="shared" si="10"/>
        <v>0.40521487695715169</v>
      </c>
      <c r="C31">
        <f t="shared" si="11"/>
        <v>2.1831049768513107</v>
      </c>
      <c r="D31">
        <f t="shared" si="11"/>
        <v>11.642676650089182</v>
      </c>
      <c r="E31">
        <f t="shared" si="11"/>
        <v>5.5732551709468083</v>
      </c>
      <c r="F31">
        <f t="shared" si="11"/>
        <v>20.721454787991341</v>
      </c>
      <c r="G31" t="s">
        <v>687</v>
      </c>
      <c r="H31">
        <f t="shared" si="12"/>
        <v>1.4788864122523785E-3</v>
      </c>
      <c r="I31">
        <f t="shared" si="8"/>
        <v>1.8755197395629816E-3</v>
      </c>
      <c r="J31">
        <f t="shared" si="8"/>
        <v>4.4900411299996848E-3</v>
      </c>
      <c r="K31">
        <f t="shared" si="8"/>
        <v>5.8115278112062648E-3</v>
      </c>
      <c r="L31">
        <f t="shared" si="8"/>
        <v>1.7181969144271426E-2</v>
      </c>
      <c r="N31" t="s">
        <v>653</v>
      </c>
      <c r="O31">
        <f>0.15*H26*O10</f>
        <v>0.30540050183499623</v>
      </c>
      <c r="P31">
        <f t="shared" ref="P31:S31" si="22">0.15*I26*P10</f>
        <v>0.73682036376909366</v>
      </c>
      <c r="Q31">
        <f t="shared" si="22"/>
        <v>2.9138684254573683</v>
      </c>
      <c r="R31">
        <f t="shared" si="22"/>
        <v>1.3054367697418199</v>
      </c>
      <c r="S31">
        <f t="shared" si="22"/>
        <v>4.8646823794251972</v>
      </c>
    </row>
    <row r="32" spans="1:19">
      <c r="B32">
        <f>SUM(B20:B31)</f>
        <v>6.1490996799567368</v>
      </c>
      <c r="C32">
        <f t="shared" ref="C32:F32" si="23">SUM(C20:C31)</f>
        <v>30.780498167613416</v>
      </c>
      <c r="D32">
        <f t="shared" si="23"/>
        <v>173.91234507837623</v>
      </c>
      <c r="E32">
        <f t="shared" si="23"/>
        <v>83.940872301030566</v>
      </c>
      <c r="F32">
        <f t="shared" si="23"/>
        <v>280.99446523532231</v>
      </c>
    </row>
    <row r="34" spans="1:6">
      <c r="A34" t="str">
        <f>A16</f>
        <v>HH</v>
      </c>
      <c r="B34">
        <f t="shared" ref="B34:F34" si="24">B16</f>
        <v>274</v>
      </c>
      <c r="C34">
        <f t="shared" si="24"/>
        <v>1164</v>
      </c>
      <c r="D34">
        <f t="shared" si="24"/>
        <v>2593</v>
      </c>
      <c r="E34">
        <f t="shared" si="24"/>
        <v>959</v>
      </c>
      <c r="F34">
        <f t="shared" si="24"/>
        <v>1206</v>
      </c>
    </row>
    <row r="36" spans="1:6">
      <c r="B36">
        <f>B32/B34</f>
        <v>2.24419696348786E-2</v>
      </c>
      <c r="C36">
        <f t="shared" ref="C36:F36" si="25">C32/C34</f>
        <v>2.6443726948121492E-2</v>
      </c>
      <c r="D36">
        <f t="shared" si="25"/>
        <v>6.7069936397368385E-2</v>
      </c>
      <c r="E36">
        <f t="shared" si="25"/>
        <v>8.7529585298259188E-2</v>
      </c>
      <c r="F36">
        <f t="shared" si="25"/>
        <v>0.23299706901768019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opLeftCell="R1" workbookViewId="0">
      <selection activeCell="P17" sqref="P17"/>
    </sheetView>
  </sheetViews>
  <sheetFormatPr defaultRowHeight="14.4"/>
  <cols>
    <col min="1" max="1" width="8.88671875" style="120"/>
    <col min="2" max="2" width="10" style="120" bestFit="1" customWidth="1"/>
    <col min="3" max="3" width="10.88671875" style="120" customWidth="1"/>
    <col min="4" max="10" width="8.88671875" style="120"/>
    <col min="11" max="12" width="12" style="120" bestFit="1" customWidth="1"/>
    <col min="13" max="13" width="10" style="120" bestFit="1" customWidth="1"/>
    <col min="14" max="18" width="8.88671875" style="120"/>
    <col min="19" max="19" width="10" style="120" bestFit="1" customWidth="1"/>
    <col min="20" max="21" width="8.88671875" style="120"/>
    <col min="22" max="22" width="10" style="120" bestFit="1" customWidth="1"/>
    <col min="23" max="23" width="12.109375" style="120" bestFit="1" customWidth="1"/>
    <col min="24" max="24" width="8.88671875" style="120"/>
    <col min="25" max="25" width="12.109375" style="120" bestFit="1" customWidth="1"/>
    <col min="26" max="16384" width="8.88671875" style="120"/>
  </cols>
  <sheetData>
    <row r="1" spans="1:44" ht="15.6">
      <c r="A1" s="181" t="s">
        <v>616</v>
      </c>
      <c r="U1" s="121" t="s">
        <v>474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>
      <c r="A2" s="120" t="s">
        <v>272</v>
      </c>
      <c r="B2" s="120" t="s">
        <v>423</v>
      </c>
      <c r="C2" s="120" t="s">
        <v>424</v>
      </c>
      <c r="D2" s="120" t="s">
        <v>425</v>
      </c>
      <c r="E2" s="120" t="s">
        <v>426</v>
      </c>
      <c r="F2" s="120" t="s">
        <v>427</v>
      </c>
      <c r="G2" s="120" t="s">
        <v>428</v>
      </c>
      <c r="K2" s="120" t="s">
        <v>424</v>
      </c>
      <c r="L2" s="120" t="s">
        <v>425</v>
      </c>
      <c r="M2" s="122" t="s">
        <v>427</v>
      </c>
      <c r="N2" s="122" t="s">
        <v>428</v>
      </c>
      <c r="U2" s="123" t="s">
        <v>302</v>
      </c>
      <c r="V2" s="123">
        <v>41</v>
      </c>
      <c r="W2" s="123" t="s">
        <v>227</v>
      </c>
      <c r="X2" s="123">
        <v>297749504600</v>
      </c>
      <c r="Y2" s="124">
        <f>X2/1000000</f>
        <v>297749.50459999999</v>
      </c>
      <c r="Z2" s="123">
        <v>2894886406</v>
      </c>
      <c r="AA2" s="123">
        <v>270465152700</v>
      </c>
      <c r="AB2" s="123">
        <v>2582830080</v>
      </c>
      <c r="AC2" s="123">
        <v>8229491800</v>
      </c>
      <c r="AD2" s="123">
        <v>345222720</v>
      </c>
      <c r="AE2" s="123">
        <v>1132437600</v>
      </c>
      <c r="AF2" s="123">
        <v>137248957</v>
      </c>
      <c r="AG2" s="123">
        <v>1225487100</v>
      </c>
      <c r="AH2" s="123">
        <v>254398880</v>
      </c>
      <c r="AI2" s="123">
        <v>4983695700</v>
      </c>
      <c r="AJ2" s="123">
        <v>303934497</v>
      </c>
      <c r="AK2" s="123">
        <v>11527508900</v>
      </c>
      <c r="AL2" s="123">
        <v>966010135</v>
      </c>
      <c r="AM2" s="123">
        <v>185730700</v>
      </c>
      <c r="AN2" s="123">
        <v>54915664</v>
      </c>
      <c r="AO2" s="123"/>
      <c r="AP2" s="123"/>
      <c r="AQ2" s="123"/>
      <c r="AR2" s="123"/>
    </row>
    <row r="3" spans="1:44">
      <c r="A3" s="120">
        <v>113</v>
      </c>
      <c r="B3" s="120">
        <v>0.59762005805963503</v>
      </c>
      <c r="C3" s="120">
        <v>0.53500217246451698</v>
      </c>
      <c r="D3" s="120">
        <v>0.101485890554252</v>
      </c>
      <c r="E3" s="120">
        <v>0.80735150801339906</v>
      </c>
      <c r="F3" s="120">
        <v>0.65009617434601297</v>
      </c>
      <c r="G3" s="120">
        <v>0.20021467314240499</v>
      </c>
      <c r="J3" s="125" t="s">
        <v>271</v>
      </c>
      <c r="K3" s="120">
        <f>SUM(C3:C4)</f>
        <v>0.84602298473508797</v>
      </c>
      <c r="L3" s="120">
        <f>SUM(D3:D4)</f>
        <v>0.16165266917937371</v>
      </c>
      <c r="M3" s="122">
        <f>SUM(F3:F4)</f>
        <v>0.98335653934113598</v>
      </c>
      <c r="N3" s="122">
        <f>SUM(G3:G4)</f>
        <v>0.35877137915951995</v>
      </c>
      <c r="U3" s="123" t="s">
        <v>303</v>
      </c>
      <c r="V3" s="123"/>
      <c r="W3" s="14"/>
      <c r="X3" s="14"/>
      <c r="Y3" s="14">
        <f>Y2*1000</f>
        <v>297749504.59999996</v>
      </c>
      <c r="Z3" s="16" t="s">
        <v>429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>
      <c r="A4" s="120">
        <v>114</v>
      </c>
      <c r="B4" s="120">
        <v>0.34908237164719003</v>
      </c>
      <c r="C4" s="120">
        <v>0.31102081227057099</v>
      </c>
      <c r="D4" s="120">
        <v>6.0166778625121702E-2</v>
      </c>
      <c r="E4" s="120">
        <v>0.49252333009244198</v>
      </c>
      <c r="F4" s="120">
        <v>0.33326036499512302</v>
      </c>
      <c r="G4" s="120">
        <v>0.158556706017115</v>
      </c>
      <c r="J4" s="125" t="s">
        <v>290</v>
      </c>
      <c r="K4" s="120">
        <f>C5</f>
        <v>0.23926136803574599</v>
      </c>
      <c r="L4" s="120">
        <f>D5</f>
        <v>0.104917886457127</v>
      </c>
      <c r="M4" s="122">
        <f>F5</f>
        <v>0.24886912653468199</v>
      </c>
      <c r="N4" s="122">
        <f>G5</f>
        <v>0.158556706017115</v>
      </c>
      <c r="U4" s="123">
        <v>0.12</v>
      </c>
      <c r="V4" s="123" t="s">
        <v>304</v>
      </c>
      <c r="W4" s="14">
        <f>$Y$3*U4</f>
        <v>35729940.551999994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</row>
    <row r="5" spans="1:44">
      <c r="A5" s="120">
        <v>221</v>
      </c>
      <c r="B5" s="120">
        <v>0.35178710977521699</v>
      </c>
      <c r="C5" s="120">
        <v>0.23926136803574599</v>
      </c>
      <c r="D5" s="120">
        <v>0.104917886457127</v>
      </c>
      <c r="E5" s="120">
        <v>0.42427258748709201</v>
      </c>
      <c r="F5" s="120">
        <v>0.24886912653468199</v>
      </c>
      <c r="G5" s="120">
        <v>0.158556706017115</v>
      </c>
      <c r="J5" s="125" t="s">
        <v>311</v>
      </c>
      <c r="K5" s="120">
        <f>SUM(C6:C8)</f>
        <v>10.207788590055316</v>
      </c>
      <c r="L5" s="120">
        <f>SUM(D6:D8)</f>
        <v>2.5632863236572989</v>
      </c>
      <c r="M5" s="122">
        <f>SUM(F6:F8)</f>
        <v>14.561330173423023</v>
      </c>
      <c r="N5" s="122">
        <f>SUM(G6:G8)</f>
        <v>5.7561602559311238</v>
      </c>
      <c r="U5" s="123">
        <v>0.1</v>
      </c>
      <c r="V5" s="123" t="s">
        <v>305</v>
      </c>
      <c r="W5" s="14">
        <f>$Y$3*U5</f>
        <v>29774950.459999997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spans="1:44">
      <c r="A6" s="120">
        <v>236</v>
      </c>
      <c r="B6" s="120">
        <v>2.5657929037697902</v>
      </c>
      <c r="C6" s="120">
        <v>2.02582619282042</v>
      </c>
      <c r="D6" s="120">
        <v>0.59759834140203905</v>
      </c>
      <c r="E6" s="120">
        <v>3.4507766489229401</v>
      </c>
      <c r="F6" s="120">
        <v>2.1080739693821902</v>
      </c>
      <c r="G6" s="120">
        <v>1.2413465597340301</v>
      </c>
      <c r="J6" s="125" t="s">
        <v>296</v>
      </c>
      <c r="K6" s="120">
        <f>SUM(C9:C11,C25:C28)</f>
        <v>2.2320833557300093</v>
      </c>
      <c r="L6" s="120">
        <f>SUM(D9:D11,D25:D28)</f>
        <v>2.0452522044612924</v>
      </c>
      <c r="M6" s="122">
        <f>SUM(F9:F11,F25:F28)</f>
        <v>2.3789984668065238</v>
      </c>
      <c r="N6" s="122">
        <f>SUM(G9:G11,G25:G28)</f>
        <v>3.6870278993148689</v>
      </c>
      <c r="U6" s="14"/>
      <c r="V6" s="126" t="s">
        <v>430</v>
      </c>
      <c r="W6" s="14">
        <f>(Y3-W4-W5)*0.9</f>
        <v>209020152.22919998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</row>
    <row r="7" spans="1:44">
      <c r="A7" s="120">
        <v>237</v>
      </c>
      <c r="B7" s="120">
        <v>1.2778318751216799</v>
      </c>
      <c r="C7" s="120">
        <v>0.80590646364652596</v>
      </c>
      <c r="D7" s="120">
        <v>0.41883135524025999</v>
      </c>
      <c r="E7" s="120">
        <v>1.3074715922726301</v>
      </c>
      <c r="F7" s="120">
        <v>0.84235382657373203</v>
      </c>
      <c r="G7" s="120">
        <v>0.44525280679194401</v>
      </c>
      <c r="J7" s="125" t="s">
        <v>295</v>
      </c>
      <c r="K7" s="120">
        <f>SUM(C12:C24)</f>
        <v>29.196488353198355</v>
      </c>
      <c r="L7" s="120">
        <f>SUM(D12:D24)</f>
        <v>14.12889150969111</v>
      </c>
      <c r="M7" s="122">
        <f>SUM(F12:F24)</f>
        <v>35.363591364955546</v>
      </c>
      <c r="N7" s="122">
        <f>SUM(G12:G24)</f>
        <v>28.627208052417181</v>
      </c>
      <c r="U7" s="14"/>
      <c r="V7" s="126" t="s">
        <v>431</v>
      </c>
      <c r="W7" s="14">
        <f>(Y3-W4-W5)*0.1</f>
        <v>23224461.358799998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</row>
    <row r="8" spans="1:44">
      <c r="A8" s="120">
        <v>238</v>
      </c>
      <c r="B8" s="120">
        <v>8.4490314015152492</v>
      </c>
      <c r="C8" s="120">
        <v>7.3760559335883702</v>
      </c>
      <c r="D8" s="120">
        <v>1.5468566270149999</v>
      </c>
      <c r="E8" s="120">
        <v>15.1138481065391</v>
      </c>
      <c r="F8" s="120">
        <v>11.610902377467101</v>
      </c>
      <c r="G8" s="120">
        <v>4.0695608894051496</v>
      </c>
      <c r="J8" s="125" t="s">
        <v>293</v>
      </c>
      <c r="K8" s="120">
        <f>SUM(C29:C41,C45:C46,C49:C52)</f>
        <v>173.4588631543588</v>
      </c>
      <c r="L8" s="120">
        <f>SUM(D29:D41,D45:D46,D49:D52)</f>
        <v>39.409344110027583</v>
      </c>
      <c r="M8" s="122">
        <f>SUM(F29:F41,F45:F46,F49:F52)</f>
        <v>233.06146300240124</v>
      </c>
      <c r="N8" s="122">
        <f>SUM(G29:G41,G45:G46,G49:G52)</f>
        <v>70.184061229084378</v>
      </c>
      <c r="U8" s="121" t="s">
        <v>228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</row>
    <row r="9" spans="1:44">
      <c r="A9" s="120">
        <v>312</v>
      </c>
      <c r="B9" s="120">
        <v>0.14865946109994399</v>
      </c>
      <c r="C9" s="120">
        <v>0.17536370961742401</v>
      </c>
      <c r="D9" s="120">
        <v>0</v>
      </c>
      <c r="E9" s="120">
        <v>0.14960203688273899</v>
      </c>
      <c r="F9" s="120">
        <v>0.184981154589655</v>
      </c>
      <c r="G9" s="120">
        <v>0</v>
      </c>
      <c r="J9" s="125" t="s">
        <v>269</v>
      </c>
      <c r="K9" s="120">
        <f>SUM(C42:C44)</f>
        <v>29.452669385573042</v>
      </c>
      <c r="L9" s="120">
        <f>SUM(D42:D44)</f>
        <v>7.1307249200002092</v>
      </c>
      <c r="M9" s="122">
        <f>SUM(F42:F44)</f>
        <v>35.825502144288585</v>
      </c>
      <c r="N9" s="122">
        <f>SUM(G42:G44)</f>
        <v>11.748190589943389</v>
      </c>
      <c r="U9" s="118" t="s">
        <v>345</v>
      </c>
      <c r="V9" s="127" t="s">
        <v>227</v>
      </c>
      <c r="W9" s="128">
        <v>4190713</v>
      </c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</row>
    <row r="10" spans="1:44">
      <c r="A10" s="120">
        <v>323</v>
      </c>
      <c r="B10" s="120">
        <v>2.34213725219763</v>
      </c>
      <c r="C10" s="120">
        <v>1.32808811301495</v>
      </c>
      <c r="D10" s="120">
        <v>0.856674762291604</v>
      </c>
      <c r="E10" s="120">
        <v>3.80410531266413</v>
      </c>
      <c r="F10" s="120">
        <v>1.4691781157908199</v>
      </c>
      <c r="G10" s="120">
        <v>1.8599481670566</v>
      </c>
      <c r="J10" s="125" t="s">
        <v>294</v>
      </c>
      <c r="K10" s="120">
        <f>C47</f>
        <v>51.129598212016703</v>
      </c>
      <c r="L10" s="120">
        <f>D47</f>
        <v>30.945715269809099</v>
      </c>
      <c r="M10" s="122">
        <f>F47</f>
        <v>51.763542444005203</v>
      </c>
      <c r="N10" s="122">
        <f>G47</f>
        <v>46.397966895527802</v>
      </c>
      <c r="U10" s="128"/>
      <c r="V10" s="127" t="s">
        <v>306</v>
      </c>
      <c r="W10" s="128">
        <v>6795</v>
      </c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</row>
    <row r="11" spans="1:44">
      <c r="A11" s="120">
        <v>339</v>
      </c>
      <c r="B11" s="120">
        <v>0.51787566479507097</v>
      </c>
      <c r="C11" s="120">
        <v>0.39955002687351299</v>
      </c>
      <c r="D11" s="120">
        <v>0.12619479985392901</v>
      </c>
      <c r="E11" s="120">
        <v>0.59215798393443497</v>
      </c>
      <c r="F11" s="120">
        <v>0.177620759417848</v>
      </c>
      <c r="G11" s="120">
        <v>0.31889469787629998</v>
      </c>
      <c r="J11" s="125" t="s">
        <v>312</v>
      </c>
      <c r="K11" s="120">
        <f>C48</f>
        <v>55.557496700659399</v>
      </c>
      <c r="L11" s="120">
        <f>D48</f>
        <v>30.9995824455236</v>
      </c>
      <c r="M11" s="122">
        <f>F48</f>
        <v>78.951583745653906</v>
      </c>
      <c r="N11" s="122">
        <f>G48</f>
        <v>45.888454201983301</v>
      </c>
      <c r="U11" s="118" t="s">
        <v>226</v>
      </c>
      <c r="V11" s="128"/>
      <c r="W11" s="129">
        <f>W10/W9</f>
        <v>1.6214424609845629E-3</v>
      </c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</row>
    <row r="12" spans="1:44">
      <c r="A12" s="120">
        <v>424</v>
      </c>
      <c r="B12" s="120">
        <v>6.6218109395162497E-2</v>
      </c>
      <c r="C12" s="120">
        <v>2.2416796289231398E-2</v>
      </c>
      <c r="D12" s="120">
        <v>3.3255108783205999E-2</v>
      </c>
      <c r="E12" s="120">
        <v>0.10791514198051499</v>
      </c>
      <c r="F12" s="120">
        <v>3.47884350492111E-2</v>
      </c>
      <c r="G12" s="120">
        <v>5.6724676539451999E-2</v>
      </c>
      <c r="J12" s="125" t="s">
        <v>270</v>
      </c>
      <c r="K12" s="120">
        <f>C53</f>
        <v>0.149682895637061</v>
      </c>
      <c r="L12" s="120">
        <f>D53</f>
        <v>7.3832661193142093E-2</v>
      </c>
      <c r="M12" s="122">
        <f>F53</f>
        <v>0.18813699258966701</v>
      </c>
      <c r="N12" s="122">
        <f>G53</f>
        <v>0.18663979062097599</v>
      </c>
      <c r="U12" s="11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</row>
    <row r="13" spans="1:44" ht="15" thickBot="1">
      <c r="A13" s="120">
        <v>425</v>
      </c>
      <c r="B13" s="120">
        <v>3.5392522730786999</v>
      </c>
      <c r="C13" s="120">
        <v>2.3244822820286202</v>
      </c>
      <c r="D13" s="120">
        <v>1.1049182040965699</v>
      </c>
      <c r="E13" s="120">
        <v>5.2691462693602897</v>
      </c>
      <c r="F13" s="120">
        <v>2.6613168946787602</v>
      </c>
      <c r="G13" s="120">
        <v>2.2160995716234102</v>
      </c>
      <c r="K13" s="120">
        <f>SUM(K3:K12)</f>
        <v>352.46995499999952</v>
      </c>
      <c r="L13" s="120">
        <f t="shared" ref="L13:N13" si="0">SUM(L3:L12)</f>
        <v>127.56319999999982</v>
      </c>
      <c r="M13" s="120">
        <f t="shared" si="0"/>
        <v>453.32637399999953</v>
      </c>
      <c r="N13" s="120">
        <f t="shared" si="0"/>
        <v>212.99303699999965</v>
      </c>
      <c r="U13" s="118" t="s">
        <v>432</v>
      </c>
      <c r="V13" s="128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</row>
    <row r="14" spans="1:44">
      <c r="A14" s="120">
        <v>441</v>
      </c>
      <c r="B14" s="120">
        <v>1.7114405548062801</v>
      </c>
      <c r="C14" s="120">
        <v>0.81611454896546298</v>
      </c>
      <c r="D14" s="120">
        <v>0.71814194629934502</v>
      </c>
      <c r="E14" s="120">
        <v>2.9522562933838099</v>
      </c>
      <c r="F14" s="120">
        <v>0.93886180500354499</v>
      </c>
      <c r="G14" s="120">
        <v>1.5592188737572299</v>
      </c>
      <c r="J14" s="120" t="s">
        <v>432</v>
      </c>
      <c r="U14" s="130" t="s">
        <v>304</v>
      </c>
      <c r="V14" s="131">
        <f>W4*$W$11</f>
        <v>57934.042739466997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</row>
    <row r="15" spans="1:44">
      <c r="A15" s="120">
        <v>442</v>
      </c>
      <c r="B15" s="120">
        <v>2.0624522890299302</v>
      </c>
      <c r="C15" s="120">
        <v>1.0008236888044399</v>
      </c>
      <c r="D15" s="120">
        <v>0.855085706179043</v>
      </c>
      <c r="E15" s="120">
        <v>3.93981606736555</v>
      </c>
      <c r="F15" s="120">
        <v>1.6360374030920599</v>
      </c>
      <c r="G15" s="120">
        <v>1.86049183033965</v>
      </c>
      <c r="K15" s="120" t="s">
        <v>430</v>
      </c>
      <c r="L15" s="120" t="s">
        <v>431</v>
      </c>
      <c r="U15" s="132" t="s">
        <v>305</v>
      </c>
      <c r="V15" s="133">
        <f>W5*$W$11</f>
        <v>48278.368949555836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</row>
    <row r="16" spans="1:44">
      <c r="A16" s="120">
        <v>443</v>
      </c>
      <c r="B16" s="120">
        <v>0.52726834120898403</v>
      </c>
      <c r="C16" s="120">
        <v>0.48529243724344601</v>
      </c>
      <c r="D16" s="120">
        <v>8.1615383142131098E-2</v>
      </c>
      <c r="E16" s="120">
        <v>0.58143223346190898</v>
      </c>
      <c r="F16" s="120">
        <v>0.42365995760282599</v>
      </c>
      <c r="G16" s="120">
        <v>0.16978993985866001</v>
      </c>
      <c r="J16" s="125" t="s">
        <v>271</v>
      </c>
      <c r="K16" s="120">
        <f>M3*1000</f>
        <v>983.356539341136</v>
      </c>
      <c r="L16" s="120">
        <f>N3*1000</f>
        <v>358.77137915951994</v>
      </c>
      <c r="U16" s="134" t="s">
        <v>430</v>
      </c>
      <c r="V16" s="133">
        <f>W6*$W$11</f>
        <v>338914.150025882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</row>
    <row r="17" spans="1:44" ht="15" thickBot="1">
      <c r="A17" s="120">
        <v>444</v>
      </c>
      <c r="B17" s="120">
        <v>0.62257729654872995</v>
      </c>
      <c r="C17" s="120">
        <v>0.46901211657596598</v>
      </c>
      <c r="D17" s="120">
        <v>0.15846542444785899</v>
      </c>
      <c r="E17" s="120">
        <v>0.903549224295218</v>
      </c>
      <c r="F17" s="120">
        <v>0.51885139011852299</v>
      </c>
      <c r="G17" s="120">
        <v>0.34408133748071301</v>
      </c>
      <c r="J17" s="125" t="s">
        <v>290</v>
      </c>
      <c r="K17" s="120">
        <f t="shared" ref="K17:L24" si="1">M4*1000</f>
        <v>248.86912653468198</v>
      </c>
      <c r="L17" s="120">
        <f t="shared" si="1"/>
        <v>158.556706017115</v>
      </c>
      <c r="U17" s="135" t="s">
        <v>431</v>
      </c>
      <c r="V17" s="136">
        <f>W7*$W$11</f>
        <v>37657.127780653551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</row>
    <row r="18" spans="1:44">
      <c r="A18" s="120">
        <v>445</v>
      </c>
      <c r="B18" s="120">
        <v>13.310296396779099</v>
      </c>
      <c r="C18" s="120">
        <v>10.312166797777</v>
      </c>
      <c r="D18" s="120">
        <v>3.2177235583544701</v>
      </c>
      <c r="E18" s="120">
        <v>18.880308905683499</v>
      </c>
      <c r="F18" s="120">
        <v>11.6563232115041</v>
      </c>
      <c r="G18" s="120">
        <v>6.7214390537480098</v>
      </c>
      <c r="J18" s="125" t="s">
        <v>311</v>
      </c>
      <c r="K18" s="120">
        <f t="shared" si="1"/>
        <v>14561.330173423023</v>
      </c>
      <c r="L18" s="120">
        <f t="shared" si="1"/>
        <v>5756.1602559311241</v>
      </c>
      <c r="U18" s="14"/>
      <c r="V18" s="14"/>
    </row>
    <row r="19" spans="1:44">
      <c r="A19" s="120">
        <v>446</v>
      </c>
      <c r="B19" s="120">
        <v>7.6806575689800303</v>
      </c>
      <c r="C19" s="120">
        <v>5.1250675831712096</v>
      </c>
      <c r="D19" s="120">
        <v>2.34968247860487</v>
      </c>
      <c r="E19" s="120">
        <v>10.9170733300429</v>
      </c>
      <c r="F19" s="120">
        <v>4.8427882987728799</v>
      </c>
      <c r="G19" s="120">
        <v>4.9774396064674598</v>
      </c>
      <c r="J19" s="125" t="s">
        <v>296</v>
      </c>
      <c r="K19" s="120">
        <f t="shared" si="1"/>
        <v>2378.998466806524</v>
      </c>
      <c r="L19" s="120">
        <f t="shared" si="1"/>
        <v>3687.027899314869</v>
      </c>
    </row>
    <row r="20" spans="1:44">
      <c r="A20" s="120">
        <v>447</v>
      </c>
      <c r="B20" s="120">
        <v>4.2511766908767399</v>
      </c>
      <c r="C20" s="120">
        <v>2.0855207019345099</v>
      </c>
      <c r="D20" s="120">
        <v>1.74903022706466</v>
      </c>
      <c r="E20" s="120">
        <v>6.6700571549830103</v>
      </c>
      <c r="F20" s="120">
        <v>2.8087184078081502</v>
      </c>
      <c r="G20" s="120">
        <v>3.1274035529195299</v>
      </c>
      <c r="J20" s="125" t="s">
        <v>295</v>
      </c>
      <c r="K20" s="120">
        <f t="shared" si="1"/>
        <v>35363.591364955544</v>
      </c>
      <c r="L20" s="120">
        <f t="shared" si="1"/>
        <v>28627.20805241718</v>
      </c>
    </row>
    <row r="21" spans="1:44">
      <c r="A21" s="120">
        <v>448</v>
      </c>
      <c r="B21" s="120">
        <v>1.7585673103198201</v>
      </c>
      <c r="C21" s="120">
        <v>1.40602074159907</v>
      </c>
      <c r="D21" s="120">
        <v>0.39911427393555798</v>
      </c>
      <c r="E21" s="120">
        <v>2.3664867856432301</v>
      </c>
      <c r="F21" s="120">
        <v>1.8039034607982201</v>
      </c>
      <c r="G21" s="120">
        <v>0.645309761917083</v>
      </c>
      <c r="J21" s="125" t="s">
        <v>293</v>
      </c>
      <c r="K21" s="120">
        <f t="shared" si="1"/>
        <v>233061.46300240123</v>
      </c>
      <c r="L21" s="120">
        <f t="shared" si="1"/>
        <v>70184.061229084371</v>
      </c>
    </row>
    <row r="22" spans="1:44">
      <c r="A22" s="120">
        <v>451</v>
      </c>
      <c r="B22" s="120">
        <v>0.61403260610592403</v>
      </c>
      <c r="C22" s="120">
        <v>0.38007604690936803</v>
      </c>
      <c r="D22" s="120">
        <v>0.20554897441289899</v>
      </c>
      <c r="E22" s="120">
        <v>1.11153483528291</v>
      </c>
      <c r="F22" s="120">
        <v>0.63904428768952903</v>
      </c>
      <c r="G22" s="120">
        <v>0.422847570809677</v>
      </c>
      <c r="J22" s="125" t="s">
        <v>269</v>
      </c>
      <c r="K22" s="120">
        <f t="shared" si="1"/>
        <v>35825.502144288585</v>
      </c>
      <c r="L22" s="120">
        <f t="shared" si="1"/>
        <v>11748.19058994339</v>
      </c>
    </row>
    <row r="23" spans="1:44">
      <c r="A23" s="120">
        <v>452</v>
      </c>
      <c r="B23" s="120">
        <v>2.5241767604538099</v>
      </c>
      <c r="C23" s="120">
        <v>0.96964268381316299</v>
      </c>
      <c r="D23" s="120">
        <v>1.1989117864051599</v>
      </c>
      <c r="E23" s="120">
        <v>4.7972497839721902</v>
      </c>
      <c r="F23" s="120">
        <v>1.4050255439316801</v>
      </c>
      <c r="G23" s="120">
        <v>2.6029744459537301</v>
      </c>
      <c r="J23" s="125" t="s">
        <v>294</v>
      </c>
      <c r="K23" s="120">
        <f t="shared" si="1"/>
        <v>51763.542444005201</v>
      </c>
      <c r="L23" s="120">
        <f t="shared" si="1"/>
        <v>46397.966895527803</v>
      </c>
    </row>
    <row r="24" spans="1:44">
      <c r="A24" s="120">
        <v>453</v>
      </c>
      <c r="B24" s="120">
        <v>6.1422657965527803</v>
      </c>
      <c r="C24" s="120">
        <v>3.7998519280868699</v>
      </c>
      <c r="D24" s="120">
        <v>2.0573984379653401</v>
      </c>
      <c r="E24" s="120">
        <v>10.365858484591101</v>
      </c>
      <c r="F24" s="120">
        <v>5.9942722689060597</v>
      </c>
      <c r="G24" s="120">
        <v>3.92338783100258</v>
      </c>
      <c r="J24" s="125" t="s">
        <v>312</v>
      </c>
      <c r="K24" s="120">
        <f t="shared" si="1"/>
        <v>78951.583745653901</v>
      </c>
      <c r="L24" s="120">
        <f t="shared" si="1"/>
        <v>45888.454201983302</v>
      </c>
    </row>
    <row r="25" spans="1:44">
      <c r="A25" s="120">
        <v>484</v>
      </c>
      <c r="B25" s="120">
        <v>8.6237839355242998E-2</v>
      </c>
      <c r="C25" s="120">
        <v>0</v>
      </c>
      <c r="D25" s="120">
        <v>6.0740300026666499E-2</v>
      </c>
      <c r="E25" s="120">
        <v>0.17831103468036999</v>
      </c>
      <c r="F25" s="120">
        <v>0</v>
      </c>
      <c r="G25" s="120">
        <v>0.12678116430313399</v>
      </c>
    </row>
    <row r="26" spans="1:44" ht="15" thickBot="1">
      <c r="A26" s="120">
        <v>485</v>
      </c>
      <c r="B26" s="120">
        <v>0.562518106668489</v>
      </c>
      <c r="C26" s="120">
        <v>0</v>
      </c>
      <c r="D26" s="120">
        <v>0.39620100439586398</v>
      </c>
      <c r="E26" s="120">
        <v>0.56608475450109896</v>
      </c>
      <c r="F26" s="120">
        <v>0</v>
      </c>
      <c r="G26" s="120">
        <v>0.40249266905187397</v>
      </c>
    </row>
    <row r="27" spans="1:44">
      <c r="A27" s="120">
        <v>487</v>
      </c>
      <c r="B27" s="120">
        <v>3.1219887174793799E-2</v>
      </c>
      <c r="C27" s="120">
        <v>0</v>
      </c>
      <c r="D27" s="120">
        <v>0</v>
      </c>
      <c r="E27" s="120">
        <v>3.1417836968065001E-2</v>
      </c>
      <c r="F27" s="120">
        <v>0</v>
      </c>
      <c r="G27" s="120">
        <v>0</v>
      </c>
      <c r="I27" s="137"/>
      <c r="J27" s="138" t="s">
        <v>271</v>
      </c>
      <c r="K27" s="138" t="s">
        <v>290</v>
      </c>
      <c r="L27" s="138" t="s">
        <v>311</v>
      </c>
      <c r="M27" s="138" t="s">
        <v>296</v>
      </c>
      <c r="N27" s="138" t="s">
        <v>295</v>
      </c>
      <c r="O27" s="138" t="s">
        <v>293</v>
      </c>
      <c r="P27" s="138" t="s">
        <v>269</v>
      </c>
      <c r="Q27" s="138" t="s">
        <v>294</v>
      </c>
      <c r="R27" s="139" t="s">
        <v>312</v>
      </c>
      <c r="S27" s="120" t="s">
        <v>246</v>
      </c>
    </row>
    <row r="28" spans="1:44">
      <c r="A28" s="120">
        <v>491</v>
      </c>
      <c r="B28" s="120">
        <v>1.1385624972063799</v>
      </c>
      <c r="C28" s="120">
        <v>0.32908150622412202</v>
      </c>
      <c r="D28" s="120">
        <v>0.60544133789322896</v>
      </c>
      <c r="E28" s="120">
        <v>1.8193456376336301</v>
      </c>
      <c r="F28" s="120">
        <v>0.54721843700820105</v>
      </c>
      <c r="G28" s="120">
        <v>0.97891120102696105</v>
      </c>
      <c r="I28" s="140" t="s">
        <v>430</v>
      </c>
      <c r="J28" s="141">
        <v>983.356539341136</v>
      </c>
      <c r="K28" s="141">
        <v>248.86912653468198</v>
      </c>
      <c r="L28" s="141">
        <v>14561.330173423023</v>
      </c>
      <c r="M28" s="141">
        <v>2378.998466806524</v>
      </c>
      <c r="N28" s="141">
        <v>35363.591364955544</v>
      </c>
      <c r="O28" s="141">
        <v>233061.46300240123</v>
      </c>
      <c r="P28" s="141">
        <v>35825.502144288585</v>
      </c>
      <c r="Q28" s="141">
        <v>51763.542444005201</v>
      </c>
      <c r="R28" s="142">
        <v>78951.583745653901</v>
      </c>
      <c r="S28" s="120">
        <f>V16</f>
        <v>338914.150025882</v>
      </c>
    </row>
    <row r="29" spans="1:44" ht="15" thickBot="1">
      <c r="A29" s="120">
        <v>511</v>
      </c>
      <c r="B29" s="120">
        <v>0.992192857551351</v>
      </c>
      <c r="C29" s="120">
        <v>0.559266641373658</v>
      </c>
      <c r="D29" s="120">
        <v>0.36490938448737298</v>
      </c>
      <c r="E29" s="120">
        <v>1.5545448652013201</v>
      </c>
      <c r="F29" s="120">
        <v>0.71797573280025695</v>
      </c>
      <c r="G29" s="120">
        <v>0.69244518300673297</v>
      </c>
      <c r="I29" s="143" t="s">
        <v>431</v>
      </c>
      <c r="J29" s="144">
        <v>358.77137915951994</v>
      </c>
      <c r="K29" s="144">
        <v>158.556706017115</v>
      </c>
      <c r="L29" s="144">
        <v>5756.1602559311241</v>
      </c>
      <c r="M29" s="144">
        <v>3687.027899314869</v>
      </c>
      <c r="N29" s="144">
        <v>28627.20805241718</v>
      </c>
      <c r="O29" s="144">
        <v>70184.061229084371</v>
      </c>
      <c r="P29" s="144">
        <v>11748.19058994339</v>
      </c>
      <c r="Q29" s="144">
        <v>46397.966895527803</v>
      </c>
      <c r="R29" s="145">
        <v>45888.454201983302</v>
      </c>
      <c r="S29" s="120">
        <f>V17</f>
        <v>37657.127780653551</v>
      </c>
    </row>
    <row r="30" spans="1:44">
      <c r="A30" s="120">
        <v>512</v>
      </c>
      <c r="B30" s="120">
        <v>1.69651652036065</v>
      </c>
      <c r="C30" s="120">
        <v>1.3974492537166401</v>
      </c>
      <c r="D30" s="120">
        <v>0.36052760791951999</v>
      </c>
      <c r="E30" s="120">
        <v>2.4344609030539099</v>
      </c>
      <c r="F30" s="120">
        <v>1.64892535500622</v>
      </c>
      <c r="G30" s="120">
        <v>0.78275637519960295</v>
      </c>
    </row>
    <row r="31" spans="1:44">
      <c r="A31" s="120">
        <v>515</v>
      </c>
      <c r="B31" s="120">
        <v>0.236689221880371</v>
      </c>
      <c r="C31" s="120">
        <v>0.11865178461659601</v>
      </c>
      <c r="D31" s="120">
        <v>9.5863919618090307E-2</v>
      </c>
      <c r="E31" s="120">
        <v>0.40419899317208602</v>
      </c>
      <c r="F31" s="120">
        <v>0.163487251810433</v>
      </c>
      <c r="G31" s="120">
        <v>0.19338084422955301</v>
      </c>
    </row>
    <row r="32" spans="1:44">
      <c r="A32" s="120">
        <v>517</v>
      </c>
      <c r="B32" s="120">
        <v>0.48712774534731501</v>
      </c>
      <c r="C32" s="120">
        <v>0.32813013836850602</v>
      </c>
      <c r="D32" s="120">
        <v>0.147181299547401</v>
      </c>
      <c r="E32" s="120">
        <v>0.77599108382158599</v>
      </c>
      <c r="F32" s="120">
        <v>0.54562438386709</v>
      </c>
      <c r="G32" s="120">
        <v>0.237990921536854</v>
      </c>
    </row>
    <row r="33" spans="1:7">
      <c r="A33" s="120">
        <v>519</v>
      </c>
      <c r="B33" s="120">
        <v>0.44398678322090401</v>
      </c>
      <c r="C33" s="120">
        <v>0.34741751563428203</v>
      </c>
      <c r="D33" s="120">
        <v>0.105279533710331</v>
      </c>
      <c r="E33" s="120">
        <v>0.62236493325791298</v>
      </c>
      <c r="F33" s="120">
        <v>0.38775503998919397</v>
      </c>
      <c r="G33" s="120">
        <v>0.21953976902276201</v>
      </c>
    </row>
    <row r="34" spans="1:7">
      <c r="A34" s="120">
        <v>522</v>
      </c>
      <c r="B34" s="120">
        <v>8.4415421553851004</v>
      </c>
      <c r="C34" s="120">
        <v>3.54795358059277</v>
      </c>
      <c r="D34" s="120">
        <v>3.8272617386160599</v>
      </c>
      <c r="E34" s="120">
        <v>14.2529565749991</v>
      </c>
      <c r="F34" s="120">
        <v>4.8792224162147404</v>
      </c>
      <c r="G34" s="120">
        <v>7.3283398396954897</v>
      </c>
    </row>
    <row r="35" spans="1:7">
      <c r="A35" s="120">
        <v>524</v>
      </c>
      <c r="B35" s="120">
        <v>1.6580459641484999</v>
      </c>
      <c r="C35" s="120">
        <v>1.20561556167274</v>
      </c>
      <c r="D35" s="120">
        <v>0.44797135664231802</v>
      </c>
      <c r="E35" s="120">
        <v>1.84600343351608</v>
      </c>
      <c r="F35" s="120">
        <v>1.28100885491894</v>
      </c>
      <c r="G35" s="120">
        <v>0.57591754533200501</v>
      </c>
    </row>
    <row r="36" spans="1:7">
      <c r="A36" s="120">
        <v>531</v>
      </c>
      <c r="B36" s="120">
        <v>5.6578038908944501</v>
      </c>
      <c r="C36" s="120">
        <v>2.39675258938848</v>
      </c>
      <c r="D36" s="120">
        <v>2.5365079884087298</v>
      </c>
      <c r="E36" s="120">
        <v>8.0367343679296592</v>
      </c>
      <c r="F36" s="120">
        <v>2.7499094634827701</v>
      </c>
      <c r="G36" s="120">
        <v>4.1152378827116101</v>
      </c>
    </row>
    <row r="37" spans="1:7">
      <c r="A37" s="120">
        <v>532</v>
      </c>
      <c r="B37" s="120">
        <v>0.51818944553667301</v>
      </c>
      <c r="C37" s="120">
        <v>0.19653240917002801</v>
      </c>
      <c r="D37" s="120">
        <v>0.24763339037785001</v>
      </c>
      <c r="E37" s="120">
        <v>0.94234460301166001</v>
      </c>
      <c r="F37" s="120">
        <v>0.23019224479228001</v>
      </c>
      <c r="G37" s="120">
        <v>0.53765144333098702</v>
      </c>
    </row>
    <row r="38" spans="1:7">
      <c r="A38" s="120">
        <v>541</v>
      </c>
      <c r="B38" s="120">
        <v>34.160585827275902</v>
      </c>
      <c r="C38" s="120">
        <v>33.819762926093397</v>
      </c>
      <c r="D38" s="120">
        <v>3.86741006322548</v>
      </c>
      <c r="E38" s="120">
        <v>62.287577648297301</v>
      </c>
      <c r="F38" s="120">
        <v>63.877713858112301</v>
      </c>
      <c r="G38" s="120">
        <v>7.5559065280440798</v>
      </c>
    </row>
    <row r="39" spans="1:7">
      <c r="A39" s="120">
        <v>551</v>
      </c>
      <c r="B39" s="120">
        <v>2.65646257194651</v>
      </c>
      <c r="C39" s="120">
        <v>1.1247707073698201</v>
      </c>
      <c r="D39" s="120">
        <v>1.19946156329008</v>
      </c>
      <c r="E39" s="120">
        <v>3.6481669930204998</v>
      </c>
      <c r="F39" s="120">
        <v>1.07283003224944</v>
      </c>
      <c r="G39" s="120">
        <v>1.9769842133987501</v>
      </c>
    </row>
    <row r="40" spans="1:7">
      <c r="A40" s="120">
        <v>561</v>
      </c>
      <c r="B40" s="120">
        <v>6.4485132071273501</v>
      </c>
      <c r="C40" s="120">
        <v>3.9307154827344002</v>
      </c>
      <c r="D40" s="120">
        <v>2.19496320827984</v>
      </c>
      <c r="E40" s="120">
        <v>9.1972344723405595</v>
      </c>
      <c r="F40" s="120">
        <v>4.2307719242613704</v>
      </c>
      <c r="G40" s="120">
        <v>4.1065392701828403</v>
      </c>
    </row>
    <row r="41" spans="1:7">
      <c r="A41" s="120">
        <v>611</v>
      </c>
      <c r="B41" s="120">
        <v>82.896639781159294</v>
      </c>
      <c r="C41" s="120">
        <v>84.536641855228794</v>
      </c>
      <c r="D41" s="120">
        <v>7.9119122109400797</v>
      </c>
      <c r="E41" s="120">
        <v>99.687671931190096</v>
      </c>
      <c r="F41" s="120">
        <v>99.843731464106995</v>
      </c>
      <c r="G41" s="120">
        <v>13.4664467457938</v>
      </c>
    </row>
    <row r="42" spans="1:7">
      <c r="A42" s="120">
        <v>621</v>
      </c>
      <c r="B42" s="120">
        <v>3.5299399867721402</v>
      </c>
      <c r="C42" s="120">
        <v>2.2472012333584699</v>
      </c>
      <c r="D42" s="120">
        <v>1.1445021398108399</v>
      </c>
      <c r="E42" s="120">
        <v>5.5550514564085001</v>
      </c>
      <c r="F42" s="120">
        <v>2.6744500855376998</v>
      </c>
      <c r="G42" s="120">
        <v>2.4118294865571901</v>
      </c>
    </row>
    <row r="43" spans="1:7">
      <c r="A43" s="120">
        <v>623</v>
      </c>
      <c r="B43" s="120">
        <v>28.0701431244436</v>
      </c>
      <c r="C43" s="120">
        <v>24.427287411118701</v>
      </c>
      <c r="D43" s="120">
        <v>5.1857512887478796</v>
      </c>
      <c r="E43" s="120">
        <v>34.793859572636201</v>
      </c>
      <c r="F43" s="120">
        <v>29.367602423436001</v>
      </c>
      <c r="G43" s="120">
        <v>7.8517298632534196</v>
      </c>
    </row>
    <row r="44" spans="1:7">
      <c r="A44" s="120">
        <v>624</v>
      </c>
      <c r="B44" s="120">
        <v>3.4916146513990798</v>
      </c>
      <c r="C44" s="120">
        <v>2.7781807410958699</v>
      </c>
      <c r="D44" s="120">
        <v>0.80047149144148899</v>
      </c>
      <c r="E44" s="120">
        <v>5.1478904859161396</v>
      </c>
      <c r="F44" s="120">
        <v>3.7834496353148901</v>
      </c>
      <c r="G44" s="120">
        <v>1.4846312401327799</v>
      </c>
    </row>
    <row r="45" spans="1:7">
      <c r="A45" s="120">
        <v>712</v>
      </c>
      <c r="B45" s="120">
        <v>3.0190841936094501</v>
      </c>
      <c r="C45" s="120">
        <v>0.61388616890425696</v>
      </c>
      <c r="D45" s="120">
        <v>1.7599070421799501</v>
      </c>
      <c r="E45" s="120">
        <v>4.9389706124785304</v>
      </c>
      <c r="F45" s="120">
        <v>1.1585894458755399</v>
      </c>
      <c r="G45" s="120">
        <v>2.8454464146870402</v>
      </c>
    </row>
    <row r="46" spans="1:7">
      <c r="A46" s="120">
        <v>713</v>
      </c>
      <c r="B46" s="120">
        <v>10.2240242260277</v>
      </c>
      <c r="C46" s="120">
        <v>8.2838138208770804</v>
      </c>
      <c r="D46" s="120">
        <v>2.2550423148435699</v>
      </c>
      <c r="E46" s="120">
        <v>13.4748542668144</v>
      </c>
      <c r="F46" s="120">
        <v>9.85992857997587</v>
      </c>
      <c r="G46" s="120">
        <v>3.9110709816071099</v>
      </c>
    </row>
    <row r="47" spans="1:7">
      <c r="A47" s="120">
        <v>721</v>
      </c>
      <c r="B47" s="120">
        <v>87.349172945120301</v>
      </c>
      <c r="C47" s="120">
        <v>51.129598212016703</v>
      </c>
      <c r="D47" s="120">
        <v>30.945715269809099</v>
      </c>
      <c r="E47" s="120">
        <v>107.19514923091199</v>
      </c>
      <c r="F47" s="120">
        <v>51.763542444005203</v>
      </c>
      <c r="G47" s="120">
        <v>46.397966895527802</v>
      </c>
    </row>
    <row r="48" spans="1:7">
      <c r="A48" s="120">
        <v>722</v>
      </c>
      <c r="B48" s="120">
        <v>91.109819573848199</v>
      </c>
      <c r="C48" s="120">
        <v>55.557496700659399</v>
      </c>
      <c r="D48" s="120">
        <v>30.9995824455236</v>
      </c>
      <c r="E48" s="120">
        <v>128.39116071197199</v>
      </c>
      <c r="F48" s="120">
        <v>78.951583745653906</v>
      </c>
      <c r="G48" s="120">
        <v>45.888454201983301</v>
      </c>
    </row>
    <row r="49" spans="1:7">
      <c r="A49" s="120">
        <v>811</v>
      </c>
      <c r="B49" s="120">
        <v>3.43293246626091</v>
      </c>
      <c r="C49" s="120">
        <v>1.6768730287503899</v>
      </c>
      <c r="D49" s="120">
        <v>1.4167074518924501</v>
      </c>
      <c r="E49" s="120">
        <v>5.6435636896875003</v>
      </c>
      <c r="F49" s="120">
        <v>2.18163919916161</v>
      </c>
      <c r="G49" s="120">
        <v>2.7581411423526601</v>
      </c>
    </row>
    <row r="50" spans="1:7">
      <c r="A50" s="120">
        <v>812</v>
      </c>
      <c r="B50" s="120">
        <v>6.9858458711310396</v>
      </c>
      <c r="C50" s="120">
        <v>5.3474979996262597</v>
      </c>
      <c r="D50" s="120">
        <v>1.7274939504862701</v>
      </c>
      <c r="E50" s="120">
        <v>11.0239237259911</v>
      </c>
      <c r="F50" s="120">
        <v>7.6100710053968301</v>
      </c>
      <c r="G50" s="120">
        <v>3.4621554058024202</v>
      </c>
    </row>
    <row r="51" spans="1:7">
      <c r="A51" s="120">
        <v>813</v>
      </c>
      <c r="B51" s="120">
        <v>22.053254776609801</v>
      </c>
      <c r="C51" s="120">
        <v>17.052011537990801</v>
      </c>
      <c r="D51" s="120">
        <v>5.3514715762751601</v>
      </c>
      <c r="E51" s="120">
        <v>30.737307673120501</v>
      </c>
      <c r="F51" s="120">
        <v>22.434074676483402</v>
      </c>
      <c r="G51" s="120">
        <v>8.95442558625545</v>
      </c>
    </row>
    <row r="52" spans="1:7">
      <c r="A52" s="120">
        <v>814</v>
      </c>
      <c r="B52" s="120">
        <v>11.012573382279101</v>
      </c>
      <c r="C52" s="120">
        <v>6.9751201522499198</v>
      </c>
      <c r="D52" s="120">
        <v>3.59183850928703</v>
      </c>
      <c r="E52" s="120">
        <v>15.712822552817601</v>
      </c>
      <c r="F52" s="120">
        <v>8.1880120738959405</v>
      </c>
      <c r="G52" s="120">
        <v>6.46368513689462</v>
      </c>
    </row>
    <row r="53" spans="1:7">
      <c r="A53" s="120">
        <v>999</v>
      </c>
      <c r="B53" s="120">
        <v>0.23171540814158401</v>
      </c>
      <c r="C53" s="120">
        <v>0.149682895637061</v>
      </c>
      <c r="D53" s="120">
        <v>7.3832661193142093E-2</v>
      </c>
      <c r="E53" s="120">
        <v>0.41465333779323998</v>
      </c>
      <c r="F53" s="120">
        <v>0.18813699258966701</v>
      </c>
      <c r="G53" s="120">
        <v>0.18663979062097599</v>
      </c>
    </row>
    <row r="54" spans="1:7">
      <c r="B54" s="120">
        <f>SUM(B3:B53)</f>
        <v>480.03315499999957</v>
      </c>
      <c r="C54" s="120">
        <f t="shared" ref="C54:G54" si="2">SUM(C3:C53)</f>
        <v>352.46995499999952</v>
      </c>
      <c r="D54" s="120">
        <f t="shared" si="2"/>
        <v>127.56319999999982</v>
      </c>
      <c r="E54" s="120">
        <f t="shared" si="2"/>
        <v>666.31941099999779</v>
      </c>
      <c r="F54" s="120">
        <f t="shared" si="2"/>
        <v>453.32637399999953</v>
      </c>
      <c r="G54" s="120">
        <f t="shared" si="2"/>
        <v>212.99303699999962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F59" sqref="F59:H61"/>
    </sheetView>
  </sheetViews>
  <sheetFormatPr defaultColWidth="9.109375" defaultRowHeight="14.4"/>
  <cols>
    <col min="1" max="3" width="9.109375" style="179"/>
    <col min="4" max="4" width="23.44140625" style="179" customWidth="1"/>
    <col min="5" max="5" width="16.44140625" style="179" customWidth="1"/>
    <col min="6" max="16384" width="9.109375" style="179"/>
  </cols>
  <sheetData>
    <row r="1" spans="1:20">
      <c r="A1" s="179" t="s">
        <v>475</v>
      </c>
      <c r="B1" s="179" t="s">
        <v>476</v>
      </c>
      <c r="C1" s="179" t="s">
        <v>477</v>
      </c>
      <c r="D1" s="179" t="s">
        <v>478</v>
      </c>
      <c r="F1" s="179" t="s">
        <v>479</v>
      </c>
      <c r="G1" s="179" t="s">
        <v>480</v>
      </c>
      <c r="H1" s="179" t="s">
        <v>481</v>
      </c>
      <c r="I1" s="179" t="s">
        <v>482</v>
      </c>
      <c r="J1" s="179" t="s">
        <v>483</v>
      </c>
      <c r="K1" s="179" t="s">
        <v>484</v>
      </c>
      <c r="L1" s="179" t="s">
        <v>485</v>
      </c>
      <c r="M1" s="179" t="s">
        <v>486</v>
      </c>
      <c r="N1" s="179" t="s">
        <v>487</v>
      </c>
      <c r="O1" s="179" t="s">
        <v>488</v>
      </c>
      <c r="P1" s="179" t="s">
        <v>489</v>
      </c>
      <c r="Q1" s="179" t="s">
        <v>490</v>
      </c>
      <c r="R1" s="179" t="s">
        <v>491</v>
      </c>
      <c r="S1" s="179" t="s">
        <v>492</v>
      </c>
      <c r="T1" s="179" t="s">
        <v>493</v>
      </c>
    </row>
    <row r="2" spans="1:20">
      <c r="A2" s="179" t="s">
        <v>494</v>
      </c>
      <c r="B2" s="179" t="s">
        <v>495</v>
      </c>
      <c r="C2" s="179" t="s">
        <v>496</v>
      </c>
      <c r="D2" s="179" t="s">
        <v>497</v>
      </c>
      <c r="E2" s="179" t="s">
        <v>498</v>
      </c>
      <c r="F2" s="179" t="s">
        <v>499</v>
      </c>
      <c r="G2" s="179" t="s">
        <v>500</v>
      </c>
      <c r="H2" s="179" t="s">
        <v>501</v>
      </c>
      <c r="I2" s="179" t="s">
        <v>502</v>
      </c>
      <c r="J2" s="179" t="s">
        <v>503</v>
      </c>
      <c r="K2" s="179" t="s">
        <v>504</v>
      </c>
      <c r="L2" s="179" t="s">
        <v>505</v>
      </c>
      <c r="M2" s="179" t="s">
        <v>506</v>
      </c>
      <c r="N2" s="179" t="s">
        <v>507</v>
      </c>
      <c r="O2" s="179" t="s">
        <v>508</v>
      </c>
      <c r="P2" s="179" t="s">
        <v>509</v>
      </c>
      <c r="Q2" s="179" t="s">
        <v>510</v>
      </c>
      <c r="R2" s="179" t="s">
        <v>511</v>
      </c>
      <c r="S2" s="179" t="s">
        <v>512</v>
      </c>
      <c r="T2" s="179" t="s">
        <v>513</v>
      </c>
    </row>
    <row r="3" spans="1:20">
      <c r="A3" s="179" t="s">
        <v>514</v>
      </c>
      <c r="B3" s="179">
        <v>1</v>
      </c>
      <c r="C3" s="179" t="s">
        <v>515</v>
      </c>
      <c r="D3" s="179">
        <v>215616500600</v>
      </c>
      <c r="E3" s="179">
        <f>D3/1000000</f>
        <v>215616.5006</v>
      </c>
      <c r="F3" s="179">
        <v>1869703767</v>
      </c>
      <c r="G3" s="179">
        <v>201742872700</v>
      </c>
      <c r="H3" s="179">
        <v>1735086785</v>
      </c>
      <c r="I3" s="179">
        <v>3090816500</v>
      </c>
      <c r="J3" s="179">
        <v>326899441</v>
      </c>
      <c r="K3" s="179">
        <v>248521000</v>
      </c>
      <c r="L3" s="179">
        <v>101511748</v>
      </c>
      <c r="M3" s="179">
        <v>395713100</v>
      </c>
      <c r="N3" s="179">
        <v>71352692</v>
      </c>
      <c r="O3" s="179">
        <v>1195415600</v>
      </c>
      <c r="P3" s="179">
        <v>125545354</v>
      </c>
      <c r="Q3" s="179">
        <v>8864628700</v>
      </c>
      <c r="R3" s="179">
        <v>477029732</v>
      </c>
      <c r="S3" s="179">
        <v>78533000</v>
      </c>
      <c r="T3" s="179">
        <v>32450849</v>
      </c>
    </row>
    <row r="4" spans="1:20">
      <c r="A4" s="179" t="s">
        <v>516</v>
      </c>
      <c r="B4" s="179">
        <v>2</v>
      </c>
      <c r="C4" s="179" t="s">
        <v>517</v>
      </c>
      <c r="D4" s="179">
        <v>44363396400</v>
      </c>
      <c r="E4" s="179">
        <f t="shared" ref="E4:E53" si="0">D4/1000000</f>
        <v>44363.396399999998</v>
      </c>
      <c r="F4" s="179">
        <v>655084771</v>
      </c>
      <c r="G4" s="179">
        <v>38269719900</v>
      </c>
      <c r="H4" s="179">
        <v>625598164</v>
      </c>
      <c r="I4" s="179">
        <v>2929323500</v>
      </c>
      <c r="J4" s="179">
        <v>199458252</v>
      </c>
      <c r="K4" s="179">
        <v>1204667200</v>
      </c>
      <c r="L4" s="179">
        <v>146871546</v>
      </c>
      <c r="M4" s="179">
        <v>781698300</v>
      </c>
      <c r="N4" s="179">
        <v>141797537</v>
      </c>
      <c r="O4" s="179">
        <v>669918300</v>
      </c>
      <c r="P4" s="179">
        <v>63988513</v>
      </c>
      <c r="Q4" s="179">
        <v>469024600</v>
      </c>
      <c r="R4" s="179">
        <v>120230660</v>
      </c>
      <c r="S4" s="179">
        <v>39044500</v>
      </c>
      <c r="T4" s="179">
        <v>29488723</v>
      </c>
    </row>
    <row r="5" spans="1:20">
      <c r="A5" s="179" t="s">
        <v>518</v>
      </c>
      <c r="B5" s="179">
        <v>4</v>
      </c>
      <c r="C5" s="179" t="s">
        <v>519</v>
      </c>
      <c r="D5" s="179">
        <v>384467194300</v>
      </c>
      <c r="E5" s="179">
        <f t="shared" si="0"/>
        <v>384467.19429999997</v>
      </c>
      <c r="F5" s="179">
        <v>2976381644</v>
      </c>
      <c r="G5" s="179">
        <v>351965044000</v>
      </c>
      <c r="H5" s="179">
        <v>2858662558</v>
      </c>
      <c r="I5" s="179">
        <v>14180481700</v>
      </c>
      <c r="J5" s="179">
        <v>569105748</v>
      </c>
      <c r="K5" s="179">
        <v>497509600</v>
      </c>
      <c r="L5" s="179">
        <v>85647776</v>
      </c>
      <c r="M5" s="179">
        <v>1390983800</v>
      </c>
      <c r="N5" s="179">
        <v>122284586</v>
      </c>
      <c r="O5" s="179">
        <v>4448603800</v>
      </c>
      <c r="P5" s="179">
        <v>322980148</v>
      </c>
      <c r="Q5" s="179">
        <v>11215112500</v>
      </c>
      <c r="R5" s="179">
        <v>494256115</v>
      </c>
      <c r="S5" s="179">
        <v>769458900</v>
      </c>
      <c r="T5" s="179">
        <v>534652236</v>
      </c>
    </row>
    <row r="6" spans="1:20">
      <c r="A6" s="179" t="s">
        <v>520</v>
      </c>
      <c r="B6" s="179">
        <v>5</v>
      </c>
      <c r="C6" s="179" t="s">
        <v>521</v>
      </c>
      <c r="D6" s="179">
        <v>114659972200</v>
      </c>
      <c r="E6" s="179">
        <f t="shared" si="0"/>
        <v>114659.9722</v>
      </c>
      <c r="F6" s="179">
        <v>1370911367</v>
      </c>
      <c r="G6" s="179">
        <v>106671193800</v>
      </c>
      <c r="H6" s="179">
        <v>1300214345</v>
      </c>
      <c r="I6" s="179">
        <v>1025875100</v>
      </c>
      <c r="J6" s="179">
        <v>105999499</v>
      </c>
      <c r="K6" s="179">
        <v>186541700</v>
      </c>
      <c r="L6" s="179">
        <v>34725960</v>
      </c>
      <c r="M6" s="179">
        <v>167125600</v>
      </c>
      <c r="N6" s="179">
        <v>37287247</v>
      </c>
      <c r="O6" s="179">
        <v>384757400</v>
      </c>
      <c r="P6" s="179">
        <v>93364424</v>
      </c>
      <c r="Q6" s="179">
        <v>6176575000</v>
      </c>
      <c r="R6" s="179">
        <v>447282075</v>
      </c>
      <c r="S6" s="179">
        <v>47903500</v>
      </c>
      <c r="T6" s="179">
        <v>14414216</v>
      </c>
    </row>
    <row r="7" spans="1:20">
      <c r="A7" s="179" t="s">
        <v>522</v>
      </c>
      <c r="B7" s="179">
        <v>6</v>
      </c>
      <c r="C7" s="179" t="s">
        <v>523</v>
      </c>
      <c r="D7" s="179">
        <v>4056621760400</v>
      </c>
      <c r="E7" s="179">
        <f t="shared" si="0"/>
        <v>4056621.7604</v>
      </c>
      <c r="F7" s="179">
        <v>20959845878</v>
      </c>
      <c r="G7" s="179">
        <v>3544206852400</v>
      </c>
      <c r="H7" s="179">
        <v>18209139826</v>
      </c>
      <c r="I7" s="179">
        <v>258380363300</v>
      </c>
      <c r="J7" s="179">
        <v>3786094255</v>
      </c>
      <c r="K7" s="179">
        <v>39982822800</v>
      </c>
      <c r="L7" s="179">
        <v>1729165470</v>
      </c>
      <c r="M7" s="179">
        <v>42185736700</v>
      </c>
      <c r="N7" s="179">
        <v>1220359964</v>
      </c>
      <c r="O7" s="179">
        <v>137870789100</v>
      </c>
      <c r="P7" s="179">
        <v>2646588503</v>
      </c>
      <c r="Q7" s="179">
        <v>33057900200</v>
      </c>
      <c r="R7" s="179">
        <v>1202816027</v>
      </c>
      <c r="S7" s="179">
        <v>937295800</v>
      </c>
      <c r="T7" s="179">
        <v>267604507</v>
      </c>
    </row>
    <row r="8" spans="1:20">
      <c r="A8" s="179" t="s">
        <v>524</v>
      </c>
      <c r="B8" s="179">
        <v>8</v>
      </c>
      <c r="C8" s="179" t="s">
        <v>525</v>
      </c>
      <c r="D8" s="179">
        <v>462355081200</v>
      </c>
      <c r="E8" s="179">
        <f t="shared" si="0"/>
        <v>462355.08120000002</v>
      </c>
      <c r="F8" s="179">
        <v>3345312768</v>
      </c>
      <c r="G8" s="179">
        <v>412564879100</v>
      </c>
      <c r="H8" s="179">
        <v>3150477513</v>
      </c>
      <c r="I8" s="179">
        <v>26645639200</v>
      </c>
      <c r="J8" s="179">
        <v>658978830</v>
      </c>
      <c r="K8" s="179">
        <v>1593244000</v>
      </c>
      <c r="L8" s="179">
        <v>212285382</v>
      </c>
      <c r="M8" s="179">
        <v>3295570600</v>
      </c>
      <c r="N8" s="179">
        <v>326015095</v>
      </c>
      <c r="O8" s="179">
        <v>13469855500</v>
      </c>
      <c r="P8" s="179">
        <v>454040774</v>
      </c>
      <c r="Q8" s="179">
        <v>4710950400</v>
      </c>
      <c r="R8" s="179">
        <v>510421874</v>
      </c>
      <c r="S8" s="179">
        <v>74942500</v>
      </c>
      <c r="T8" s="179">
        <v>24964786</v>
      </c>
    </row>
    <row r="9" spans="1:20">
      <c r="A9" s="179" t="s">
        <v>526</v>
      </c>
      <c r="B9" s="179">
        <v>9</v>
      </c>
      <c r="C9" s="179" t="s">
        <v>527</v>
      </c>
      <c r="D9" s="179">
        <v>338629546800</v>
      </c>
      <c r="E9" s="179">
        <f t="shared" si="0"/>
        <v>338629.54680000001</v>
      </c>
      <c r="F9" s="179">
        <v>2911807781</v>
      </c>
      <c r="G9" s="179">
        <v>304887300400</v>
      </c>
      <c r="H9" s="179">
        <v>2847402549</v>
      </c>
      <c r="I9" s="179">
        <v>12768712500</v>
      </c>
      <c r="J9" s="179">
        <v>545457643</v>
      </c>
      <c r="K9" s="179">
        <v>7698237400</v>
      </c>
      <c r="L9" s="179">
        <v>468648026</v>
      </c>
      <c r="M9" s="179">
        <v>4135800500</v>
      </c>
      <c r="N9" s="179">
        <v>322832994</v>
      </c>
      <c r="O9" s="179">
        <v>8437660800</v>
      </c>
      <c r="P9" s="179">
        <v>496280859</v>
      </c>
      <c r="Q9" s="179">
        <v>656010200</v>
      </c>
      <c r="R9" s="179">
        <v>120669224</v>
      </c>
      <c r="S9" s="179">
        <v>45825000</v>
      </c>
      <c r="T9" s="179">
        <v>33014074</v>
      </c>
    </row>
    <row r="10" spans="1:20">
      <c r="A10" s="179" t="s">
        <v>528</v>
      </c>
      <c r="B10" s="179">
        <v>10</v>
      </c>
      <c r="C10" s="179" t="s">
        <v>529</v>
      </c>
      <c r="D10" s="179">
        <v>67443152100</v>
      </c>
      <c r="E10" s="179">
        <f t="shared" si="0"/>
        <v>67443.152100000007</v>
      </c>
      <c r="F10" s="179">
        <v>965258614</v>
      </c>
      <c r="G10" s="179">
        <v>58090019800</v>
      </c>
      <c r="H10" s="179">
        <v>893397015</v>
      </c>
      <c r="I10" s="179">
        <v>6668958500</v>
      </c>
      <c r="J10" s="179">
        <v>253000087</v>
      </c>
      <c r="K10" s="179">
        <v>115858000</v>
      </c>
      <c r="L10" s="179">
        <v>30938892</v>
      </c>
      <c r="M10" s="179">
        <v>119869800</v>
      </c>
      <c r="N10" s="179">
        <v>35413941</v>
      </c>
      <c r="O10" s="179">
        <v>816571400</v>
      </c>
      <c r="P10" s="179">
        <v>70530062</v>
      </c>
      <c r="Q10" s="179">
        <v>1621137700</v>
      </c>
      <c r="R10" s="179">
        <v>198209348</v>
      </c>
      <c r="S10" s="179">
        <v>10737000</v>
      </c>
      <c r="T10" s="179">
        <v>9331355</v>
      </c>
    </row>
    <row r="11" spans="1:20">
      <c r="A11" s="179" t="s">
        <v>530</v>
      </c>
      <c r="B11" s="179">
        <v>12</v>
      </c>
      <c r="C11" s="179" t="s">
        <v>531</v>
      </c>
      <c r="D11" s="179">
        <v>1213043719900</v>
      </c>
      <c r="E11" s="179">
        <f t="shared" si="0"/>
        <v>1213043.7198999999</v>
      </c>
      <c r="F11" s="179">
        <v>9031945438</v>
      </c>
      <c r="G11" s="179">
        <v>990443426600</v>
      </c>
      <c r="H11" s="179">
        <v>7951392988</v>
      </c>
      <c r="I11" s="179">
        <v>61540204200</v>
      </c>
      <c r="J11" s="179">
        <v>1234023579</v>
      </c>
      <c r="K11" s="179">
        <v>5139281000</v>
      </c>
      <c r="L11" s="179">
        <v>364775157</v>
      </c>
      <c r="M11" s="179">
        <v>12693670000</v>
      </c>
      <c r="N11" s="179">
        <v>484195650</v>
      </c>
      <c r="O11" s="179">
        <v>112637858200</v>
      </c>
      <c r="P11" s="179">
        <v>2172841481</v>
      </c>
      <c r="Q11" s="179">
        <v>30067468300</v>
      </c>
      <c r="R11" s="179">
        <v>986536393</v>
      </c>
      <c r="S11" s="179">
        <v>521811600</v>
      </c>
      <c r="T11" s="179">
        <v>85861810</v>
      </c>
    </row>
    <row r="12" spans="1:20">
      <c r="A12" s="179" t="s">
        <v>532</v>
      </c>
      <c r="B12" s="179">
        <v>13</v>
      </c>
      <c r="C12" s="179" t="s">
        <v>533</v>
      </c>
      <c r="D12" s="179">
        <v>480159373700</v>
      </c>
      <c r="E12" s="179">
        <f t="shared" si="0"/>
        <v>480159.3737</v>
      </c>
      <c r="F12" s="179">
        <v>3698946217</v>
      </c>
      <c r="G12" s="179">
        <v>441302184600</v>
      </c>
      <c r="H12" s="179">
        <v>3387826046</v>
      </c>
      <c r="I12" s="179">
        <v>16083460300</v>
      </c>
      <c r="J12" s="179">
        <v>518814230</v>
      </c>
      <c r="K12" s="179">
        <v>936669700</v>
      </c>
      <c r="L12" s="179">
        <v>326060985</v>
      </c>
      <c r="M12" s="179">
        <v>1432954700</v>
      </c>
      <c r="N12" s="179">
        <v>137216159</v>
      </c>
      <c r="O12" s="179">
        <v>8413657400</v>
      </c>
      <c r="P12" s="179">
        <v>583823663</v>
      </c>
      <c r="Q12" s="179">
        <v>11653667200</v>
      </c>
      <c r="R12" s="179">
        <v>684790951</v>
      </c>
      <c r="S12" s="179">
        <v>336779800</v>
      </c>
      <c r="T12" s="179">
        <v>442849256</v>
      </c>
    </row>
    <row r="13" spans="1:20">
      <c r="A13" s="179" t="s">
        <v>534</v>
      </c>
      <c r="B13" s="179">
        <v>15</v>
      </c>
      <c r="C13" s="179" t="s">
        <v>535</v>
      </c>
      <c r="D13" s="179">
        <v>168784839300</v>
      </c>
      <c r="E13" s="179">
        <f t="shared" si="0"/>
        <v>168784.83929999999</v>
      </c>
      <c r="F13" s="179">
        <v>2425366299</v>
      </c>
      <c r="G13" s="179">
        <v>133915203100</v>
      </c>
      <c r="H13" s="179">
        <v>1997139413</v>
      </c>
      <c r="I13" s="179">
        <v>11153232600</v>
      </c>
      <c r="J13" s="179">
        <v>675532192</v>
      </c>
      <c r="K13" s="179">
        <v>1605521100</v>
      </c>
      <c r="L13" s="179">
        <v>299115766</v>
      </c>
      <c r="M13" s="179">
        <v>2635912700</v>
      </c>
      <c r="N13" s="179">
        <v>293447385</v>
      </c>
      <c r="O13" s="179">
        <v>19165035600</v>
      </c>
      <c r="P13" s="179">
        <v>793290854</v>
      </c>
      <c r="Q13" s="179">
        <v>263386200</v>
      </c>
      <c r="R13" s="179">
        <v>107224712</v>
      </c>
      <c r="S13" s="179">
        <v>46548000</v>
      </c>
      <c r="T13" s="179">
        <v>33525716</v>
      </c>
    </row>
    <row r="14" spans="1:20">
      <c r="A14" s="179" t="s">
        <v>536</v>
      </c>
      <c r="B14" s="179">
        <v>16</v>
      </c>
      <c r="C14" s="179" t="s">
        <v>537</v>
      </c>
      <c r="D14" s="179">
        <v>92039684200</v>
      </c>
      <c r="E14" s="179">
        <f t="shared" si="0"/>
        <v>92039.684200000003</v>
      </c>
      <c r="F14" s="179">
        <v>1143852256</v>
      </c>
      <c r="G14" s="179">
        <v>86869886400</v>
      </c>
      <c r="H14" s="179">
        <v>1152039078</v>
      </c>
      <c r="I14" s="179">
        <v>1732410400</v>
      </c>
      <c r="J14" s="179">
        <v>123027602</v>
      </c>
      <c r="K14" s="179">
        <v>336449300</v>
      </c>
      <c r="L14" s="179">
        <v>78631416</v>
      </c>
      <c r="M14" s="179">
        <v>282862000</v>
      </c>
      <c r="N14" s="179">
        <v>58311150</v>
      </c>
      <c r="O14" s="179">
        <v>491353100</v>
      </c>
      <c r="P14" s="179">
        <v>86724393</v>
      </c>
      <c r="Q14" s="179">
        <v>2274512500</v>
      </c>
      <c r="R14" s="179">
        <v>164637733</v>
      </c>
      <c r="S14" s="179">
        <v>52210600</v>
      </c>
      <c r="T14" s="179">
        <v>18511405</v>
      </c>
    </row>
    <row r="15" spans="1:20">
      <c r="A15" s="179" t="s">
        <v>538</v>
      </c>
      <c r="B15" s="179">
        <v>17</v>
      </c>
      <c r="C15" s="179" t="s">
        <v>539</v>
      </c>
      <c r="D15" s="179">
        <v>759027016300</v>
      </c>
      <c r="E15" s="179">
        <f t="shared" si="0"/>
        <v>759027.01630000002</v>
      </c>
      <c r="F15" s="179">
        <v>4594400466</v>
      </c>
      <c r="G15" s="179">
        <v>615063244400</v>
      </c>
      <c r="H15" s="179">
        <v>4272338259</v>
      </c>
      <c r="I15" s="179">
        <v>46622776400</v>
      </c>
      <c r="J15" s="179">
        <v>1070029991</v>
      </c>
      <c r="K15" s="179">
        <v>18992276900</v>
      </c>
      <c r="L15" s="179">
        <v>757615104</v>
      </c>
      <c r="M15" s="179">
        <v>16440132100</v>
      </c>
      <c r="N15" s="179">
        <v>655727158</v>
      </c>
      <c r="O15" s="179">
        <v>57832718300</v>
      </c>
      <c r="P15" s="179">
        <v>1366995716</v>
      </c>
      <c r="Q15" s="179">
        <v>3897385800</v>
      </c>
      <c r="R15" s="179">
        <v>183636220</v>
      </c>
      <c r="S15" s="179">
        <v>178482400</v>
      </c>
      <c r="T15" s="179">
        <v>153675327</v>
      </c>
    </row>
    <row r="16" spans="1:20">
      <c r="A16" s="179" t="s">
        <v>540</v>
      </c>
      <c r="B16" s="179">
        <v>18</v>
      </c>
      <c r="C16" s="179" t="s">
        <v>541</v>
      </c>
      <c r="D16" s="179">
        <v>284269356900</v>
      </c>
      <c r="E16" s="179">
        <f t="shared" si="0"/>
        <v>284269.35690000001</v>
      </c>
      <c r="F16" s="179">
        <v>2475444564</v>
      </c>
      <c r="G16" s="179">
        <v>269021266000</v>
      </c>
      <c r="H16" s="179">
        <v>2265928581</v>
      </c>
      <c r="I16" s="179">
        <v>7682889200</v>
      </c>
      <c r="J16" s="179">
        <v>359983472</v>
      </c>
      <c r="K16" s="179">
        <v>887252000</v>
      </c>
      <c r="L16" s="179">
        <v>88620855</v>
      </c>
      <c r="M16" s="179">
        <v>704290100</v>
      </c>
      <c r="N16" s="179">
        <v>70736786</v>
      </c>
      <c r="O16" s="179">
        <v>1743116800</v>
      </c>
      <c r="P16" s="179">
        <v>501927010</v>
      </c>
      <c r="Q16" s="179">
        <v>4132473400</v>
      </c>
      <c r="R16" s="179">
        <v>456020557</v>
      </c>
      <c r="S16" s="179">
        <v>98069500</v>
      </c>
      <c r="T16" s="179">
        <v>107526613</v>
      </c>
    </row>
    <row r="17" spans="1:20">
      <c r="A17" s="179" t="s">
        <v>542</v>
      </c>
      <c r="B17" s="179">
        <v>19</v>
      </c>
      <c r="C17" s="179" t="s">
        <v>543</v>
      </c>
      <c r="D17" s="179">
        <v>148465238100</v>
      </c>
      <c r="E17" s="179">
        <f t="shared" si="0"/>
        <v>148465.23809999999</v>
      </c>
      <c r="F17" s="179">
        <v>1573222438</v>
      </c>
      <c r="G17" s="179">
        <v>138268868000</v>
      </c>
      <c r="H17" s="179">
        <v>1397626488</v>
      </c>
      <c r="I17" s="179">
        <v>5848952500</v>
      </c>
      <c r="J17" s="179">
        <v>578842946</v>
      </c>
      <c r="K17" s="179">
        <v>444877600</v>
      </c>
      <c r="L17" s="179">
        <v>60129813</v>
      </c>
      <c r="M17" s="179">
        <v>504342800</v>
      </c>
      <c r="N17" s="179">
        <v>55626553</v>
      </c>
      <c r="O17" s="179">
        <v>1489815400</v>
      </c>
      <c r="P17" s="179">
        <v>108977573</v>
      </c>
      <c r="Q17" s="179">
        <v>1839954600</v>
      </c>
      <c r="R17" s="179">
        <v>278859802</v>
      </c>
      <c r="S17" s="179">
        <v>68427200</v>
      </c>
      <c r="T17" s="179">
        <v>45687186</v>
      </c>
    </row>
    <row r="18" spans="1:20">
      <c r="A18" s="179" t="s">
        <v>544</v>
      </c>
      <c r="B18" s="179">
        <v>20</v>
      </c>
      <c r="C18" s="179" t="s">
        <v>545</v>
      </c>
      <c r="D18" s="179">
        <v>128507989000</v>
      </c>
      <c r="E18" s="179">
        <f t="shared" si="0"/>
        <v>128507.989</v>
      </c>
      <c r="F18" s="179">
        <v>1164450866</v>
      </c>
      <c r="G18" s="179">
        <v>122545706000</v>
      </c>
      <c r="H18" s="179">
        <v>1176717974</v>
      </c>
      <c r="I18" s="179">
        <v>3372305300</v>
      </c>
      <c r="J18" s="179">
        <v>228799201</v>
      </c>
      <c r="K18" s="179">
        <v>229975700</v>
      </c>
      <c r="L18" s="179">
        <v>34740110</v>
      </c>
      <c r="M18" s="179">
        <v>172261300</v>
      </c>
      <c r="N18" s="179">
        <v>33800295</v>
      </c>
      <c r="O18" s="179">
        <v>587272500</v>
      </c>
      <c r="P18" s="179">
        <v>174697338</v>
      </c>
      <c r="Q18" s="179">
        <v>1549273700</v>
      </c>
      <c r="R18" s="179">
        <v>165792143</v>
      </c>
      <c r="S18" s="179">
        <v>51194500</v>
      </c>
      <c r="T18" s="179">
        <v>33488357</v>
      </c>
    </row>
    <row r="19" spans="1:20">
      <c r="A19" s="179" t="s">
        <v>546</v>
      </c>
      <c r="B19" s="179">
        <v>21</v>
      </c>
      <c r="C19" s="179" t="s">
        <v>547</v>
      </c>
      <c r="D19" s="179">
        <v>188115229000</v>
      </c>
      <c r="E19" s="179">
        <f t="shared" si="0"/>
        <v>188115.22899999999</v>
      </c>
      <c r="F19" s="179">
        <v>1485800812</v>
      </c>
      <c r="G19" s="179">
        <v>173223057700</v>
      </c>
      <c r="H19" s="179">
        <v>1308778629</v>
      </c>
      <c r="I19" s="179">
        <v>4571562500</v>
      </c>
      <c r="J19" s="179">
        <v>357962284</v>
      </c>
      <c r="K19" s="179">
        <v>619154700</v>
      </c>
      <c r="L19" s="179">
        <v>89824671</v>
      </c>
      <c r="M19" s="179">
        <v>689328100</v>
      </c>
      <c r="N19" s="179">
        <v>110365025</v>
      </c>
      <c r="O19" s="179">
        <v>1828509200</v>
      </c>
      <c r="P19" s="179">
        <v>130905506</v>
      </c>
      <c r="Q19" s="179">
        <v>7015782800</v>
      </c>
      <c r="R19" s="179">
        <v>405114123</v>
      </c>
      <c r="S19" s="179">
        <v>167834200</v>
      </c>
      <c r="T19" s="179">
        <v>192570296</v>
      </c>
    </row>
    <row r="20" spans="1:20">
      <c r="A20" s="179" t="s">
        <v>548</v>
      </c>
      <c r="B20" s="179">
        <v>22</v>
      </c>
      <c r="C20" s="179" t="s">
        <v>549</v>
      </c>
      <c r="D20" s="179">
        <v>207930670100</v>
      </c>
      <c r="E20" s="179">
        <f t="shared" si="0"/>
        <v>207930.67009999999</v>
      </c>
      <c r="F20" s="179">
        <v>2217649707</v>
      </c>
      <c r="G20" s="179">
        <v>189594146600</v>
      </c>
      <c r="H20" s="179">
        <v>2164073554</v>
      </c>
      <c r="I20" s="179">
        <v>3871785300</v>
      </c>
      <c r="J20" s="179">
        <v>347790567</v>
      </c>
      <c r="K20" s="179">
        <v>2168118600</v>
      </c>
      <c r="L20" s="179">
        <v>351544576</v>
      </c>
      <c r="M20" s="179">
        <v>1009374700</v>
      </c>
      <c r="N20" s="179">
        <v>141813701</v>
      </c>
      <c r="O20" s="179">
        <v>1764077000</v>
      </c>
      <c r="P20" s="179">
        <v>141437229</v>
      </c>
      <c r="Q20" s="179">
        <v>9423409100</v>
      </c>
      <c r="R20" s="179">
        <v>519336765</v>
      </c>
      <c r="S20" s="179">
        <v>99758800</v>
      </c>
      <c r="T20" s="179">
        <v>57601315</v>
      </c>
    </row>
    <row r="21" spans="1:20">
      <c r="A21" s="179" t="s">
        <v>550</v>
      </c>
      <c r="B21" s="179">
        <v>23</v>
      </c>
      <c r="C21" s="179" t="s">
        <v>551</v>
      </c>
      <c r="D21" s="179">
        <v>87828797900</v>
      </c>
      <c r="E21" s="179">
        <f t="shared" si="0"/>
        <v>87828.797900000005</v>
      </c>
      <c r="F21" s="179">
        <v>1181785823</v>
      </c>
      <c r="G21" s="179">
        <v>79563086000</v>
      </c>
      <c r="H21" s="179">
        <v>1117062494</v>
      </c>
      <c r="I21" s="179">
        <v>2405618000</v>
      </c>
      <c r="J21" s="179">
        <v>201700569</v>
      </c>
      <c r="K21" s="179">
        <v>1679001300</v>
      </c>
      <c r="L21" s="179">
        <v>173228413</v>
      </c>
      <c r="M21" s="179">
        <v>850546300</v>
      </c>
      <c r="N21" s="179">
        <v>121819302</v>
      </c>
      <c r="O21" s="179">
        <v>714196300</v>
      </c>
      <c r="P21" s="179">
        <v>73955157</v>
      </c>
      <c r="Q21" s="179">
        <v>2604136200</v>
      </c>
      <c r="R21" s="179">
        <v>135347084</v>
      </c>
      <c r="S21" s="179">
        <v>12213800</v>
      </c>
      <c r="T21" s="179">
        <v>8443365</v>
      </c>
    </row>
    <row r="22" spans="1:20">
      <c r="A22" s="179" t="s">
        <v>552</v>
      </c>
      <c r="B22" s="179">
        <v>24</v>
      </c>
      <c r="C22" s="179" t="s">
        <v>553</v>
      </c>
      <c r="D22" s="179">
        <v>519231424100</v>
      </c>
      <c r="E22" s="179">
        <f t="shared" si="0"/>
        <v>519231.4241</v>
      </c>
      <c r="F22" s="179">
        <v>3385802276</v>
      </c>
      <c r="G22" s="179">
        <v>423242678600</v>
      </c>
      <c r="H22" s="179">
        <v>3123050513</v>
      </c>
      <c r="I22" s="179">
        <v>74958257300</v>
      </c>
      <c r="J22" s="179">
        <v>982673141</v>
      </c>
      <c r="K22" s="179">
        <v>1014893500</v>
      </c>
      <c r="L22" s="179">
        <v>152550437</v>
      </c>
      <c r="M22" s="179">
        <v>1001182500</v>
      </c>
      <c r="N22" s="179">
        <v>123469638</v>
      </c>
      <c r="O22" s="179">
        <v>17218218000</v>
      </c>
      <c r="P22" s="179">
        <v>558856951</v>
      </c>
      <c r="Q22" s="179">
        <v>1492755200</v>
      </c>
      <c r="R22" s="179">
        <v>167338885</v>
      </c>
      <c r="S22" s="179">
        <v>303439000</v>
      </c>
      <c r="T22" s="179">
        <v>371950699</v>
      </c>
    </row>
    <row r="23" spans="1:20">
      <c r="A23" s="179" t="s">
        <v>554</v>
      </c>
      <c r="B23" s="179">
        <v>25</v>
      </c>
      <c r="C23" s="179" t="s">
        <v>555</v>
      </c>
      <c r="D23" s="179">
        <v>686345138100</v>
      </c>
      <c r="E23" s="179">
        <f t="shared" si="0"/>
        <v>686345.13809999998</v>
      </c>
      <c r="F23" s="179">
        <v>4076139460</v>
      </c>
      <c r="G23" s="179">
        <v>546070535100</v>
      </c>
      <c r="H23" s="179">
        <v>3902299887</v>
      </c>
      <c r="I23" s="179">
        <v>36141836000</v>
      </c>
      <c r="J23" s="179">
        <v>1004914503</v>
      </c>
      <c r="K23" s="179">
        <v>39902685500</v>
      </c>
      <c r="L23" s="179">
        <v>1088437460</v>
      </c>
      <c r="M23" s="179">
        <v>24597431300</v>
      </c>
      <c r="N23" s="179">
        <v>1093829020</v>
      </c>
      <c r="O23" s="179">
        <v>38046106600</v>
      </c>
      <c r="P23" s="179">
        <v>1387121014</v>
      </c>
      <c r="Q23" s="179">
        <v>1569487200</v>
      </c>
      <c r="R23" s="179">
        <v>144734551</v>
      </c>
      <c r="S23" s="179">
        <v>17056400</v>
      </c>
      <c r="T23" s="179">
        <v>9300814</v>
      </c>
    </row>
    <row r="24" spans="1:20">
      <c r="A24" s="179" t="s">
        <v>556</v>
      </c>
      <c r="B24" s="179">
        <v>26</v>
      </c>
      <c r="C24" s="179" t="s">
        <v>557</v>
      </c>
      <c r="D24" s="179">
        <v>472961317800</v>
      </c>
      <c r="E24" s="179">
        <f t="shared" si="0"/>
        <v>472961.31780000002</v>
      </c>
      <c r="F24" s="179">
        <v>2269383774</v>
      </c>
      <c r="G24" s="179">
        <v>440732430800</v>
      </c>
      <c r="H24" s="179">
        <v>2205645110</v>
      </c>
      <c r="I24" s="179">
        <v>17972762100</v>
      </c>
      <c r="J24" s="179">
        <v>482696740</v>
      </c>
      <c r="K24" s="179">
        <v>1675485000</v>
      </c>
      <c r="L24" s="179">
        <v>159268311</v>
      </c>
      <c r="M24" s="179">
        <v>1777073700</v>
      </c>
      <c r="N24" s="179">
        <v>157116062</v>
      </c>
      <c r="O24" s="179">
        <v>4399282400</v>
      </c>
      <c r="P24" s="179">
        <v>289919834</v>
      </c>
      <c r="Q24" s="179">
        <v>6354672600</v>
      </c>
      <c r="R24" s="179">
        <v>282413330</v>
      </c>
      <c r="S24" s="179">
        <v>49611200</v>
      </c>
      <c r="T24" s="179">
        <v>19363395</v>
      </c>
    </row>
    <row r="25" spans="1:20">
      <c r="A25" s="179" t="s">
        <v>558</v>
      </c>
      <c r="B25" s="179">
        <v>27</v>
      </c>
      <c r="C25" s="179" t="s">
        <v>559</v>
      </c>
      <c r="D25" s="179">
        <v>367106341700</v>
      </c>
      <c r="E25" s="179">
        <f t="shared" si="0"/>
        <v>367106.34169999999</v>
      </c>
      <c r="F25" s="179">
        <v>2483364235</v>
      </c>
      <c r="G25" s="179">
        <v>331096226000</v>
      </c>
      <c r="H25" s="179">
        <v>2286856711</v>
      </c>
      <c r="I25" s="179">
        <v>22262649000</v>
      </c>
      <c r="J25" s="179">
        <v>482642337</v>
      </c>
      <c r="K25" s="179">
        <v>2044579600</v>
      </c>
      <c r="L25" s="179">
        <v>133017106</v>
      </c>
      <c r="M25" s="179">
        <v>1323527800</v>
      </c>
      <c r="N25" s="179">
        <v>145409257</v>
      </c>
      <c r="O25" s="179">
        <v>7454392700</v>
      </c>
      <c r="P25" s="179">
        <v>384552616</v>
      </c>
      <c r="Q25" s="179">
        <v>2879883100</v>
      </c>
      <c r="R25" s="179">
        <v>169318043</v>
      </c>
      <c r="S25" s="179">
        <v>45083500</v>
      </c>
      <c r="T25" s="179">
        <v>15132007</v>
      </c>
    </row>
    <row r="26" spans="1:20">
      <c r="A26" s="179" t="s">
        <v>560</v>
      </c>
      <c r="B26" s="179">
        <v>28</v>
      </c>
      <c r="C26" s="179" t="s">
        <v>561</v>
      </c>
      <c r="D26" s="179">
        <v>107347170300</v>
      </c>
      <c r="E26" s="179">
        <f t="shared" si="0"/>
        <v>107347.1703</v>
      </c>
      <c r="F26" s="179">
        <v>1597015256</v>
      </c>
      <c r="G26" s="179">
        <v>99480300700</v>
      </c>
      <c r="H26" s="179">
        <v>1539241642</v>
      </c>
      <c r="I26" s="179">
        <v>1177745700</v>
      </c>
      <c r="J26" s="179">
        <v>313153780</v>
      </c>
      <c r="K26" s="179">
        <v>85123500</v>
      </c>
      <c r="L26" s="179">
        <v>33723394</v>
      </c>
      <c r="M26" s="179">
        <v>139331500</v>
      </c>
      <c r="N26" s="179">
        <v>33037773</v>
      </c>
      <c r="O26" s="179">
        <v>253430500</v>
      </c>
      <c r="P26" s="179">
        <v>66149714</v>
      </c>
      <c r="Q26" s="179">
        <v>6152216500</v>
      </c>
      <c r="R26" s="179">
        <v>474034266</v>
      </c>
      <c r="S26" s="179">
        <v>59022000</v>
      </c>
      <c r="T26" s="179">
        <v>26987704</v>
      </c>
    </row>
    <row r="27" spans="1:20">
      <c r="A27" s="179" t="s">
        <v>562</v>
      </c>
      <c r="B27" s="179">
        <v>29</v>
      </c>
      <c r="C27" s="179" t="s">
        <v>563</v>
      </c>
      <c r="D27" s="179">
        <v>289197366900</v>
      </c>
      <c r="E27" s="179">
        <f t="shared" si="0"/>
        <v>289197.36690000002</v>
      </c>
      <c r="F27" s="179">
        <v>2511298609</v>
      </c>
      <c r="G27" s="179">
        <v>269944361300</v>
      </c>
      <c r="H27" s="179">
        <v>2393410221</v>
      </c>
      <c r="I27" s="179">
        <v>7134613900</v>
      </c>
      <c r="J27" s="179">
        <v>293190531</v>
      </c>
      <c r="K27" s="179">
        <v>1223468800</v>
      </c>
      <c r="L27" s="179">
        <v>101672000</v>
      </c>
      <c r="M27" s="179">
        <v>960399100</v>
      </c>
      <c r="N27" s="179">
        <v>95396511</v>
      </c>
      <c r="O27" s="179">
        <v>4202482900</v>
      </c>
      <c r="P27" s="179">
        <v>320432885</v>
      </c>
      <c r="Q27" s="179">
        <v>5684873500</v>
      </c>
      <c r="R27" s="179">
        <v>598492681</v>
      </c>
      <c r="S27" s="179">
        <v>47167400</v>
      </c>
      <c r="T27" s="179">
        <v>17809647</v>
      </c>
    </row>
    <row r="28" spans="1:20">
      <c r="A28" s="179" t="s">
        <v>564</v>
      </c>
      <c r="B28" s="179">
        <v>30</v>
      </c>
      <c r="C28" s="179" t="s">
        <v>565</v>
      </c>
      <c r="D28" s="179">
        <v>72231998300</v>
      </c>
      <c r="E28" s="179">
        <f t="shared" si="0"/>
        <v>72231.998300000007</v>
      </c>
      <c r="F28" s="179">
        <v>1076062975</v>
      </c>
      <c r="G28" s="179">
        <v>66378441900</v>
      </c>
      <c r="H28" s="179">
        <v>957476752</v>
      </c>
      <c r="I28" s="179">
        <v>1872789100</v>
      </c>
      <c r="J28" s="179">
        <v>187484678</v>
      </c>
      <c r="K28" s="179">
        <v>342773900</v>
      </c>
      <c r="L28" s="179">
        <v>61474608</v>
      </c>
      <c r="M28" s="179">
        <v>309646000</v>
      </c>
      <c r="N28" s="179">
        <v>62900385</v>
      </c>
      <c r="O28" s="179">
        <v>335767000</v>
      </c>
      <c r="P28" s="179">
        <v>56398511</v>
      </c>
      <c r="Q28" s="179">
        <v>2956960700</v>
      </c>
      <c r="R28" s="179">
        <v>503185956</v>
      </c>
      <c r="S28" s="179">
        <v>35619600</v>
      </c>
      <c r="T28" s="179">
        <v>16332718</v>
      </c>
    </row>
    <row r="29" spans="1:20">
      <c r="A29" s="179" t="s">
        <v>566</v>
      </c>
      <c r="B29" s="179">
        <v>31</v>
      </c>
      <c r="C29" s="179" t="s">
        <v>567</v>
      </c>
      <c r="D29" s="179">
        <v>85650640300</v>
      </c>
      <c r="E29" s="179">
        <f t="shared" si="0"/>
        <v>85650.640299999999</v>
      </c>
      <c r="F29" s="179">
        <v>1052213334</v>
      </c>
      <c r="G29" s="179">
        <v>81314661400</v>
      </c>
      <c r="H29" s="179">
        <v>991497985</v>
      </c>
      <c r="I29" s="179">
        <v>2641389000</v>
      </c>
      <c r="J29" s="179">
        <v>218636515</v>
      </c>
      <c r="K29" s="179">
        <v>177893200</v>
      </c>
      <c r="L29" s="179">
        <v>30389353</v>
      </c>
      <c r="M29" s="179">
        <v>138472200</v>
      </c>
      <c r="N29" s="179">
        <v>36529551</v>
      </c>
      <c r="O29" s="179">
        <v>659731500</v>
      </c>
      <c r="P29" s="179">
        <v>168649676</v>
      </c>
      <c r="Q29" s="179">
        <v>641064000</v>
      </c>
      <c r="R29" s="179">
        <v>78393677</v>
      </c>
      <c r="S29" s="179">
        <v>77428900</v>
      </c>
      <c r="T29" s="179">
        <v>95553094</v>
      </c>
    </row>
    <row r="30" spans="1:20">
      <c r="A30" s="179" t="s">
        <v>568</v>
      </c>
      <c r="B30" s="179">
        <v>32</v>
      </c>
      <c r="C30" s="179" t="s">
        <v>569</v>
      </c>
      <c r="D30" s="179">
        <v>152963357300</v>
      </c>
      <c r="E30" s="179">
        <f t="shared" si="0"/>
        <v>152963.3573</v>
      </c>
      <c r="F30" s="179">
        <v>2097121832</v>
      </c>
      <c r="G30" s="179">
        <v>139582381500</v>
      </c>
      <c r="H30" s="179">
        <v>1641736702</v>
      </c>
      <c r="I30" s="179">
        <v>4821568300</v>
      </c>
      <c r="J30" s="179">
        <v>306359718</v>
      </c>
      <c r="K30" s="179">
        <v>321855800</v>
      </c>
      <c r="L30" s="179">
        <v>77785166</v>
      </c>
      <c r="M30" s="179">
        <v>1064859300</v>
      </c>
      <c r="N30" s="179">
        <v>90310133</v>
      </c>
      <c r="O30" s="179">
        <v>3490045000</v>
      </c>
      <c r="P30" s="179">
        <v>524191291</v>
      </c>
      <c r="Q30" s="179">
        <v>3640493200</v>
      </c>
      <c r="R30" s="179">
        <v>672483772</v>
      </c>
      <c r="S30" s="179">
        <v>42154200</v>
      </c>
      <c r="T30" s="179">
        <v>18641475</v>
      </c>
    </row>
    <row r="31" spans="1:20">
      <c r="A31" s="179" t="s">
        <v>570</v>
      </c>
      <c r="B31" s="179">
        <v>33</v>
      </c>
      <c r="C31" s="179" t="s">
        <v>571</v>
      </c>
      <c r="D31" s="179">
        <v>101710339100</v>
      </c>
      <c r="E31" s="179">
        <f t="shared" si="0"/>
        <v>101710.3391</v>
      </c>
      <c r="F31" s="179">
        <v>1077382740</v>
      </c>
      <c r="G31" s="179">
        <v>91391641700</v>
      </c>
      <c r="H31" s="179">
        <v>1074479879</v>
      </c>
      <c r="I31" s="179">
        <v>4362461400</v>
      </c>
      <c r="J31" s="179">
        <v>200543093</v>
      </c>
      <c r="K31" s="179">
        <v>2005529800</v>
      </c>
      <c r="L31" s="179">
        <v>190717878</v>
      </c>
      <c r="M31" s="179">
        <v>824932700</v>
      </c>
      <c r="N31" s="179">
        <v>100003637</v>
      </c>
      <c r="O31" s="179">
        <v>1608739700</v>
      </c>
      <c r="P31" s="179">
        <v>143521446</v>
      </c>
      <c r="Q31" s="179">
        <v>1505033200</v>
      </c>
      <c r="R31" s="179">
        <v>82265937</v>
      </c>
      <c r="S31" s="179">
        <v>12000600</v>
      </c>
      <c r="T31" s="179">
        <v>7516912</v>
      </c>
    </row>
    <row r="32" spans="1:20">
      <c r="A32" s="179" t="s">
        <v>572</v>
      </c>
      <c r="B32" s="179">
        <v>34</v>
      </c>
      <c r="C32" s="179" t="s">
        <v>573</v>
      </c>
      <c r="D32" s="179">
        <v>781755590900</v>
      </c>
      <c r="E32" s="179">
        <f t="shared" si="0"/>
        <v>781755.59089999995</v>
      </c>
      <c r="F32" s="179">
        <v>4491487052</v>
      </c>
      <c r="G32" s="179">
        <v>656396844900</v>
      </c>
      <c r="H32" s="179">
        <v>3882093587</v>
      </c>
      <c r="I32" s="179">
        <v>54274900700</v>
      </c>
      <c r="J32" s="179">
        <v>924165809</v>
      </c>
      <c r="K32" s="179">
        <v>30213400100</v>
      </c>
      <c r="L32" s="179">
        <v>902309797</v>
      </c>
      <c r="M32" s="179">
        <v>9523783700</v>
      </c>
      <c r="N32" s="179">
        <v>546694522</v>
      </c>
      <c r="O32" s="179">
        <v>29417831500</v>
      </c>
      <c r="P32" s="179">
        <v>735278862</v>
      </c>
      <c r="Q32" s="179">
        <v>1911555000</v>
      </c>
      <c r="R32" s="179">
        <v>455229017</v>
      </c>
      <c r="S32" s="179">
        <v>17275000</v>
      </c>
      <c r="T32" s="179">
        <v>16467431</v>
      </c>
    </row>
    <row r="33" spans="1:20">
      <c r="A33" s="179" t="s">
        <v>574</v>
      </c>
      <c r="B33" s="179">
        <v>35</v>
      </c>
      <c r="C33" s="179" t="s">
        <v>575</v>
      </c>
      <c r="D33" s="179">
        <v>111988091100</v>
      </c>
      <c r="E33" s="179">
        <f t="shared" si="0"/>
        <v>111988.09110000001</v>
      </c>
      <c r="F33" s="179">
        <v>1666386196</v>
      </c>
      <c r="G33" s="179">
        <v>98839100700</v>
      </c>
      <c r="H33" s="179">
        <v>1552054704</v>
      </c>
      <c r="I33" s="179">
        <v>3458180600</v>
      </c>
      <c r="J33" s="179">
        <v>222985380</v>
      </c>
      <c r="K33" s="179">
        <v>254506200</v>
      </c>
      <c r="L33" s="179">
        <v>51882661</v>
      </c>
      <c r="M33" s="179">
        <v>283385000</v>
      </c>
      <c r="N33" s="179">
        <v>50635122</v>
      </c>
      <c r="O33" s="179">
        <v>462646100</v>
      </c>
      <c r="P33" s="179">
        <v>154547903</v>
      </c>
      <c r="Q33" s="179">
        <v>8647545300</v>
      </c>
      <c r="R33" s="179">
        <v>539864901</v>
      </c>
      <c r="S33" s="179">
        <v>42727200</v>
      </c>
      <c r="T33" s="179">
        <v>17070483</v>
      </c>
    </row>
    <row r="34" spans="1:20">
      <c r="A34" s="179" t="s">
        <v>576</v>
      </c>
      <c r="B34" s="179">
        <v>36</v>
      </c>
      <c r="C34" s="179" t="s">
        <v>577</v>
      </c>
      <c r="D34" s="179">
        <v>1655398378700</v>
      </c>
      <c r="E34" s="179">
        <f t="shared" si="0"/>
        <v>1655398.3787</v>
      </c>
      <c r="F34" s="179">
        <v>10477274405</v>
      </c>
      <c r="G34" s="179">
        <v>952128711800</v>
      </c>
      <c r="H34" s="179">
        <v>5724382100</v>
      </c>
      <c r="I34" s="179">
        <v>157763299500</v>
      </c>
      <c r="J34" s="179">
        <v>3919054023</v>
      </c>
      <c r="K34" s="179">
        <v>145615233900</v>
      </c>
      <c r="L34" s="179">
        <v>2323142168</v>
      </c>
      <c r="M34" s="179">
        <v>53405733300</v>
      </c>
      <c r="N34" s="179">
        <v>2091965000</v>
      </c>
      <c r="O34" s="179">
        <v>338213284200</v>
      </c>
      <c r="P34" s="179">
        <v>5914893883</v>
      </c>
      <c r="Q34" s="179">
        <v>7627400800</v>
      </c>
      <c r="R34" s="179">
        <v>414204260</v>
      </c>
      <c r="S34" s="179">
        <v>644715200</v>
      </c>
      <c r="T34" s="179">
        <v>314350197</v>
      </c>
    </row>
    <row r="35" spans="1:20">
      <c r="A35" s="179" t="s">
        <v>578</v>
      </c>
      <c r="B35" s="179">
        <v>37</v>
      </c>
      <c r="C35" s="179" t="s">
        <v>579</v>
      </c>
      <c r="D35" s="179">
        <v>525193874200</v>
      </c>
      <c r="E35" s="179">
        <f t="shared" si="0"/>
        <v>525193.87419999996</v>
      </c>
      <c r="F35" s="179">
        <v>4024939385</v>
      </c>
      <c r="G35" s="179">
        <v>479680910900</v>
      </c>
      <c r="H35" s="179">
        <v>4065392911</v>
      </c>
      <c r="I35" s="179">
        <v>17393076600</v>
      </c>
      <c r="J35" s="179">
        <v>509371333</v>
      </c>
      <c r="K35" s="179">
        <v>915644500</v>
      </c>
      <c r="L35" s="179">
        <v>118318518</v>
      </c>
      <c r="M35" s="179">
        <v>1231735400</v>
      </c>
      <c r="N35" s="179">
        <v>96964842</v>
      </c>
      <c r="O35" s="179">
        <v>5400500000</v>
      </c>
      <c r="P35" s="179">
        <v>236463393</v>
      </c>
      <c r="Q35" s="179">
        <v>20467841700</v>
      </c>
      <c r="R35" s="179">
        <v>739782391</v>
      </c>
      <c r="S35" s="179">
        <v>104165100</v>
      </c>
      <c r="T35" s="179">
        <v>44522940</v>
      </c>
    </row>
    <row r="36" spans="1:20">
      <c r="A36" s="179" t="s">
        <v>580</v>
      </c>
      <c r="B36" s="179">
        <v>38</v>
      </c>
      <c r="C36" s="179" t="s">
        <v>581</v>
      </c>
      <c r="D36" s="179">
        <v>39300118400</v>
      </c>
      <c r="E36" s="179">
        <f t="shared" si="0"/>
        <v>39300.118399999999</v>
      </c>
      <c r="F36" s="179">
        <v>609862741</v>
      </c>
      <c r="G36" s="179">
        <v>34740139300</v>
      </c>
      <c r="H36" s="179">
        <v>470171079</v>
      </c>
      <c r="I36" s="179">
        <v>2502137600</v>
      </c>
      <c r="J36" s="179">
        <v>316292648</v>
      </c>
      <c r="K36" s="179">
        <v>164024300</v>
      </c>
      <c r="L36" s="179">
        <v>43589531</v>
      </c>
      <c r="M36" s="179">
        <v>206833900</v>
      </c>
      <c r="N36" s="179">
        <v>42494097</v>
      </c>
      <c r="O36" s="179">
        <v>572826300</v>
      </c>
      <c r="P36" s="179">
        <v>144444938</v>
      </c>
      <c r="Q36" s="179">
        <v>1009211200</v>
      </c>
      <c r="R36" s="179">
        <v>79134852</v>
      </c>
      <c r="S36" s="179">
        <v>104945900</v>
      </c>
      <c r="T36" s="179">
        <v>165056344</v>
      </c>
    </row>
    <row r="37" spans="1:20">
      <c r="A37" s="179" t="s">
        <v>582</v>
      </c>
      <c r="B37" s="179">
        <v>39</v>
      </c>
      <c r="C37" s="179" t="s">
        <v>583</v>
      </c>
      <c r="D37" s="179">
        <v>509724723100</v>
      </c>
      <c r="E37" s="179">
        <f t="shared" si="0"/>
        <v>509724.7231</v>
      </c>
      <c r="F37" s="179">
        <v>3466217154</v>
      </c>
      <c r="G37" s="179">
        <v>474111157900</v>
      </c>
      <c r="H37" s="179">
        <v>3354398579</v>
      </c>
      <c r="I37" s="179">
        <v>18568696500</v>
      </c>
      <c r="J37" s="179">
        <v>810799698</v>
      </c>
      <c r="K37" s="179">
        <v>3306187200</v>
      </c>
      <c r="L37" s="179">
        <v>322210353</v>
      </c>
      <c r="M37" s="179">
        <v>2464983800</v>
      </c>
      <c r="N37" s="179">
        <v>165727375</v>
      </c>
      <c r="O37" s="179">
        <v>5510089800</v>
      </c>
      <c r="P37" s="179">
        <v>624005753</v>
      </c>
      <c r="Q37" s="179">
        <v>5521687400</v>
      </c>
      <c r="R37" s="179">
        <v>310612059</v>
      </c>
      <c r="S37" s="179">
        <v>241920500</v>
      </c>
      <c r="T37" s="179">
        <v>280078917</v>
      </c>
    </row>
    <row r="38" spans="1:20">
      <c r="A38" s="179" t="s">
        <v>584</v>
      </c>
      <c r="B38" s="179">
        <v>40</v>
      </c>
      <c r="C38" s="179" t="s">
        <v>585</v>
      </c>
      <c r="D38" s="179">
        <v>154472105600</v>
      </c>
      <c r="E38" s="179">
        <f t="shared" si="0"/>
        <v>154472.10560000001</v>
      </c>
      <c r="F38" s="179">
        <v>1284235527</v>
      </c>
      <c r="G38" s="179">
        <v>145662044000</v>
      </c>
      <c r="H38" s="179">
        <v>1268915073</v>
      </c>
      <c r="I38" s="179">
        <v>1818921200</v>
      </c>
      <c r="J38" s="179">
        <v>196687807</v>
      </c>
      <c r="K38" s="179">
        <v>198962700</v>
      </c>
      <c r="L38" s="179">
        <v>53613395</v>
      </c>
      <c r="M38" s="179">
        <v>188448600</v>
      </c>
      <c r="N38" s="179">
        <v>26843377</v>
      </c>
      <c r="O38" s="179">
        <v>621938100</v>
      </c>
      <c r="P38" s="179">
        <v>165013146</v>
      </c>
      <c r="Q38" s="179">
        <v>5890496500</v>
      </c>
      <c r="R38" s="179">
        <v>198302264</v>
      </c>
      <c r="S38" s="179">
        <v>91294500</v>
      </c>
      <c r="T38" s="179">
        <v>24048313</v>
      </c>
    </row>
    <row r="39" spans="1:20">
      <c r="A39" s="180" t="s">
        <v>302</v>
      </c>
      <c r="B39" s="180">
        <v>41</v>
      </c>
      <c r="C39" s="180" t="s">
        <v>227</v>
      </c>
      <c r="D39" s="180">
        <v>297749504600</v>
      </c>
      <c r="E39" s="180">
        <f t="shared" si="0"/>
        <v>297749.50459999999</v>
      </c>
      <c r="F39" s="180">
        <v>2894886406</v>
      </c>
      <c r="G39" s="180">
        <v>270465152700</v>
      </c>
      <c r="H39" s="180">
        <v>2582830080</v>
      </c>
      <c r="I39" s="180">
        <v>8229491800</v>
      </c>
      <c r="J39" s="180">
        <v>345222720</v>
      </c>
      <c r="K39" s="180">
        <v>1132437600</v>
      </c>
      <c r="L39" s="180">
        <v>137248957</v>
      </c>
      <c r="M39" s="180">
        <v>1225487100</v>
      </c>
      <c r="N39" s="180">
        <v>254398880</v>
      </c>
      <c r="O39" s="180">
        <v>4983695700</v>
      </c>
      <c r="P39" s="180">
        <v>303934497</v>
      </c>
      <c r="Q39" s="180">
        <v>11527508900</v>
      </c>
      <c r="R39" s="180">
        <v>966010135</v>
      </c>
      <c r="S39" s="180">
        <v>185730700</v>
      </c>
      <c r="T39" s="180">
        <v>54915664</v>
      </c>
    </row>
    <row r="40" spans="1:20">
      <c r="A40" s="179" t="s">
        <v>586</v>
      </c>
      <c r="B40" s="179">
        <v>42</v>
      </c>
      <c r="C40" s="179" t="s">
        <v>587</v>
      </c>
      <c r="D40" s="179">
        <v>737533014500</v>
      </c>
      <c r="E40" s="179">
        <f t="shared" si="0"/>
        <v>737533.01450000005</v>
      </c>
      <c r="F40" s="179">
        <v>4198955491</v>
      </c>
      <c r="G40" s="179">
        <v>603729510900</v>
      </c>
      <c r="H40" s="179">
        <v>3810050107</v>
      </c>
      <c r="I40" s="179">
        <v>107054421200</v>
      </c>
      <c r="J40" s="179">
        <v>1205519039</v>
      </c>
      <c r="K40" s="179">
        <v>4666029700</v>
      </c>
      <c r="L40" s="179">
        <v>232324161</v>
      </c>
      <c r="M40" s="179">
        <v>2768889300</v>
      </c>
      <c r="N40" s="179">
        <v>197102855</v>
      </c>
      <c r="O40" s="179">
        <v>11490691100</v>
      </c>
      <c r="P40" s="179">
        <v>489106433</v>
      </c>
      <c r="Q40" s="179">
        <v>7737774900</v>
      </c>
      <c r="R40" s="179">
        <v>374756764</v>
      </c>
      <c r="S40" s="179">
        <v>85697300</v>
      </c>
      <c r="T40" s="179">
        <v>32311029</v>
      </c>
    </row>
    <row r="41" spans="1:20">
      <c r="A41" s="179" t="s">
        <v>588</v>
      </c>
      <c r="B41" s="179">
        <v>44</v>
      </c>
      <c r="C41" s="179" t="s">
        <v>589</v>
      </c>
      <c r="D41" s="179">
        <v>72902959400</v>
      </c>
      <c r="E41" s="179">
        <f t="shared" si="0"/>
        <v>72902.959400000007</v>
      </c>
      <c r="F41" s="179">
        <v>1028977816</v>
      </c>
      <c r="G41" s="179">
        <v>64188857600</v>
      </c>
      <c r="H41" s="179">
        <v>1060165091</v>
      </c>
      <c r="I41" s="179">
        <v>2415360000</v>
      </c>
      <c r="J41" s="179">
        <v>251292451</v>
      </c>
      <c r="K41" s="179">
        <v>3073883000</v>
      </c>
      <c r="L41" s="179">
        <v>206189321</v>
      </c>
      <c r="M41" s="179">
        <v>1560853400</v>
      </c>
      <c r="N41" s="179">
        <v>131431748</v>
      </c>
      <c r="O41" s="179">
        <v>1460657900</v>
      </c>
      <c r="P41" s="179">
        <v>130040212</v>
      </c>
      <c r="Q41" s="179">
        <v>196919500</v>
      </c>
      <c r="R41" s="179">
        <v>33183429</v>
      </c>
      <c r="S41" s="179">
        <v>6428000</v>
      </c>
      <c r="T41" s="179">
        <v>5870547</v>
      </c>
    </row>
    <row r="42" spans="1:20">
      <c r="A42" s="179" t="s">
        <v>590</v>
      </c>
      <c r="B42" s="179">
        <v>45</v>
      </c>
      <c r="C42" s="179" t="s">
        <v>591</v>
      </c>
      <c r="D42" s="179">
        <v>256322683300</v>
      </c>
      <c r="E42" s="179">
        <f t="shared" si="0"/>
        <v>256322.6833</v>
      </c>
      <c r="F42" s="179">
        <v>2300485774</v>
      </c>
      <c r="G42" s="179">
        <v>230626235500</v>
      </c>
      <c r="H42" s="179">
        <v>2223339569</v>
      </c>
      <c r="I42" s="179">
        <v>6447627300</v>
      </c>
      <c r="J42" s="179">
        <v>346892160</v>
      </c>
      <c r="K42" s="179">
        <v>820072400</v>
      </c>
      <c r="L42" s="179">
        <v>245891679</v>
      </c>
      <c r="M42" s="179">
        <v>953547800</v>
      </c>
      <c r="N42" s="179">
        <v>150816075</v>
      </c>
      <c r="O42" s="179">
        <v>3421623700</v>
      </c>
      <c r="P42" s="179">
        <v>220336348</v>
      </c>
      <c r="Q42" s="179">
        <v>13776634800</v>
      </c>
      <c r="R42" s="179">
        <v>820449676</v>
      </c>
      <c r="S42" s="179">
        <v>276941800</v>
      </c>
      <c r="T42" s="179">
        <v>259605853</v>
      </c>
    </row>
    <row r="43" spans="1:20">
      <c r="A43" s="179" t="s">
        <v>592</v>
      </c>
      <c r="B43" s="179">
        <v>46</v>
      </c>
      <c r="C43" s="179" t="s">
        <v>593</v>
      </c>
      <c r="D43" s="179">
        <v>41749466300</v>
      </c>
      <c r="E43" s="179">
        <f t="shared" si="0"/>
        <v>41749.4663</v>
      </c>
      <c r="F43" s="179">
        <v>600641828</v>
      </c>
      <c r="G43" s="179">
        <v>38707030700</v>
      </c>
      <c r="H43" s="179">
        <v>554636865</v>
      </c>
      <c r="I43" s="179">
        <v>1422293500</v>
      </c>
      <c r="J43" s="179">
        <v>180753347</v>
      </c>
      <c r="K43" s="179">
        <v>142339600</v>
      </c>
      <c r="L43" s="179">
        <v>63703793</v>
      </c>
      <c r="M43" s="179">
        <v>87557900</v>
      </c>
      <c r="N43" s="179">
        <v>23379761</v>
      </c>
      <c r="O43" s="179">
        <v>269257700</v>
      </c>
      <c r="P43" s="179">
        <v>58496783</v>
      </c>
      <c r="Q43" s="179">
        <v>1116567800</v>
      </c>
      <c r="R43" s="179">
        <v>95699727</v>
      </c>
      <c r="S43" s="179">
        <v>4419000</v>
      </c>
      <c r="T43" s="179">
        <v>2524171</v>
      </c>
    </row>
    <row r="44" spans="1:20">
      <c r="A44" s="179" t="s">
        <v>594</v>
      </c>
      <c r="B44" s="179">
        <v>47</v>
      </c>
      <c r="C44" s="179" t="s">
        <v>595</v>
      </c>
      <c r="D44" s="179">
        <v>331052318200</v>
      </c>
      <c r="E44" s="179">
        <f t="shared" si="0"/>
        <v>331052.31819999998</v>
      </c>
      <c r="F44" s="179">
        <v>2462911087</v>
      </c>
      <c r="G44" s="179">
        <v>307632058900</v>
      </c>
      <c r="H44" s="179">
        <v>2469167534</v>
      </c>
      <c r="I44" s="179">
        <v>8886825400</v>
      </c>
      <c r="J44" s="179">
        <v>320652734</v>
      </c>
      <c r="K44" s="179">
        <v>1069418800</v>
      </c>
      <c r="L44" s="179">
        <v>120695626</v>
      </c>
      <c r="M44" s="179">
        <v>892182600</v>
      </c>
      <c r="N44" s="179">
        <v>100491225</v>
      </c>
      <c r="O44" s="179">
        <v>3074140100</v>
      </c>
      <c r="P44" s="179">
        <v>211110798</v>
      </c>
      <c r="Q44" s="179">
        <v>9400349500</v>
      </c>
      <c r="R44" s="179">
        <v>259081010</v>
      </c>
      <c r="S44" s="179">
        <v>97342900</v>
      </c>
      <c r="T44" s="179">
        <v>36108358</v>
      </c>
    </row>
    <row r="45" spans="1:20">
      <c r="A45" s="179" t="s">
        <v>596</v>
      </c>
      <c r="B45" s="179">
        <v>48</v>
      </c>
      <c r="C45" s="179" t="s">
        <v>597</v>
      </c>
      <c r="D45" s="179">
        <v>1196186617800</v>
      </c>
      <c r="E45" s="179">
        <f t="shared" si="0"/>
        <v>1196186.6177999999</v>
      </c>
      <c r="F45" s="179">
        <v>7416071562</v>
      </c>
      <c r="G45" s="179">
        <v>1118708678900</v>
      </c>
      <c r="H45" s="179">
        <v>6947723764</v>
      </c>
      <c r="I45" s="179">
        <v>27594727700</v>
      </c>
      <c r="J45" s="179">
        <v>866036617</v>
      </c>
      <c r="K45" s="179">
        <v>2042207000</v>
      </c>
      <c r="L45" s="179">
        <v>172457872</v>
      </c>
      <c r="M45" s="179">
        <v>2511733800</v>
      </c>
      <c r="N45" s="179">
        <v>222280454</v>
      </c>
      <c r="O45" s="179">
        <v>13832660200</v>
      </c>
      <c r="P45" s="179">
        <v>978272661</v>
      </c>
      <c r="Q45" s="179">
        <v>30815981700</v>
      </c>
      <c r="R45" s="179">
        <v>1352162083</v>
      </c>
      <c r="S45" s="179">
        <v>680628500</v>
      </c>
      <c r="T45" s="179">
        <v>235881115</v>
      </c>
    </row>
    <row r="46" spans="1:20">
      <c r="A46" s="179" t="s">
        <v>598</v>
      </c>
      <c r="B46" s="179">
        <v>49</v>
      </c>
      <c r="C46" s="179" t="s">
        <v>599</v>
      </c>
      <c r="D46" s="179">
        <v>183900116300</v>
      </c>
      <c r="E46" s="179">
        <f t="shared" si="0"/>
        <v>183900.11629999999</v>
      </c>
      <c r="F46" s="179">
        <v>1735197556</v>
      </c>
      <c r="G46" s="179">
        <v>170032508800</v>
      </c>
      <c r="H46" s="179">
        <v>1635787412</v>
      </c>
      <c r="I46" s="179">
        <v>7858025100</v>
      </c>
      <c r="J46" s="179">
        <v>400491695</v>
      </c>
      <c r="K46" s="179">
        <v>1005607100</v>
      </c>
      <c r="L46" s="179">
        <v>124020840</v>
      </c>
      <c r="M46" s="179">
        <v>1029830500</v>
      </c>
      <c r="N46" s="179">
        <v>113098934</v>
      </c>
      <c r="O46" s="179">
        <v>2875033900</v>
      </c>
      <c r="P46" s="179">
        <v>513712555</v>
      </c>
      <c r="Q46" s="179">
        <v>1055282000</v>
      </c>
      <c r="R46" s="179">
        <v>79519965</v>
      </c>
      <c r="S46" s="179">
        <v>43829000</v>
      </c>
      <c r="T46" s="179">
        <v>23171586</v>
      </c>
    </row>
    <row r="47" spans="1:20">
      <c r="A47" s="179" t="s">
        <v>600</v>
      </c>
      <c r="B47" s="179">
        <v>50</v>
      </c>
      <c r="C47" s="179" t="s">
        <v>601</v>
      </c>
      <c r="D47" s="179">
        <v>46340731000</v>
      </c>
      <c r="E47" s="179">
        <f t="shared" si="0"/>
        <v>46340.731</v>
      </c>
      <c r="F47" s="179">
        <v>650474912</v>
      </c>
      <c r="G47" s="179">
        <v>41286450900</v>
      </c>
      <c r="H47" s="179">
        <v>624176548</v>
      </c>
      <c r="I47" s="179">
        <v>1640027200</v>
      </c>
      <c r="J47" s="179">
        <v>122794716</v>
      </c>
      <c r="K47" s="179">
        <v>974872300</v>
      </c>
      <c r="L47" s="179">
        <v>231861166</v>
      </c>
      <c r="M47" s="179">
        <v>636859400</v>
      </c>
      <c r="N47" s="179">
        <v>89345545</v>
      </c>
      <c r="O47" s="179">
        <v>614193200</v>
      </c>
      <c r="P47" s="179">
        <v>105792179</v>
      </c>
      <c r="Q47" s="179">
        <v>1184507100</v>
      </c>
      <c r="R47" s="179">
        <v>83492412</v>
      </c>
      <c r="S47" s="179">
        <v>3820900</v>
      </c>
      <c r="T47" s="179">
        <v>3820103</v>
      </c>
    </row>
    <row r="48" spans="1:20">
      <c r="A48" s="179" t="s">
        <v>602</v>
      </c>
      <c r="B48" s="179">
        <v>51</v>
      </c>
      <c r="C48" s="179" t="s">
        <v>603</v>
      </c>
      <c r="D48" s="179">
        <v>667603749100</v>
      </c>
      <c r="E48" s="179">
        <f t="shared" si="0"/>
        <v>667603.74910000002</v>
      </c>
      <c r="F48" s="179">
        <v>4603619646</v>
      </c>
      <c r="G48" s="179">
        <v>559498353500</v>
      </c>
      <c r="H48" s="179">
        <v>4045603755</v>
      </c>
      <c r="I48" s="179">
        <v>76999308700</v>
      </c>
      <c r="J48" s="179">
        <v>1329566809</v>
      </c>
      <c r="K48" s="179">
        <v>1385299900</v>
      </c>
      <c r="L48" s="179">
        <v>161304495</v>
      </c>
      <c r="M48" s="179">
        <v>2065025700</v>
      </c>
      <c r="N48" s="179">
        <v>201559709</v>
      </c>
      <c r="O48" s="179">
        <v>20988138800</v>
      </c>
      <c r="P48" s="179">
        <v>672210978</v>
      </c>
      <c r="Q48" s="179">
        <v>6496684000</v>
      </c>
      <c r="R48" s="179">
        <v>322378609</v>
      </c>
      <c r="S48" s="179">
        <v>170938600</v>
      </c>
      <c r="T48" s="179">
        <v>178030276</v>
      </c>
    </row>
    <row r="49" spans="1:20">
      <c r="A49" s="179" t="s">
        <v>604</v>
      </c>
      <c r="B49" s="179">
        <v>53</v>
      </c>
      <c r="C49" s="179" t="s">
        <v>605</v>
      </c>
      <c r="D49" s="179">
        <v>612583973300</v>
      </c>
      <c r="E49" s="179">
        <f t="shared" si="0"/>
        <v>612583.97329999995</v>
      </c>
      <c r="F49" s="179">
        <v>3936315085</v>
      </c>
      <c r="G49" s="179">
        <v>553970339400</v>
      </c>
      <c r="H49" s="179">
        <v>3612859291</v>
      </c>
      <c r="I49" s="179">
        <v>19048283100</v>
      </c>
      <c r="J49" s="179">
        <v>705864713</v>
      </c>
      <c r="K49" s="179">
        <v>2830674100</v>
      </c>
      <c r="L49" s="179">
        <v>268224614</v>
      </c>
      <c r="M49" s="179">
        <v>3441593000</v>
      </c>
      <c r="N49" s="179">
        <v>420376082</v>
      </c>
      <c r="O49" s="179">
        <v>18808047800</v>
      </c>
      <c r="P49" s="179">
        <v>712227001</v>
      </c>
      <c r="Q49" s="179">
        <v>14136274100</v>
      </c>
      <c r="R49" s="179">
        <v>419192451</v>
      </c>
      <c r="S49" s="179">
        <v>348761800</v>
      </c>
      <c r="T49" s="179">
        <v>74901625</v>
      </c>
    </row>
    <row r="50" spans="1:20">
      <c r="A50" s="179" t="s">
        <v>606</v>
      </c>
      <c r="B50" s="179">
        <v>54</v>
      </c>
      <c r="C50" s="179" t="s">
        <v>607</v>
      </c>
      <c r="D50" s="179">
        <v>75844337200</v>
      </c>
      <c r="E50" s="179">
        <f t="shared" si="0"/>
        <v>75844.337199999994</v>
      </c>
      <c r="F50" s="179">
        <v>1044493746</v>
      </c>
      <c r="G50" s="179">
        <v>69877127900</v>
      </c>
      <c r="H50" s="179">
        <v>1036199711</v>
      </c>
      <c r="I50" s="179">
        <v>1405791600</v>
      </c>
      <c r="J50" s="179">
        <v>113617057</v>
      </c>
      <c r="K50" s="179">
        <v>164219800</v>
      </c>
      <c r="L50" s="179">
        <v>78572004</v>
      </c>
      <c r="M50" s="179">
        <v>93518500</v>
      </c>
      <c r="N50" s="179">
        <v>23772055</v>
      </c>
      <c r="O50" s="179">
        <v>219695300</v>
      </c>
      <c r="P50" s="179">
        <v>37009086</v>
      </c>
      <c r="Q50" s="179">
        <v>3948157400</v>
      </c>
      <c r="R50" s="179">
        <v>197138738</v>
      </c>
      <c r="S50" s="179">
        <v>135826700</v>
      </c>
      <c r="T50" s="179">
        <v>165506154</v>
      </c>
    </row>
    <row r="51" spans="1:20">
      <c r="A51" s="179" t="s">
        <v>608</v>
      </c>
      <c r="B51" s="179">
        <v>55</v>
      </c>
      <c r="C51" s="179" t="s">
        <v>609</v>
      </c>
      <c r="D51" s="179">
        <v>317123309600</v>
      </c>
      <c r="E51" s="179">
        <f t="shared" si="0"/>
        <v>317123.30959999998</v>
      </c>
      <c r="F51" s="179">
        <v>2038188920</v>
      </c>
      <c r="G51" s="179">
        <v>293355745500</v>
      </c>
      <c r="H51" s="179">
        <v>1957812363</v>
      </c>
      <c r="I51" s="179">
        <v>10275274500</v>
      </c>
      <c r="J51" s="179">
        <v>359567747</v>
      </c>
      <c r="K51" s="179">
        <v>4496146600</v>
      </c>
      <c r="L51" s="179">
        <v>281546604</v>
      </c>
      <c r="M51" s="179">
        <v>1575444900</v>
      </c>
      <c r="N51" s="179">
        <v>168531404</v>
      </c>
      <c r="O51" s="179">
        <v>4895439100</v>
      </c>
      <c r="P51" s="179">
        <v>241723369</v>
      </c>
      <c r="Q51" s="179">
        <v>2501007800</v>
      </c>
      <c r="R51" s="179">
        <v>98310170</v>
      </c>
      <c r="S51" s="179">
        <v>24251200</v>
      </c>
      <c r="T51" s="179">
        <v>9441379</v>
      </c>
    </row>
    <row r="52" spans="1:20">
      <c r="A52" s="179" t="s">
        <v>610</v>
      </c>
      <c r="B52" s="179">
        <v>56</v>
      </c>
      <c r="C52" s="179" t="s">
        <v>611</v>
      </c>
      <c r="D52" s="179">
        <v>41468675100</v>
      </c>
      <c r="E52" s="179">
        <f t="shared" si="0"/>
        <v>41468.6751</v>
      </c>
      <c r="F52" s="179">
        <v>1224335039</v>
      </c>
      <c r="G52" s="179">
        <v>38270802200</v>
      </c>
      <c r="H52" s="179">
        <v>1215945799</v>
      </c>
      <c r="I52" s="179">
        <v>1130080300</v>
      </c>
      <c r="J52" s="179">
        <v>110897200</v>
      </c>
      <c r="K52" s="179">
        <v>96998900</v>
      </c>
      <c r="L52" s="179">
        <v>32791959</v>
      </c>
      <c r="M52" s="179">
        <v>162270000</v>
      </c>
      <c r="N52" s="179">
        <v>71333901</v>
      </c>
      <c r="O52" s="179">
        <v>148311300</v>
      </c>
      <c r="P52" s="179">
        <v>61229537</v>
      </c>
      <c r="Q52" s="179">
        <v>1629429900</v>
      </c>
      <c r="R52" s="179">
        <v>193237452</v>
      </c>
      <c r="S52" s="179">
        <v>30782500</v>
      </c>
      <c r="T52" s="179">
        <v>26391429</v>
      </c>
    </row>
    <row r="53" spans="1:20">
      <c r="A53" s="179" t="s">
        <v>612</v>
      </c>
      <c r="B53" s="179">
        <v>72</v>
      </c>
      <c r="C53" s="179" t="s">
        <v>613</v>
      </c>
      <c r="D53" s="179">
        <v>126464945500</v>
      </c>
      <c r="E53" s="179">
        <f t="shared" si="0"/>
        <v>126464.9455</v>
      </c>
      <c r="F53" s="179">
        <v>2817025515</v>
      </c>
      <c r="G53" s="179">
        <v>99935234700</v>
      </c>
      <c r="H53" s="179">
        <v>2455303474</v>
      </c>
      <c r="I53" s="179">
        <v>12115001100</v>
      </c>
      <c r="J53" s="179">
        <v>754198010</v>
      </c>
      <c r="K53" s="179">
        <v>2493438200</v>
      </c>
      <c r="L53" s="179">
        <v>300982090</v>
      </c>
      <c r="M53" s="179">
        <v>1466298300</v>
      </c>
      <c r="N53" s="179">
        <v>278436736</v>
      </c>
      <c r="O53" s="179">
        <v>10097174300</v>
      </c>
      <c r="P53" s="179">
        <v>584243329</v>
      </c>
      <c r="Q53" s="179">
        <v>357799000</v>
      </c>
      <c r="R53" s="179">
        <v>181280457</v>
      </c>
      <c r="S53" s="179" t="s">
        <v>614</v>
      </c>
      <c r="T53" s="179" t="s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Y55"/>
  <sheetViews>
    <sheetView zoomScaleNormal="100" workbookViewId="0">
      <pane xSplit="2" ySplit="1" topLeftCell="R29" activePane="bottomRight" state="frozen"/>
      <selection pane="topRight" activeCell="C1" sqref="C1"/>
      <selection pane="bottomLeft" activeCell="A2" sqref="A2"/>
      <selection pane="bottomRight" activeCell="Y42" sqref="Y42"/>
    </sheetView>
  </sheetViews>
  <sheetFormatPr defaultRowHeight="14.4"/>
  <cols>
    <col min="1" max="2" width="8.88671875" style="16"/>
    <col min="3" max="3" width="12.109375" style="16" bestFit="1" customWidth="1"/>
    <col min="4" max="4" width="12.109375" style="16" customWidth="1"/>
    <col min="5" max="5" width="10" style="16" bestFit="1" customWidth="1"/>
    <col min="6" max="10" width="12" style="16" bestFit="1" customWidth="1"/>
    <col min="11" max="11" width="12" style="16" customWidth="1"/>
    <col min="12" max="13" width="12" style="16" bestFit="1" customWidth="1"/>
    <col min="14" max="14" width="10" style="16" bestFit="1" customWidth="1"/>
    <col min="15" max="15" width="12" style="16" bestFit="1" customWidth="1"/>
    <col min="16" max="19" width="10" style="16" bestFit="1" customWidth="1"/>
    <col min="20" max="20" width="8.88671875" style="16"/>
    <col min="21" max="22" width="10" style="16" bestFit="1" customWidth="1"/>
    <col min="23" max="23" width="10" style="16" customWidth="1"/>
    <col min="24" max="25" width="12" style="16" bestFit="1" customWidth="1"/>
    <col min="26" max="26" width="8.88671875" style="16"/>
    <col min="27" max="33" width="10" style="16" bestFit="1" customWidth="1"/>
    <col min="34" max="39" width="12" style="16" customWidth="1"/>
    <col min="40" max="42" width="9" style="16" customWidth="1"/>
    <col min="43" max="44" width="8.88671875" style="16"/>
    <col min="45" max="45" width="10" style="16" bestFit="1" customWidth="1"/>
    <col min="46" max="46" width="12" style="16" bestFit="1" customWidth="1"/>
    <col min="47" max="47" width="12.6640625" style="16" bestFit="1" customWidth="1"/>
    <col min="48" max="49" width="10" style="16" bestFit="1" customWidth="1"/>
    <col min="50" max="50" width="12" style="16" bestFit="1" customWidth="1"/>
    <col min="51" max="16384" width="8.88671875" style="16"/>
  </cols>
  <sheetData>
    <row r="1" spans="2:51">
      <c r="C1" s="16" t="s">
        <v>271</v>
      </c>
      <c r="D1" s="16" t="s">
        <v>290</v>
      </c>
      <c r="E1" s="16" t="s">
        <v>311</v>
      </c>
      <c r="F1" s="16" t="s">
        <v>296</v>
      </c>
      <c r="G1" s="16" t="s">
        <v>295</v>
      </c>
      <c r="H1" s="16" t="s">
        <v>293</v>
      </c>
      <c r="I1" s="16" t="s">
        <v>269</v>
      </c>
      <c r="J1" s="16" t="s">
        <v>294</v>
      </c>
      <c r="K1" s="16" t="s">
        <v>312</v>
      </c>
      <c r="L1" s="16" t="s">
        <v>246</v>
      </c>
      <c r="M1" s="16" t="s">
        <v>247</v>
      </c>
      <c r="N1" s="16" t="s">
        <v>248</v>
      </c>
      <c r="O1" s="16" t="s">
        <v>249</v>
      </c>
      <c r="P1" s="16" t="s">
        <v>250</v>
      </c>
      <c r="Q1" s="16" t="s">
        <v>251</v>
      </c>
      <c r="R1" s="16" t="s">
        <v>252</v>
      </c>
      <c r="S1" s="16" t="s">
        <v>253</v>
      </c>
      <c r="T1" s="16" t="s">
        <v>254</v>
      </c>
      <c r="U1" s="16" t="s">
        <v>255</v>
      </c>
      <c r="V1" s="16" t="s">
        <v>256</v>
      </c>
      <c r="W1" s="16" t="s">
        <v>405</v>
      </c>
      <c r="X1" s="16" t="s">
        <v>257</v>
      </c>
      <c r="Y1" s="16" t="s">
        <v>1</v>
      </c>
      <c r="Z1" s="16" t="s">
        <v>2</v>
      </c>
      <c r="AA1" s="16" t="s">
        <v>3</v>
      </c>
      <c r="AB1" s="16" t="s">
        <v>4</v>
      </c>
      <c r="AC1" s="16" t="s">
        <v>5</v>
      </c>
      <c r="AD1" s="16" t="s">
        <v>6</v>
      </c>
      <c r="AE1" s="16" t="s">
        <v>7</v>
      </c>
      <c r="AF1" s="16" t="s">
        <v>8</v>
      </c>
      <c r="AG1" s="16" t="s">
        <v>9</v>
      </c>
      <c r="AH1" s="16" t="s">
        <v>258</v>
      </c>
      <c r="AI1" s="16" t="s">
        <v>259</v>
      </c>
      <c r="AJ1" s="16" t="s">
        <v>260</v>
      </c>
      <c r="AK1" s="16" t="s">
        <v>261</v>
      </c>
      <c r="AL1" s="16" t="s">
        <v>262</v>
      </c>
      <c r="AM1" s="16" t="s">
        <v>263</v>
      </c>
      <c r="AN1" s="16" t="s">
        <v>299</v>
      </c>
      <c r="AO1" s="16" t="s">
        <v>300</v>
      </c>
      <c r="AP1" s="16" t="s">
        <v>301</v>
      </c>
      <c r="AQ1" s="16" t="s">
        <v>414</v>
      </c>
      <c r="AR1" s="16" t="s">
        <v>415</v>
      </c>
      <c r="AS1" s="16" t="s">
        <v>450</v>
      </c>
      <c r="AT1" s="16" t="s">
        <v>418</v>
      </c>
      <c r="AU1" s="16" t="s">
        <v>265</v>
      </c>
      <c r="AV1" s="16" t="s">
        <v>307</v>
      </c>
      <c r="AW1" s="16" t="s">
        <v>308</v>
      </c>
      <c r="AX1" s="16" t="s">
        <v>266</v>
      </c>
      <c r="AY1" s="16" t="s">
        <v>212</v>
      </c>
    </row>
    <row r="2" spans="2:51">
      <c r="B2" s="16" t="s">
        <v>271</v>
      </c>
      <c r="C2" s="109">
        <f>'I-O'!C74</f>
        <v>834.78738619503577</v>
      </c>
      <c r="D2" s="109">
        <f>'I-O'!D74</f>
        <v>223.45589629367237</v>
      </c>
      <c r="E2" s="109">
        <f>'I-O'!E74</f>
        <v>444.54002798925427</v>
      </c>
      <c r="F2" s="109">
        <f>'I-O'!F74</f>
        <v>1742.4746474523035</v>
      </c>
      <c r="G2" s="109">
        <f>'I-O'!G74</f>
        <v>89.712907375883461</v>
      </c>
      <c r="H2" s="109">
        <f>'I-O'!H74</f>
        <v>280.95129934194557</v>
      </c>
      <c r="I2" s="109">
        <f>'I-O'!I74</f>
        <v>21.955088162944538</v>
      </c>
      <c r="J2" s="109">
        <f>'I-O'!J74</f>
        <v>678.69331479545144</v>
      </c>
      <c r="K2" s="109">
        <f>'I-O'!K74</f>
        <v>863.28212727687526</v>
      </c>
      <c r="X2" s="32">
        <f>'Capcom-invest'!C49</f>
        <v>494.42398259805429</v>
      </c>
      <c r="Y2" s="36"/>
      <c r="Z2" s="36"/>
      <c r="AA2" s="36"/>
      <c r="AB2" s="36"/>
      <c r="AC2" s="36"/>
      <c r="AD2" s="36"/>
      <c r="AE2" s="36"/>
      <c r="AF2" s="36"/>
      <c r="AG2" s="36"/>
      <c r="AU2" s="155"/>
      <c r="AV2" s="155"/>
      <c r="AW2" s="155"/>
      <c r="AX2" s="109">
        <f>'Import-Export'!E2</f>
        <v>4961.3916309155038</v>
      </c>
      <c r="AY2" s="16">
        <f t="shared" ref="AY2:AY49" si="0">SUM(C2:AX2)</f>
        <v>10635.668308396924</v>
      </c>
    </row>
    <row r="3" spans="2:51">
      <c r="B3" s="16" t="s">
        <v>290</v>
      </c>
      <c r="C3" s="109">
        <f>'I-O'!C75</f>
        <v>71.082197658559423</v>
      </c>
      <c r="D3" s="109">
        <f>'I-O'!D75</f>
        <v>187.30593682452906</v>
      </c>
      <c r="E3" s="109">
        <f>'I-O'!E75</f>
        <v>121.45848135267816</v>
      </c>
      <c r="F3" s="109">
        <f>'I-O'!F75</f>
        <v>371.83807117735887</v>
      </c>
      <c r="G3" s="109">
        <f>'I-O'!G75</f>
        <v>1593.7880939505901</v>
      </c>
      <c r="H3" s="109">
        <f>'I-O'!H75</f>
        <v>3184.5346652091143</v>
      </c>
      <c r="I3" s="109">
        <f>'I-O'!I75</f>
        <v>622.40821134868736</v>
      </c>
      <c r="J3" s="109">
        <f>'I-O'!J75</f>
        <v>2712.0841360204709</v>
      </c>
      <c r="K3" s="109">
        <f>'I-O'!K75</f>
        <v>3449.7080069268859</v>
      </c>
      <c r="L3" s="29"/>
      <c r="X3" s="32">
        <f>'Capcom-invest'!C50</f>
        <v>169457.075012941</v>
      </c>
      <c r="Y3" s="36"/>
      <c r="Z3" s="36"/>
      <c r="AA3" s="36"/>
      <c r="AB3" s="36"/>
      <c r="AC3" s="36"/>
      <c r="AD3" s="36"/>
      <c r="AE3" s="36"/>
      <c r="AF3" s="36"/>
      <c r="AG3" s="36"/>
      <c r="AU3" s="155"/>
      <c r="AV3" s="155"/>
      <c r="AW3" s="155"/>
      <c r="AX3" s="109">
        <f>'Import-Export'!E3</f>
        <v>-14442.650263836171</v>
      </c>
      <c r="AY3" s="16">
        <f t="shared" si="0"/>
        <v>167328.6325495737</v>
      </c>
    </row>
    <row r="4" spans="2:51">
      <c r="B4" s="16" t="s">
        <v>311</v>
      </c>
      <c r="C4" s="109">
        <f>'I-O'!C76</f>
        <v>37.779435866068198</v>
      </c>
      <c r="D4" s="109">
        <f>'I-O'!D76</f>
        <v>48.161342359218722</v>
      </c>
      <c r="E4" s="109">
        <f>'I-O'!E76</f>
        <v>5.5257153740498879</v>
      </c>
      <c r="F4" s="109">
        <f>'I-O'!F76</f>
        <v>136.23390365016931</v>
      </c>
      <c r="G4" s="109">
        <f>'I-O'!G76</f>
        <v>201.23757495170415</v>
      </c>
      <c r="H4" s="109">
        <f>'I-O'!H76</f>
        <v>3544.9852344566516</v>
      </c>
      <c r="I4" s="109">
        <f>'I-O'!I76</f>
        <v>50.754231650074885</v>
      </c>
      <c r="J4" s="109">
        <f>'I-O'!J76</f>
        <v>285.53377422575727</v>
      </c>
      <c r="K4" s="109">
        <f>'I-O'!K76</f>
        <v>363.1923265625465</v>
      </c>
      <c r="L4" s="109">
        <f>LandKAP!V14</f>
        <v>57934.042739466997</v>
      </c>
      <c r="X4" s="32">
        <f>'Capcom-invest'!C51</f>
        <v>351424.2911397643</v>
      </c>
      <c r="Y4" s="36"/>
      <c r="Z4" s="36"/>
      <c r="AA4" s="36"/>
      <c r="AB4" s="36"/>
      <c r="AC4" s="36"/>
      <c r="AD4" s="36"/>
      <c r="AE4" s="36"/>
      <c r="AF4" s="36"/>
      <c r="AG4" s="36"/>
      <c r="AU4" s="155"/>
      <c r="AV4" s="155"/>
      <c r="AW4" s="155"/>
      <c r="AX4" s="109">
        <f>'Import-Export'!E4</f>
        <v>14053.589018159488</v>
      </c>
      <c r="AY4" s="16">
        <f t="shared" si="0"/>
        <v>428085.32643648703</v>
      </c>
    </row>
    <row r="5" spans="2:51">
      <c r="B5" s="16" t="s">
        <v>296</v>
      </c>
      <c r="C5" s="109">
        <f>'I-O'!C77</f>
        <v>1009.3588556254475</v>
      </c>
      <c r="D5" s="109">
        <f>'I-O'!D77</f>
        <v>347.38870764733758</v>
      </c>
      <c r="E5" s="109">
        <f>'I-O'!E77</f>
        <v>9878.4695475775206</v>
      </c>
      <c r="F5" s="109">
        <f>'I-O'!F77</f>
        <v>10108.483922215062</v>
      </c>
      <c r="G5" s="109">
        <f>'I-O'!G77</f>
        <v>7634.7039586981582</v>
      </c>
      <c r="H5" s="109">
        <f>'I-O'!H77</f>
        <v>25087.84928473847</v>
      </c>
      <c r="I5" s="109">
        <f>'I-O'!I77</f>
        <v>8653.6916918364204</v>
      </c>
      <c r="J5" s="109">
        <f>'I-O'!J77</f>
        <v>10445.57646878688</v>
      </c>
      <c r="K5" s="109">
        <f>'I-O'!K77</f>
        <v>13286.530569886854</v>
      </c>
      <c r="L5" s="29"/>
      <c r="X5" s="32">
        <f>'Capcom-invest'!C52</f>
        <v>154346.8020903061</v>
      </c>
      <c r="Y5" s="36"/>
      <c r="Z5" s="36"/>
      <c r="AA5" s="36"/>
      <c r="AB5" s="36"/>
      <c r="AC5" s="36"/>
      <c r="AD5" s="36"/>
      <c r="AE5" s="36"/>
      <c r="AF5" s="36"/>
      <c r="AG5" s="36"/>
      <c r="AU5" s="155"/>
      <c r="AV5" s="155"/>
      <c r="AW5" s="155"/>
      <c r="AX5" s="109">
        <f>'Import-Export'!E5</f>
        <v>-15739.913256452128</v>
      </c>
      <c r="AY5" s="16">
        <f t="shared" si="0"/>
        <v>225058.94184086611</v>
      </c>
    </row>
    <row r="6" spans="2:51">
      <c r="B6" s="16" t="s">
        <v>295</v>
      </c>
      <c r="C6" s="109">
        <f>'I-O'!C78</f>
        <v>3.7287189912365633</v>
      </c>
      <c r="D6" s="109">
        <f>'I-O'!D78</f>
        <v>63.647395955724264</v>
      </c>
      <c r="E6" s="109">
        <f>'I-O'!E78</f>
        <v>4217.8965275763412</v>
      </c>
      <c r="F6" s="109">
        <f>'I-O'!F78</f>
        <v>1720.4633601352202</v>
      </c>
      <c r="G6" s="109">
        <f>'I-O'!G78</f>
        <v>2668.9657987001274</v>
      </c>
      <c r="H6" s="109">
        <f>'I-O'!H78</f>
        <v>6771.6406071774145</v>
      </c>
      <c r="I6" s="109">
        <f>'I-O'!I78</f>
        <v>2273.4288370863551</v>
      </c>
      <c r="J6" s="109">
        <f>'I-O'!J78</f>
        <v>2989.1855014190546</v>
      </c>
      <c r="K6" s="109">
        <f>'I-O'!K78</f>
        <v>3802.1745053846062</v>
      </c>
      <c r="L6" s="29"/>
      <c r="X6" s="32">
        <f>'Capcom-invest'!C53</f>
        <v>21663.26930962627</v>
      </c>
      <c r="Y6" s="36"/>
      <c r="Z6" s="36"/>
      <c r="AA6" s="36"/>
      <c r="AB6" s="36"/>
      <c r="AC6" s="36"/>
      <c r="AD6" s="36"/>
      <c r="AE6" s="36"/>
      <c r="AF6" s="36"/>
      <c r="AG6" s="36"/>
      <c r="AU6" s="155"/>
      <c r="AV6" s="155"/>
      <c r="AW6" s="155"/>
      <c r="AX6" s="109">
        <f>'Import-Export'!E6</f>
        <v>109034.38686086948</v>
      </c>
      <c r="AY6" s="16">
        <f t="shared" si="0"/>
        <v>155208.78742292183</v>
      </c>
    </row>
    <row r="7" spans="2:51">
      <c r="B7" s="16" t="s">
        <v>293</v>
      </c>
      <c r="C7" s="109">
        <f>'I-O'!C79</f>
        <v>822.48564815850864</v>
      </c>
      <c r="D7" s="109">
        <f>'I-O'!D79</f>
        <v>353.40566810723999</v>
      </c>
      <c r="E7" s="109">
        <f>'I-O'!E79</f>
        <v>3790.2713062461116</v>
      </c>
      <c r="F7" s="109">
        <f>'I-O'!F79</f>
        <v>4552.8162007332958</v>
      </c>
      <c r="G7" s="109">
        <f>'I-O'!G79</f>
        <v>29485.781938501637</v>
      </c>
      <c r="H7" s="109">
        <f>'I-O'!H79</f>
        <v>125935.5671758612</v>
      </c>
      <c r="I7" s="109">
        <f>'I-O'!I79</f>
        <v>23627.873485847846</v>
      </c>
      <c r="J7" s="109">
        <f>'I-O'!J79</f>
        <v>30185.164126425778</v>
      </c>
      <c r="K7" s="109">
        <f>'I-O'!K79</f>
        <v>38394.827429700075</v>
      </c>
      <c r="L7" s="109">
        <f>LandKAP!V15</f>
        <v>48278.368949555836</v>
      </c>
      <c r="X7" s="32">
        <f>'Capcom-invest'!C54</f>
        <v>37929.068424682198</v>
      </c>
      <c r="Y7" s="36"/>
      <c r="Z7" s="36"/>
      <c r="AA7" s="36"/>
      <c r="AB7" s="36"/>
      <c r="AC7" s="36"/>
      <c r="AD7" s="36"/>
      <c r="AE7" s="36"/>
      <c r="AF7" s="36"/>
      <c r="AG7" s="36"/>
      <c r="AU7" s="155"/>
      <c r="AV7" s="155"/>
      <c r="AW7" s="155"/>
      <c r="AX7" s="109">
        <f>'Import-Export'!E7</f>
        <v>381872.18610178056</v>
      </c>
      <c r="AY7" s="16">
        <f t="shared" si="0"/>
        <v>725227.81645560032</v>
      </c>
    </row>
    <row r="8" spans="2:51">
      <c r="B8" s="16" t="s">
        <v>269</v>
      </c>
      <c r="C8" s="109">
        <f>'I-O'!C80</f>
        <v>0.12585499891559013</v>
      </c>
      <c r="D8" s="109">
        <f>'I-O'!D80</f>
        <v>1.2340438124124136</v>
      </c>
      <c r="E8" s="109">
        <f>'I-O'!E80</f>
        <v>0.18273393760337517</v>
      </c>
      <c r="F8" s="109">
        <f>'I-O'!F80</f>
        <v>3.2904637371895569</v>
      </c>
      <c r="G8" s="109">
        <f>'I-O'!G80</f>
        <v>244.0990173810292</v>
      </c>
      <c r="H8" s="109">
        <f>'I-O'!H80</f>
        <v>650.52960656040398</v>
      </c>
      <c r="I8" s="109">
        <f>'I-O'!I80</f>
        <v>1486.0217751255982</v>
      </c>
      <c r="J8" s="109">
        <f>'I-O'!J80</f>
        <v>174.56181390278337</v>
      </c>
      <c r="K8" s="109">
        <f>'I-O'!K80</f>
        <v>222.03857141678566</v>
      </c>
      <c r="X8" s="32">
        <f>'Capcom-invest'!C55</f>
        <v>0</v>
      </c>
      <c r="Y8" s="36"/>
      <c r="Z8" s="36"/>
      <c r="AA8" s="36"/>
      <c r="AB8" s="36"/>
      <c r="AC8" s="36"/>
      <c r="AD8" s="36"/>
      <c r="AE8" s="36"/>
      <c r="AF8" s="36"/>
      <c r="AG8" s="36"/>
      <c r="AU8" s="155"/>
      <c r="AV8" s="155"/>
      <c r="AW8" s="155"/>
      <c r="AX8" s="109">
        <f>'Import-Export'!E8</f>
        <v>115729.86095887407</v>
      </c>
      <c r="AY8" s="16">
        <f t="shared" si="0"/>
        <v>118511.94483974679</v>
      </c>
    </row>
    <row r="9" spans="2:51">
      <c r="B9" s="16" t="s">
        <v>294</v>
      </c>
      <c r="C9" s="109">
        <f>'I-O'!C81</f>
        <v>3.1982968628983897</v>
      </c>
      <c r="D9" s="109">
        <f>'I-O'!D81</f>
        <v>6.9528032133365603</v>
      </c>
      <c r="E9" s="109">
        <f>'I-O'!E81</f>
        <v>9.364552017304888</v>
      </c>
      <c r="F9" s="109">
        <f>'I-O'!F81</f>
        <v>67.93894296302885</v>
      </c>
      <c r="G9" s="109">
        <f>'I-O'!G81</f>
        <v>200.43152289814259</v>
      </c>
      <c r="H9" s="109">
        <f>'I-O'!H81</f>
        <v>2617.7133795687269</v>
      </c>
      <c r="I9" s="109">
        <f>'I-O'!I81</f>
        <v>760.15409471961732</v>
      </c>
      <c r="J9" s="109">
        <f>'I-O'!J81</f>
        <v>1218.8604798679992</v>
      </c>
      <c r="K9" s="109">
        <f>'I-O'!K81</f>
        <v>1550.362210700843</v>
      </c>
      <c r="X9" s="32">
        <f>'Capcom-invest'!C56</f>
        <v>3134.083390809325</v>
      </c>
      <c r="Y9" s="36"/>
      <c r="Z9" s="36"/>
      <c r="AA9" s="36"/>
      <c r="AB9" s="36"/>
      <c r="AC9" s="36"/>
      <c r="AD9" s="36"/>
      <c r="AE9" s="36"/>
      <c r="AF9" s="36"/>
      <c r="AG9" s="36"/>
      <c r="AU9" s="155"/>
      <c r="AV9" s="155"/>
      <c r="AW9" s="155"/>
      <c r="AX9" s="109">
        <f>'Import-Export'!E9</f>
        <v>147308.64610967375</v>
      </c>
      <c r="AY9" s="16">
        <f t="shared" si="0"/>
        <v>156877.70578329498</v>
      </c>
    </row>
    <row r="10" spans="2:51">
      <c r="B10" s="16" t="s">
        <v>312</v>
      </c>
      <c r="C10" s="109">
        <f>'I-O'!C82</f>
        <v>6.1061514447817578</v>
      </c>
      <c r="D10" s="109">
        <f>'I-O'!D82</f>
        <v>13.27421162147045</v>
      </c>
      <c r="E10" s="109">
        <f>'I-O'!E82</f>
        <v>17.878694593215695</v>
      </c>
      <c r="F10" s="109">
        <f>'I-O'!F82</f>
        <v>129.70824551749052</v>
      </c>
      <c r="G10" s="109">
        <f>'I-O'!G82</f>
        <v>382.66154943953484</v>
      </c>
      <c r="H10" s="109">
        <f>'I-O'!H82</f>
        <v>4997.708161522195</v>
      </c>
      <c r="I10" s="109">
        <f>'I-O'!I82</f>
        <v>1451.2774212968438</v>
      </c>
      <c r="J10" s="109">
        <f>'I-O'!J82</f>
        <v>2327.0343558379745</v>
      </c>
      <c r="K10" s="109">
        <f>'I-O'!K82</f>
        <v>2959.9336329983298</v>
      </c>
      <c r="X10" s="32">
        <f>'Capcom-invest'!C57</f>
        <v>4780.214715076977</v>
      </c>
      <c r="Y10" s="36"/>
      <c r="Z10" s="36"/>
      <c r="AA10" s="36"/>
      <c r="AB10" s="36"/>
      <c r="AC10" s="36"/>
      <c r="AD10" s="36"/>
      <c r="AE10" s="36"/>
      <c r="AF10" s="36"/>
      <c r="AG10" s="36"/>
      <c r="AU10" s="155"/>
      <c r="AV10" s="155"/>
      <c r="AW10" s="155"/>
      <c r="AX10" s="109">
        <f>'Import-Export'!E10</f>
        <v>184436.66985895205</v>
      </c>
      <c r="AY10" s="16">
        <f t="shared" si="0"/>
        <v>201502.46699830086</v>
      </c>
    </row>
    <row r="11" spans="2:51">
      <c r="B11" s="16" t="s">
        <v>246</v>
      </c>
      <c r="C11" s="29"/>
      <c r="D11" s="29"/>
      <c r="E11" s="29"/>
      <c r="F11" s="29"/>
      <c r="G11" s="29"/>
      <c r="H11" s="29"/>
      <c r="I11" s="29"/>
      <c r="J11" s="29"/>
      <c r="K11" s="29"/>
      <c r="X11" s="32">
        <f>'Capcom-invest'!C58</f>
        <v>0</v>
      </c>
      <c r="Y11" s="36"/>
      <c r="Z11" s="36"/>
      <c r="AA11" s="36"/>
      <c r="AB11" s="36"/>
      <c r="AC11" s="36"/>
      <c r="AD11" s="36"/>
      <c r="AE11" s="36"/>
      <c r="AF11" s="36"/>
      <c r="AG11" s="36"/>
      <c r="AY11" s="16">
        <f t="shared" si="0"/>
        <v>0</v>
      </c>
    </row>
    <row r="12" spans="2:51">
      <c r="B12" s="16" t="s">
        <v>247</v>
      </c>
      <c r="C12" s="109">
        <f>employ!AH6</f>
        <v>24.396000000000001</v>
      </c>
      <c r="D12" s="109">
        <f>employ!AI6</f>
        <v>8.4816001739501949</v>
      </c>
      <c r="E12" s="109">
        <f>employ!AJ6</f>
        <v>226.06199782562257</v>
      </c>
      <c r="F12" s="109">
        <f>employ!AK6</f>
        <v>307.32063000869755</v>
      </c>
      <c r="G12" s="109">
        <f>employ!AL6</f>
        <v>1139.4123312263489</v>
      </c>
      <c r="H12" s="109">
        <f>employ!AM6</f>
        <v>560.46902768754956</v>
      </c>
      <c r="I12" s="109">
        <f>employ!AN6</f>
        <v>297.19344000434876</v>
      </c>
      <c r="J12" s="109">
        <f>employ!AO6</f>
        <v>43.941299652099609</v>
      </c>
      <c r="K12" s="109">
        <f>employ!AP6</f>
        <v>406.26749847793582</v>
      </c>
      <c r="AU12" s="109">
        <f>employ!AQ6</f>
        <v>167.10119999456407</v>
      </c>
      <c r="AV12" s="155"/>
      <c r="AW12" s="155"/>
      <c r="AY12" s="16">
        <f t="shared" si="0"/>
        <v>3180.645025051117</v>
      </c>
    </row>
    <row r="13" spans="2:51">
      <c r="B13" s="16" t="s">
        <v>248</v>
      </c>
      <c r="C13" s="109">
        <f>employ!AH7</f>
        <v>196.70699999999999</v>
      </c>
      <c r="D13" s="109">
        <f>employ!AI7</f>
        <v>0</v>
      </c>
      <c r="E13" s="109">
        <f>employ!AJ7</f>
        <v>124.29419860839845</v>
      </c>
      <c r="F13" s="109">
        <f>employ!AK7</f>
        <v>120.45240069580079</v>
      </c>
      <c r="G13" s="109">
        <f>employ!AL7</f>
        <v>258.23849999999999</v>
      </c>
      <c r="H13" s="109">
        <f>employ!AM7</f>
        <v>1067.325003479004</v>
      </c>
      <c r="I13" s="109">
        <f>employ!AN7</f>
        <v>320.32859930419926</v>
      </c>
      <c r="J13" s="109">
        <f>employ!AO7</f>
        <v>285.91200000000003</v>
      </c>
      <c r="K13" s="109">
        <f>employ!AP7</f>
        <v>788.76600000000008</v>
      </c>
      <c r="AU13" s="109">
        <f>employ!AQ7</f>
        <v>64.341600173950198</v>
      </c>
      <c r="AV13" s="155"/>
      <c r="AW13" s="155"/>
      <c r="AY13" s="16">
        <f t="shared" si="0"/>
        <v>3226.3653022613526</v>
      </c>
    </row>
    <row r="14" spans="2:51">
      <c r="B14" s="16" t="s">
        <v>249</v>
      </c>
      <c r="C14" s="109">
        <f>employ!AH8</f>
        <v>0</v>
      </c>
      <c r="D14" s="109">
        <f>employ!AI8</f>
        <v>62.414999999999999</v>
      </c>
      <c r="E14" s="109">
        <f>employ!AJ8</f>
        <v>451.75350000000003</v>
      </c>
      <c r="F14" s="109">
        <f>employ!AK8</f>
        <v>917.02169860839842</v>
      </c>
      <c r="G14" s="109">
        <f>employ!AL8</f>
        <v>3652.4574041748047</v>
      </c>
      <c r="H14" s="109">
        <f>employ!AM8</f>
        <v>1856.0967020874025</v>
      </c>
      <c r="I14" s="109">
        <f>employ!AN8</f>
        <v>2451.1595993041992</v>
      </c>
      <c r="J14" s="109">
        <f>employ!AO8</f>
        <v>745.52010278320313</v>
      </c>
      <c r="K14" s="109">
        <f>employ!AP8</f>
        <v>1470.3377944335939</v>
      </c>
      <c r="AU14" s="109">
        <f>employ!AQ8</f>
        <v>226.71749304199218</v>
      </c>
      <c r="AV14" s="155"/>
      <c r="AW14" s="155"/>
      <c r="AY14" s="16">
        <f t="shared" si="0"/>
        <v>11833.479294433591</v>
      </c>
    </row>
    <row r="15" spans="2:51">
      <c r="B15" s="16" t="s">
        <v>250</v>
      </c>
      <c r="C15" s="109">
        <f>employ!AH9</f>
        <v>68.160599304199224</v>
      </c>
      <c r="D15" s="109">
        <f>employ!AI9</f>
        <v>0</v>
      </c>
      <c r="E15" s="109">
        <f>employ!AJ9</f>
        <v>404.17560278320315</v>
      </c>
      <c r="F15" s="109">
        <f>employ!AK9</f>
        <v>1919.3610000000001</v>
      </c>
      <c r="G15" s="109">
        <f>employ!AL9</f>
        <v>3346.2420000000002</v>
      </c>
      <c r="H15" s="109">
        <f>employ!AM9</f>
        <v>1804.9676986083985</v>
      </c>
      <c r="I15" s="109">
        <f>employ!AN9</f>
        <v>2545.4034041748046</v>
      </c>
      <c r="J15" s="109">
        <f>employ!AO9</f>
        <v>1724.0220139160158</v>
      </c>
      <c r="K15" s="109">
        <f>employ!AP9</f>
        <v>1016.7660000000001</v>
      </c>
      <c r="AU15" s="109">
        <f>employ!AQ9</f>
        <v>1171.4526027832032</v>
      </c>
      <c r="AV15" s="155"/>
      <c r="AW15" s="155"/>
      <c r="AY15" s="16">
        <f t="shared" si="0"/>
        <v>14000.550921569826</v>
      </c>
    </row>
    <row r="16" spans="2:51">
      <c r="B16" s="16" t="s">
        <v>251</v>
      </c>
      <c r="C16" s="109">
        <f>employ!AH10</f>
        <v>833.85300000000007</v>
      </c>
      <c r="D16" s="109">
        <f>employ!AI10</f>
        <v>720.89039721679694</v>
      </c>
      <c r="E16" s="109">
        <f>employ!AJ10</f>
        <v>1586.424</v>
      </c>
      <c r="F16" s="109">
        <f>employ!AK10</f>
        <v>4034.4657125244144</v>
      </c>
      <c r="G16" s="109">
        <f>employ!AL10</f>
        <v>3006.6701986083986</v>
      </c>
      <c r="H16" s="109">
        <f>employ!AM10</f>
        <v>6801.724493041992</v>
      </c>
      <c r="I16" s="109">
        <f>employ!AN10</f>
        <v>3108.1530000000002</v>
      </c>
      <c r="J16" s="109">
        <f>employ!AO10</f>
        <v>196.99200000000002</v>
      </c>
      <c r="K16" s="109">
        <f>employ!AP10</f>
        <v>719.73900000000003</v>
      </c>
      <c r="AU16" s="109">
        <f>employ!AQ10</f>
        <v>3000.8562055664065</v>
      </c>
      <c r="AV16" s="155"/>
      <c r="AW16" s="155"/>
      <c r="AY16" s="16">
        <f t="shared" si="0"/>
        <v>24009.768006958009</v>
      </c>
    </row>
    <row r="17" spans="2:51">
      <c r="B17" s="16" t="s">
        <v>252</v>
      </c>
      <c r="C17" s="109">
        <f>employ!AH11</f>
        <v>812.42100000000005</v>
      </c>
      <c r="D17" s="109">
        <f>employ!AI11</f>
        <v>633.66899999999998</v>
      </c>
      <c r="E17" s="109">
        <f>employ!AJ11</f>
        <v>5408.7870000000003</v>
      </c>
      <c r="F17" s="109">
        <f>employ!AK11</f>
        <v>10279.095000000001</v>
      </c>
      <c r="G17" s="109">
        <f>employ!AL11</f>
        <v>4524.5460000000003</v>
      </c>
      <c r="H17" s="109">
        <f>employ!AM11</f>
        <v>9195.9809999999998</v>
      </c>
      <c r="I17" s="109">
        <f>employ!AN11</f>
        <v>5690.7660000000005</v>
      </c>
      <c r="J17" s="109">
        <f>employ!AO11</f>
        <v>458.565</v>
      </c>
      <c r="K17" s="109">
        <f>employ!AP11</f>
        <v>0</v>
      </c>
      <c r="AU17" s="109">
        <f>employ!AQ11</f>
        <v>3529.4970000000003</v>
      </c>
      <c r="AV17" s="155"/>
      <c r="AW17" s="155"/>
      <c r="AY17" s="16">
        <f t="shared" si="0"/>
        <v>40533.327000000012</v>
      </c>
    </row>
    <row r="18" spans="2:51">
      <c r="B18" s="16" t="s">
        <v>253</v>
      </c>
      <c r="C18" s="109">
        <f>employ!AH12</f>
        <v>223.44</v>
      </c>
      <c r="D18" s="109">
        <f>employ!AI12</f>
        <v>0</v>
      </c>
      <c r="E18" s="109">
        <f>employ!AJ12</f>
        <v>3662.3070000000002</v>
      </c>
      <c r="F18" s="109">
        <f>employ!AK12</f>
        <v>6783.1710000000003</v>
      </c>
      <c r="G18" s="109">
        <f>employ!AL12</f>
        <v>855.51300000000003</v>
      </c>
      <c r="H18" s="109">
        <f>employ!AM12</f>
        <v>6919.4009999999998</v>
      </c>
      <c r="I18" s="109">
        <f>employ!AN12</f>
        <v>5412.8910000000005</v>
      </c>
      <c r="J18" s="109">
        <f>employ!AO12</f>
        <v>0</v>
      </c>
      <c r="K18" s="109">
        <f>employ!AP12</f>
        <v>0</v>
      </c>
      <c r="AU18" s="109">
        <f>employ!AQ12</f>
        <v>2143.029</v>
      </c>
      <c r="AV18" s="155"/>
      <c r="AW18" s="155"/>
      <c r="AY18" s="16">
        <f t="shared" si="0"/>
        <v>25999.752</v>
      </c>
    </row>
    <row r="19" spans="2:51">
      <c r="B19" s="16" t="s">
        <v>254</v>
      </c>
      <c r="C19" s="109">
        <f>employ!AH13</f>
        <v>1331.2350000000001</v>
      </c>
      <c r="D19" s="109">
        <f>employ!AI13</f>
        <v>530.67000000000007</v>
      </c>
      <c r="E19" s="109">
        <f>employ!AJ13</f>
        <v>1752.75</v>
      </c>
      <c r="F19" s="109">
        <f>employ!AK13</f>
        <v>2022.5310000000002</v>
      </c>
      <c r="G19" s="109">
        <f>employ!AL13</f>
        <v>569.43000000000006</v>
      </c>
      <c r="H19" s="109">
        <f>employ!AM13</f>
        <v>5904.402</v>
      </c>
      <c r="I19" s="109">
        <f>employ!AN13</f>
        <v>4218.6840000000002</v>
      </c>
      <c r="J19" s="109">
        <f>employ!AO13</f>
        <v>0</v>
      </c>
      <c r="K19" s="109">
        <f>employ!AP13</f>
        <v>0</v>
      </c>
      <c r="AU19" s="109">
        <f>employ!AQ13</f>
        <v>853.29000000000008</v>
      </c>
      <c r="AV19" s="155"/>
      <c r="AW19" s="155"/>
      <c r="AY19" s="16">
        <f t="shared" si="0"/>
        <v>17182.992000000002</v>
      </c>
    </row>
    <row r="20" spans="2:51">
      <c r="B20" s="16" t="s">
        <v>255</v>
      </c>
      <c r="C20" s="109">
        <f>employ!AH14</f>
        <v>487.35</v>
      </c>
      <c r="D20" s="109">
        <f>employ!AI14</f>
        <v>0</v>
      </c>
      <c r="E20" s="109">
        <f>employ!AJ14</f>
        <v>1993.6890000000001</v>
      </c>
      <c r="F20" s="109">
        <f>employ!AK14</f>
        <v>3304.6320000000001</v>
      </c>
      <c r="G20" s="109">
        <f>employ!AL14</f>
        <v>2273.73</v>
      </c>
      <c r="H20" s="109">
        <f>employ!AM14</f>
        <v>5577.393</v>
      </c>
      <c r="I20" s="109">
        <f>employ!AN14</f>
        <v>4354.1729999999998</v>
      </c>
      <c r="J20" s="109">
        <f>employ!AO14</f>
        <v>0</v>
      </c>
      <c r="K20" s="109">
        <f>employ!AP14</f>
        <v>0</v>
      </c>
      <c r="AU20" s="109">
        <f>employ!AQ14</f>
        <v>324.90000000000003</v>
      </c>
      <c r="AV20" s="155"/>
      <c r="AW20" s="155"/>
      <c r="AY20" s="16">
        <f t="shared" si="0"/>
        <v>18315.867000000002</v>
      </c>
    </row>
    <row r="21" spans="2:51">
      <c r="B21" s="16" t="s">
        <v>256</v>
      </c>
      <c r="C21" s="109">
        <f>LandKAP!J28</f>
        <v>983.356539341136</v>
      </c>
      <c r="D21" s="109">
        <f>LandKAP!K28</f>
        <v>248.86912653468198</v>
      </c>
      <c r="E21" s="109">
        <f>LandKAP!L28</f>
        <v>14561.330173423023</v>
      </c>
      <c r="F21" s="109">
        <f>LandKAP!M28</f>
        <v>2378.998466806524</v>
      </c>
      <c r="G21" s="109">
        <f>LandKAP!N28</f>
        <v>35363.591364955544</v>
      </c>
      <c r="H21" s="109">
        <f>LandKAP!O28</f>
        <v>233061.46300240123</v>
      </c>
      <c r="I21" s="109">
        <f>LandKAP!P28</f>
        <v>35825.502144288585</v>
      </c>
      <c r="J21" s="109">
        <f>LandKAP!Q28</f>
        <v>51763.542444005201</v>
      </c>
      <c r="K21" s="109">
        <f>LandKAP!R28</f>
        <v>78951.583745653901</v>
      </c>
      <c r="L21" s="109">
        <f>LandKAP!V16</f>
        <v>338914.150025882</v>
      </c>
      <c r="AV21" s="29"/>
      <c r="AW21" s="29"/>
      <c r="AX21" s="30"/>
      <c r="AY21" s="16">
        <f t="shared" si="0"/>
        <v>792052.38703329186</v>
      </c>
    </row>
    <row r="22" spans="2:51">
      <c r="B22" s="16" t="s">
        <v>405</v>
      </c>
      <c r="C22" s="109">
        <f>LandKAP!J29</f>
        <v>358.77137915951994</v>
      </c>
      <c r="D22" s="109">
        <f>LandKAP!K29</f>
        <v>158.556706017115</v>
      </c>
      <c r="E22" s="109">
        <f>LandKAP!L29</f>
        <v>5756.1602559311241</v>
      </c>
      <c r="F22" s="109">
        <f>LandKAP!M29</f>
        <v>3687.027899314869</v>
      </c>
      <c r="G22" s="109">
        <f>LandKAP!N29</f>
        <v>28627.20805241718</v>
      </c>
      <c r="H22" s="109">
        <f>LandKAP!O29</f>
        <v>70184.061229084371</v>
      </c>
      <c r="I22" s="109">
        <f>LandKAP!P29</f>
        <v>11748.19058994339</v>
      </c>
      <c r="J22" s="109">
        <f>LandKAP!Q29</f>
        <v>46397.966895527803</v>
      </c>
      <c r="K22" s="109">
        <f>LandKAP!R29</f>
        <v>45888.454201983302</v>
      </c>
      <c r="L22" s="109">
        <f>LandKAP!V17</f>
        <v>37657.127780653551</v>
      </c>
      <c r="AX22" s="30"/>
      <c r="AY22" s="16">
        <f t="shared" si="0"/>
        <v>250463.52499003219</v>
      </c>
    </row>
    <row r="23" spans="2:51">
      <c r="B23" s="16" t="s">
        <v>257</v>
      </c>
      <c r="Y23" s="33"/>
      <c r="Z23" s="33"/>
      <c r="AA23" s="33"/>
      <c r="AB23" s="33"/>
      <c r="AC23" s="33"/>
      <c r="AD23" s="33"/>
      <c r="AE23" s="33"/>
      <c r="AF23" s="33"/>
      <c r="AG23" s="33"/>
      <c r="AX23" s="30"/>
      <c r="AY23" s="16">
        <f t="shared" si="0"/>
        <v>0</v>
      </c>
    </row>
    <row r="24" spans="2:51">
      <c r="B24" s="16" t="s">
        <v>1</v>
      </c>
      <c r="M24" s="109">
        <f>'job core'!B54</f>
        <v>270.54839929066043</v>
      </c>
      <c r="N24" s="109">
        <f>'job core'!C54</f>
        <v>0</v>
      </c>
      <c r="O24" s="109">
        <f>'job core'!D54</f>
        <v>0</v>
      </c>
      <c r="P24" s="109">
        <f>'job core'!E54</f>
        <v>0</v>
      </c>
      <c r="Q24" s="109">
        <f>'job core'!F54</f>
        <v>0</v>
      </c>
      <c r="R24" s="109">
        <f>'job core'!G54</f>
        <v>0</v>
      </c>
      <c r="S24" s="109">
        <f>'job core'!H54</f>
        <v>0</v>
      </c>
      <c r="T24" s="109">
        <f>'job core'!I54</f>
        <v>0</v>
      </c>
      <c r="U24" s="109">
        <f>'job core'!J54</f>
        <v>0</v>
      </c>
      <c r="V24" s="32"/>
      <c r="W24" s="32"/>
      <c r="AH24" s="109">
        <f>'security payments'!B16</f>
        <v>797.87460658836369</v>
      </c>
      <c r="AI24" s="109">
        <f>'security payments'!C16</f>
        <v>0</v>
      </c>
      <c r="AJ24" s="109">
        <f>'security payments'!D16</f>
        <v>0</v>
      </c>
      <c r="AK24" s="109">
        <f>'security payments'!E16</f>
        <v>0</v>
      </c>
      <c r="AL24" s="109">
        <f>'security payments'!F16</f>
        <v>0</v>
      </c>
      <c r="AM24" s="109">
        <f>'security payments'!G16</f>
        <v>0</v>
      </c>
      <c r="AN24" s="109">
        <f>'security payments'!H16</f>
        <v>0</v>
      </c>
      <c r="AO24" s="109">
        <f>'security payments'!I16</f>
        <v>0</v>
      </c>
      <c r="AP24" s="109">
        <f>'security payments'!J16</f>
        <v>0</v>
      </c>
      <c r="AX24" s="30"/>
      <c r="AY24" s="16">
        <f t="shared" si="0"/>
        <v>1068.423005879024</v>
      </c>
    </row>
    <row r="25" spans="2:51">
      <c r="B25" s="16" t="s">
        <v>2</v>
      </c>
      <c r="M25" s="109">
        <f>'job core'!B55</f>
        <v>90.182799763553476</v>
      </c>
      <c r="N25" s="109">
        <f>'job core'!C55</f>
        <v>257.03100231175694</v>
      </c>
      <c r="O25" s="109">
        <f>'job core'!D55</f>
        <v>0</v>
      </c>
      <c r="P25" s="109">
        <f>'job core'!E55</f>
        <v>0</v>
      </c>
      <c r="Q25" s="109">
        <f>'job core'!F55</f>
        <v>0</v>
      </c>
      <c r="R25" s="109">
        <f>'job core'!G55</f>
        <v>0</v>
      </c>
      <c r="S25" s="109">
        <f>'job core'!H55</f>
        <v>0</v>
      </c>
      <c r="T25" s="109">
        <f>'job core'!I55</f>
        <v>0</v>
      </c>
      <c r="U25" s="109">
        <f>'job core'!J55</f>
        <v>0</v>
      </c>
      <c r="V25" s="32"/>
      <c r="W25" s="32"/>
      <c r="AH25" s="109">
        <f>'security payments'!B17</f>
        <v>389.11050043487552</v>
      </c>
      <c r="AI25" s="109">
        <f>'security payments'!C17</f>
        <v>1559.9133074798585</v>
      </c>
      <c r="AJ25" s="109">
        <f>'security payments'!D17</f>
        <v>0</v>
      </c>
      <c r="AK25" s="109">
        <f>'security payments'!E17</f>
        <v>0</v>
      </c>
      <c r="AL25" s="109">
        <f>'security payments'!F17</f>
        <v>0</v>
      </c>
      <c r="AM25" s="109">
        <f>'security payments'!G17</f>
        <v>0</v>
      </c>
      <c r="AN25" s="109">
        <f>'security payments'!H17</f>
        <v>0</v>
      </c>
      <c r="AO25" s="109">
        <f>'security payments'!I17</f>
        <v>0</v>
      </c>
      <c r="AP25" s="109">
        <f>'security payments'!J17</f>
        <v>0</v>
      </c>
      <c r="AX25" s="30"/>
      <c r="AY25" s="16">
        <f t="shared" si="0"/>
        <v>2296.2376099900443</v>
      </c>
    </row>
    <row r="26" spans="2:51">
      <c r="B26" s="16" t="s">
        <v>3</v>
      </c>
      <c r="M26" s="109">
        <f>'job core'!B56</f>
        <v>234.47527938523908</v>
      </c>
      <c r="N26" s="109">
        <f>'job core'!C56</f>
        <v>502.37877724570671</v>
      </c>
      <c r="O26" s="109">
        <f>'job core'!D56</f>
        <v>1604.2974659377423</v>
      </c>
      <c r="P26" s="109">
        <f>'job core'!E56</f>
        <v>0</v>
      </c>
      <c r="Q26" s="109">
        <f>'job core'!F56</f>
        <v>0</v>
      </c>
      <c r="R26" s="109">
        <f>'job core'!G56</f>
        <v>0</v>
      </c>
      <c r="S26" s="109">
        <f>'job core'!H56</f>
        <v>0</v>
      </c>
      <c r="T26" s="109">
        <f>'job core'!I56</f>
        <v>0</v>
      </c>
      <c r="U26" s="109">
        <f>'job core'!J56</f>
        <v>0</v>
      </c>
      <c r="V26" s="32"/>
      <c r="W26" s="32"/>
      <c r="AH26" s="109">
        <f>'security payments'!B18</f>
        <v>548.29439819526669</v>
      </c>
      <c r="AI26" s="109">
        <f>'security payments'!C18</f>
        <v>836.86260104370115</v>
      </c>
      <c r="AJ26" s="109">
        <f>'security payments'!D18</f>
        <v>2691.6255130462646</v>
      </c>
      <c r="AK26" s="109">
        <f>'security payments'!E18</f>
        <v>0</v>
      </c>
      <c r="AL26" s="109">
        <f>'security payments'!F18</f>
        <v>0</v>
      </c>
      <c r="AM26" s="109">
        <f>'security payments'!G18</f>
        <v>0</v>
      </c>
      <c r="AN26" s="109">
        <f>'security payments'!H18</f>
        <v>0</v>
      </c>
      <c r="AO26" s="109">
        <f>'security payments'!I18</f>
        <v>0</v>
      </c>
      <c r="AP26" s="109">
        <f>'security payments'!J18</f>
        <v>0</v>
      </c>
      <c r="AX26" s="30"/>
      <c r="AY26" s="16">
        <f t="shared" si="0"/>
        <v>6417.9340348539208</v>
      </c>
    </row>
    <row r="27" spans="2:51">
      <c r="B27" s="16" t="s">
        <v>4</v>
      </c>
      <c r="M27" s="109">
        <f>'job core'!B57</f>
        <v>299.40689521499758</v>
      </c>
      <c r="N27" s="109">
        <f>'job core'!C57</f>
        <v>140.1987285336856</v>
      </c>
      <c r="O27" s="109">
        <f>'job core'!D57</f>
        <v>679.46716204422023</v>
      </c>
      <c r="P27" s="109">
        <f>'job core'!E57</f>
        <v>4874.9351733468129</v>
      </c>
      <c r="Q27" s="109">
        <f>'job core'!F57</f>
        <v>0</v>
      </c>
      <c r="R27" s="109">
        <f>'job core'!G57</f>
        <v>0</v>
      </c>
      <c r="S27" s="109">
        <f>'job core'!H57</f>
        <v>0</v>
      </c>
      <c r="T27" s="109">
        <f>'job core'!I57</f>
        <v>0</v>
      </c>
      <c r="U27" s="109">
        <f>'job core'!J57</f>
        <v>0</v>
      </c>
      <c r="V27" s="32"/>
      <c r="W27" s="32"/>
      <c r="AH27" s="109">
        <f>'security payments'!B19</f>
        <v>921.22830834960939</v>
      </c>
      <c r="AI27" s="109">
        <f>'security payments'!C19</f>
        <v>1186.9223989562988</v>
      </c>
      <c r="AJ27" s="109">
        <f>'security payments'!D19</f>
        <v>2208.9038833007812</v>
      </c>
      <c r="AK27" s="109">
        <f>'security payments'!E19</f>
        <v>366.41880139160156</v>
      </c>
      <c r="AL27" s="109">
        <f>'security payments'!F19</f>
        <v>0</v>
      </c>
      <c r="AM27" s="109">
        <f>'security payments'!G19</f>
        <v>0</v>
      </c>
      <c r="AN27" s="109">
        <f>'security payments'!H19</f>
        <v>0</v>
      </c>
      <c r="AO27" s="109">
        <f>'security payments'!I19</f>
        <v>0</v>
      </c>
      <c r="AP27" s="109">
        <f>'security payments'!J19</f>
        <v>0</v>
      </c>
      <c r="AX27" s="30"/>
      <c r="AY27" s="16">
        <f t="shared" si="0"/>
        <v>10677.481351138007</v>
      </c>
    </row>
    <row r="28" spans="2:51">
      <c r="B28" s="16" t="s">
        <v>5</v>
      </c>
      <c r="M28" s="109">
        <f>'job core'!B58</f>
        <v>483.37980673264673</v>
      </c>
      <c r="N28" s="109">
        <f>'job core'!C58</f>
        <v>327.13036657859976</v>
      </c>
      <c r="O28" s="109">
        <f>'job core'!D58</f>
        <v>2906.6095265224981</v>
      </c>
      <c r="P28" s="109">
        <f>'job core'!E58</f>
        <v>1369.3638127378688</v>
      </c>
      <c r="Q28" s="109">
        <f>'job core'!F58</f>
        <v>4738.3077260755044</v>
      </c>
      <c r="R28" s="109">
        <f>'job core'!G58</f>
        <v>0</v>
      </c>
      <c r="S28" s="109">
        <f>'job core'!H58</f>
        <v>0</v>
      </c>
      <c r="T28" s="109">
        <f>'job core'!I58</f>
        <v>0</v>
      </c>
      <c r="U28" s="109">
        <f>'job core'!J58</f>
        <v>0</v>
      </c>
      <c r="V28" s="32"/>
      <c r="W28" s="32"/>
      <c r="AH28" s="109">
        <f>'security payments'!B20</f>
        <v>551.09309712982179</v>
      </c>
      <c r="AI28" s="109">
        <f>'security payments'!C20</f>
        <v>1764.9708031311036</v>
      </c>
      <c r="AJ28" s="109">
        <f>'security payments'!D20</f>
        <v>3233.5700988693238</v>
      </c>
      <c r="AK28" s="109">
        <f>'security payments'!E20</f>
        <v>858.00390417480469</v>
      </c>
      <c r="AL28" s="109">
        <f>'security payments'!F20</f>
        <v>241.79400000000001</v>
      </c>
      <c r="AM28" s="109">
        <f>'security payments'!G20</f>
        <v>0</v>
      </c>
      <c r="AN28" s="109">
        <f>'security payments'!H20</f>
        <v>0</v>
      </c>
      <c r="AO28" s="109">
        <f>'security payments'!I20</f>
        <v>0</v>
      </c>
      <c r="AP28" s="109">
        <f>'security payments'!J20</f>
        <v>0</v>
      </c>
      <c r="AX28" s="30"/>
      <c r="AY28" s="16">
        <f t="shared" si="0"/>
        <v>16474.223141952174</v>
      </c>
    </row>
    <row r="29" spans="2:51">
      <c r="B29" s="16" t="s">
        <v>6</v>
      </c>
      <c r="M29" s="109">
        <f>'job core'!B59</f>
        <v>692.60390218409066</v>
      </c>
      <c r="N29" s="109">
        <f>'job core'!C59</f>
        <v>677.62718791281372</v>
      </c>
      <c r="O29" s="109">
        <f>'job core'!D59</f>
        <v>2849.9872630188129</v>
      </c>
      <c r="P29" s="109">
        <f>'job core'!E59</f>
        <v>3204.3113218066133</v>
      </c>
      <c r="Q29" s="109">
        <f>'job core'!F59</f>
        <v>5123.5359964881463</v>
      </c>
      <c r="R29" s="109">
        <f>'job core'!G59</f>
        <v>15367.604011194029</v>
      </c>
      <c r="S29" s="109">
        <f>'job core'!H59</f>
        <v>0</v>
      </c>
      <c r="T29" s="109">
        <f>'job core'!I59</f>
        <v>0</v>
      </c>
      <c r="U29" s="109">
        <f>'job core'!J59</f>
        <v>0</v>
      </c>
      <c r="V29" s="32"/>
      <c r="W29" s="32"/>
      <c r="AH29" s="109">
        <f>'security payments'!B21</f>
        <v>582.11250282669073</v>
      </c>
      <c r="AI29" s="109">
        <f>'security payments'!C21</f>
        <v>2213.4924059143068</v>
      </c>
      <c r="AJ29" s="109">
        <f>'security payments'!D21</f>
        <v>4837.8179930419919</v>
      </c>
      <c r="AK29" s="109">
        <f>'security payments'!E21</f>
        <v>392.55899478149416</v>
      </c>
      <c r="AL29" s="109">
        <f>'security payments'!F21</f>
        <v>163.54439721679688</v>
      </c>
      <c r="AM29" s="109">
        <f>'security payments'!G21</f>
        <v>262.2</v>
      </c>
      <c r="AN29" s="109">
        <f>'security payments'!H21</f>
        <v>0</v>
      </c>
      <c r="AO29" s="109">
        <f>'security payments'!I21</f>
        <v>0</v>
      </c>
      <c r="AP29" s="109">
        <f>'security payments'!J21</f>
        <v>0</v>
      </c>
      <c r="AX29" s="30"/>
      <c r="AY29" s="16">
        <f t="shared" si="0"/>
        <v>36367.395976385793</v>
      </c>
    </row>
    <row r="30" spans="2:51">
      <c r="B30" s="16" t="s">
        <v>7</v>
      </c>
      <c r="M30" s="109">
        <f>'job core'!B60</f>
        <v>274.15571128120257</v>
      </c>
      <c r="N30" s="109">
        <f>'job core'!C60</f>
        <v>724.36009742404224</v>
      </c>
      <c r="O30" s="109">
        <f>'job core'!D60</f>
        <v>1132.4452700737004</v>
      </c>
      <c r="P30" s="109">
        <f>'job core'!E60</f>
        <v>1205.0401552093247</v>
      </c>
      <c r="Q30" s="109">
        <f>'job core'!F60</f>
        <v>6202.1751536435459</v>
      </c>
      <c r="R30" s="109">
        <f>'job core'!G60</f>
        <v>7462.6854011194037</v>
      </c>
      <c r="S30" s="109">
        <f>'job core'!H60</f>
        <v>6363.5044642857129</v>
      </c>
      <c r="T30" s="109">
        <f>'job core'!I60</f>
        <v>0</v>
      </c>
      <c r="U30" s="109">
        <f>'job core'!J60</f>
        <v>0</v>
      </c>
      <c r="V30" s="32"/>
      <c r="W30" s="32"/>
      <c r="AH30" s="109">
        <f>'security payments'!B22</f>
        <v>478.29269752120973</v>
      </c>
      <c r="AI30" s="109">
        <f>'security payments'!C22</f>
        <v>869.11319686889647</v>
      </c>
      <c r="AJ30" s="109">
        <f>'security payments'!D22</f>
        <v>2185.8132003479004</v>
      </c>
      <c r="AK30" s="109">
        <f>'security payments'!E22</f>
        <v>525.22080139160153</v>
      </c>
      <c r="AL30" s="109">
        <f>'security payments'!F22</f>
        <v>168.72</v>
      </c>
      <c r="AM30" s="109">
        <f>'security payments'!G22</f>
        <v>0</v>
      </c>
      <c r="AN30" s="109">
        <f>'security payments'!H22</f>
        <v>0</v>
      </c>
      <c r="AO30" s="109">
        <f>'security payments'!I22</f>
        <v>0</v>
      </c>
      <c r="AP30" s="109">
        <f>'security payments'!J22</f>
        <v>0</v>
      </c>
      <c r="AX30" s="30"/>
      <c r="AY30" s="16">
        <f t="shared" si="0"/>
        <v>27591.526149166544</v>
      </c>
    </row>
    <row r="31" spans="2:51">
      <c r="B31" s="16" t="s">
        <v>8</v>
      </c>
      <c r="M31" s="109">
        <f>'job core'!B61</f>
        <v>194.79484748927553</v>
      </c>
      <c r="N31" s="109">
        <f>'job core'!C61</f>
        <v>186.93163804491414</v>
      </c>
      <c r="O31" s="109">
        <f>'job core'!D61</f>
        <v>1038.074830900892</v>
      </c>
      <c r="P31" s="109">
        <f>'job core'!E61</f>
        <v>1506.3001940116558</v>
      </c>
      <c r="Q31" s="109">
        <f>'job core'!F61</f>
        <v>4661.2620719929755</v>
      </c>
      <c r="R31" s="109">
        <f>'job core'!G61</f>
        <v>11553.342583955224</v>
      </c>
      <c r="S31" s="109">
        <f>'job core'!H61</f>
        <v>9783.8881138392826</v>
      </c>
      <c r="T31" s="109">
        <f>'job core'!I61</f>
        <v>7194.2268237082071</v>
      </c>
      <c r="U31" s="109">
        <f>'job core'!J61</f>
        <v>0</v>
      </c>
      <c r="V31" s="32"/>
      <c r="W31" s="32"/>
      <c r="AH31" s="109">
        <f>'security payments'!B23</f>
        <v>196.59869773864747</v>
      </c>
      <c r="AI31" s="109">
        <f>'security payments'!C23</f>
        <v>478.80000695800783</v>
      </c>
      <c r="AJ31" s="109">
        <f>'security payments'!D23</f>
        <v>1539.2393867797853</v>
      </c>
      <c r="AK31" s="109">
        <f>'security payments'!E23</f>
        <v>790.19669860839849</v>
      </c>
      <c r="AL31" s="109">
        <f>'security payments'!F23</f>
        <v>0</v>
      </c>
      <c r="AM31" s="109">
        <f>'security payments'!G23</f>
        <v>0</v>
      </c>
      <c r="AN31" s="109">
        <f>'security payments'!H23</f>
        <v>0</v>
      </c>
      <c r="AO31" s="109">
        <f>'security payments'!I23</f>
        <v>0</v>
      </c>
      <c r="AP31" s="109">
        <f>'security payments'!J23</f>
        <v>0</v>
      </c>
      <c r="AX31" s="30"/>
      <c r="AY31" s="16">
        <f t="shared" si="0"/>
        <v>39123.655894027273</v>
      </c>
    </row>
    <row r="32" spans="2:51">
      <c r="B32" s="16" t="s">
        <v>9</v>
      </c>
      <c r="M32" s="109">
        <f>'job core'!B62</f>
        <v>442.30706964375645</v>
      </c>
      <c r="N32" s="109">
        <f>'job core'!C62</f>
        <v>209.05967281849934</v>
      </c>
      <c r="O32" s="109">
        <f>'job core'!D62</f>
        <v>883.00532003362719</v>
      </c>
      <c r="P32" s="109">
        <f>'job core'!E62</f>
        <v>965.56583185943646</v>
      </c>
      <c r="Q32" s="109">
        <f>'job core'!F62</f>
        <v>1783.8765583229633</v>
      </c>
      <c r="R32" s="109">
        <f>'job core'!G62</f>
        <v>3616.3620662313519</v>
      </c>
      <c r="S32" s="109">
        <f>'job core'!H62</f>
        <v>8227.3749218750017</v>
      </c>
      <c r="T32" s="109">
        <f>'job core'!I62</f>
        <v>8914.8281762917959</v>
      </c>
      <c r="U32" s="109">
        <f>'job core'!J62</f>
        <v>17171.1253125</v>
      </c>
      <c r="V32" s="32"/>
      <c r="W32" s="32"/>
      <c r="AH32" s="109">
        <f>'security payments'!B24</f>
        <v>296.87309995651248</v>
      </c>
      <c r="AI32" s="109">
        <f>'security payments'!C24</f>
        <v>747.82289373779304</v>
      </c>
      <c r="AJ32" s="109">
        <f>'security payments'!D24</f>
        <v>1805.8170017395021</v>
      </c>
      <c r="AK32" s="109">
        <f>'security payments'!E24</f>
        <v>332.92560278320315</v>
      </c>
      <c r="AL32" s="109">
        <f>'security payments'!F24</f>
        <v>59.28</v>
      </c>
      <c r="AM32" s="109">
        <f>'security payments'!G24</f>
        <v>0</v>
      </c>
      <c r="AN32" s="109">
        <f>'security payments'!H24</f>
        <v>0</v>
      </c>
      <c r="AO32" s="109">
        <f>'security payments'!I24</f>
        <v>0</v>
      </c>
      <c r="AP32" s="109">
        <f>'security payments'!J24</f>
        <v>0</v>
      </c>
      <c r="AX32" s="30"/>
      <c r="AY32" s="16">
        <f t="shared" si="0"/>
        <v>45456.223527793445</v>
      </c>
    </row>
    <row r="33" spans="2:51">
      <c r="B33" s="16" t="s">
        <v>258</v>
      </c>
      <c r="C33" s="109">
        <f>0.0625*C12</f>
        <v>1.52475</v>
      </c>
      <c r="D33" s="109">
        <f t="shared" ref="D33:K33" si="1">0.0625*D12</f>
        <v>0.53010001087188718</v>
      </c>
      <c r="E33" s="109">
        <f t="shared" si="1"/>
        <v>14.128874864101411</v>
      </c>
      <c r="F33" s="109">
        <f t="shared" si="1"/>
        <v>19.207539375543597</v>
      </c>
      <c r="G33" s="109">
        <f t="shared" si="1"/>
        <v>71.213270701646806</v>
      </c>
      <c r="H33" s="109">
        <f t="shared" si="1"/>
        <v>35.029314230471847</v>
      </c>
      <c r="I33" s="109">
        <f t="shared" si="1"/>
        <v>18.574590000271797</v>
      </c>
      <c r="J33" s="109">
        <f t="shared" si="1"/>
        <v>2.7463312282562256</v>
      </c>
      <c r="K33" s="109">
        <f t="shared" si="1"/>
        <v>25.391718654870989</v>
      </c>
      <c r="M33" s="109">
        <f>'job core'!B66</f>
        <v>198.79031406569482</v>
      </c>
      <c r="AU33" s="109">
        <f>ROUND(0.0625*AU12,4)</f>
        <v>10.4438</v>
      </c>
      <c r="AV33" s="31"/>
      <c r="AW33" s="31"/>
      <c r="AY33" s="16">
        <f t="shared" si="0"/>
        <v>397.58060313172939</v>
      </c>
    </row>
    <row r="34" spans="2:51">
      <c r="B34" s="16" t="s">
        <v>259</v>
      </c>
      <c r="C34" s="109">
        <f t="shared" ref="C34:K41" si="2">0.0625*C13</f>
        <v>12.2941875</v>
      </c>
      <c r="D34" s="109">
        <f t="shared" si="2"/>
        <v>0</v>
      </c>
      <c r="E34" s="109">
        <f t="shared" si="2"/>
        <v>7.7683874130249029</v>
      </c>
      <c r="F34" s="109">
        <f t="shared" si="2"/>
        <v>7.5282750434875494</v>
      </c>
      <c r="G34" s="109">
        <f t="shared" si="2"/>
        <v>16.139906249999999</v>
      </c>
      <c r="H34" s="109">
        <f t="shared" si="2"/>
        <v>66.707812717437747</v>
      </c>
      <c r="I34" s="109">
        <f t="shared" si="2"/>
        <v>20.020537456512454</v>
      </c>
      <c r="J34" s="109">
        <f t="shared" si="2"/>
        <v>17.869500000000002</v>
      </c>
      <c r="K34" s="109">
        <f t="shared" si="2"/>
        <v>49.297875000000005</v>
      </c>
      <c r="N34" s="109">
        <f>'job core'!C67</f>
        <v>201.64783139133456</v>
      </c>
      <c r="AU34" s="109">
        <f t="shared" ref="AU34:AU38" si="3">ROUND(0.0625*AU13,4)</f>
        <v>4.0213999999999999</v>
      </c>
      <c r="AV34" s="31"/>
      <c r="AW34" s="31"/>
      <c r="AY34" s="16">
        <f t="shared" si="0"/>
        <v>403.29571277179718</v>
      </c>
    </row>
    <row r="35" spans="2:51">
      <c r="B35" s="16" t="s">
        <v>260</v>
      </c>
      <c r="C35" s="109">
        <f t="shared" si="2"/>
        <v>0</v>
      </c>
      <c r="D35" s="109">
        <f t="shared" si="2"/>
        <v>3.9009374999999999</v>
      </c>
      <c r="E35" s="109">
        <f t="shared" si="2"/>
        <v>28.234593750000002</v>
      </c>
      <c r="F35" s="109">
        <f t="shared" si="2"/>
        <v>57.313856163024901</v>
      </c>
      <c r="G35" s="109">
        <f t="shared" si="2"/>
        <v>228.27858776092529</v>
      </c>
      <c r="H35" s="109">
        <f t="shared" si="2"/>
        <v>116.00604388046266</v>
      </c>
      <c r="I35" s="109">
        <f t="shared" si="2"/>
        <v>153.19747495651245</v>
      </c>
      <c r="J35" s="109">
        <f t="shared" si="2"/>
        <v>46.595006423950196</v>
      </c>
      <c r="K35" s="109">
        <f t="shared" si="2"/>
        <v>91.896112152099619</v>
      </c>
      <c r="O35" s="109">
        <f>'job core'!D68</f>
        <v>739.59245590209946</v>
      </c>
      <c r="AU35" s="109">
        <f t="shared" si="3"/>
        <v>14.1698</v>
      </c>
      <c r="AV35" s="31"/>
      <c r="AW35" s="31"/>
      <c r="AY35" s="16">
        <f t="shared" si="0"/>
        <v>1479.1848684890745</v>
      </c>
    </row>
    <row r="36" spans="2:51">
      <c r="B36" s="16" t="s">
        <v>261</v>
      </c>
      <c r="C36" s="109">
        <f t="shared" si="2"/>
        <v>4.2600374565124515</v>
      </c>
      <c r="D36" s="109">
        <f t="shared" si="2"/>
        <v>0</v>
      </c>
      <c r="E36" s="109">
        <f t="shared" si="2"/>
        <v>25.260975173950197</v>
      </c>
      <c r="F36" s="109">
        <f t="shared" si="2"/>
        <v>119.96006250000001</v>
      </c>
      <c r="G36" s="109">
        <f t="shared" si="2"/>
        <v>209.14012500000001</v>
      </c>
      <c r="H36" s="109">
        <f t="shared" si="2"/>
        <v>112.8104811630249</v>
      </c>
      <c r="I36" s="109">
        <f t="shared" si="2"/>
        <v>159.08771276092529</v>
      </c>
      <c r="J36" s="109">
        <f t="shared" si="2"/>
        <v>107.75137586975099</v>
      </c>
      <c r="K36" s="109">
        <f t="shared" si="2"/>
        <v>63.547875000000005</v>
      </c>
      <c r="P36" s="109">
        <f>'job core'!E69</f>
        <v>875.03443259811411</v>
      </c>
      <c r="AU36" s="109">
        <f t="shared" si="3"/>
        <v>73.215800000000002</v>
      </c>
      <c r="AV36" s="31"/>
      <c r="AW36" s="31"/>
      <c r="AY36" s="16">
        <f t="shared" si="0"/>
        <v>1750.0688775222779</v>
      </c>
    </row>
    <row r="37" spans="2:51">
      <c r="B37" s="16" t="s">
        <v>262</v>
      </c>
      <c r="C37" s="109">
        <f t="shared" si="2"/>
        <v>52.115812500000004</v>
      </c>
      <c r="D37" s="109">
        <f t="shared" si="2"/>
        <v>45.055649826049809</v>
      </c>
      <c r="E37" s="109">
        <f t="shared" si="2"/>
        <v>99.151499999999999</v>
      </c>
      <c r="F37" s="109">
        <f t="shared" si="2"/>
        <v>252.1541070327759</v>
      </c>
      <c r="G37" s="109">
        <f t="shared" si="2"/>
        <v>187.91688741302491</v>
      </c>
      <c r="H37" s="109">
        <f t="shared" si="2"/>
        <v>425.1077808151245</v>
      </c>
      <c r="I37" s="109">
        <f t="shared" si="2"/>
        <v>194.25956250000002</v>
      </c>
      <c r="J37" s="109">
        <f t="shared" si="2"/>
        <v>12.312000000000001</v>
      </c>
      <c r="K37" s="109">
        <f t="shared" si="2"/>
        <v>44.983687500000002</v>
      </c>
      <c r="Q37" s="109">
        <f>'job core'!F70</f>
        <v>1500.6105004348756</v>
      </c>
      <c r="AU37" s="109">
        <f t="shared" si="3"/>
        <v>187.55350000000001</v>
      </c>
      <c r="AV37" s="31"/>
      <c r="AW37" s="31"/>
      <c r="AY37" s="16">
        <f t="shared" si="0"/>
        <v>3001.2209880218506</v>
      </c>
    </row>
    <row r="38" spans="2:51">
      <c r="B38" s="16" t="s">
        <v>263</v>
      </c>
      <c r="C38" s="109">
        <f t="shared" si="2"/>
        <v>50.776312500000003</v>
      </c>
      <c r="D38" s="109">
        <f t="shared" si="2"/>
        <v>39.604312499999999</v>
      </c>
      <c r="E38" s="109">
        <f t="shared" si="2"/>
        <v>338.04918750000002</v>
      </c>
      <c r="F38" s="109">
        <f t="shared" si="2"/>
        <v>642.44343750000007</v>
      </c>
      <c r="G38" s="109">
        <f t="shared" si="2"/>
        <v>282.78412500000002</v>
      </c>
      <c r="H38" s="109">
        <f t="shared" si="2"/>
        <v>574.74881249999999</v>
      </c>
      <c r="I38" s="109">
        <f t="shared" si="2"/>
        <v>355.67287500000003</v>
      </c>
      <c r="J38" s="109">
        <f t="shared" si="2"/>
        <v>28.6603125</v>
      </c>
      <c r="K38" s="109">
        <f t="shared" si="2"/>
        <v>0</v>
      </c>
      <c r="R38" s="109">
        <f>'job core'!G71</f>
        <v>2533.3329375000008</v>
      </c>
      <c r="AU38" s="109">
        <f t="shared" si="3"/>
        <v>220.59360000000001</v>
      </c>
      <c r="AV38" s="31"/>
      <c r="AW38" s="31"/>
      <c r="AY38" s="16">
        <f t="shared" si="0"/>
        <v>5066.6659125000015</v>
      </c>
    </row>
    <row r="39" spans="2:51">
      <c r="B39" s="16" t="s">
        <v>299</v>
      </c>
      <c r="C39" s="109">
        <f t="shared" si="2"/>
        <v>13.965</v>
      </c>
      <c r="D39" s="109">
        <f t="shared" si="2"/>
        <v>0</v>
      </c>
      <c r="E39" s="109">
        <f t="shared" si="2"/>
        <v>228.89418750000002</v>
      </c>
      <c r="F39" s="109">
        <f t="shared" si="2"/>
        <v>423.94818750000002</v>
      </c>
      <c r="G39" s="109">
        <f t="shared" si="2"/>
        <v>53.469562500000002</v>
      </c>
      <c r="H39" s="109">
        <f t="shared" si="2"/>
        <v>432.46256249999999</v>
      </c>
      <c r="I39" s="109">
        <f t="shared" si="2"/>
        <v>338.30568750000003</v>
      </c>
      <c r="J39" s="109">
        <f t="shared" si="2"/>
        <v>0</v>
      </c>
      <c r="K39" s="109">
        <f t="shared" si="2"/>
        <v>0</v>
      </c>
      <c r="S39" s="109">
        <f>'job core'!H72</f>
        <v>1624.9845</v>
      </c>
      <c r="AY39" s="16">
        <f t="shared" si="0"/>
        <v>3116.0296875000004</v>
      </c>
    </row>
    <row r="40" spans="2:51">
      <c r="B40" s="16" t="s">
        <v>300</v>
      </c>
      <c r="C40" s="109">
        <f t="shared" si="2"/>
        <v>83.202187500000008</v>
      </c>
      <c r="D40" s="109">
        <f t="shared" si="2"/>
        <v>33.166875000000005</v>
      </c>
      <c r="E40" s="109">
        <f t="shared" si="2"/>
        <v>109.546875</v>
      </c>
      <c r="F40" s="109">
        <f t="shared" si="2"/>
        <v>126.40818750000001</v>
      </c>
      <c r="G40" s="109">
        <f t="shared" si="2"/>
        <v>35.589375000000004</v>
      </c>
      <c r="H40" s="109">
        <f t="shared" si="2"/>
        <v>369.025125</v>
      </c>
      <c r="I40" s="109">
        <f t="shared" si="2"/>
        <v>263.66775000000001</v>
      </c>
      <c r="J40" s="109">
        <f t="shared" si="2"/>
        <v>0</v>
      </c>
      <c r="K40" s="109">
        <f t="shared" si="2"/>
        <v>0</v>
      </c>
      <c r="T40" s="109">
        <f>'job core'!I73</f>
        <v>1073.9370000000001</v>
      </c>
      <c r="AY40" s="16">
        <f t="shared" si="0"/>
        <v>2094.5433750000002</v>
      </c>
    </row>
    <row r="41" spans="2:51">
      <c r="B41" s="16" t="s">
        <v>301</v>
      </c>
      <c r="C41" s="109">
        <f t="shared" si="2"/>
        <v>30.459375000000001</v>
      </c>
      <c r="D41" s="109">
        <f t="shared" si="2"/>
        <v>0</v>
      </c>
      <c r="E41" s="109">
        <f t="shared" si="2"/>
        <v>124.6055625</v>
      </c>
      <c r="F41" s="109">
        <f t="shared" si="2"/>
        <v>206.5395</v>
      </c>
      <c r="G41" s="109">
        <f t="shared" si="2"/>
        <v>142.108125</v>
      </c>
      <c r="H41" s="109">
        <f t="shared" si="2"/>
        <v>348.5870625</v>
      </c>
      <c r="I41" s="109">
        <f t="shared" si="2"/>
        <v>272.13581249999999</v>
      </c>
      <c r="J41" s="109">
        <f t="shared" si="2"/>
        <v>0</v>
      </c>
      <c r="K41" s="109">
        <f t="shared" si="2"/>
        <v>0</v>
      </c>
      <c r="U41" s="109">
        <f>'job core'!J74</f>
        <v>1144.7416875000001</v>
      </c>
      <c r="AY41" s="16">
        <f t="shared" si="0"/>
        <v>2269.1771250000002</v>
      </c>
    </row>
    <row r="42" spans="2:51">
      <c r="B42" s="16" t="s">
        <v>414</v>
      </c>
      <c r="G42" s="29"/>
      <c r="H42" s="29"/>
      <c r="I42" s="29"/>
      <c r="J42" s="29"/>
      <c r="K42" s="29"/>
      <c r="Y42" s="109">
        <f>Taxes!C13</f>
        <v>9.6413812574620792</v>
      </c>
      <c r="Z42" s="109">
        <f>Taxes!D13</f>
        <v>18.560194695873452</v>
      </c>
      <c r="AA42" s="109">
        <f>Taxes!E13</f>
        <v>125.14545162576995</v>
      </c>
      <c r="AB42" s="109">
        <f>Taxes!F13</f>
        <v>320.40763951577651</v>
      </c>
      <c r="AC42" s="109">
        <f>Taxes!G13</f>
        <v>525.180845766179</v>
      </c>
      <c r="AD42" s="109">
        <f>Taxes!H13</f>
        <v>1492.2225478307789</v>
      </c>
      <c r="AE42" s="109">
        <f>Taxes!I13</f>
        <v>2081.5569734945957</v>
      </c>
      <c r="AF42" s="109">
        <f>Taxes!J13</f>
        <v>3604.0091609832484</v>
      </c>
      <c r="AG42" s="109">
        <f>Taxes!K13</f>
        <v>6017.3558048303148</v>
      </c>
      <c r="AY42" s="16">
        <f t="shared" si="0"/>
        <v>14194.079999999998</v>
      </c>
    </row>
    <row r="43" spans="2:51">
      <c r="B43" s="16" t="s">
        <v>415</v>
      </c>
      <c r="C43" s="109">
        <f>Taxes!B33</f>
        <v>7.7161563979941699</v>
      </c>
      <c r="D43" s="109">
        <f>Taxes!C33</f>
        <v>3.4283076268368373</v>
      </c>
      <c r="E43" s="109">
        <f>Taxes!D33</f>
        <v>52.112806906929926</v>
      </c>
      <c r="F43" s="109">
        <f>Taxes!E33</f>
        <v>51.860920779644857</v>
      </c>
      <c r="G43" s="109">
        <f>Taxes!F33</f>
        <v>121.28565508744293</v>
      </c>
      <c r="H43" s="109">
        <f>Taxes!G33</f>
        <v>497.42120256281231</v>
      </c>
      <c r="I43" s="109">
        <f>Taxes!H33</f>
        <v>110.19724998576737</v>
      </c>
      <c r="J43" s="109">
        <f>Taxes!I33</f>
        <v>147.39363293689254</v>
      </c>
      <c r="K43" s="109">
        <f>Taxes!J33</f>
        <v>187.46406771567882</v>
      </c>
      <c r="AQ43" s="35"/>
      <c r="AR43" s="35"/>
      <c r="AS43" s="35"/>
      <c r="AT43" s="35"/>
      <c r="AY43" s="16">
        <f t="shared" si="0"/>
        <v>1178.8799999999999</v>
      </c>
    </row>
    <row r="44" spans="2:51">
      <c r="B44" s="16" t="s">
        <v>450</v>
      </c>
      <c r="C44" s="109">
        <f>Taxes!B35</f>
        <v>0.44347870584461097</v>
      </c>
      <c r="D44" s="109">
        <f>Taxes!C35</f>
        <v>0.19703870050923752</v>
      </c>
      <c r="E44" s="109">
        <f>Taxes!D35</f>
        <v>2.9951337133372671</v>
      </c>
      <c r="F44" s="109">
        <f>Taxes!E35</f>
        <v>2.9806567991863782</v>
      </c>
      <c r="G44" s="109">
        <f>Taxes!F35</f>
        <v>6.9707769751371602</v>
      </c>
      <c r="H44" s="109">
        <f>Taxes!G35</f>
        <v>28.588807664599749</v>
      </c>
      <c r="I44" s="109">
        <f>Taxes!H35</f>
        <v>6.3334815017522308</v>
      </c>
      <c r="J44" s="109">
        <f>Taxes!I35</f>
        <v>8.4713080208665463</v>
      </c>
      <c r="K44" s="109">
        <f>Taxes!J35</f>
        <v>10.774317918766812</v>
      </c>
      <c r="Y44" s="109">
        <f>Taxes!C14</f>
        <v>3.0681889308751407E-2</v>
      </c>
      <c r="Z44" s="109">
        <f>Taxes!D14</f>
        <v>5.9064341923717768E-2</v>
      </c>
      <c r="AA44" s="109">
        <f>Taxes!E14</f>
        <v>0.39825195080878995</v>
      </c>
      <c r="AB44" s="109">
        <f>Taxes!F14</f>
        <v>1.0196372767328086</v>
      </c>
      <c r="AC44" s="109">
        <f>Taxes!G14</f>
        <v>1.6712896364722694</v>
      </c>
      <c r="AD44" s="109">
        <f>Taxes!H14</f>
        <v>4.7487186549262992</v>
      </c>
      <c r="AE44" s="109">
        <f>Taxes!I14</f>
        <v>6.6241650387169075</v>
      </c>
      <c r="AF44" s="109">
        <f>Taxes!J14</f>
        <v>11.469083857609181</v>
      </c>
      <c r="AG44" s="109">
        <f>Taxes!K14</f>
        <v>19.149107353501272</v>
      </c>
      <c r="AQ44" s="35"/>
      <c r="AR44" s="35"/>
      <c r="AS44" s="35"/>
      <c r="AT44" s="35"/>
      <c r="AY44" s="16">
        <f t="shared" si="0"/>
        <v>112.92499999999998</v>
      </c>
    </row>
    <row r="45" spans="2:51">
      <c r="B45" s="16" t="s">
        <v>418</v>
      </c>
      <c r="C45" s="109">
        <f>Taxes!B28</f>
        <v>0.85727623769728512</v>
      </c>
      <c r="D45" s="109">
        <f>Taxes!C28</f>
        <v>0.21696056307065317</v>
      </c>
      <c r="E45" s="109">
        <f>Taxes!D28</f>
        <v>12.694360435436675</v>
      </c>
      <c r="F45" s="109">
        <f>Taxes!E28</f>
        <v>2.0739770098828809</v>
      </c>
      <c r="G45" s="109">
        <f>Taxes!F28</f>
        <v>30.829475723144853</v>
      </c>
      <c r="H45" s="109">
        <f>Taxes!G28</f>
        <v>203.17966694846137</v>
      </c>
      <c r="I45" s="109">
        <f>Taxes!H28</f>
        <v>31.232162967512767</v>
      </c>
      <c r="J45" s="109">
        <f>Taxes!I28</f>
        <v>45.126719700275636</v>
      </c>
      <c r="K45" s="109">
        <f>Taxes!J28</f>
        <v>68.828867217444014</v>
      </c>
      <c r="Y45" s="34"/>
      <c r="Z45" s="34"/>
      <c r="AA45" s="34"/>
      <c r="AB45" s="34"/>
      <c r="AC45" s="34"/>
      <c r="AD45" s="34"/>
      <c r="AE45" s="34"/>
      <c r="AF45" s="34"/>
      <c r="AG45" s="34"/>
      <c r="AQ45" s="35"/>
      <c r="AR45" s="35"/>
      <c r="AS45" s="35"/>
      <c r="AT45" s="35"/>
      <c r="AY45" s="16">
        <f t="shared" si="0"/>
        <v>395.0394668029262</v>
      </c>
    </row>
    <row r="46" spans="2:51">
      <c r="B46" s="16" t="s">
        <v>265</v>
      </c>
      <c r="G46" s="29"/>
      <c r="H46" s="29"/>
      <c r="I46" s="29"/>
      <c r="J46" s="29"/>
      <c r="K46" s="29"/>
      <c r="AH46" s="109">
        <v>-4363.8973056092673</v>
      </c>
      <c r="AI46" s="109">
        <v>-9254.6019013181703</v>
      </c>
      <c r="AJ46" s="109">
        <v>-17023.602208636472</v>
      </c>
      <c r="AK46" s="109">
        <v>-1515.2559256088252</v>
      </c>
      <c r="AL46" s="109">
        <v>2367.882590805054</v>
      </c>
      <c r="AM46" s="109">
        <v>4804.4659125000017</v>
      </c>
      <c r="AN46" s="109">
        <v>3116.0296875000004</v>
      </c>
      <c r="AO46" s="109">
        <v>2094.5433750000002</v>
      </c>
      <c r="AP46" s="109">
        <v>2269.1771250000002</v>
      </c>
      <c r="AQ46" s="35"/>
      <c r="AR46" s="35"/>
      <c r="AS46" s="35"/>
      <c r="AT46" s="35"/>
      <c r="AY46" s="16">
        <f t="shared" si="0"/>
        <v>-17505.258650367679</v>
      </c>
    </row>
    <row r="47" spans="2:51">
      <c r="B47" s="16" t="s">
        <v>307</v>
      </c>
      <c r="AQ47" s="16">
        <f>Taxes!L13</f>
        <v>14194.079999999998</v>
      </c>
      <c r="AR47" s="16">
        <f>Taxes!K33</f>
        <v>1178.8799999999999</v>
      </c>
      <c r="AY47" s="16">
        <f t="shared" si="0"/>
        <v>15372.959999999997</v>
      </c>
    </row>
    <row r="48" spans="2:51">
      <c r="B48" s="16" t="s">
        <v>308</v>
      </c>
      <c r="AS48" s="16">
        <f>Taxes!C3/1000</f>
        <v>112.925</v>
      </c>
      <c r="AT48" s="16">
        <f>Taxes!C4/1000</f>
        <v>690.5</v>
      </c>
      <c r="AY48" s="16">
        <f t="shared" si="0"/>
        <v>803.42499999999995</v>
      </c>
    </row>
    <row r="49" spans="2:51">
      <c r="B49" s="16" t="s">
        <v>266</v>
      </c>
      <c r="C49" s="109">
        <f>'Import-Export'!B16</f>
        <v>2269.7106709925679</v>
      </c>
      <c r="D49" s="109">
        <f>'Import-Export'!C16</f>
        <v>163594.15453206887</v>
      </c>
      <c r="E49" s="109">
        <f>'Import-Export'!D16</f>
        <v>372628.56367649481</v>
      </c>
      <c r="F49" s="109">
        <f>'Import-Export'!E16</f>
        <v>168559.19856812275</v>
      </c>
      <c r="G49" s="109">
        <f>'Import-Export'!F16</f>
        <v>27704.640337231413</v>
      </c>
      <c r="H49" s="109">
        <f>'Import-Export'!G16</f>
        <v>206013.37821229183</v>
      </c>
      <c r="I49" s="109">
        <f>'Import-Export'!H16</f>
        <v>1669.2503285236328</v>
      </c>
      <c r="J49" s="109">
        <f>'Import-Export'!I16</f>
        <v>3827.6238694484891</v>
      </c>
      <c r="K49" s="109">
        <f>'Import-Export'!J16</f>
        <v>6826.318855739526</v>
      </c>
      <c r="AY49" s="16">
        <f t="shared" si="0"/>
        <v>953092.83905091393</v>
      </c>
    </row>
    <row r="50" spans="2:51">
      <c r="B50" s="16" t="s">
        <v>212</v>
      </c>
      <c r="C50" s="16">
        <f t="shared" ref="C50:AX50" si="4">SUM(C2:C49)</f>
        <v>10635.668308396924</v>
      </c>
      <c r="D50" s="16">
        <f t="shared" si="4"/>
        <v>167328.6325495737</v>
      </c>
      <c r="E50" s="16">
        <f t="shared" si="4"/>
        <v>428085.32643648703</v>
      </c>
      <c r="F50" s="16">
        <f t="shared" si="4"/>
        <v>225058.94184086611</v>
      </c>
      <c r="G50" s="16">
        <f t="shared" si="4"/>
        <v>155208.78742292183</v>
      </c>
      <c r="H50" s="16">
        <f t="shared" si="4"/>
        <v>725227.81645560032</v>
      </c>
      <c r="I50" s="16">
        <f t="shared" si="4"/>
        <v>118511.94483974679</v>
      </c>
      <c r="J50" s="16">
        <f t="shared" si="4"/>
        <v>156877.70578329498</v>
      </c>
      <c r="K50" s="16">
        <f t="shared" si="4"/>
        <v>201502.46699830086</v>
      </c>
      <c r="L50" s="16">
        <f t="shared" si="4"/>
        <v>482783.68949555838</v>
      </c>
      <c r="M50" s="16">
        <f t="shared" si="4"/>
        <v>3180.6450250511175</v>
      </c>
      <c r="N50" s="16">
        <f t="shared" si="4"/>
        <v>3226.3653022613526</v>
      </c>
      <c r="O50" s="16">
        <f t="shared" si="4"/>
        <v>11833.479294433593</v>
      </c>
      <c r="P50" s="16">
        <f t="shared" si="4"/>
        <v>14000.550921569826</v>
      </c>
      <c r="Q50" s="16">
        <f t="shared" si="4"/>
        <v>24009.768006958013</v>
      </c>
      <c r="R50" s="16">
        <f t="shared" si="4"/>
        <v>40533.327000000012</v>
      </c>
      <c r="S50" s="16">
        <f t="shared" si="4"/>
        <v>25999.751999999997</v>
      </c>
      <c r="T50" s="16">
        <f t="shared" si="4"/>
        <v>17182.992000000006</v>
      </c>
      <c r="U50" s="16">
        <f t="shared" si="4"/>
        <v>18315.867000000002</v>
      </c>
      <c r="V50" s="16">
        <f t="shared" si="4"/>
        <v>0</v>
      </c>
      <c r="W50" s="16">
        <f t="shared" si="4"/>
        <v>0</v>
      </c>
      <c r="X50" s="16">
        <f t="shared" si="4"/>
        <v>743229.22806580435</v>
      </c>
      <c r="Y50" s="16">
        <f t="shared" si="4"/>
        <v>9.6720631467708298</v>
      </c>
      <c r="Z50" s="16">
        <f t="shared" si="4"/>
        <v>18.619259037797171</v>
      </c>
      <c r="AA50" s="16">
        <f t="shared" si="4"/>
        <v>125.54370357657874</v>
      </c>
      <c r="AB50" s="16">
        <f t="shared" si="4"/>
        <v>321.4272767925093</v>
      </c>
      <c r="AC50" s="16">
        <f t="shared" si="4"/>
        <v>526.85213540265124</v>
      </c>
      <c r="AD50" s="16">
        <f t="shared" si="4"/>
        <v>1496.9712664857052</v>
      </c>
      <c r="AE50" s="16">
        <f t="shared" si="4"/>
        <v>2088.1811385333126</v>
      </c>
      <c r="AF50" s="16">
        <f t="shared" si="4"/>
        <v>3615.4782448408578</v>
      </c>
      <c r="AG50" s="16">
        <f t="shared" si="4"/>
        <v>6036.5049121838165</v>
      </c>
      <c r="AH50" s="16">
        <f t="shared" si="4"/>
        <v>397.58060313172973</v>
      </c>
      <c r="AI50" s="16">
        <f t="shared" si="4"/>
        <v>403.29571277179639</v>
      </c>
      <c r="AJ50" s="16">
        <f t="shared" si="4"/>
        <v>1479.1848684890756</v>
      </c>
      <c r="AK50" s="16">
        <f t="shared" si="4"/>
        <v>1750.0688775222779</v>
      </c>
      <c r="AL50" s="16">
        <f t="shared" si="4"/>
        <v>3001.2209880218506</v>
      </c>
      <c r="AM50" s="16">
        <f t="shared" si="4"/>
        <v>5066.6659125000015</v>
      </c>
      <c r="AN50" s="16">
        <f t="shared" si="4"/>
        <v>3116.0296875000004</v>
      </c>
      <c r="AO50" s="16">
        <f t="shared" si="4"/>
        <v>2094.5433750000002</v>
      </c>
      <c r="AP50" s="16">
        <f t="shared" si="4"/>
        <v>2269.1771250000002</v>
      </c>
      <c r="AQ50" s="16">
        <f t="shared" si="4"/>
        <v>14194.079999999998</v>
      </c>
      <c r="AR50" s="16">
        <f t="shared" si="4"/>
        <v>1178.8799999999999</v>
      </c>
      <c r="AS50" s="16">
        <f t="shared" si="4"/>
        <v>112.925</v>
      </c>
      <c r="AT50" s="16">
        <f t="shared" si="4"/>
        <v>690.5</v>
      </c>
      <c r="AU50" s="16">
        <f t="shared" si="4"/>
        <v>11991.183001560115</v>
      </c>
      <c r="AV50" s="16">
        <f t="shared" si="4"/>
        <v>0</v>
      </c>
      <c r="AW50" s="16">
        <f t="shared" si="4"/>
        <v>0</v>
      </c>
      <c r="AX50" s="16">
        <f t="shared" si="4"/>
        <v>927214.1670189366</v>
      </c>
    </row>
    <row r="51" spans="2:51">
      <c r="C51" s="16">
        <f>SUM(C2:AX2)</f>
        <v>10635.668308396924</v>
      </c>
      <c r="D51" s="16">
        <f>SUM(C3:AX3)</f>
        <v>167328.6325495737</v>
      </c>
      <c r="E51" s="16">
        <f>SUM(C4:AX4)</f>
        <v>428085.32643648703</v>
      </c>
      <c r="F51" s="16">
        <f>SUM(C5:AX5)</f>
        <v>225058.94184086611</v>
      </c>
      <c r="G51" s="16">
        <f>SUM(C6:AX6)</f>
        <v>155208.78742292183</v>
      </c>
      <c r="H51" s="16">
        <f>SUM(C7:AX7)</f>
        <v>725227.81645560032</v>
      </c>
      <c r="I51" s="16">
        <f>SUM(C8:AX8)</f>
        <v>118511.94483974679</v>
      </c>
      <c r="J51" s="16">
        <f>SUM(C9:AX9)</f>
        <v>156877.70578329498</v>
      </c>
      <c r="K51" s="16">
        <f>SUM(C10:AX10)</f>
        <v>201502.46699830086</v>
      </c>
      <c r="L51" s="16">
        <f>SUM(C11:AX11)</f>
        <v>0</v>
      </c>
      <c r="M51" s="16">
        <f>SUM(C12:AX12)</f>
        <v>3180.645025051117</v>
      </c>
      <c r="N51" s="16">
        <f>SUM(C13:AX13)</f>
        <v>3226.3653022613526</v>
      </c>
      <c r="O51" s="16">
        <f>SUM(C14:AX14)</f>
        <v>11833.479294433591</v>
      </c>
      <c r="P51" s="16">
        <f>SUM(C15:AX15)</f>
        <v>14000.550921569826</v>
      </c>
      <c r="Q51" s="16">
        <f>SUM(C16:AX16)</f>
        <v>24009.768006958009</v>
      </c>
      <c r="R51" s="16">
        <f>SUM(C17:AX17)</f>
        <v>40533.327000000012</v>
      </c>
      <c r="S51" s="16">
        <f>SUM(C18:AX18)</f>
        <v>25999.752</v>
      </c>
      <c r="T51" s="16">
        <f>SUM(C19:AX19)</f>
        <v>17182.992000000002</v>
      </c>
      <c r="U51" s="16">
        <f>SUM(C20:AX20)</f>
        <v>18315.867000000002</v>
      </c>
      <c r="V51" s="16">
        <f>SUM(C21:AX21)</f>
        <v>792052.38703329186</v>
      </c>
      <c r="W51" s="16">
        <f>SUM(C22:AX22)</f>
        <v>250463.52499003219</v>
      </c>
      <c r="X51" s="16">
        <f>SUM(C23:AX23)</f>
        <v>0</v>
      </c>
      <c r="Y51" s="16">
        <f>SUM(C24:AX24)</f>
        <v>1068.423005879024</v>
      </c>
      <c r="Z51" s="16">
        <f>SUM(C25:AX25)</f>
        <v>2296.2376099900443</v>
      </c>
      <c r="AA51" s="16">
        <f>SUM(C26:AX26)</f>
        <v>6417.9340348539208</v>
      </c>
      <c r="AB51" s="16">
        <f>SUM(C27:AX27)</f>
        <v>10677.481351138007</v>
      </c>
      <c r="AC51" s="16">
        <f>SUM(C28:AX28)</f>
        <v>16474.223141952174</v>
      </c>
      <c r="AD51" s="16">
        <f>SUM(C29:AX29)</f>
        <v>36367.395976385793</v>
      </c>
      <c r="AE51" s="16">
        <f>SUM(C30:AX30)</f>
        <v>27591.526149166544</v>
      </c>
      <c r="AF51" s="16">
        <f>SUM(C31:AX31)</f>
        <v>39123.655894027273</v>
      </c>
      <c r="AG51" s="16">
        <f>SUM(C32:AX32)</f>
        <v>45456.223527793445</v>
      </c>
      <c r="AH51" s="117">
        <f>SUM(C33:AX33)</f>
        <v>397.58060313172939</v>
      </c>
      <c r="AI51" s="117">
        <f>SUM(C34:AX34)</f>
        <v>403.29571277179718</v>
      </c>
      <c r="AJ51" s="117">
        <f>SUM(C35:AX35)</f>
        <v>1479.1848684890745</v>
      </c>
      <c r="AK51" s="117">
        <f>SUM(C36:AX36)</f>
        <v>1750.0688775222779</v>
      </c>
      <c r="AL51" s="117">
        <f>SUM(C37:AX37)</f>
        <v>3001.2209880218506</v>
      </c>
      <c r="AM51" s="117">
        <f>SUM(C38:AX38)</f>
        <v>5066.6659125000015</v>
      </c>
      <c r="AN51" s="118">
        <f>SUM(C39:AX39)</f>
        <v>3116.0296875000004</v>
      </c>
      <c r="AO51" s="118">
        <f>SUM(C40:AX40)</f>
        <v>2094.5433750000002</v>
      </c>
      <c r="AP51" s="118">
        <f>SUM(C41:AX41)</f>
        <v>2269.1771250000002</v>
      </c>
      <c r="AQ51" s="16">
        <f>SUM(C42:AX42)</f>
        <v>14194.079999999998</v>
      </c>
      <c r="AR51" s="16">
        <f>SUM(C43:AX43)</f>
        <v>1178.8799999999999</v>
      </c>
      <c r="AS51" s="16">
        <f>SUM(C44:AX44)</f>
        <v>112.92499999999998</v>
      </c>
      <c r="AT51" s="16">
        <f>SUM(C45:AX45)</f>
        <v>395.0394668029262</v>
      </c>
      <c r="AU51" s="16">
        <f>SUM(C46:AX46)</f>
        <v>-17505.258650367679</v>
      </c>
      <c r="AV51" s="16">
        <f>SUM(C47:AX47)</f>
        <v>15372.959999999997</v>
      </c>
      <c r="AW51" s="16">
        <f>SUM(C48:AX48)</f>
        <v>803.42499999999995</v>
      </c>
      <c r="AX51" s="16">
        <f>SUM(C49:AX49)</f>
        <v>953092.83905091393</v>
      </c>
    </row>
    <row r="52" spans="2:51">
      <c r="AH52" s="117"/>
      <c r="AI52" s="117"/>
      <c r="AJ52" s="117"/>
      <c r="AK52" s="117"/>
      <c r="AL52" s="117"/>
      <c r="AM52" s="117"/>
      <c r="AN52" s="118"/>
      <c r="AO52" s="118"/>
      <c r="AP52" s="118"/>
    </row>
    <row r="53" spans="2:51">
      <c r="B53" s="16" t="s">
        <v>297</v>
      </c>
      <c r="C53" s="16">
        <f>C50-C51</f>
        <v>0</v>
      </c>
      <c r="D53" s="16">
        <f t="shared" ref="D53:AX53" si="5">D50-D51</f>
        <v>0</v>
      </c>
      <c r="E53" s="16">
        <f t="shared" si="5"/>
        <v>0</v>
      </c>
      <c r="F53" s="16">
        <f t="shared" si="5"/>
        <v>0</v>
      </c>
      <c r="G53" s="16">
        <f t="shared" si="5"/>
        <v>0</v>
      </c>
      <c r="H53" s="16">
        <f t="shared" si="5"/>
        <v>0</v>
      </c>
      <c r="I53" s="16">
        <f t="shared" si="5"/>
        <v>0</v>
      </c>
      <c r="J53" s="16">
        <f t="shared" si="5"/>
        <v>0</v>
      </c>
      <c r="K53" s="16">
        <f t="shared" si="5"/>
        <v>0</v>
      </c>
      <c r="L53" s="16">
        <f t="shared" si="5"/>
        <v>482783.68949555838</v>
      </c>
      <c r="M53" s="16">
        <f t="shared" si="5"/>
        <v>0</v>
      </c>
      <c r="N53" s="16">
        <f t="shared" si="5"/>
        <v>0</v>
      </c>
      <c r="O53" s="16">
        <f t="shared" si="5"/>
        <v>0</v>
      </c>
      <c r="P53" s="16">
        <f t="shared" si="5"/>
        <v>0</v>
      </c>
      <c r="Q53" s="16">
        <f t="shared" si="5"/>
        <v>0</v>
      </c>
      <c r="R53" s="16">
        <f t="shared" si="5"/>
        <v>0</v>
      </c>
      <c r="S53" s="16">
        <f t="shared" si="5"/>
        <v>0</v>
      </c>
      <c r="T53" s="16">
        <f t="shared" si="5"/>
        <v>0</v>
      </c>
      <c r="U53" s="16">
        <f t="shared" si="5"/>
        <v>0</v>
      </c>
      <c r="V53" s="16">
        <f t="shared" si="5"/>
        <v>-792052.38703329186</v>
      </c>
      <c r="W53" s="16">
        <f t="shared" si="5"/>
        <v>-250463.52499003219</v>
      </c>
      <c r="X53" s="16">
        <f t="shared" si="5"/>
        <v>743229.22806580435</v>
      </c>
      <c r="Y53" s="16">
        <f t="shared" si="5"/>
        <v>-1058.7509427322532</v>
      </c>
      <c r="Z53" s="16">
        <f t="shared" si="5"/>
        <v>-2277.6183509522471</v>
      </c>
      <c r="AA53" s="16">
        <f t="shared" si="5"/>
        <v>-6292.3903312773418</v>
      </c>
      <c r="AB53" s="16">
        <f t="shared" si="5"/>
        <v>-10356.054074345499</v>
      </c>
      <c r="AC53" s="16">
        <f t="shared" si="5"/>
        <v>-15947.371006549523</v>
      </c>
      <c r="AD53" s="16">
        <f t="shared" si="5"/>
        <v>-34870.424709900086</v>
      </c>
      <c r="AE53" s="16">
        <f t="shared" si="5"/>
        <v>-25503.345010633231</v>
      </c>
      <c r="AF53" s="16">
        <f t="shared" si="5"/>
        <v>-35508.177649186415</v>
      </c>
      <c r="AG53" s="16">
        <f t="shared" si="5"/>
        <v>-39419.718615609629</v>
      </c>
      <c r="AH53" s="16">
        <f t="shared" si="5"/>
        <v>0</v>
      </c>
      <c r="AI53" s="146">
        <f t="shared" si="5"/>
        <v>-7.9580786405131221E-13</v>
      </c>
      <c r="AJ53" s="16">
        <f t="shared" si="5"/>
        <v>0</v>
      </c>
      <c r="AK53" s="16">
        <f t="shared" si="5"/>
        <v>0</v>
      </c>
      <c r="AL53" s="16">
        <f t="shared" si="5"/>
        <v>0</v>
      </c>
      <c r="AM53" s="16">
        <f t="shared" si="5"/>
        <v>0</v>
      </c>
      <c r="AN53" s="16">
        <f t="shared" si="5"/>
        <v>0</v>
      </c>
      <c r="AO53" s="16">
        <f t="shared" si="5"/>
        <v>0</v>
      </c>
      <c r="AP53" s="16">
        <f t="shared" si="5"/>
        <v>0</v>
      </c>
      <c r="AQ53" s="16">
        <f t="shared" si="5"/>
        <v>0</v>
      </c>
      <c r="AR53" s="16">
        <f t="shared" si="5"/>
        <v>0</v>
      </c>
      <c r="AS53" s="16">
        <f t="shared" si="5"/>
        <v>0</v>
      </c>
      <c r="AT53" s="16">
        <f t="shared" si="5"/>
        <v>295.4605331970738</v>
      </c>
      <c r="AU53" s="16">
        <f t="shared" si="5"/>
        <v>29496.441651927795</v>
      </c>
      <c r="AV53" s="16">
        <f t="shared" si="5"/>
        <v>-15372.959999999997</v>
      </c>
      <c r="AW53" s="16">
        <f t="shared" si="5"/>
        <v>-803.42499999999995</v>
      </c>
      <c r="AX53" s="16">
        <f t="shared" si="5"/>
        <v>-25878.67203197733</v>
      </c>
    </row>
    <row r="54" spans="2:51">
      <c r="C54" s="16" t="str">
        <f>IF(C53=0,"-","X")</f>
        <v>-</v>
      </c>
      <c r="D54" s="16" t="str">
        <f t="shared" ref="D54:AX54" si="6">IF(D53=0,"-","X")</f>
        <v>-</v>
      </c>
      <c r="E54" s="16" t="str">
        <f t="shared" si="6"/>
        <v>-</v>
      </c>
      <c r="F54" s="16" t="str">
        <f t="shared" si="6"/>
        <v>-</v>
      </c>
      <c r="G54" s="16" t="str">
        <f t="shared" si="6"/>
        <v>-</v>
      </c>
      <c r="H54" s="16" t="str">
        <f t="shared" si="6"/>
        <v>-</v>
      </c>
      <c r="I54" s="16" t="str">
        <f t="shared" si="6"/>
        <v>-</v>
      </c>
      <c r="J54" s="16" t="str">
        <f t="shared" si="6"/>
        <v>-</v>
      </c>
      <c r="K54" s="16" t="str">
        <f t="shared" si="6"/>
        <v>-</v>
      </c>
      <c r="L54" s="16" t="str">
        <f t="shared" si="6"/>
        <v>X</v>
      </c>
      <c r="M54" s="16" t="str">
        <f t="shared" si="6"/>
        <v>-</v>
      </c>
      <c r="N54" s="16" t="str">
        <f t="shared" si="6"/>
        <v>-</v>
      </c>
      <c r="O54" s="16" t="str">
        <f t="shared" si="6"/>
        <v>-</v>
      </c>
      <c r="P54" s="16" t="str">
        <f t="shared" si="6"/>
        <v>-</v>
      </c>
      <c r="Q54" s="16" t="str">
        <f t="shared" si="6"/>
        <v>-</v>
      </c>
      <c r="R54" s="16" t="str">
        <f t="shared" si="6"/>
        <v>-</v>
      </c>
      <c r="S54" s="16" t="str">
        <f t="shared" si="6"/>
        <v>-</v>
      </c>
      <c r="T54" s="16" t="str">
        <f t="shared" si="6"/>
        <v>-</v>
      </c>
      <c r="U54" s="16" t="str">
        <f t="shared" si="6"/>
        <v>-</v>
      </c>
      <c r="V54" s="16" t="str">
        <f t="shared" si="6"/>
        <v>X</v>
      </c>
      <c r="W54" s="16" t="str">
        <f t="shared" si="6"/>
        <v>X</v>
      </c>
      <c r="X54" s="16" t="str">
        <f t="shared" si="6"/>
        <v>X</v>
      </c>
      <c r="Y54" s="16" t="str">
        <f t="shared" si="6"/>
        <v>X</v>
      </c>
      <c r="Z54" s="16" t="str">
        <f t="shared" si="6"/>
        <v>X</v>
      </c>
      <c r="AA54" s="16" t="str">
        <f t="shared" si="6"/>
        <v>X</v>
      </c>
      <c r="AB54" s="16" t="str">
        <f t="shared" si="6"/>
        <v>X</v>
      </c>
      <c r="AC54" s="16" t="str">
        <f t="shared" si="6"/>
        <v>X</v>
      </c>
      <c r="AD54" s="16" t="str">
        <f t="shared" si="6"/>
        <v>X</v>
      </c>
      <c r="AE54" s="16" t="str">
        <f t="shared" si="6"/>
        <v>X</v>
      </c>
      <c r="AF54" s="16" t="str">
        <f t="shared" si="6"/>
        <v>X</v>
      </c>
      <c r="AG54" s="16" t="str">
        <f t="shared" si="6"/>
        <v>X</v>
      </c>
      <c r="AH54" s="117" t="str">
        <f t="shared" si="6"/>
        <v>-</v>
      </c>
      <c r="AI54" s="117" t="str">
        <f t="shared" si="6"/>
        <v>X</v>
      </c>
      <c r="AJ54" s="117" t="str">
        <f t="shared" si="6"/>
        <v>-</v>
      </c>
      <c r="AK54" s="117" t="str">
        <f t="shared" si="6"/>
        <v>-</v>
      </c>
      <c r="AL54" s="117" t="str">
        <f t="shared" si="6"/>
        <v>-</v>
      </c>
      <c r="AM54" s="117" t="str">
        <f t="shared" si="6"/>
        <v>-</v>
      </c>
      <c r="AN54" s="118" t="str">
        <f t="shared" si="6"/>
        <v>-</v>
      </c>
      <c r="AO54" s="118" t="str">
        <f t="shared" si="6"/>
        <v>-</v>
      </c>
      <c r="AP54" s="118" t="str">
        <f t="shared" si="6"/>
        <v>-</v>
      </c>
      <c r="AQ54" s="16" t="str">
        <f t="shared" si="6"/>
        <v>-</v>
      </c>
      <c r="AR54" s="16" t="str">
        <f t="shared" si="6"/>
        <v>-</v>
      </c>
      <c r="AS54" s="16" t="str">
        <f t="shared" si="6"/>
        <v>-</v>
      </c>
      <c r="AT54" s="16" t="str">
        <f t="shared" si="6"/>
        <v>X</v>
      </c>
      <c r="AU54" s="16" t="str">
        <f t="shared" si="6"/>
        <v>X</v>
      </c>
      <c r="AV54" s="16" t="str">
        <f t="shared" si="6"/>
        <v>X</v>
      </c>
      <c r="AW54" s="16" t="str">
        <f t="shared" si="6"/>
        <v>X</v>
      </c>
      <c r="AX54" s="16" t="str">
        <f t="shared" si="6"/>
        <v>X</v>
      </c>
    </row>
    <row r="55" spans="2:51">
      <c r="AH55" s="117">
        <f>-AH53</f>
        <v>0</v>
      </c>
      <c r="AI55" s="117">
        <f t="shared" ref="AI55:AP55" si="7">-AI53</f>
        <v>7.9580786405131221E-13</v>
      </c>
      <c r="AJ55" s="117">
        <f t="shared" si="7"/>
        <v>0</v>
      </c>
      <c r="AK55" s="117">
        <f t="shared" si="7"/>
        <v>0</v>
      </c>
      <c r="AL55" s="117">
        <f t="shared" si="7"/>
        <v>0</v>
      </c>
      <c r="AM55" s="117">
        <f t="shared" si="7"/>
        <v>0</v>
      </c>
      <c r="AN55" s="117">
        <f t="shared" si="7"/>
        <v>0</v>
      </c>
      <c r="AO55" s="117">
        <f t="shared" si="7"/>
        <v>0</v>
      </c>
      <c r="AP55" s="117">
        <f t="shared" si="7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activeCell="L26" sqref="L26"/>
    </sheetView>
  </sheetViews>
  <sheetFormatPr defaultRowHeight="14.4"/>
  <cols>
    <col min="2" max="2" width="10" bestFit="1" customWidth="1"/>
  </cols>
  <sheetData>
    <row r="1" spans="1:48">
      <c r="A1" s="12" t="s">
        <v>451</v>
      </c>
      <c r="B1" t="s">
        <v>271</v>
      </c>
      <c r="C1" t="s">
        <v>290</v>
      </c>
      <c r="D1" t="s">
        <v>311</v>
      </c>
      <c r="E1" t="s">
        <v>296</v>
      </c>
      <c r="F1" t="s">
        <v>295</v>
      </c>
      <c r="G1" t="s">
        <v>293</v>
      </c>
      <c r="H1" t="s">
        <v>269</v>
      </c>
      <c r="I1" t="s">
        <v>294</v>
      </c>
      <c r="J1" t="s">
        <v>312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405</v>
      </c>
      <c r="W1" t="s">
        <v>257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299</v>
      </c>
      <c r="AN1" t="s">
        <v>300</v>
      </c>
      <c r="AO1" t="s">
        <v>301</v>
      </c>
      <c r="AP1" t="s">
        <v>264</v>
      </c>
      <c r="AQ1" t="s">
        <v>310</v>
      </c>
      <c r="AR1" t="s">
        <v>309</v>
      </c>
      <c r="AS1" t="s">
        <v>265</v>
      </c>
      <c r="AT1" t="s">
        <v>307</v>
      </c>
      <c r="AU1" t="s">
        <v>308</v>
      </c>
      <c r="AV1" t="s">
        <v>266</v>
      </c>
    </row>
    <row r="2" spans="1:48">
      <c r="A2" s="16" t="s">
        <v>271</v>
      </c>
      <c r="B2">
        <f>SAM!C2/1000</f>
        <v>0.83478738619503579</v>
      </c>
      <c r="C2">
        <f>SAM!D2/1000</f>
        <v>0.22345589629367238</v>
      </c>
      <c r="D2">
        <f>SAM!E2/1000</f>
        <v>0.44454002798925429</v>
      </c>
      <c r="E2">
        <f>SAM!F2/1000</f>
        <v>1.7424746474523036</v>
      </c>
      <c r="F2">
        <f>SAM!G2/1000</f>
        <v>8.9712907375883458E-2</v>
      </c>
      <c r="G2">
        <f>SAM!H2/1000</f>
        <v>0.28095129934194557</v>
      </c>
      <c r="H2">
        <f>SAM!I2/1000</f>
        <v>2.1955088162944537E-2</v>
      </c>
      <c r="I2">
        <f>SAM!J2/1000</f>
        <v>0.67869331479545147</v>
      </c>
      <c r="J2">
        <f>SAM!K2/1000</f>
        <v>0.86328212727687526</v>
      </c>
      <c r="K2">
        <f>SAM!L2/1000</f>
        <v>0</v>
      </c>
      <c r="L2">
        <f>SAM!M2/1000</f>
        <v>0</v>
      </c>
      <c r="M2">
        <f>SAM!N2/1000</f>
        <v>0</v>
      </c>
      <c r="N2">
        <f>SAM!O2/1000</f>
        <v>0</v>
      </c>
      <c r="O2">
        <f>SAM!P2/1000</f>
        <v>0</v>
      </c>
      <c r="P2">
        <f>SAM!Q2/1000</f>
        <v>0</v>
      </c>
      <c r="Q2">
        <f>SAM!R2/1000</f>
        <v>0</v>
      </c>
      <c r="R2">
        <f>SAM!S2/1000</f>
        <v>0</v>
      </c>
      <c r="S2">
        <f>SAM!T2/1000</f>
        <v>0</v>
      </c>
      <c r="T2">
        <f>SAM!U2/1000</f>
        <v>0</v>
      </c>
      <c r="U2">
        <f>SAM!V2/1000</f>
        <v>0</v>
      </c>
      <c r="V2">
        <f>SAM!W2/1000</f>
        <v>0</v>
      </c>
      <c r="W2">
        <f>SAM!X2/1000</f>
        <v>0.49442398259805431</v>
      </c>
      <c r="X2">
        <f>SAM!Y2/1000</f>
        <v>0</v>
      </c>
      <c r="Y2">
        <f>SAM!Z2/1000</f>
        <v>0</v>
      </c>
      <c r="Z2">
        <f>SAM!AA2/1000</f>
        <v>0</v>
      </c>
      <c r="AA2">
        <f>SAM!AB2/1000</f>
        <v>0</v>
      </c>
      <c r="AB2">
        <f>SAM!AC2/1000</f>
        <v>0</v>
      </c>
      <c r="AC2">
        <f>SAM!AD2/1000</f>
        <v>0</v>
      </c>
      <c r="AD2">
        <f>SAM!AE2/1000</f>
        <v>0</v>
      </c>
      <c r="AE2">
        <f>SAM!AF2/1000</f>
        <v>0</v>
      </c>
      <c r="AF2">
        <f>SAM!AG2/1000</f>
        <v>0</v>
      </c>
      <c r="AG2">
        <f>SAM!AH2/1000</f>
        <v>0</v>
      </c>
      <c r="AH2">
        <f>SAM!AI2/1000</f>
        <v>0</v>
      </c>
      <c r="AI2">
        <f>SAM!AJ2/1000</f>
        <v>0</v>
      </c>
      <c r="AJ2">
        <f>SAM!AK2/1000</f>
        <v>0</v>
      </c>
      <c r="AK2">
        <f>SAM!AL2/1000</f>
        <v>0</v>
      </c>
      <c r="AL2">
        <f>SAM!AM2/1000</f>
        <v>0</v>
      </c>
      <c r="AM2">
        <f>SAM!AN2/1000</f>
        <v>0</v>
      </c>
      <c r="AN2">
        <f>SAM!AO2/1000</f>
        <v>0</v>
      </c>
      <c r="AO2">
        <f>SAM!AP2/1000</f>
        <v>0</v>
      </c>
      <c r="AP2">
        <f>SAM!AQ2/1000</f>
        <v>0</v>
      </c>
      <c r="AQ2">
        <f>SAM!AR2/1000</f>
        <v>0</v>
      </c>
      <c r="AR2">
        <f>SAM!AS2/1000</f>
        <v>0</v>
      </c>
      <c r="AS2">
        <f>SAM!AU2/1000</f>
        <v>0</v>
      </c>
      <c r="AT2">
        <f>SAM!AV2/1000</f>
        <v>0</v>
      </c>
      <c r="AU2">
        <f>SAM!AW2/1000</f>
        <v>0</v>
      </c>
      <c r="AV2">
        <f>SAM!AX2/1000</f>
        <v>4.9613916309155037</v>
      </c>
    </row>
    <row r="3" spans="1:48">
      <c r="A3" s="16" t="s">
        <v>290</v>
      </c>
      <c r="B3">
        <f>SAM!C3/1000</f>
        <v>7.1082197658559429E-2</v>
      </c>
      <c r="C3">
        <f>SAM!D3/1000</f>
        <v>0.18730593682452906</v>
      </c>
      <c r="D3">
        <f>SAM!E3/1000</f>
        <v>0.12145848135267816</v>
      </c>
      <c r="E3">
        <f>SAM!F3/1000</f>
        <v>0.3718380711773589</v>
      </c>
      <c r="F3">
        <f>SAM!G3/1000</f>
        <v>1.5937880939505902</v>
      </c>
      <c r="G3">
        <f>SAM!H3/1000</f>
        <v>3.1845346652091142</v>
      </c>
      <c r="H3">
        <f>SAM!I3/1000</f>
        <v>0.6224082113486874</v>
      </c>
      <c r="I3">
        <f>SAM!J3/1000</f>
        <v>2.7120841360204708</v>
      </c>
      <c r="J3">
        <f>SAM!K3/1000</f>
        <v>3.449708006926886</v>
      </c>
      <c r="K3">
        <f>SAM!L3/1000</f>
        <v>0</v>
      </c>
      <c r="L3">
        <f>SAM!M3/1000</f>
        <v>0</v>
      </c>
      <c r="M3">
        <f>SAM!N3/1000</f>
        <v>0</v>
      </c>
      <c r="N3">
        <f>SAM!O3/1000</f>
        <v>0</v>
      </c>
      <c r="O3">
        <f>SAM!P3/1000</f>
        <v>0</v>
      </c>
      <c r="P3">
        <f>SAM!Q3/1000</f>
        <v>0</v>
      </c>
      <c r="Q3">
        <f>SAM!R3/1000</f>
        <v>0</v>
      </c>
      <c r="R3">
        <f>SAM!S3/1000</f>
        <v>0</v>
      </c>
      <c r="S3">
        <f>SAM!T3/1000</f>
        <v>0</v>
      </c>
      <c r="T3">
        <f>SAM!U3/1000</f>
        <v>0</v>
      </c>
      <c r="U3">
        <f>SAM!V3/1000</f>
        <v>0</v>
      </c>
      <c r="V3">
        <f>SAM!W3/1000</f>
        <v>0</v>
      </c>
      <c r="W3">
        <f>SAM!X3/1000</f>
        <v>169.457075012941</v>
      </c>
      <c r="X3">
        <f>SAM!Y3/1000</f>
        <v>0</v>
      </c>
      <c r="Y3">
        <f>SAM!Z3/1000</f>
        <v>0</v>
      </c>
      <c r="Z3">
        <f>SAM!AA3/1000</f>
        <v>0</v>
      </c>
      <c r="AA3">
        <f>SAM!AB3/1000</f>
        <v>0</v>
      </c>
      <c r="AB3">
        <f>SAM!AC3/1000</f>
        <v>0</v>
      </c>
      <c r="AC3">
        <f>SAM!AD3/1000</f>
        <v>0</v>
      </c>
      <c r="AD3">
        <f>SAM!AE3/1000</f>
        <v>0</v>
      </c>
      <c r="AE3">
        <f>SAM!AF3/1000</f>
        <v>0</v>
      </c>
      <c r="AF3">
        <f>SAM!AG3/1000</f>
        <v>0</v>
      </c>
      <c r="AG3">
        <f>SAM!AH3/1000</f>
        <v>0</v>
      </c>
      <c r="AH3">
        <f>SAM!AI3/1000</f>
        <v>0</v>
      </c>
      <c r="AI3">
        <f>SAM!AJ3/1000</f>
        <v>0</v>
      </c>
      <c r="AJ3">
        <f>SAM!AK3/1000</f>
        <v>0</v>
      </c>
      <c r="AK3">
        <f>SAM!AL3/1000</f>
        <v>0</v>
      </c>
      <c r="AL3">
        <f>SAM!AM3/1000</f>
        <v>0</v>
      </c>
      <c r="AM3">
        <f>SAM!AN3/1000</f>
        <v>0</v>
      </c>
      <c r="AN3">
        <f>SAM!AO3/1000</f>
        <v>0</v>
      </c>
      <c r="AO3">
        <f>SAM!AP3/1000</f>
        <v>0</v>
      </c>
      <c r="AP3">
        <f>SAM!AQ3/1000</f>
        <v>0</v>
      </c>
      <c r="AQ3">
        <f>SAM!AR3/1000</f>
        <v>0</v>
      </c>
      <c r="AR3">
        <f>SAM!AS3/1000</f>
        <v>0</v>
      </c>
      <c r="AS3">
        <f>SAM!AU3/1000</f>
        <v>0</v>
      </c>
      <c r="AT3">
        <f>SAM!AV3/1000</f>
        <v>0</v>
      </c>
      <c r="AU3">
        <f>SAM!AW3/1000</f>
        <v>0</v>
      </c>
      <c r="AV3">
        <f>SAM!AX3/1000</f>
        <v>-14.442650263836171</v>
      </c>
    </row>
    <row r="4" spans="1:48">
      <c r="A4" s="16" t="s">
        <v>311</v>
      </c>
      <c r="B4">
        <f>SAM!C4/1000</f>
        <v>3.7779435866068196E-2</v>
      </c>
      <c r="C4">
        <f>SAM!D4/1000</f>
        <v>4.816134235921872E-2</v>
      </c>
      <c r="D4">
        <f>SAM!E4/1000</f>
        <v>5.5257153740498879E-3</v>
      </c>
      <c r="E4">
        <f>SAM!F4/1000</f>
        <v>0.1362339036501693</v>
      </c>
      <c r="F4">
        <f>SAM!G4/1000</f>
        <v>0.20123757495170413</v>
      </c>
      <c r="G4">
        <f>SAM!H4/1000</f>
        <v>3.5449852344566515</v>
      </c>
      <c r="H4">
        <f>SAM!I4/1000</f>
        <v>5.0754231650074887E-2</v>
      </c>
      <c r="I4">
        <f>SAM!J4/1000</f>
        <v>0.28553377422575726</v>
      </c>
      <c r="J4">
        <f>SAM!K4/1000</f>
        <v>0.36319232656254652</v>
      </c>
      <c r="K4">
        <f>SAM!L4/1000</f>
        <v>57.934042739466996</v>
      </c>
      <c r="L4">
        <f>SAM!M4/1000</f>
        <v>0</v>
      </c>
      <c r="M4">
        <f>SAM!N4/1000</f>
        <v>0</v>
      </c>
      <c r="N4">
        <f>SAM!O4/1000</f>
        <v>0</v>
      </c>
      <c r="O4">
        <f>SAM!P4/1000</f>
        <v>0</v>
      </c>
      <c r="P4">
        <f>SAM!Q4/1000</f>
        <v>0</v>
      </c>
      <c r="Q4">
        <f>SAM!R4/1000</f>
        <v>0</v>
      </c>
      <c r="R4">
        <f>SAM!S4/1000</f>
        <v>0</v>
      </c>
      <c r="S4">
        <f>SAM!T4/1000</f>
        <v>0</v>
      </c>
      <c r="T4">
        <f>SAM!U4/1000</f>
        <v>0</v>
      </c>
      <c r="U4">
        <f>SAM!V4/1000</f>
        <v>0</v>
      </c>
      <c r="V4">
        <f>SAM!W4/1000</f>
        <v>0</v>
      </c>
      <c r="W4">
        <f>SAM!X4/1000</f>
        <v>351.42429113976431</v>
      </c>
      <c r="X4">
        <f>SAM!Y4/1000</f>
        <v>0</v>
      </c>
      <c r="Y4">
        <f>SAM!Z4/1000</f>
        <v>0</v>
      </c>
      <c r="Z4">
        <f>SAM!AA4/1000</f>
        <v>0</v>
      </c>
      <c r="AA4">
        <f>SAM!AB4/1000</f>
        <v>0</v>
      </c>
      <c r="AB4">
        <f>SAM!AC4/1000</f>
        <v>0</v>
      </c>
      <c r="AC4">
        <f>SAM!AD4/1000</f>
        <v>0</v>
      </c>
      <c r="AD4">
        <f>SAM!AE4/1000</f>
        <v>0</v>
      </c>
      <c r="AE4">
        <f>SAM!AF4/1000</f>
        <v>0</v>
      </c>
      <c r="AF4">
        <f>SAM!AG4/1000</f>
        <v>0</v>
      </c>
      <c r="AG4">
        <f>SAM!AH4/1000</f>
        <v>0</v>
      </c>
      <c r="AH4">
        <f>SAM!AI4/1000</f>
        <v>0</v>
      </c>
      <c r="AI4">
        <f>SAM!AJ4/1000</f>
        <v>0</v>
      </c>
      <c r="AJ4">
        <f>SAM!AK4/1000</f>
        <v>0</v>
      </c>
      <c r="AK4">
        <f>SAM!AL4/1000</f>
        <v>0</v>
      </c>
      <c r="AL4">
        <f>SAM!AM4/1000</f>
        <v>0</v>
      </c>
      <c r="AM4">
        <f>SAM!AN4/1000</f>
        <v>0</v>
      </c>
      <c r="AN4">
        <f>SAM!AO4/1000</f>
        <v>0</v>
      </c>
      <c r="AO4">
        <f>SAM!AP4/1000</f>
        <v>0</v>
      </c>
      <c r="AP4">
        <f>SAM!AQ4/1000</f>
        <v>0</v>
      </c>
      <c r="AQ4">
        <f>SAM!AR4/1000</f>
        <v>0</v>
      </c>
      <c r="AR4">
        <f>SAM!AS4/1000</f>
        <v>0</v>
      </c>
      <c r="AS4">
        <f>SAM!AU4/1000</f>
        <v>0</v>
      </c>
      <c r="AT4">
        <f>SAM!AV4/1000</f>
        <v>0</v>
      </c>
      <c r="AU4">
        <f>SAM!AW4/1000</f>
        <v>0</v>
      </c>
      <c r="AV4">
        <f>SAM!AX4/1000</f>
        <v>14.053589018159487</v>
      </c>
    </row>
    <row r="5" spans="1:48">
      <c r="A5" s="16" t="s">
        <v>296</v>
      </c>
      <c r="B5">
        <f>SAM!C5/1000</f>
        <v>1.0093588556254476</v>
      </c>
      <c r="C5">
        <f>SAM!D5/1000</f>
        <v>0.34738870764733759</v>
      </c>
      <c r="D5">
        <f>SAM!E5/1000</f>
        <v>9.8784695475775202</v>
      </c>
      <c r="E5">
        <f>SAM!F5/1000</f>
        <v>10.108483922215061</v>
      </c>
      <c r="F5">
        <f>SAM!G5/1000</f>
        <v>7.6347039586981582</v>
      </c>
      <c r="G5">
        <f>SAM!H5/1000</f>
        <v>25.087849284738471</v>
      </c>
      <c r="H5">
        <f>SAM!I5/1000</f>
        <v>8.6536916918364213</v>
      </c>
      <c r="I5">
        <f>SAM!J5/1000</f>
        <v>10.44557646878688</v>
      </c>
      <c r="J5">
        <f>SAM!K5/1000</f>
        <v>13.286530569886855</v>
      </c>
      <c r="K5">
        <f>SAM!L5/1000</f>
        <v>0</v>
      </c>
      <c r="L5">
        <f>SAM!M5/1000</f>
        <v>0</v>
      </c>
      <c r="M5">
        <f>SAM!N5/1000</f>
        <v>0</v>
      </c>
      <c r="N5">
        <f>SAM!O5/1000</f>
        <v>0</v>
      </c>
      <c r="O5">
        <f>SAM!P5/1000</f>
        <v>0</v>
      </c>
      <c r="P5">
        <f>SAM!Q5/1000</f>
        <v>0</v>
      </c>
      <c r="Q5">
        <f>SAM!R5/1000</f>
        <v>0</v>
      </c>
      <c r="R5">
        <f>SAM!S5/1000</f>
        <v>0</v>
      </c>
      <c r="S5">
        <f>SAM!T5/1000</f>
        <v>0</v>
      </c>
      <c r="T5">
        <f>SAM!U5/1000</f>
        <v>0</v>
      </c>
      <c r="U5">
        <f>SAM!V5/1000</f>
        <v>0</v>
      </c>
      <c r="V5">
        <f>SAM!W5/1000</f>
        <v>0</v>
      </c>
      <c r="W5">
        <f>SAM!X5/1000</f>
        <v>154.34680209030608</v>
      </c>
      <c r="X5">
        <f>SAM!Y5/1000</f>
        <v>0</v>
      </c>
      <c r="Y5">
        <f>SAM!Z5/1000</f>
        <v>0</v>
      </c>
      <c r="Z5">
        <f>SAM!AA5/1000</f>
        <v>0</v>
      </c>
      <c r="AA5">
        <f>SAM!AB5/1000</f>
        <v>0</v>
      </c>
      <c r="AB5">
        <f>SAM!AC5/1000</f>
        <v>0</v>
      </c>
      <c r="AC5">
        <f>SAM!AD5/1000</f>
        <v>0</v>
      </c>
      <c r="AD5">
        <f>SAM!AE5/1000</f>
        <v>0</v>
      </c>
      <c r="AE5">
        <f>SAM!AF5/1000</f>
        <v>0</v>
      </c>
      <c r="AF5">
        <f>SAM!AG5/1000</f>
        <v>0</v>
      </c>
      <c r="AG5">
        <f>SAM!AH5/1000</f>
        <v>0</v>
      </c>
      <c r="AH5">
        <f>SAM!AI5/1000</f>
        <v>0</v>
      </c>
      <c r="AI5">
        <f>SAM!AJ5/1000</f>
        <v>0</v>
      </c>
      <c r="AJ5">
        <f>SAM!AK5/1000</f>
        <v>0</v>
      </c>
      <c r="AK5">
        <f>SAM!AL5/1000</f>
        <v>0</v>
      </c>
      <c r="AL5">
        <f>SAM!AM5/1000</f>
        <v>0</v>
      </c>
      <c r="AM5">
        <f>SAM!AN5/1000</f>
        <v>0</v>
      </c>
      <c r="AN5">
        <f>SAM!AO5/1000</f>
        <v>0</v>
      </c>
      <c r="AO5">
        <f>SAM!AP5/1000</f>
        <v>0</v>
      </c>
      <c r="AP5">
        <f>SAM!AQ5/1000</f>
        <v>0</v>
      </c>
      <c r="AQ5">
        <f>SAM!AR5/1000</f>
        <v>0</v>
      </c>
      <c r="AR5">
        <f>SAM!AS5/1000</f>
        <v>0</v>
      </c>
      <c r="AS5">
        <f>SAM!AU5/1000</f>
        <v>0</v>
      </c>
      <c r="AT5">
        <f>SAM!AV5/1000</f>
        <v>0</v>
      </c>
      <c r="AU5">
        <f>SAM!AW5/1000</f>
        <v>0</v>
      </c>
      <c r="AV5">
        <f>SAM!AX5/1000</f>
        <v>-15.739913256452128</v>
      </c>
    </row>
    <row r="6" spans="1:48">
      <c r="A6" s="16" t="s">
        <v>295</v>
      </c>
      <c r="B6">
        <f>SAM!C6/1000</f>
        <v>3.7287189912365631E-3</v>
      </c>
      <c r="C6">
        <f>SAM!D6/1000</f>
        <v>6.3647395955724259E-2</v>
      </c>
      <c r="D6">
        <f>SAM!E6/1000</f>
        <v>4.2178965275763414</v>
      </c>
      <c r="E6">
        <f>SAM!F6/1000</f>
        <v>1.7204633601352202</v>
      </c>
      <c r="F6">
        <f>SAM!G6/1000</f>
        <v>2.6689657987001274</v>
      </c>
      <c r="G6">
        <f>SAM!H6/1000</f>
        <v>6.7716406071774147</v>
      </c>
      <c r="H6">
        <f>SAM!I6/1000</f>
        <v>2.2734288370863549</v>
      </c>
      <c r="I6">
        <f>SAM!J6/1000</f>
        <v>2.9891855014190547</v>
      </c>
      <c r="J6">
        <f>SAM!K6/1000</f>
        <v>3.8021745053846061</v>
      </c>
      <c r="K6">
        <f>SAM!L6/1000</f>
        <v>0</v>
      </c>
      <c r="L6">
        <f>SAM!M6/1000</f>
        <v>0</v>
      </c>
      <c r="M6">
        <f>SAM!N6/1000</f>
        <v>0</v>
      </c>
      <c r="N6">
        <f>SAM!O6/1000</f>
        <v>0</v>
      </c>
      <c r="O6">
        <f>SAM!P6/1000</f>
        <v>0</v>
      </c>
      <c r="P6">
        <f>SAM!Q6/1000</f>
        <v>0</v>
      </c>
      <c r="Q6">
        <f>SAM!R6/1000</f>
        <v>0</v>
      </c>
      <c r="R6">
        <f>SAM!S6/1000</f>
        <v>0</v>
      </c>
      <c r="S6">
        <f>SAM!T6/1000</f>
        <v>0</v>
      </c>
      <c r="T6">
        <f>SAM!U6/1000</f>
        <v>0</v>
      </c>
      <c r="U6">
        <f>SAM!V6/1000</f>
        <v>0</v>
      </c>
      <c r="V6">
        <f>SAM!W6/1000</f>
        <v>0</v>
      </c>
      <c r="W6">
        <f>SAM!X6/1000</f>
        <v>21.663269309626269</v>
      </c>
      <c r="X6">
        <f>SAM!Y6/1000</f>
        <v>0</v>
      </c>
      <c r="Y6">
        <f>SAM!Z6/1000</f>
        <v>0</v>
      </c>
      <c r="Z6">
        <f>SAM!AA6/1000</f>
        <v>0</v>
      </c>
      <c r="AA6">
        <f>SAM!AB6/1000</f>
        <v>0</v>
      </c>
      <c r="AB6">
        <f>SAM!AC6/1000</f>
        <v>0</v>
      </c>
      <c r="AC6">
        <f>SAM!AD6/1000</f>
        <v>0</v>
      </c>
      <c r="AD6">
        <f>SAM!AE6/1000</f>
        <v>0</v>
      </c>
      <c r="AE6">
        <f>SAM!AF6/1000</f>
        <v>0</v>
      </c>
      <c r="AF6">
        <f>SAM!AG6/1000</f>
        <v>0</v>
      </c>
      <c r="AG6">
        <f>SAM!AH6/1000</f>
        <v>0</v>
      </c>
      <c r="AH6">
        <f>SAM!AI6/1000</f>
        <v>0</v>
      </c>
      <c r="AI6">
        <f>SAM!AJ6/1000</f>
        <v>0</v>
      </c>
      <c r="AJ6">
        <f>SAM!AK6/1000</f>
        <v>0</v>
      </c>
      <c r="AK6">
        <f>SAM!AL6/1000</f>
        <v>0</v>
      </c>
      <c r="AL6">
        <f>SAM!AM6/1000</f>
        <v>0</v>
      </c>
      <c r="AM6">
        <f>SAM!AN6/1000</f>
        <v>0</v>
      </c>
      <c r="AN6">
        <f>SAM!AO6/1000</f>
        <v>0</v>
      </c>
      <c r="AO6">
        <f>SAM!AP6/1000</f>
        <v>0</v>
      </c>
      <c r="AP6">
        <f>SAM!AQ6/1000</f>
        <v>0</v>
      </c>
      <c r="AQ6">
        <f>SAM!AR6/1000</f>
        <v>0</v>
      </c>
      <c r="AR6">
        <f>SAM!AS6/1000</f>
        <v>0</v>
      </c>
      <c r="AS6">
        <f>SAM!AU6/1000</f>
        <v>0</v>
      </c>
      <c r="AT6">
        <f>SAM!AV6/1000</f>
        <v>0</v>
      </c>
      <c r="AU6">
        <f>SAM!AW6/1000</f>
        <v>0</v>
      </c>
      <c r="AV6">
        <f>SAM!AX6/1000</f>
        <v>109.03438686086947</v>
      </c>
    </row>
    <row r="7" spans="1:48">
      <c r="A7" s="16" t="s">
        <v>293</v>
      </c>
      <c r="B7">
        <f>SAM!C7/1000</f>
        <v>0.82248564815850866</v>
      </c>
      <c r="C7">
        <f>SAM!D7/1000</f>
        <v>0.35340566810724</v>
      </c>
      <c r="D7">
        <f>SAM!E7/1000</f>
        <v>3.7902713062461117</v>
      </c>
      <c r="E7">
        <f>SAM!F7/1000</f>
        <v>4.5528162007332957</v>
      </c>
      <c r="F7">
        <f>SAM!G7/1000</f>
        <v>29.485781938501638</v>
      </c>
      <c r="G7">
        <f>SAM!H7/1000</f>
        <v>125.93556717586119</v>
      </c>
      <c r="H7">
        <f>SAM!I7/1000</f>
        <v>23.627873485847847</v>
      </c>
      <c r="I7">
        <f>SAM!J7/1000</f>
        <v>30.185164126425779</v>
      </c>
      <c r="J7">
        <f>SAM!K7/1000</f>
        <v>38.394827429700072</v>
      </c>
      <c r="K7">
        <f>SAM!L7/1000</f>
        <v>48.278368949555833</v>
      </c>
      <c r="L7">
        <f>SAM!M7/1000</f>
        <v>0</v>
      </c>
      <c r="M7">
        <f>SAM!N7/1000</f>
        <v>0</v>
      </c>
      <c r="N7">
        <f>SAM!O7/1000</f>
        <v>0</v>
      </c>
      <c r="O7">
        <f>SAM!P7/1000</f>
        <v>0</v>
      </c>
      <c r="P7">
        <f>SAM!Q7/1000</f>
        <v>0</v>
      </c>
      <c r="Q7">
        <f>SAM!R7/1000</f>
        <v>0</v>
      </c>
      <c r="R7">
        <f>SAM!S7/1000</f>
        <v>0</v>
      </c>
      <c r="S7">
        <f>SAM!T7/1000</f>
        <v>0</v>
      </c>
      <c r="T7">
        <f>SAM!U7/1000</f>
        <v>0</v>
      </c>
      <c r="U7">
        <f>SAM!V7/1000</f>
        <v>0</v>
      </c>
      <c r="V7">
        <f>SAM!W7/1000</f>
        <v>0</v>
      </c>
      <c r="W7">
        <f>SAM!X7/1000</f>
        <v>37.9290684246822</v>
      </c>
      <c r="X7">
        <f>SAM!Y7/1000</f>
        <v>0</v>
      </c>
      <c r="Y7">
        <f>SAM!Z7/1000</f>
        <v>0</v>
      </c>
      <c r="Z7">
        <f>SAM!AA7/1000</f>
        <v>0</v>
      </c>
      <c r="AA7">
        <f>SAM!AB7/1000</f>
        <v>0</v>
      </c>
      <c r="AB7">
        <f>SAM!AC7/1000</f>
        <v>0</v>
      </c>
      <c r="AC7">
        <f>SAM!AD7/1000</f>
        <v>0</v>
      </c>
      <c r="AD7">
        <f>SAM!AE7/1000</f>
        <v>0</v>
      </c>
      <c r="AE7">
        <f>SAM!AF7/1000</f>
        <v>0</v>
      </c>
      <c r="AF7">
        <f>SAM!AG7/1000</f>
        <v>0</v>
      </c>
      <c r="AG7">
        <f>SAM!AH7/1000</f>
        <v>0</v>
      </c>
      <c r="AH7">
        <f>SAM!AI7/1000</f>
        <v>0</v>
      </c>
      <c r="AI7">
        <f>SAM!AJ7/1000</f>
        <v>0</v>
      </c>
      <c r="AJ7">
        <f>SAM!AK7/1000</f>
        <v>0</v>
      </c>
      <c r="AK7">
        <f>SAM!AL7/1000</f>
        <v>0</v>
      </c>
      <c r="AL7">
        <f>SAM!AM7/1000</f>
        <v>0</v>
      </c>
      <c r="AM7">
        <f>SAM!AN7/1000</f>
        <v>0</v>
      </c>
      <c r="AN7">
        <f>SAM!AO7/1000</f>
        <v>0</v>
      </c>
      <c r="AO7">
        <f>SAM!AP7/1000</f>
        <v>0</v>
      </c>
      <c r="AP7">
        <f>SAM!AQ7/1000</f>
        <v>0</v>
      </c>
      <c r="AQ7">
        <f>SAM!AR7/1000</f>
        <v>0</v>
      </c>
      <c r="AR7">
        <f>SAM!AS7/1000</f>
        <v>0</v>
      </c>
      <c r="AS7">
        <f>SAM!AU7/1000</f>
        <v>0</v>
      </c>
      <c r="AT7">
        <f>SAM!AV7/1000</f>
        <v>0</v>
      </c>
      <c r="AU7">
        <f>SAM!AW7/1000</f>
        <v>0</v>
      </c>
      <c r="AV7">
        <f>SAM!AX7/1000</f>
        <v>381.87218610178058</v>
      </c>
    </row>
    <row r="8" spans="1:48">
      <c r="A8" s="16" t="s">
        <v>269</v>
      </c>
      <c r="B8">
        <f>SAM!C8/1000</f>
        <v>1.2585499891559012E-4</v>
      </c>
      <c r="C8">
        <f>SAM!D8/1000</f>
        <v>1.2340438124124136E-3</v>
      </c>
      <c r="D8">
        <f>SAM!E8/1000</f>
        <v>1.8273393760337518E-4</v>
      </c>
      <c r="E8">
        <f>SAM!F8/1000</f>
        <v>3.2904637371895568E-3</v>
      </c>
      <c r="F8">
        <f>SAM!G8/1000</f>
        <v>0.24409901738102921</v>
      </c>
      <c r="G8">
        <f>SAM!H8/1000</f>
        <v>0.65052960656040393</v>
      </c>
      <c r="H8">
        <f>SAM!I8/1000</f>
        <v>1.4860217751255982</v>
      </c>
      <c r="I8">
        <f>SAM!J8/1000</f>
        <v>0.17456181390278336</v>
      </c>
      <c r="J8">
        <f>SAM!K8/1000</f>
        <v>0.22203857141678565</v>
      </c>
      <c r="K8">
        <f>SAM!L8/1000</f>
        <v>0</v>
      </c>
      <c r="L8">
        <f>SAM!M8/1000</f>
        <v>0</v>
      </c>
      <c r="M8">
        <f>SAM!N8/1000</f>
        <v>0</v>
      </c>
      <c r="N8">
        <f>SAM!O8/1000</f>
        <v>0</v>
      </c>
      <c r="O8">
        <f>SAM!P8/1000</f>
        <v>0</v>
      </c>
      <c r="P8">
        <f>SAM!Q8/1000</f>
        <v>0</v>
      </c>
      <c r="Q8">
        <f>SAM!R8/1000</f>
        <v>0</v>
      </c>
      <c r="R8">
        <f>SAM!S8/1000</f>
        <v>0</v>
      </c>
      <c r="S8">
        <f>SAM!T8/1000</f>
        <v>0</v>
      </c>
      <c r="T8">
        <f>SAM!U8/1000</f>
        <v>0</v>
      </c>
      <c r="U8">
        <f>SAM!V8/1000</f>
        <v>0</v>
      </c>
      <c r="V8">
        <f>SAM!W8/1000</f>
        <v>0</v>
      </c>
      <c r="W8">
        <f>SAM!X8/1000</f>
        <v>0</v>
      </c>
      <c r="X8">
        <f>SAM!Y8/1000</f>
        <v>0</v>
      </c>
      <c r="Y8">
        <f>SAM!Z8/1000</f>
        <v>0</v>
      </c>
      <c r="Z8">
        <f>SAM!AA8/1000</f>
        <v>0</v>
      </c>
      <c r="AA8">
        <f>SAM!AB8/1000</f>
        <v>0</v>
      </c>
      <c r="AB8">
        <f>SAM!AC8/1000</f>
        <v>0</v>
      </c>
      <c r="AC8">
        <f>SAM!AD8/1000</f>
        <v>0</v>
      </c>
      <c r="AD8">
        <f>SAM!AE8/1000</f>
        <v>0</v>
      </c>
      <c r="AE8">
        <f>SAM!AF8/1000</f>
        <v>0</v>
      </c>
      <c r="AF8">
        <f>SAM!AG8/1000</f>
        <v>0</v>
      </c>
      <c r="AG8">
        <f>SAM!AH8/1000</f>
        <v>0</v>
      </c>
      <c r="AH8">
        <f>SAM!AI8/1000</f>
        <v>0</v>
      </c>
      <c r="AI8">
        <f>SAM!AJ8/1000</f>
        <v>0</v>
      </c>
      <c r="AJ8">
        <f>SAM!AK8/1000</f>
        <v>0</v>
      </c>
      <c r="AK8">
        <f>SAM!AL8/1000</f>
        <v>0</v>
      </c>
      <c r="AL8">
        <f>SAM!AM8/1000</f>
        <v>0</v>
      </c>
      <c r="AM8">
        <f>SAM!AN8/1000</f>
        <v>0</v>
      </c>
      <c r="AN8">
        <f>SAM!AO8/1000</f>
        <v>0</v>
      </c>
      <c r="AO8">
        <f>SAM!AP8/1000</f>
        <v>0</v>
      </c>
      <c r="AP8">
        <f>SAM!AQ8/1000</f>
        <v>0</v>
      </c>
      <c r="AQ8">
        <f>SAM!AR8/1000</f>
        <v>0</v>
      </c>
      <c r="AR8">
        <f>SAM!AS8/1000</f>
        <v>0</v>
      </c>
      <c r="AS8">
        <f>SAM!AU8/1000</f>
        <v>0</v>
      </c>
      <c r="AT8">
        <f>SAM!AV8/1000</f>
        <v>0</v>
      </c>
      <c r="AU8">
        <f>SAM!AW8/1000</f>
        <v>0</v>
      </c>
      <c r="AV8">
        <f>SAM!AX8/1000</f>
        <v>115.72986095887407</v>
      </c>
    </row>
    <row r="9" spans="1:48">
      <c r="A9" s="16" t="s">
        <v>294</v>
      </c>
      <c r="B9">
        <f>SAM!C9/1000</f>
        <v>3.1982968628983897E-3</v>
      </c>
      <c r="C9">
        <f>SAM!D9/1000</f>
        <v>6.9528032133365607E-3</v>
      </c>
      <c r="D9">
        <f>SAM!E9/1000</f>
        <v>9.3645520173048884E-3</v>
      </c>
      <c r="E9">
        <f>SAM!F9/1000</f>
        <v>6.7938942963028853E-2</v>
      </c>
      <c r="F9">
        <f>SAM!G9/1000</f>
        <v>0.20043152289814259</v>
      </c>
      <c r="G9">
        <f>SAM!H9/1000</f>
        <v>2.6177133795687269</v>
      </c>
      <c r="H9">
        <f>SAM!I9/1000</f>
        <v>0.76015409471961737</v>
      </c>
      <c r="I9">
        <f>SAM!J9/1000</f>
        <v>1.2188604798679992</v>
      </c>
      <c r="J9">
        <f>SAM!K9/1000</f>
        <v>1.550362210700843</v>
      </c>
      <c r="K9">
        <f>SAM!L9/1000</f>
        <v>0</v>
      </c>
      <c r="L9">
        <f>SAM!M9/1000</f>
        <v>0</v>
      </c>
      <c r="M9">
        <f>SAM!N9/1000</f>
        <v>0</v>
      </c>
      <c r="N9">
        <f>SAM!O9/1000</f>
        <v>0</v>
      </c>
      <c r="O9">
        <f>SAM!P9/1000</f>
        <v>0</v>
      </c>
      <c r="P9">
        <f>SAM!Q9/1000</f>
        <v>0</v>
      </c>
      <c r="Q9">
        <f>SAM!R9/1000</f>
        <v>0</v>
      </c>
      <c r="R9">
        <f>SAM!S9/1000</f>
        <v>0</v>
      </c>
      <c r="S9">
        <f>SAM!T9/1000</f>
        <v>0</v>
      </c>
      <c r="T9">
        <f>SAM!U9/1000</f>
        <v>0</v>
      </c>
      <c r="U9">
        <f>SAM!V9/1000</f>
        <v>0</v>
      </c>
      <c r="V9">
        <f>SAM!W9/1000</f>
        <v>0</v>
      </c>
      <c r="W9">
        <f>SAM!X9/1000</f>
        <v>3.1340833908093249</v>
      </c>
      <c r="X9">
        <f>SAM!Y9/1000</f>
        <v>0</v>
      </c>
      <c r="Y9">
        <f>SAM!Z9/1000</f>
        <v>0</v>
      </c>
      <c r="Z9">
        <f>SAM!AA9/1000</f>
        <v>0</v>
      </c>
      <c r="AA9">
        <f>SAM!AB9/1000</f>
        <v>0</v>
      </c>
      <c r="AB9">
        <f>SAM!AC9/1000</f>
        <v>0</v>
      </c>
      <c r="AC9">
        <f>SAM!AD9/1000</f>
        <v>0</v>
      </c>
      <c r="AD9">
        <f>SAM!AE9/1000</f>
        <v>0</v>
      </c>
      <c r="AE9">
        <f>SAM!AF9/1000</f>
        <v>0</v>
      </c>
      <c r="AF9">
        <f>SAM!AG9/1000</f>
        <v>0</v>
      </c>
      <c r="AG9">
        <f>SAM!AH9/1000</f>
        <v>0</v>
      </c>
      <c r="AH9">
        <f>SAM!AI9/1000</f>
        <v>0</v>
      </c>
      <c r="AI9">
        <f>SAM!AJ9/1000</f>
        <v>0</v>
      </c>
      <c r="AJ9">
        <f>SAM!AK9/1000</f>
        <v>0</v>
      </c>
      <c r="AK9">
        <f>SAM!AL9/1000</f>
        <v>0</v>
      </c>
      <c r="AL9">
        <f>SAM!AM9/1000</f>
        <v>0</v>
      </c>
      <c r="AM9">
        <f>SAM!AN9/1000</f>
        <v>0</v>
      </c>
      <c r="AN9">
        <f>SAM!AO9/1000</f>
        <v>0</v>
      </c>
      <c r="AO9">
        <f>SAM!AP9/1000</f>
        <v>0</v>
      </c>
      <c r="AP9">
        <f>SAM!AQ9/1000</f>
        <v>0</v>
      </c>
      <c r="AQ9">
        <f>SAM!AR9/1000</f>
        <v>0</v>
      </c>
      <c r="AR9">
        <f>SAM!AS9/1000</f>
        <v>0</v>
      </c>
      <c r="AS9">
        <f>SAM!AU9/1000</f>
        <v>0</v>
      </c>
      <c r="AT9">
        <f>SAM!AV9/1000</f>
        <v>0</v>
      </c>
      <c r="AU9">
        <f>SAM!AW9/1000</f>
        <v>0</v>
      </c>
      <c r="AV9">
        <f>SAM!AX9/1000</f>
        <v>147.30864610967376</v>
      </c>
    </row>
    <row r="10" spans="1:48">
      <c r="A10" s="16" t="s">
        <v>312</v>
      </c>
      <c r="B10">
        <f>SAM!C10/1000</f>
        <v>6.1061514447817581E-3</v>
      </c>
      <c r="C10">
        <f>SAM!D10/1000</f>
        <v>1.3274211621470449E-2</v>
      </c>
      <c r="D10">
        <f>SAM!E10/1000</f>
        <v>1.7878694593215696E-2</v>
      </c>
      <c r="E10">
        <f>SAM!F10/1000</f>
        <v>0.12970824551749052</v>
      </c>
      <c r="F10">
        <f>SAM!G10/1000</f>
        <v>0.38266154943953484</v>
      </c>
      <c r="G10">
        <f>SAM!H10/1000</f>
        <v>4.997708161522195</v>
      </c>
      <c r="H10">
        <f>SAM!I10/1000</f>
        <v>1.4512774212968438</v>
      </c>
      <c r="I10">
        <f>SAM!J10/1000</f>
        <v>2.3270343558379745</v>
      </c>
      <c r="J10">
        <f>SAM!K10/1000</f>
        <v>2.9599336329983297</v>
      </c>
      <c r="K10">
        <f>SAM!L10/1000</f>
        <v>0</v>
      </c>
      <c r="L10">
        <f>SAM!M10/1000</f>
        <v>0</v>
      </c>
      <c r="M10">
        <f>SAM!N10/1000</f>
        <v>0</v>
      </c>
      <c r="N10">
        <f>SAM!O10/1000</f>
        <v>0</v>
      </c>
      <c r="O10">
        <f>SAM!P10/1000</f>
        <v>0</v>
      </c>
      <c r="P10">
        <f>SAM!Q10/1000</f>
        <v>0</v>
      </c>
      <c r="Q10">
        <f>SAM!R10/1000</f>
        <v>0</v>
      </c>
      <c r="R10">
        <f>SAM!S10/1000</f>
        <v>0</v>
      </c>
      <c r="S10">
        <f>SAM!T10/1000</f>
        <v>0</v>
      </c>
      <c r="T10">
        <f>SAM!U10/1000</f>
        <v>0</v>
      </c>
      <c r="U10">
        <f>SAM!V10/1000</f>
        <v>0</v>
      </c>
      <c r="V10">
        <f>SAM!W10/1000</f>
        <v>0</v>
      </c>
      <c r="W10">
        <f>SAM!X10/1000</f>
        <v>4.7802147150769771</v>
      </c>
      <c r="X10">
        <f>SAM!Y10/1000</f>
        <v>0</v>
      </c>
      <c r="Y10">
        <f>SAM!Z10/1000</f>
        <v>0</v>
      </c>
      <c r="Z10">
        <f>SAM!AA10/1000</f>
        <v>0</v>
      </c>
      <c r="AA10">
        <f>SAM!AB10/1000</f>
        <v>0</v>
      </c>
      <c r="AB10">
        <f>SAM!AC10/1000</f>
        <v>0</v>
      </c>
      <c r="AC10">
        <f>SAM!AD10/1000</f>
        <v>0</v>
      </c>
      <c r="AD10">
        <f>SAM!AE10/1000</f>
        <v>0</v>
      </c>
      <c r="AE10">
        <f>SAM!AF10/1000</f>
        <v>0</v>
      </c>
      <c r="AF10">
        <f>SAM!AG10/1000</f>
        <v>0</v>
      </c>
      <c r="AG10">
        <f>SAM!AH10/1000</f>
        <v>0</v>
      </c>
      <c r="AH10">
        <f>SAM!AI10/1000</f>
        <v>0</v>
      </c>
      <c r="AI10">
        <f>SAM!AJ10/1000</f>
        <v>0</v>
      </c>
      <c r="AJ10">
        <f>SAM!AK10/1000</f>
        <v>0</v>
      </c>
      <c r="AK10">
        <f>SAM!AL10/1000</f>
        <v>0</v>
      </c>
      <c r="AL10">
        <f>SAM!AM10/1000</f>
        <v>0</v>
      </c>
      <c r="AM10">
        <f>SAM!AN10/1000</f>
        <v>0</v>
      </c>
      <c r="AN10">
        <f>SAM!AO10/1000</f>
        <v>0</v>
      </c>
      <c r="AO10">
        <f>SAM!AP10/1000</f>
        <v>0</v>
      </c>
      <c r="AP10">
        <f>SAM!AQ10/1000</f>
        <v>0</v>
      </c>
      <c r="AQ10">
        <f>SAM!AR10/1000</f>
        <v>0</v>
      </c>
      <c r="AR10">
        <f>SAM!AS10/1000</f>
        <v>0</v>
      </c>
      <c r="AS10">
        <f>SAM!AU10/1000</f>
        <v>0</v>
      </c>
      <c r="AT10">
        <f>SAM!AV10/1000</f>
        <v>0</v>
      </c>
      <c r="AU10">
        <f>SAM!AW10/1000</f>
        <v>0</v>
      </c>
      <c r="AV10">
        <f>SAM!AX10/1000</f>
        <v>184.43666985895206</v>
      </c>
    </row>
    <row r="11" spans="1:48">
      <c r="A11" s="16" t="s">
        <v>246</v>
      </c>
      <c r="B11">
        <f>SAM!C11/1000</f>
        <v>0</v>
      </c>
      <c r="C11">
        <f>SAM!D11/1000</f>
        <v>0</v>
      </c>
      <c r="D11">
        <f>SAM!E11/1000</f>
        <v>0</v>
      </c>
      <c r="E11">
        <f>SAM!F11/1000</f>
        <v>0</v>
      </c>
      <c r="F11">
        <f>SAM!G11/1000</f>
        <v>0</v>
      </c>
      <c r="G11">
        <f>SAM!H11/1000</f>
        <v>0</v>
      </c>
      <c r="H11">
        <f>SAM!I11/1000</f>
        <v>0</v>
      </c>
      <c r="I11">
        <f>SAM!J11/1000</f>
        <v>0</v>
      </c>
      <c r="J11">
        <f>SAM!K11/1000</f>
        <v>0</v>
      </c>
      <c r="K11">
        <f>SAM!L11/1000</f>
        <v>0</v>
      </c>
      <c r="L11">
        <f>SAM!M11/1000</f>
        <v>0</v>
      </c>
      <c r="M11">
        <f>SAM!N11/1000</f>
        <v>0</v>
      </c>
      <c r="N11">
        <f>SAM!O11/1000</f>
        <v>0</v>
      </c>
      <c r="O11">
        <f>SAM!P11/1000</f>
        <v>0</v>
      </c>
      <c r="P11">
        <f>SAM!Q11/1000</f>
        <v>0</v>
      </c>
      <c r="Q11">
        <f>SAM!R11/1000</f>
        <v>0</v>
      </c>
      <c r="R11">
        <f>SAM!S11/1000</f>
        <v>0</v>
      </c>
      <c r="S11">
        <f>SAM!T11/1000</f>
        <v>0</v>
      </c>
      <c r="T11">
        <f>SAM!U11/1000</f>
        <v>0</v>
      </c>
      <c r="U11">
        <f>SAM!V11/1000</f>
        <v>0</v>
      </c>
      <c r="V11">
        <f>SAM!W11/1000</f>
        <v>0</v>
      </c>
      <c r="W11">
        <f>SAM!X11/1000</f>
        <v>0</v>
      </c>
      <c r="X11">
        <f>SAM!Y11/1000</f>
        <v>0</v>
      </c>
      <c r="Y11">
        <f>SAM!Z11/1000</f>
        <v>0</v>
      </c>
      <c r="Z11">
        <f>SAM!AA11/1000</f>
        <v>0</v>
      </c>
      <c r="AA11">
        <f>SAM!AB11/1000</f>
        <v>0</v>
      </c>
      <c r="AB11">
        <f>SAM!AC11/1000</f>
        <v>0</v>
      </c>
      <c r="AC11">
        <f>SAM!AD11/1000</f>
        <v>0</v>
      </c>
      <c r="AD11">
        <f>SAM!AE11/1000</f>
        <v>0</v>
      </c>
      <c r="AE11">
        <f>SAM!AF11/1000</f>
        <v>0</v>
      </c>
      <c r="AF11">
        <f>SAM!AG11/1000</f>
        <v>0</v>
      </c>
      <c r="AG11">
        <f>SAM!AH11/1000</f>
        <v>0</v>
      </c>
      <c r="AH11">
        <f>SAM!AI11/1000</f>
        <v>0</v>
      </c>
      <c r="AI11">
        <f>SAM!AJ11/1000</f>
        <v>0</v>
      </c>
      <c r="AJ11">
        <f>SAM!AK11/1000</f>
        <v>0</v>
      </c>
      <c r="AK11">
        <f>SAM!AL11/1000</f>
        <v>0</v>
      </c>
      <c r="AL11">
        <f>SAM!AM11/1000</f>
        <v>0</v>
      </c>
      <c r="AM11">
        <f>SAM!AN11/1000</f>
        <v>0</v>
      </c>
      <c r="AN11">
        <f>SAM!AO11/1000</f>
        <v>0</v>
      </c>
      <c r="AO11">
        <f>SAM!AP11/1000</f>
        <v>0</v>
      </c>
      <c r="AP11">
        <f>SAM!AQ11/1000</f>
        <v>0</v>
      </c>
      <c r="AQ11">
        <f>SAM!AR11/1000</f>
        <v>0</v>
      </c>
      <c r="AR11">
        <f>SAM!AS11/1000</f>
        <v>0</v>
      </c>
      <c r="AS11">
        <f>SAM!AU11/1000</f>
        <v>0</v>
      </c>
      <c r="AT11">
        <f>SAM!AV11/1000</f>
        <v>0</v>
      </c>
      <c r="AU11">
        <f>SAM!AW11/1000</f>
        <v>0</v>
      </c>
      <c r="AV11">
        <f>SAM!AX11/1000</f>
        <v>0</v>
      </c>
    </row>
    <row r="12" spans="1:48">
      <c r="A12" s="16" t="s">
        <v>247</v>
      </c>
      <c r="B12">
        <f>SAM!C12/1000</f>
        <v>2.4396000000000001E-2</v>
      </c>
      <c r="C12">
        <f>SAM!D12/1000</f>
        <v>8.4816001739501951E-3</v>
      </c>
      <c r="D12">
        <f>SAM!E12/1000</f>
        <v>0.22606199782562256</v>
      </c>
      <c r="E12">
        <f>SAM!F12/1000</f>
        <v>0.30732063000869753</v>
      </c>
      <c r="F12">
        <f>SAM!G12/1000</f>
        <v>1.1394123312263489</v>
      </c>
      <c r="G12">
        <f>SAM!H12/1000</f>
        <v>0.56046902768754958</v>
      </c>
      <c r="H12">
        <f>SAM!I12/1000</f>
        <v>0.29719344000434877</v>
      </c>
      <c r="I12">
        <f>SAM!J12/1000</f>
        <v>4.3941299652099607E-2</v>
      </c>
      <c r="J12">
        <f>SAM!K12/1000</f>
        <v>0.40626749847793581</v>
      </c>
      <c r="K12">
        <f>SAM!L12/1000</f>
        <v>0</v>
      </c>
      <c r="L12">
        <f>SAM!M12/1000</f>
        <v>0</v>
      </c>
      <c r="M12">
        <f>SAM!N12/1000</f>
        <v>0</v>
      </c>
      <c r="N12">
        <f>SAM!O12/1000</f>
        <v>0</v>
      </c>
      <c r="O12">
        <f>SAM!P12/1000</f>
        <v>0</v>
      </c>
      <c r="P12">
        <f>SAM!Q12/1000</f>
        <v>0</v>
      </c>
      <c r="Q12">
        <f>SAM!R12/1000</f>
        <v>0</v>
      </c>
      <c r="R12">
        <f>SAM!S12/1000</f>
        <v>0</v>
      </c>
      <c r="S12">
        <f>SAM!T12/1000</f>
        <v>0</v>
      </c>
      <c r="T12">
        <f>SAM!U12/1000</f>
        <v>0</v>
      </c>
      <c r="U12">
        <f>SAM!V12/1000</f>
        <v>0</v>
      </c>
      <c r="V12">
        <f>SAM!W12/1000</f>
        <v>0</v>
      </c>
      <c r="W12">
        <f>SAM!X12/1000</f>
        <v>0</v>
      </c>
      <c r="X12">
        <f>SAM!Y12/1000</f>
        <v>0</v>
      </c>
      <c r="Y12">
        <f>SAM!Z12/1000</f>
        <v>0</v>
      </c>
      <c r="Z12">
        <f>SAM!AA12/1000</f>
        <v>0</v>
      </c>
      <c r="AA12">
        <f>SAM!AB12/1000</f>
        <v>0</v>
      </c>
      <c r="AB12">
        <f>SAM!AC12/1000</f>
        <v>0</v>
      </c>
      <c r="AC12">
        <f>SAM!AD12/1000</f>
        <v>0</v>
      </c>
      <c r="AD12">
        <f>SAM!AE12/1000</f>
        <v>0</v>
      </c>
      <c r="AE12">
        <f>SAM!AF12/1000</f>
        <v>0</v>
      </c>
      <c r="AF12">
        <f>SAM!AG12/1000</f>
        <v>0</v>
      </c>
      <c r="AG12">
        <f>SAM!AH12/1000</f>
        <v>0</v>
      </c>
      <c r="AH12">
        <f>SAM!AI12/1000</f>
        <v>0</v>
      </c>
      <c r="AI12">
        <f>SAM!AJ12/1000</f>
        <v>0</v>
      </c>
      <c r="AJ12">
        <f>SAM!AK12/1000</f>
        <v>0</v>
      </c>
      <c r="AK12">
        <f>SAM!AL12/1000</f>
        <v>0</v>
      </c>
      <c r="AL12">
        <f>SAM!AM12/1000</f>
        <v>0</v>
      </c>
      <c r="AM12">
        <f>SAM!AN12/1000</f>
        <v>0</v>
      </c>
      <c r="AN12">
        <f>SAM!AO12/1000</f>
        <v>0</v>
      </c>
      <c r="AO12">
        <f>SAM!AP12/1000</f>
        <v>0</v>
      </c>
      <c r="AP12">
        <f>SAM!AQ12/1000</f>
        <v>0</v>
      </c>
      <c r="AQ12">
        <f>SAM!AR12/1000</f>
        <v>0</v>
      </c>
      <c r="AR12">
        <f>SAM!AS12/1000</f>
        <v>0</v>
      </c>
      <c r="AS12">
        <f>SAM!AU12/1000</f>
        <v>0.16710119999456408</v>
      </c>
      <c r="AT12">
        <f>SAM!AV12/1000</f>
        <v>0</v>
      </c>
      <c r="AU12">
        <f>SAM!AW12/1000</f>
        <v>0</v>
      </c>
      <c r="AV12">
        <f>SAM!AX12/1000</f>
        <v>0</v>
      </c>
    </row>
    <row r="13" spans="1:48">
      <c r="A13" s="16" t="s">
        <v>248</v>
      </c>
      <c r="B13">
        <f>SAM!C13/1000</f>
        <v>0.19670699999999999</v>
      </c>
      <c r="C13">
        <f>SAM!D13/1000</f>
        <v>0</v>
      </c>
      <c r="D13">
        <f>SAM!E13/1000</f>
        <v>0.12429419860839845</v>
      </c>
      <c r="E13">
        <f>SAM!F13/1000</f>
        <v>0.12045240069580079</v>
      </c>
      <c r="F13">
        <f>SAM!G13/1000</f>
        <v>0.25823849999999998</v>
      </c>
      <c r="G13">
        <f>SAM!H13/1000</f>
        <v>1.0673250034790041</v>
      </c>
      <c r="H13">
        <f>SAM!I13/1000</f>
        <v>0.32032859930419927</v>
      </c>
      <c r="I13">
        <f>SAM!J13/1000</f>
        <v>0.28591200000000005</v>
      </c>
      <c r="J13">
        <f>SAM!K13/1000</f>
        <v>0.78876600000000008</v>
      </c>
      <c r="K13">
        <f>SAM!L13/1000</f>
        <v>0</v>
      </c>
      <c r="L13">
        <f>SAM!M13/1000</f>
        <v>0</v>
      </c>
      <c r="M13">
        <f>SAM!N13/1000</f>
        <v>0</v>
      </c>
      <c r="N13">
        <f>SAM!O13/1000</f>
        <v>0</v>
      </c>
      <c r="O13">
        <f>SAM!P13/1000</f>
        <v>0</v>
      </c>
      <c r="P13">
        <f>SAM!Q13/1000</f>
        <v>0</v>
      </c>
      <c r="Q13">
        <f>SAM!R13/1000</f>
        <v>0</v>
      </c>
      <c r="R13">
        <f>SAM!S13/1000</f>
        <v>0</v>
      </c>
      <c r="S13">
        <f>SAM!T13/1000</f>
        <v>0</v>
      </c>
      <c r="T13">
        <f>SAM!U13/1000</f>
        <v>0</v>
      </c>
      <c r="U13">
        <f>SAM!V13/1000</f>
        <v>0</v>
      </c>
      <c r="V13">
        <f>SAM!W13/1000</f>
        <v>0</v>
      </c>
      <c r="W13">
        <f>SAM!X13/1000</f>
        <v>0</v>
      </c>
      <c r="X13">
        <f>SAM!Y13/1000</f>
        <v>0</v>
      </c>
      <c r="Y13">
        <f>SAM!Z13/1000</f>
        <v>0</v>
      </c>
      <c r="Z13">
        <f>SAM!AA13/1000</f>
        <v>0</v>
      </c>
      <c r="AA13">
        <f>SAM!AB13/1000</f>
        <v>0</v>
      </c>
      <c r="AB13">
        <f>SAM!AC13/1000</f>
        <v>0</v>
      </c>
      <c r="AC13">
        <f>SAM!AD13/1000</f>
        <v>0</v>
      </c>
      <c r="AD13">
        <f>SAM!AE13/1000</f>
        <v>0</v>
      </c>
      <c r="AE13">
        <f>SAM!AF13/1000</f>
        <v>0</v>
      </c>
      <c r="AF13">
        <f>SAM!AG13/1000</f>
        <v>0</v>
      </c>
      <c r="AG13">
        <f>SAM!AH13/1000</f>
        <v>0</v>
      </c>
      <c r="AH13">
        <f>SAM!AI13/1000</f>
        <v>0</v>
      </c>
      <c r="AI13">
        <f>SAM!AJ13/1000</f>
        <v>0</v>
      </c>
      <c r="AJ13">
        <f>SAM!AK13/1000</f>
        <v>0</v>
      </c>
      <c r="AK13">
        <f>SAM!AL13/1000</f>
        <v>0</v>
      </c>
      <c r="AL13">
        <f>SAM!AM13/1000</f>
        <v>0</v>
      </c>
      <c r="AM13">
        <f>SAM!AN13/1000</f>
        <v>0</v>
      </c>
      <c r="AN13">
        <f>SAM!AO13/1000</f>
        <v>0</v>
      </c>
      <c r="AO13">
        <f>SAM!AP13/1000</f>
        <v>0</v>
      </c>
      <c r="AP13">
        <f>SAM!AQ13/1000</f>
        <v>0</v>
      </c>
      <c r="AQ13">
        <f>SAM!AR13/1000</f>
        <v>0</v>
      </c>
      <c r="AR13">
        <f>SAM!AS13/1000</f>
        <v>0</v>
      </c>
      <c r="AS13">
        <f>SAM!AU13/1000</f>
        <v>6.43416001739502E-2</v>
      </c>
      <c r="AT13">
        <f>SAM!AV13/1000</f>
        <v>0</v>
      </c>
      <c r="AU13">
        <f>SAM!AW13/1000</f>
        <v>0</v>
      </c>
      <c r="AV13">
        <f>SAM!AX13/1000</f>
        <v>0</v>
      </c>
    </row>
    <row r="14" spans="1:48">
      <c r="A14" s="16" t="s">
        <v>249</v>
      </c>
      <c r="B14">
        <f>SAM!C14/1000</f>
        <v>0</v>
      </c>
      <c r="C14">
        <f>SAM!D14/1000</f>
        <v>6.2414999999999998E-2</v>
      </c>
      <c r="D14">
        <f>SAM!E14/1000</f>
        <v>0.45175350000000003</v>
      </c>
      <c r="E14">
        <f>SAM!F14/1000</f>
        <v>0.91702169860839844</v>
      </c>
      <c r="F14">
        <f>SAM!G14/1000</f>
        <v>3.6524574041748048</v>
      </c>
      <c r="G14">
        <f>SAM!H14/1000</f>
        <v>1.8560967020874024</v>
      </c>
      <c r="H14">
        <f>SAM!I14/1000</f>
        <v>2.4511595993041992</v>
      </c>
      <c r="I14">
        <f>SAM!J14/1000</f>
        <v>0.74552010278320313</v>
      </c>
      <c r="J14">
        <f>SAM!K14/1000</f>
        <v>1.4703377944335938</v>
      </c>
      <c r="K14">
        <f>SAM!L14/1000</f>
        <v>0</v>
      </c>
      <c r="L14">
        <f>SAM!M14/1000</f>
        <v>0</v>
      </c>
      <c r="M14">
        <f>SAM!N14/1000</f>
        <v>0</v>
      </c>
      <c r="N14">
        <f>SAM!O14/1000</f>
        <v>0</v>
      </c>
      <c r="O14">
        <f>SAM!P14/1000</f>
        <v>0</v>
      </c>
      <c r="P14">
        <f>SAM!Q14/1000</f>
        <v>0</v>
      </c>
      <c r="Q14">
        <f>SAM!R14/1000</f>
        <v>0</v>
      </c>
      <c r="R14">
        <f>SAM!S14/1000</f>
        <v>0</v>
      </c>
      <c r="S14">
        <f>SAM!T14/1000</f>
        <v>0</v>
      </c>
      <c r="T14">
        <f>SAM!U14/1000</f>
        <v>0</v>
      </c>
      <c r="U14">
        <f>SAM!V14/1000</f>
        <v>0</v>
      </c>
      <c r="V14">
        <f>SAM!W14/1000</f>
        <v>0</v>
      </c>
      <c r="W14">
        <f>SAM!X14/1000</f>
        <v>0</v>
      </c>
      <c r="X14">
        <f>SAM!Y14/1000</f>
        <v>0</v>
      </c>
      <c r="Y14">
        <f>SAM!Z14/1000</f>
        <v>0</v>
      </c>
      <c r="Z14">
        <f>SAM!AA14/1000</f>
        <v>0</v>
      </c>
      <c r="AA14">
        <f>SAM!AB14/1000</f>
        <v>0</v>
      </c>
      <c r="AB14">
        <f>SAM!AC14/1000</f>
        <v>0</v>
      </c>
      <c r="AC14">
        <f>SAM!AD14/1000</f>
        <v>0</v>
      </c>
      <c r="AD14">
        <f>SAM!AE14/1000</f>
        <v>0</v>
      </c>
      <c r="AE14">
        <f>SAM!AF14/1000</f>
        <v>0</v>
      </c>
      <c r="AF14">
        <f>SAM!AG14/1000</f>
        <v>0</v>
      </c>
      <c r="AG14">
        <f>SAM!AH14/1000</f>
        <v>0</v>
      </c>
      <c r="AH14">
        <f>SAM!AI14/1000</f>
        <v>0</v>
      </c>
      <c r="AI14">
        <f>SAM!AJ14/1000</f>
        <v>0</v>
      </c>
      <c r="AJ14">
        <f>SAM!AK14/1000</f>
        <v>0</v>
      </c>
      <c r="AK14">
        <f>SAM!AL14/1000</f>
        <v>0</v>
      </c>
      <c r="AL14">
        <f>SAM!AM14/1000</f>
        <v>0</v>
      </c>
      <c r="AM14">
        <f>SAM!AN14/1000</f>
        <v>0</v>
      </c>
      <c r="AN14">
        <f>SAM!AO14/1000</f>
        <v>0</v>
      </c>
      <c r="AO14">
        <f>SAM!AP14/1000</f>
        <v>0</v>
      </c>
      <c r="AP14">
        <f>SAM!AQ14/1000</f>
        <v>0</v>
      </c>
      <c r="AQ14">
        <f>SAM!AR14/1000</f>
        <v>0</v>
      </c>
      <c r="AR14">
        <f>SAM!AS14/1000</f>
        <v>0</v>
      </c>
      <c r="AS14">
        <f>SAM!AU14/1000</f>
        <v>0.22671749304199218</v>
      </c>
      <c r="AT14">
        <f>SAM!AV14/1000</f>
        <v>0</v>
      </c>
      <c r="AU14">
        <f>SAM!AW14/1000</f>
        <v>0</v>
      </c>
      <c r="AV14">
        <f>SAM!AX14/1000</f>
        <v>0</v>
      </c>
    </row>
    <row r="15" spans="1:48">
      <c r="A15" s="16" t="s">
        <v>250</v>
      </c>
      <c r="B15">
        <f>SAM!C15/1000</f>
        <v>6.8160599304199224E-2</v>
      </c>
      <c r="C15">
        <f>SAM!D15/1000</f>
        <v>0</v>
      </c>
      <c r="D15">
        <f>SAM!E15/1000</f>
        <v>0.40417560278320314</v>
      </c>
      <c r="E15">
        <f>SAM!F15/1000</f>
        <v>1.9193610000000001</v>
      </c>
      <c r="F15">
        <f>SAM!G15/1000</f>
        <v>3.3462420000000002</v>
      </c>
      <c r="G15">
        <f>SAM!H15/1000</f>
        <v>1.8049676986083985</v>
      </c>
      <c r="H15">
        <f>SAM!I15/1000</f>
        <v>2.5454034041748046</v>
      </c>
      <c r="I15">
        <f>SAM!J15/1000</f>
        <v>1.7240220139160158</v>
      </c>
      <c r="J15">
        <f>SAM!K15/1000</f>
        <v>1.0167660000000001</v>
      </c>
      <c r="K15">
        <f>SAM!L15/1000</f>
        <v>0</v>
      </c>
      <c r="L15">
        <f>SAM!M15/1000</f>
        <v>0</v>
      </c>
      <c r="M15">
        <f>SAM!N15/1000</f>
        <v>0</v>
      </c>
      <c r="N15">
        <f>SAM!O15/1000</f>
        <v>0</v>
      </c>
      <c r="O15">
        <f>SAM!P15/1000</f>
        <v>0</v>
      </c>
      <c r="P15">
        <f>SAM!Q15/1000</f>
        <v>0</v>
      </c>
      <c r="Q15">
        <f>SAM!R15/1000</f>
        <v>0</v>
      </c>
      <c r="R15">
        <f>SAM!S15/1000</f>
        <v>0</v>
      </c>
      <c r="S15">
        <f>SAM!T15/1000</f>
        <v>0</v>
      </c>
      <c r="T15">
        <f>SAM!U15/1000</f>
        <v>0</v>
      </c>
      <c r="U15">
        <f>SAM!V15/1000</f>
        <v>0</v>
      </c>
      <c r="V15">
        <f>SAM!W15/1000</f>
        <v>0</v>
      </c>
      <c r="W15">
        <f>SAM!X15/1000</f>
        <v>0</v>
      </c>
      <c r="X15">
        <f>SAM!Y15/1000</f>
        <v>0</v>
      </c>
      <c r="Y15">
        <f>SAM!Z15/1000</f>
        <v>0</v>
      </c>
      <c r="Z15">
        <f>SAM!AA15/1000</f>
        <v>0</v>
      </c>
      <c r="AA15">
        <f>SAM!AB15/1000</f>
        <v>0</v>
      </c>
      <c r="AB15">
        <f>SAM!AC15/1000</f>
        <v>0</v>
      </c>
      <c r="AC15">
        <f>SAM!AD15/1000</f>
        <v>0</v>
      </c>
      <c r="AD15">
        <f>SAM!AE15/1000</f>
        <v>0</v>
      </c>
      <c r="AE15">
        <f>SAM!AF15/1000</f>
        <v>0</v>
      </c>
      <c r="AF15">
        <f>SAM!AG15/1000</f>
        <v>0</v>
      </c>
      <c r="AG15">
        <f>SAM!AH15/1000</f>
        <v>0</v>
      </c>
      <c r="AH15">
        <f>SAM!AI15/1000</f>
        <v>0</v>
      </c>
      <c r="AI15">
        <f>SAM!AJ15/1000</f>
        <v>0</v>
      </c>
      <c r="AJ15">
        <f>SAM!AK15/1000</f>
        <v>0</v>
      </c>
      <c r="AK15">
        <f>SAM!AL15/1000</f>
        <v>0</v>
      </c>
      <c r="AL15">
        <f>SAM!AM15/1000</f>
        <v>0</v>
      </c>
      <c r="AM15">
        <f>SAM!AN15/1000</f>
        <v>0</v>
      </c>
      <c r="AN15">
        <f>SAM!AO15/1000</f>
        <v>0</v>
      </c>
      <c r="AO15">
        <f>SAM!AP15/1000</f>
        <v>0</v>
      </c>
      <c r="AP15">
        <f>SAM!AQ15/1000</f>
        <v>0</v>
      </c>
      <c r="AQ15">
        <f>SAM!AR15/1000</f>
        <v>0</v>
      </c>
      <c r="AR15">
        <f>SAM!AS15/1000</f>
        <v>0</v>
      </c>
      <c r="AS15">
        <f>SAM!AU15/1000</f>
        <v>1.1714526027832033</v>
      </c>
      <c r="AT15">
        <f>SAM!AV15/1000</f>
        <v>0</v>
      </c>
      <c r="AU15">
        <f>SAM!AW15/1000</f>
        <v>0</v>
      </c>
      <c r="AV15">
        <f>SAM!AX15/1000</f>
        <v>0</v>
      </c>
    </row>
    <row r="16" spans="1:48">
      <c r="A16" s="16" t="s">
        <v>251</v>
      </c>
      <c r="B16">
        <f>SAM!C16/1000</f>
        <v>0.83385300000000007</v>
      </c>
      <c r="C16">
        <f>SAM!D16/1000</f>
        <v>0.72089039721679693</v>
      </c>
      <c r="D16">
        <f>SAM!E16/1000</f>
        <v>1.5864240000000001</v>
      </c>
      <c r="E16">
        <f>SAM!F16/1000</f>
        <v>4.0344657125244145</v>
      </c>
      <c r="F16">
        <f>SAM!G16/1000</f>
        <v>3.0066701986083983</v>
      </c>
      <c r="G16">
        <f>SAM!H16/1000</f>
        <v>6.8017244930419922</v>
      </c>
      <c r="H16">
        <f>SAM!I16/1000</f>
        <v>3.1081530000000002</v>
      </c>
      <c r="I16">
        <f>SAM!J16/1000</f>
        <v>0.19699200000000003</v>
      </c>
      <c r="J16">
        <f>SAM!K16/1000</f>
        <v>0.71973900000000002</v>
      </c>
      <c r="K16">
        <f>SAM!L16/1000</f>
        <v>0</v>
      </c>
      <c r="L16">
        <f>SAM!M16/1000</f>
        <v>0</v>
      </c>
      <c r="M16">
        <f>SAM!N16/1000</f>
        <v>0</v>
      </c>
      <c r="N16">
        <f>SAM!O16/1000</f>
        <v>0</v>
      </c>
      <c r="O16">
        <f>SAM!P16/1000</f>
        <v>0</v>
      </c>
      <c r="P16">
        <f>SAM!Q16/1000</f>
        <v>0</v>
      </c>
      <c r="Q16">
        <f>SAM!R16/1000</f>
        <v>0</v>
      </c>
      <c r="R16">
        <f>SAM!S16/1000</f>
        <v>0</v>
      </c>
      <c r="S16">
        <f>SAM!T16/1000</f>
        <v>0</v>
      </c>
      <c r="T16">
        <f>SAM!U16/1000</f>
        <v>0</v>
      </c>
      <c r="U16">
        <f>SAM!V16/1000</f>
        <v>0</v>
      </c>
      <c r="V16">
        <f>SAM!W16/1000</f>
        <v>0</v>
      </c>
      <c r="W16">
        <f>SAM!X16/1000</f>
        <v>0</v>
      </c>
      <c r="X16">
        <f>SAM!Y16/1000</f>
        <v>0</v>
      </c>
      <c r="Y16">
        <f>SAM!Z16/1000</f>
        <v>0</v>
      </c>
      <c r="Z16">
        <f>SAM!AA16/1000</f>
        <v>0</v>
      </c>
      <c r="AA16">
        <f>SAM!AB16/1000</f>
        <v>0</v>
      </c>
      <c r="AB16">
        <f>SAM!AC16/1000</f>
        <v>0</v>
      </c>
      <c r="AC16">
        <f>SAM!AD16/1000</f>
        <v>0</v>
      </c>
      <c r="AD16">
        <f>SAM!AE16/1000</f>
        <v>0</v>
      </c>
      <c r="AE16">
        <f>SAM!AF16/1000</f>
        <v>0</v>
      </c>
      <c r="AF16">
        <f>SAM!AG16/1000</f>
        <v>0</v>
      </c>
      <c r="AG16">
        <f>SAM!AH16/1000</f>
        <v>0</v>
      </c>
      <c r="AH16">
        <f>SAM!AI16/1000</f>
        <v>0</v>
      </c>
      <c r="AI16">
        <f>SAM!AJ16/1000</f>
        <v>0</v>
      </c>
      <c r="AJ16">
        <f>SAM!AK16/1000</f>
        <v>0</v>
      </c>
      <c r="AK16">
        <f>SAM!AL16/1000</f>
        <v>0</v>
      </c>
      <c r="AL16">
        <f>SAM!AM16/1000</f>
        <v>0</v>
      </c>
      <c r="AM16">
        <f>SAM!AN16/1000</f>
        <v>0</v>
      </c>
      <c r="AN16">
        <f>SAM!AO16/1000</f>
        <v>0</v>
      </c>
      <c r="AO16">
        <f>SAM!AP16/1000</f>
        <v>0</v>
      </c>
      <c r="AP16">
        <f>SAM!AQ16/1000</f>
        <v>0</v>
      </c>
      <c r="AQ16">
        <f>SAM!AR16/1000</f>
        <v>0</v>
      </c>
      <c r="AR16">
        <f>SAM!AS16/1000</f>
        <v>0</v>
      </c>
      <c r="AS16">
        <f>SAM!AU16/1000</f>
        <v>3.0008562055664063</v>
      </c>
      <c r="AT16">
        <f>SAM!AV16/1000</f>
        <v>0</v>
      </c>
      <c r="AU16">
        <f>SAM!AW16/1000</f>
        <v>0</v>
      </c>
      <c r="AV16">
        <f>SAM!AX16/1000</f>
        <v>0</v>
      </c>
    </row>
    <row r="17" spans="1:48">
      <c r="A17" s="16" t="s">
        <v>252</v>
      </c>
      <c r="B17">
        <f>SAM!C17/1000</f>
        <v>0.81242100000000006</v>
      </c>
      <c r="C17">
        <f>SAM!D17/1000</f>
        <v>0.63366900000000004</v>
      </c>
      <c r="D17">
        <f>SAM!E17/1000</f>
        <v>5.4087870000000002</v>
      </c>
      <c r="E17">
        <f>SAM!F17/1000</f>
        <v>10.279095000000002</v>
      </c>
      <c r="F17">
        <f>SAM!G17/1000</f>
        <v>4.524546</v>
      </c>
      <c r="G17">
        <f>SAM!H17/1000</f>
        <v>9.1959809999999997</v>
      </c>
      <c r="H17">
        <f>SAM!I17/1000</f>
        <v>5.6907660000000009</v>
      </c>
      <c r="I17">
        <f>SAM!J17/1000</f>
        <v>0.458565</v>
      </c>
      <c r="J17">
        <f>SAM!K17/1000</f>
        <v>0</v>
      </c>
      <c r="K17">
        <f>SAM!L17/1000</f>
        <v>0</v>
      </c>
      <c r="L17">
        <f>SAM!M17/1000</f>
        <v>0</v>
      </c>
      <c r="M17">
        <f>SAM!N17/1000</f>
        <v>0</v>
      </c>
      <c r="N17">
        <f>SAM!O17/1000</f>
        <v>0</v>
      </c>
      <c r="O17">
        <f>SAM!P17/1000</f>
        <v>0</v>
      </c>
      <c r="P17">
        <f>SAM!Q17/1000</f>
        <v>0</v>
      </c>
      <c r="Q17">
        <f>SAM!R17/1000</f>
        <v>0</v>
      </c>
      <c r="R17">
        <f>SAM!S17/1000</f>
        <v>0</v>
      </c>
      <c r="S17">
        <f>SAM!T17/1000</f>
        <v>0</v>
      </c>
      <c r="T17">
        <f>SAM!U17/1000</f>
        <v>0</v>
      </c>
      <c r="U17">
        <f>SAM!V17/1000</f>
        <v>0</v>
      </c>
      <c r="V17">
        <f>SAM!W17/1000</f>
        <v>0</v>
      </c>
      <c r="W17">
        <f>SAM!X17/1000</f>
        <v>0</v>
      </c>
      <c r="X17">
        <f>SAM!Y17/1000</f>
        <v>0</v>
      </c>
      <c r="Y17">
        <f>SAM!Z17/1000</f>
        <v>0</v>
      </c>
      <c r="Z17">
        <f>SAM!AA17/1000</f>
        <v>0</v>
      </c>
      <c r="AA17">
        <f>SAM!AB17/1000</f>
        <v>0</v>
      </c>
      <c r="AB17">
        <f>SAM!AC17/1000</f>
        <v>0</v>
      </c>
      <c r="AC17">
        <f>SAM!AD17/1000</f>
        <v>0</v>
      </c>
      <c r="AD17">
        <f>SAM!AE17/1000</f>
        <v>0</v>
      </c>
      <c r="AE17">
        <f>SAM!AF17/1000</f>
        <v>0</v>
      </c>
      <c r="AF17">
        <f>SAM!AG17/1000</f>
        <v>0</v>
      </c>
      <c r="AG17">
        <f>SAM!AH17/1000</f>
        <v>0</v>
      </c>
      <c r="AH17">
        <f>SAM!AI17/1000</f>
        <v>0</v>
      </c>
      <c r="AI17">
        <f>SAM!AJ17/1000</f>
        <v>0</v>
      </c>
      <c r="AJ17">
        <f>SAM!AK17/1000</f>
        <v>0</v>
      </c>
      <c r="AK17">
        <f>SAM!AL17/1000</f>
        <v>0</v>
      </c>
      <c r="AL17">
        <f>SAM!AM17/1000</f>
        <v>0</v>
      </c>
      <c r="AM17">
        <f>SAM!AN17/1000</f>
        <v>0</v>
      </c>
      <c r="AN17">
        <f>SAM!AO17/1000</f>
        <v>0</v>
      </c>
      <c r="AO17">
        <f>SAM!AP17/1000</f>
        <v>0</v>
      </c>
      <c r="AP17">
        <f>SAM!AQ17/1000</f>
        <v>0</v>
      </c>
      <c r="AQ17">
        <f>SAM!AR17/1000</f>
        <v>0</v>
      </c>
      <c r="AR17">
        <f>SAM!AS17/1000</f>
        <v>0</v>
      </c>
      <c r="AS17">
        <f>SAM!AU17/1000</f>
        <v>3.5294970000000001</v>
      </c>
      <c r="AT17">
        <f>SAM!AV17/1000</f>
        <v>0</v>
      </c>
      <c r="AU17">
        <f>SAM!AW17/1000</f>
        <v>0</v>
      </c>
      <c r="AV17">
        <f>SAM!AX17/1000</f>
        <v>0</v>
      </c>
    </row>
    <row r="18" spans="1:48">
      <c r="A18" s="16" t="s">
        <v>253</v>
      </c>
      <c r="B18">
        <f>SAM!C18/1000</f>
        <v>0.22344</v>
      </c>
      <c r="C18">
        <f>SAM!D18/1000</f>
        <v>0</v>
      </c>
      <c r="D18">
        <f>SAM!E18/1000</f>
        <v>3.6623070000000002</v>
      </c>
      <c r="E18">
        <f>SAM!F18/1000</f>
        <v>6.7831710000000003</v>
      </c>
      <c r="F18">
        <f>SAM!G18/1000</f>
        <v>0.85551300000000008</v>
      </c>
      <c r="G18">
        <f>SAM!H18/1000</f>
        <v>6.9194009999999997</v>
      </c>
      <c r="H18">
        <f>SAM!I18/1000</f>
        <v>5.4128910000000001</v>
      </c>
      <c r="I18">
        <f>SAM!J18/1000</f>
        <v>0</v>
      </c>
      <c r="J18">
        <f>SAM!K18/1000</f>
        <v>0</v>
      </c>
      <c r="K18">
        <f>SAM!L18/1000</f>
        <v>0</v>
      </c>
      <c r="L18">
        <f>SAM!M18/1000</f>
        <v>0</v>
      </c>
      <c r="M18">
        <f>SAM!N18/1000</f>
        <v>0</v>
      </c>
      <c r="N18">
        <f>SAM!O18/1000</f>
        <v>0</v>
      </c>
      <c r="O18">
        <f>SAM!P18/1000</f>
        <v>0</v>
      </c>
      <c r="P18">
        <f>SAM!Q18/1000</f>
        <v>0</v>
      </c>
      <c r="Q18">
        <f>SAM!R18/1000</f>
        <v>0</v>
      </c>
      <c r="R18">
        <f>SAM!S18/1000</f>
        <v>0</v>
      </c>
      <c r="S18">
        <f>SAM!T18/1000</f>
        <v>0</v>
      </c>
      <c r="T18">
        <f>SAM!U18/1000</f>
        <v>0</v>
      </c>
      <c r="U18">
        <f>SAM!V18/1000</f>
        <v>0</v>
      </c>
      <c r="V18">
        <f>SAM!W18/1000</f>
        <v>0</v>
      </c>
      <c r="W18">
        <f>SAM!X18/1000</f>
        <v>0</v>
      </c>
      <c r="X18">
        <f>SAM!Y18/1000</f>
        <v>0</v>
      </c>
      <c r="Y18">
        <f>SAM!Z18/1000</f>
        <v>0</v>
      </c>
      <c r="Z18">
        <f>SAM!AA18/1000</f>
        <v>0</v>
      </c>
      <c r="AA18">
        <f>SAM!AB18/1000</f>
        <v>0</v>
      </c>
      <c r="AB18">
        <f>SAM!AC18/1000</f>
        <v>0</v>
      </c>
      <c r="AC18">
        <f>SAM!AD18/1000</f>
        <v>0</v>
      </c>
      <c r="AD18">
        <f>SAM!AE18/1000</f>
        <v>0</v>
      </c>
      <c r="AE18">
        <f>SAM!AF18/1000</f>
        <v>0</v>
      </c>
      <c r="AF18">
        <f>SAM!AG18/1000</f>
        <v>0</v>
      </c>
      <c r="AG18">
        <f>SAM!AH18/1000</f>
        <v>0</v>
      </c>
      <c r="AH18">
        <f>SAM!AI18/1000</f>
        <v>0</v>
      </c>
      <c r="AI18">
        <f>SAM!AJ18/1000</f>
        <v>0</v>
      </c>
      <c r="AJ18">
        <f>SAM!AK18/1000</f>
        <v>0</v>
      </c>
      <c r="AK18">
        <f>SAM!AL18/1000</f>
        <v>0</v>
      </c>
      <c r="AL18">
        <f>SAM!AM18/1000</f>
        <v>0</v>
      </c>
      <c r="AM18">
        <f>SAM!AN18/1000</f>
        <v>0</v>
      </c>
      <c r="AN18">
        <f>SAM!AO18/1000</f>
        <v>0</v>
      </c>
      <c r="AO18">
        <f>SAM!AP18/1000</f>
        <v>0</v>
      </c>
      <c r="AP18">
        <f>SAM!AQ18/1000</f>
        <v>0</v>
      </c>
      <c r="AQ18">
        <f>SAM!AR18/1000</f>
        <v>0</v>
      </c>
      <c r="AR18">
        <f>SAM!AS18/1000</f>
        <v>0</v>
      </c>
      <c r="AS18">
        <f>SAM!AU18/1000</f>
        <v>2.1430289999999999</v>
      </c>
      <c r="AT18">
        <f>SAM!AV18/1000</f>
        <v>0</v>
      </c>
      <c r="AU18">
        <f>SAM!AW18/1000</f>
        <v>0</v>
      </c>
      <c r="AV18">
        <f>SAM!AX18/1000</f>
        <v>0</v>
      </c>
    </row>
    <row r="19" spans="1:48">
      <c r="A19" s="16" t="s">
        <v>254</v>
      </c>
      <c r="B19">
        <f>SAM!C19/1000</f>
        <v>1.3312350000000002</v>
      </c>
      <c r="C19">
        <f>SAM!D19/1000</f>
        <v>0.53067000000000009</v>
      </c>
      <c r="D19">
        <f>SAM!E19/1000</f>
        <v>1.75275</v>
      </c>
      <c r="E19">
        <f>SAM!F19/1000</f>
        <v>2.0225310000000003</v>
      </c>
      <c r="F19">
        <f>SAM!G19/1000</f>
        <v>0.5694300000000001</v>
      </c>
      <c r="G19">
        <f>SAM!H19/1000</f>
        <v>5.9044020000000002</v>
      </c>
      <c r="H19">
        <f>SAM!I19/1000</f>
        <v>4.2186840000000005</v>
      </c>
      <c r="I19">
        <f>SAM!J19/1000</f>
        <v>0</v>
      </c>
      <c r="J19">
        <f>SAM!K19/1000</f>
        <v>0</v>
      </c>
      <c r="K19">
        <f>SAM!L19/1000</f>
        <v>0</v>
      </c>
      <c r="L19">
        <f>SAM!M19/1000</f>
        <v>0</v>
      </c>
      <c r="M19">
        <f>SAM!N19/1000</f>
        <v>0</v>
      </c>
      <c r="N19">
        <f>SAM!O19/1000</f>
        <v>0</v>
      </c>
      <c r="O19">
        <f>SAM!P19/1000</f>
        <v>0</v>
      </c>
      <c r="P19">
        <f>SAM!Q19/1000</f>
        <v>0</v>
      </c>
      <c r="Q19">
        <f>SAM!R19/1000</f>
        <v>0</v>
      </c>
      <c r="R19">
        <f>SAM!S19/1000</f>
        <v>0</v>
      </c>
      <c r="S19">
        <f>SAM!T19/1000</f>
        <v>0</v>
      </c>
      <c r="T19">
        <f>SAM!U19/1000</f>
        <v>0</v>
      </c>
      <c r="U19">
        <f>SAM!V19/1000</f>
        <v>0</v>
      </c>
      <c r="V19">
        <f>SAM!W19/1000</f>
        <v>0</v>
      </c>
      <c r="W19">
        <f>SAM!X19/1000</f>
        <v>0</v>
      </c>
      <c r="X19">
        <f>SAM!Y19/1000</f>
        <v>0</v>
      </c>
      <c r="Y19">
        <f>SAM!Z19/1000</f>
        <v>0</v>
      </c>
      <c r="Z19">
        <f>SAM!AA19/1000</f>
        <v>0</v>
      </c>
      <c r="AA19">
        <f>SAM!AB19/1000</f>
        <v>0</v>
      </c>
      <c r="AB19">
        <f>SAM!AC19/1000</f>
        <v>0</v>
      </c>
      <c r="AC19">
        <f>SAM!AD19/1000</f>
        <v>0</v>
      </c>
      <c r="AD19">
        <f>SAM!AE19/1000</f>
        <v>0</v>
      </c>
      <c r="AE19">
        <f>SAM!AF19/1000</f>
        <v>0</v>
      </c>
      <c r="AF19">
        <f>SAM!AG19/1000</f>
        <v>0</v>
      </c>
      <c r="AG19">
        <f>SAM!AH19/1000</f>
        <v>0</v>
      </c>
      <c r="AH19">
        <f>SAM!AI19/1000</f>
        <v>0</v>
      </c>
      <c r="AI19">
        <f>SAM!AJ19/1000</f>
        <v>0</v>
      </c>
      <c r="AJ19">
        <f>SAM!AK19/1000</f>
        <v>0</v>
      </c>
      <c r="AK19">
        <f>SAM!AL19/1000</f>
        <v>0</v>
      </c>
      <c r="AL19">
        <f>SAM!AM19/1000</f>
        <v>0</v>
      </c>
      <c r="AM19">
        <f>SAM!AN19/1000</f>
        <v>0</v>
      </c>
      <c r="AN19">
        <f>SAM!AO19/1000</f>
        <v>0</v>
      </c>
      <c r="AO19">
        <f>SAM!AP19/1000</f>
        <v>0</v>
      </c>
      <c r="AP19">
        <f>SAM!AQ19/1000</f>
        <v>0</v>
      </c>
      <c r="AQ19">
        <f>SAM!AR19/1000</f>
        <v>0</v>
      </c>
      <c r="AR19">
        <f>SAM!AS19/1000</f>
        <v>0</v>
      </c>
      <c r="AS19">
        <f>SAM!AU19/1000</f>
        <v>0.8532900000000001</v>
      </c>
      <c r="AT19">
        <f>SAM!AV19/1000</f>
        <v>0</v>
      </c>
      <c r="AU19">
        <f>SAM!AW19/1000</f>
        <v>0</v>
      </c>
      <c r="AV19">
        <f>SAM!AX19/1000</f>
        <v>0</v>
      </c>
    </row>
    <row r="20" spans="1:48">
      <c r="A20" s="16" t="s">
        <v>255</v>
      </c>
      <c r="B20">
        <f>SAM!C20/1000</f>
        <v>0.48735000000000001</v>
      </c>
      <c r="C20">
        <f>SAM!D20/1000</f>
        <v>0</v>
      </c>
      <c r="D20">
        <f>SAM!E20/1000</f>
        <v>1.993689</v>
      </c>
      <c r="E20">
        <f>SAM!F20/1000</f>
        <v>3.3046320000000002</v>
      </c>
      <c r="F20">
        <f>SAM!G20/1000</f>
        <v>2.27373</v>
      </c>
      <c r="G20">
        <f>SAM!H20/1000</f>
        <v>5.5773929999999998</v>
      </c>
      <c r="H20">
        <f>SAM!I20/1000</f>
        <v>4.3541729999999994</v>
      </c>
      <c r="I20">
        <f>SAM!J20/1000</f>
        <v>0</v>
      </c>
      <c r="J20">
        <f>SAM!K20/1000</f>
        <v>0</v>
      </c>
      <c r="K20">
        <f>SAM!L20/1000</f>
        <v>0</v>
      </c>
      <c r="L20">
        <f>SAM!M20/1000</f>
        <v>0</v>
      </c>
      <c r="M20">
        <f>SAM!N20/1000</f>
        <v>0</v>
      </c>
      <c r="N20">
        <f>SAM!O20/1000</f>
        <v>0</v>
      </c>
      <c r="O20">
        <f>SAM!P20/1000</f>
        <v>0</v>
      </c>
      <c r="P20">
        <f>SAM!Q20/1000</f>
        <v>0</v>
      </c>
      <c r="Q20">
        <f>SAM!R20/1000</f>
        <v>0</v>
      </c>
      <c r="R20">
        <f>SAM!S20/1000</f>
        <v>0</v>
      </c>
      <c r="S20">
        <f>SAM!T20/1000</f>
        <v>0</v>
      </c>
      <c r="T20">
        <f>SAM!U20/1000</f>
        <v>0</v>
      </c>
      <c r="U20">
        <f>SAM!V20/1000</f>
        <v>0</v>
      </c>
      <c r="V20">
        <f>SAM!W20/1000</f>
        <v>0</v>
      </c>
      <c r="W20">
        <f>SAM!X20/1000</f>
        <v>0</v>
      </c>
      <c r="X20">
        <f>SAM!Y20/1000</f>
        <v>0</v>
      </c>
      <c r="Y20">
        <f>SAM!Z20/1000</f>
        <v>0</v>
      </c>
      <c r="Z20">
        <f>SAM!AA20/1000</f>
        <v>0</v>
      </c>
      <c r="AA20">
        <f>SAM!AB20/1000</f>
        <v>0</v>
      </c>
      <c r="AB20">
        <f>SAM!AC20/1000</f>
        <v>0</v>
      </c>
      <c r="AC20">
        <f>SAM!AD20/1000</f>
        <v>0</v>
      </c>
      <c r="AD20">
        <f>SAM!AE20/1000</f>
        <v>0</v>
      </c>
      <c r="AE20">
        <f>SAM!AF20/1000</f>
        <v>0</v>
      </c>
      <c r="AF20">
        <f>SAM!AG20/1000</f>
        <v>0</v>
      </c>
      <c r="AG20">
        <f>SAM!AH20/1000</f>
        <v>0</v>
      </c>
      <c r="AH20">
        <f>SAM!AI20/1000</f>
        <v>0</v>
      </c>
      <c r="AI20">
        <f>SAM!AJ20/1000</f>
        <v>0</v>
      </c>
      <c r="AJ20">
        <f>SAM!AK20/1000</f>
        <v>0</v>
      </c>
      <c r="AK20">
        <f>SAM!AL20/1000</f>
        <v>0</v>
      </c>
      <c r="AL20">
        <f>SAM!AM20/1000</f>
        <v>0</v>
      </c>
      <c r="AM20">
        <f>SAM!AN20/1000</f>
        <v>0</v>
      </c>
      <c r="AN20">
        <f>SAM!AO20/1000</f>
        <v>0</v>
      </c>
      <c r="AO20">
        <f>SAM!AP20/1000</f>
        <v>0</v>
      </c>
      <c r="AP20">
        <f>SAM!AQ20/1000</f>
        <v>0</v>
      </c>
      <c r="AQ20">
        <f>SAM!AR20/1000</f>
        <v>0</v>
      </c>
      <c r="AR20">
        <f>SAM!AS20/1000</f>
        <v>0</v>
      </c>
      <c r="AS20">
        <f>SAM!AU20/1000</f>
        <v>0.32490000000000002</v>
      </c>
      <c r="AT20">
        <f>SAM!AV20/1000</f>
        <v>0</v>
      </c>
      <c r="AU20">
        <f>SAM!AW20/1000</f>
        <v>0</v>
      </c>
      <c r="AV20">
        <f>SAM!AX20/1000</f>
        <v>0</v>
      </c>
    </row>
    <row r="21" spans="1:48">
      <c r="A21" s="16" t="s">
        <v>256</v>
      </c>
      <c r="B21">
        <f>SAM!C21/1000</f>
        <v>0.98335653934113598</v>
      </c>
      <c r="C21">
        <f>SAM!D21/1000</f>
        <v>0.24886912653468199</v>
      </c>
      <c r="D21">
        <f>SAM!E21/1000</f>
        <v>14.561330173423023</v>
      </c>
      <c r="E21">
        <f>SAM!F21/1000</f>
        <v>2.3789984668065238</v>
      </c>
      <c r="F21">
        <f>SAM!G21/1000</f>
        <v>35.363591364955546</v>
      </c>
      <c r="G21">
        <f>SAM!H21/1000</f>
        <v>233.06146300240124</v>
      </c>
      <c r="H21">
        <f>SAM!I21/1000</f>
        <v>35.825502144288585</v>
      </c>
      <c r="I21">
        <f>SAM!J21/1000</f>
        <v>51.763542444005203</v>
      </c>
      <c r="J21">
        <f>SAM!K21/1000</f>
        <v>78.951583745653906</v>
      </c>
      <c r="K21">
        <f>SAM!L21/1000</f>
        <v>338.91415002588201</v>
      </c>
      <c r="L21">
        <f>SAM!M21/1000</f>
        <v>0</v>
      </c>
      <c r="M21">
        <f>SAM!N21/1000</f>
        <v>0</v>
      </c>
      <c r="N21">
        <f>SAM!O21/1000</f>
        <v>0</v>
      </c>
      <c r="O21">
        <f>SAM!P21/1000</f>
        <v>0</v>
      </c>
      <c r="P21">
        <f>SAM!Q21/1000</f>
        <v>0</v>
      </c>
      <c r="Q21">
        <f>SAM!R21/1000</f>
        <v>0</v>
      </c>
      <c r="R21">
        <f>SAM!S21/1000</f>
        <v>0</v>
      </c>
      <c r="S21">
        <f>SAM!T21/1000</f>
        <v>0</v>
      </c>
      <c r="T21">
        <f>SAM!U21/1000</f>
        <v>0</v>
      </c>
      <c r="U21">
        <f>SAM!V21/1000</f>
        <v>0</v>
      </c>
      <c r="V21">
        <f>SAM!W21/1000</f>
        <v>0</v>
      </c>
      <c r="W21">
        <f>SAM!X21/1000</f>
        <v>0</v>
      </c>
      <c r="X21">
        <f>SAM!Y21/1000</f>
        <v>0</v>
      </c>
      <c r="Y21">
        <f>SAM!Z21/1000</f>
        <v>0</v>
      </c>
      <c r="Z21">
        <f>SAM!AA21/1000</f>
        <v>0</v>
      </c>
      <c r="AA21">
        <f>SAM!AB21/1000</f>
        <v>0</v>
      </c>
      <c r="AB21">
        <f>SAM!AC21/1000</f>
        <v>0</v>
      </c>
      <c r="AC21">
        <f>SAM!AD21/1000</f>
        <v>0</v>
      </c>
      <c r="AD21">
        <f>SAM!AE21/1000</f>
        <v>0</v>
      </c>
      <c r="AE21">
        <f>SAM!AF21/1000</f>
        <v>0</v>
      </c>
      <c r="AF21">
        <f>SAM!AG21/1000</f>
        <v>0</v>
      </c>
      <c r="AG21">
        <f>SAM!AH21/1000</f>
        <v>0</v>
      </c>
      <c r="AH21">
        <f>SAM!AI21/1000</f>
        <v>0</v>
      </c>
      <c r="AI21">
        <f>SAM!AJ21/1000</f>
        <v>0</v>
      </c>
      <c r="AJ21">
        <f>SAM!AK21/1000</f>
        <v>0</v>
      </c>
      <c r="AK21">
        <f>SAM!AL21/1000</f>
        <v>0</v>
      </c>
      <c r="AL21">
        <f>SAM!AM21/1000</f>
        <v>0</v>
      </c>
      <c r="AM21">
        <f>SAM!AN21/1000</f>
        <v>0</v>
      </c>
      <c r="AN21">
        <f>SAM!AO21/1000</f>
        <v>0</v>
      </c>
      <c r="AO21">
        <f>SAM!AP21/1000</f>
        <v>0</v>
      </c>
      <c r="AP21">
        <f>SAM!AQ21/1000</f>
        <v>0</v>
      </c>
      <c r="AQ21">
        <f>SAM!AR21/1000</f>
        <v>0</v>
      </c>
      <c r="AR21">
        <f>SAM!AS21/1000</f>
        <v>0</v>
      </c>
      <c r="AS21">
        <f>SAM!AU21/1000</f>
        <v>0</v>
      </c>
      <c r="AT21">
        <f>SAM!AV21/1000</f>
        <v>0</v>
      </c>
      <c r="AU21">
        <f>SAM!AW21/1000</f>
        <v>0</v>
      </c>
      <c r="AV21">
        <f>SAM!AX21/1000</f>
        <v>0</v>
      </c>
    </row>
    <row r="22" spans="1:48">
      <c r="A22" s="16" t="s">
        <v>405</v>
      </c>
      <c r="B22">
        <f>SAM!C22/1000</f>
        <v>0.35877137915951995</v>
      </c>
      <c r="C22">
        <f>SAM!D22/1000</f>
        <v>0.158556706017115</v>
      </c>
      <c r="D22">
        <f>SAM!E22/1000</f>
        <v>5.7561602559311238</v>
      </c>
      <c r="E22">
        <f>SAM!F22/1000</f>
        <v>3.6870278993148689</v>
      </c>
      <c r="F22">
        <f>SAM!G22/1000</f>
        <v>28.627208052417181</v>
      </c>
      <c r="G22">
        <f>SAM!H22/1000</f>
        <v>70.184061229084378</v>
      </c>
      <c r="H22">
        <f>SAM!I22/1000</f>
        <v>11.748190589943389</v>
      </c>
      <c r="I22">
        <f>SAM!J22/1000</f>
        <v>46.397966895527802</v>
      </c>
      <c r="J22">
        <f>SAM!K22/1000</f>
        <v>45.888454201983301</v>
      </c>
      <c r="K22">
        <f>SAM!L22/1000</f>
        <v>37.657127780653553</v>
      </c>
      <c r="L22">
        <f>SAM!M22/1000</f>
        <v>0</v>
      </c>
      <c r="M22">
        <f>SAM!N22/1000</f>
        <v>0</v>
      </c>
      <c r="N22">
        <f>SAM!O22/1000</f>
        <v>0</v>
      </c>
      <c r="O22">
        <f>SAM!P22/1000</f>
        <v>0</v>
      </c>
      <c r="P22">
        <f>SAM!Q22/1000</f>
        <v>0</v>
      </c>
      <c r="Q22">
        <f>SAM!R22/1000</f>
        <v>0</v>
      </c>
      <c r="R22">
        <f>SAM!S22/1000</f>
        <v>0</v>
      </c>
      <c r="S22">
        <f>SAM!T22/1000</f>
        <v>0</v>
      </c>
      <c r="T22">
        <f>SAM!U22/1000</f>
        <v>0</v>
      </c>
      <c r="U22">
        <f>SAM!V22/1000</f>
        <v>0</v>
      </c>
      <c r="V22">
        <f>SAM!W22/1000</f>
        <v>0</v>
      </c>
      <c r="W22">
        <f>SAM!X22/1000</f>
        <v>0</v>
      </c>
      <c r="X22">
        <f>SAM!Y22/1000</f>
        <v>0</v>
      </c>
      <c r="Y22">
        <f>SAM!Z22/1000</f>
        <v>0</v>
      </c>
      <c r="Z22">
        <f>SAM!AA22/1000</f>
        <v>0</v>
      </c>
      <c r="AA22">
        <f>SAM!AB22/1000</f>
        <v>0</v>
      </c>
      <c r="AB22">
        <f>SAM!AC22/1000</f>
        <v>0</v>
      </c>
      <c r="AC22">
        <f>SAM!AD22/1000</f>
        <v>0</v>
      </c>
      <c r="AD22">
        <f>SAM!AE22/1000</f>
        <v>0</v>
      </c>
      <c r="AE22">
        <f>SAM!AF22/1000</f>
        <v>0</v>
      </c>
      <c r="AF22">
        <f>SAM!AG22/1000</f>
        <v>0</v>
      </c>
      <c r="AG22">
        <f>SAM!AH22/1000</f>
        <v>0</v>
      </c>
      <c r="AH22">
        <f>SAM!AI22/1000</f>
        <v>0</v>
      </c>
      <c r="AI22">
        <f>SAM!AJ22/1000</f>
        <v>0</v>
      </c>
      <c r="AJ22">
        <f>SAM!AK22/1000</f>
        <v>0</v>
      </c>
      <c r="AK22">
        <f>SAM!AL22/1000</f>
        <v>0</v>
      </c>
      <c r="AL22">
        <f>SAM!AM22/1000</f>
        <v>0</v>
      </c>
      <c r="AM22">
        <f>SAM!AN22/1000</f>
        <v>0</v>
      </c>
      <c r="AN22">
        <f>SAM!AO22/1000</f>
        <v>0</v>
      </c>
      <c r="AO22">
        <f>SAM!AP22/1000</f>
        <v>0</v>
      </c>
      <c r="AP22">
        <f>SAM!AQ22/1000</f>
        <v>0</v>
      </c>
      <c r="AQ22">
        <f>SAM!AR22/1000</f>
        <v>0</v>
      </c>
      <c r="AR22">
        <f>SAM!AS22/1000</f>
        <v>0</v>
      </c>
      <c r="AS22">
        <f>SAM!AU22/1000</f>
        <v>0</v>
      </c>
      <c r="AT22">
        <f>SAM!AV22/1000</f>
        <v>0</v>
      </c>
      <c r="AU22">
        <f>SAM!AW22/1000</f>
        <v>0</v>
      </c>
      <c r="AV22">
        <f>SAM!AX22/1000</f>
        <v>0</v>
      </c>
    </row>
    <row r="23" spans="1:48">
      <c r="A23" s="16" t="s">
        <v>257</v>
      </c>
      <c r="B23">
        <f>SAM!C23/1000</f>
        <v>0</v>
      </c>
      <c r="C23">
        <f>SAM!D23/1000</f>
        <v>0</v>
      </c>
      <c r="D23">
        <f>SAM!E23/1000</f>
        <v>0</v>
      </c>
      <c r="E23">
        <f>SAM!F23/1000</f>
        <v>0</v>
      </c>
      <c r="F23">
        <f>SAM!G23/1000</f>
        <v>0</v>
      </c>
      <c r="G23">
        <f>SAM!H23/1000</f>
        <v>0</v>
      </c>
      <c r="H23">
        <f>SAM!I23/1000</f>
        <v>0</v>
      </c>
      <c r="I23">
        <f>SAM!J23/1000</f>
        <v>0</v>
      </c>
      <c r="J23">
        <f>SAM!K23/1000</f>
        <v>0</v>
      </c>
      <c r="K23">
        <f>SAM!L23/1000</f>
        <v>0</v>
      </c>
      <c r="L23">
        <f>SAM!M23/1000</f>
        <v>0</v>
      </c>
      <c r="M23">
        <f>SAM!N23/1000</f>
        <v>0</v>
      </c>
      <c r="N23">
        <f>SAM!O23/1000</f>
        <v>0</v>
      </c>
      <c r="O23">
        <f>SAM!P23/1000</f>
        <v>0</v>
      </c>
      <c r="P23">
        <f>SAM!Q23/1000</f>
        <v>0</v>
      </c>
      <c r="Q23">
        <f>SAM!R23/1000</f>
        <v>0</v>
      </c>
      <c r="R23">
        <f>SAM!S23/1000</f>
        <v>0</v>
      </c>
      <c r="S23">
        <f>SAM!T23/1000</f>
        <v>0</v>
      </c>
      <c r="T23">
        <f>SAM!U23/1000</f>
        <v>0</v>
      </c>
      <c r="U23">
        <f>SAM!V23/1000</f>
        <v>0</v>
      </c>
      <c r="V23">
        <f>SAM!W23/1000</f>
        <v>0</v>
      </c>
      <c r="W23">
        <f>SAM!X23/1000</f>
        <v>0</v>
      </c>
      <c r="X23">
        <f>SAM!Y23/1000</f>
        <v>0</v>
      </c>
      <c r="Y23">
        <f>SAM!Z23/1000</f>
        <v>0</v>
      </c>
      <c r="Z23">
        <f>SAM!AA23/1000</f>
        <v>0</v>
      </c>
      <c r="AA23">
        <f>SAM!AB23/1000</f>
        <v>0</v>
      </c>
      <c r="AB23">
        <f>SAM!AC23/1000</f>
        <v>0</v>
      </c>
      <c r="AC23">
        <f>SAM!AD23/1000</f>
        <v>0</v>
      </c>
      <c r="AD23">
        <f>SAM!AE23/1000</f>
        <v>0</v>
      </c>
      <c r="AE23">
        <f>SAM!AF23/1000</f>
        <v>0</v>
      </c>
      <c r="AF23">
        <f>SAM!AG23/1000</f>
        <v>0</v>
      </c>
      <c r="AG23">
        <f>SAM!AH23/1000</f>
        <v>0</v>
      </c>
      <c r="AH23">
        <f>SAM!AI23/1000</f>
        <v>0</v>
      </c>
      <c r="AI23">
        <f>SAM!AJ23/1000</f>
        <v>0</v>
      </c>
      <c r="AJ23">
        <f>SAM!AK23/1000</f>
        <v>0</v>
      </c>
      <c r="AK23">
        <f>SAM!AL23/1000</f>
        <v>0</v>
      </c>
      <c r="AL23">
        <f>SAM!AM23/1000</f>
        <v>0</v>
      </c>
      <c r="AM23">
        <f>SAM!AN23/1000</f>
        <v>0</v>
      </c>
      <c r="AN23">
        <f>SAM!AO23/1000</f>
        <v>0</v>
      </c>
      <c r="AO23">
        <f>SAM!AP23/1000</f>
        <v>0</v>
      </c>
      <c r="AP23">
        <f>SAM!AQ23/1000</f>
        <v>0</v>
      </c>
      <c r="AQ23">
        <f>SAM!AR23/1000</f>
        <v>0</v>
      </c>
      <c r="AR23">
        <f>SAM!AS23/1000</f>
        <v>0</v>
      </c>
      <c r="AS23">
        <f>SAM!AU23/1000</f>
        <v>0</v>
      </c>
      <c r="AT23">
        <f>SAM!AV23/1000</f>
        <v>0</v>
      </c>
      <c r="AU23">
        <f>SAM!AW23/1000</f>
        <v>0</v>
      </c>
      <c r="AV23">
        <f>SAM!AX23/1000</f>
        <v>0</v>
      </c>
    </row>
    <row r="24" spans="1:48">
      <c r="A24" s="16" t="s">
        <v>1</v>
      </c>
      <c r="B24">
        <f>SAM!C24/1000</f>
        <v>0</v>
      </c>
      <c r="C24">
        <f>SAM!D24/1000</f>
        <v>0</v>
      </c>
      <c r="D24">
        <f>SAM!E24/1000</f>
        <v>0</v>
      </c>
      <c r="E24">
        <f>SAM!F24/1000</f>
        <v>0</v>
      </c>
      <c r="F24">
        <f>SAM!G24/1000</f>
        <v>0</v>
      </c>
      <c r="G24">
        <f>SAM!H24/1000</f>
        <v>0</v>
      </c>
      <c r="H24">
        <f>SAM!I24/1000</f>
        <v>0</v>
      </c>
      <c r="I24">
        <f>SAM!J24/1000</f>
        <v>0</v>
      </c>
      <c r="J24">
        <f>SAM!K24/1000</f>
        <v>0</v>
      </c>
      <c r="K24">
        <f>SAM!L24/1000</f>
        <v>0</v>
      </c>
      <c r="L24">
        <f>SAM!M24/1000</f>
        <v>0.27054839929066044</v>
      </c>
      <c r="M24">
        <f>SAM!N24/1000</f>
        <v>0</v>
      </c>
      <c r="N24">
        <f>SAM!O24/1000</f>
        <v>0</v>
      </c>
      <c r="O24">
        <f>SAM!P24/1000</f>
        <v>0</v>
      </c>
      <c r="P24">
        <f>SAM!Q24/1000</f>
        <v>0</v>
      </c>
      <c r="Q24">
        <f>SAM!R24/1000</f>
        <v>0</v>
      </c>
      <c r="R24">
        <f>SAM!S24/1000</f>
        <v>0</v>
      </c>
      <c r="S24">
        <f>SAM!T24/1000</f>
        <v>0</v>
      </c>
      <c r="T24">
        <f>SAM!U24/1000</f>
        <v>0</v>
      </c>
      <c r="U24">
        <f>SAM!V24/1000</f>
        <v>0</v>
      </c>
      <c r="V24">
        <f>SAM!W24/1000</f>
        <v>0</v>
      </c>
      <c r="W24">
        <f>SAM!X24/1000</f>
        <v>0</v>
      </c>
      <c r="X24">
        <f>SAM!Y24/1000</f>
        <v>0</v>
      </c>
      <c r="Y24">
        <f>SAM!Z24/1000</f>
        <v>0</v>
      </c>
      <c r="Z24">
        <f>SAM!AA24/1000</f>
        <v>0</v>
      </c>
      <c r="AA24">
        <f>SAM!AB24/1000</f>
        <v>0</v>
      </c>
      <c r="AB24">
        <f>SAM!AC24/1000</f>
        <v>0</v>
      </c>
      <c r="AC24">
        <f>SAM!AD24/1000</f>
        <v>0</v>
      </c>
      <c r="AD24">
        <f>SAM!AE24/1000</f>
        <v>0</v>
      </c>
      <c r="AE24">
        <f>SAM!AF24/1000</f>
        <v>0</v>
      </c>
      <c r="AF24">
        <f>SAM!AG24/1000</f>
        <v>0</v>
      </c>
      <c r="AG24">
        <f>SAM!AH24/1000</f>
        <v>0.79787460658836373</v>
      </c>
      <c r="AH24">
        <f>SAM!AI24/1000</f>
        <v>0</v>
      </c>
      <c r="AI24">
        <f>SAM!AJ24/1000</f>
        <v>0</v>
      </c>
      <c r="AJ24">
        <f>SAM!AK24/1000</f>
        <v>0</v>
      </c>
      <c r="AK24">
        <f>SAM!AL24/1000</f>
        <v>0</v>
      </c>
      <c r="AL24">
        <f>SAM!AM24/1000</f>
        <v>0</v>
      </c>
      <c r="AM24">
        <f>SAM!AN24/1000</f>
        <v>0</v>
      </c>
      <c r="AN24">
        <f>SAM!AO24/1000</f>
        <v>0</v>
      </c>
      <c r="AO24">
        <f>SAM!AP24/1000</f>
        <v>0</v>
      </c>
      <c r="AP24">
        <f>SAM!AQ24/1000</f>
        <v>0</v>
      </c>
      <c r="AQ24">
        <f>SAM!AR24/1000</f>
        <v>0</v>
      </c>
      <c r="AR24">
        <f>SAM!AS24/1000</f>
        <v>0</v>
      </c>
      <c r="AS24">
        <f>SAM!AU24/1000</f>
        <v>0</v>
      </c>
      <c r="AT24">
        <f>SAM!AV24/1000</f>
        <v>0</v>
      </c>
      <c r="AU24">
        <f>SAM!AW24/1000</f>
        <v>0</v>
      </c>
      <c r="AV24">
        <f>SAM!AX24/1000</f>
        <v>0</v>
      </c>
    </row>
    <row r="25" spans="1:48">
      <c r="A25" s="16" t="s">
        <v>2</v>
      </c>
      <c r="B25">
        <f>SAM!C25/1000</f>
        <v>0</v>
      </c>
      <c r="C25">
        <f>SAM!D25/1000</f>
        <v>0</v>
      </c>
      <c r="D25">
        <f>SAM!E25/1000</f>
        <v>0</v>
      </c>
      <c r="E25">
        <f>SAM!F25/1000</f>
        <v>0</v>
      </c>
      <c r="F25">
        <f>SAM!G25/1000</f>
        <v>0</v>
      </c>
      <c r="G25">
        <f>SAM!H25/1000</f>
        <v>0</v>
      </c>
      <c r="H25">
        <f>SAM!I25/1000</f>
        <v>0</v>
      </c>
      <c r="I25">
        <f>SAM!J25/1000</f>
        <v>0</v>
      </c>
      <c r="J25">
        <f>SAM!K25/1000</f>
        <v>0</v>
      </c>
      <c r="K25">
        <f>SAM!L25/1000</f>
        <v>0</v>
      </c>
      <c r="L25">
        <f>SAM!M25/1000</f>
        <v>9.0182799763553478E-2</v>
      </c>
      <c r="M25">
        <f>SAM!N25/1000</f>
        <v>0.25703100231175696</v>
      </c>
      <c r="N25">
        <f>SAM!O25/1000</f>
        <v>0</v>
      </c>
      <c r="O25">
        <f>SAM!P25/1000</f>
        <v>0</v>
      </c>
      <c r="P25">
        <f>SAM!Q25/1000</f>
        <v>0</v>
      </c>
      <c r="Q25">
        <f>SAM!R25/1000</f>
        <v>0</v>
      </c>
      <c r="R25">
        <f>SAM!S25/1000</f>
        <v>0</v>
      </c>
      <c r="S25">
        <f>SAM!T25/1000</f>
        <v>0</v>
      </c>
      <c r="T25">
        <f>SAM!U25/1000</f>
        <v>0</v>
      </c>
      <c r="U25">
        <f>SAM!V25/1000</f>
        <v>0</v>
      </c>
      <c r="V25">
        <f>SAM!W25/1000</f>
        <v>0</v>
      </c>
      <c r="W25">
        <f>SAM!X25/1000</f>
        <v>0</v>
      </c>
      <c r="X25">
        <f>SAM!Y25/1000</f>
        <v>0</v>
      </c>
      <c r="Y25">
        <f>SAM!Z25/1000</f>
        <v>0</v>
      </c>
      <c r="Z25">
        <f>SAM!AA25/1000</f>
        <v>0</v>
      </c>
      <c r="AA25">
        <f>SAM!AB25/1000</f>
        <v>0</v>
      </c>
      <c r="AB25">
        <f>SAM!AC25/1000</f>
        <v>0</v>
      </c>
      <c r="AC25">
        <f>SAM!AD25/1000</f>
        <v>0</v>
      </c>
      <c r="AD25">
        <f>SAM!AE25/1000</f>
        <v>0</v>
      </c>
      <c r="AE25">
        <f>SAM!AF25/1000</f>
        <v>0</v>
      </c>
      <c r="AF25">
        <f>SAM!AG25/1000</f>
        <v>0</v>
      </c>
      <c r="AG25">
        <f>SAM!AH25/1000</f>
        <v>0.38911050043487549</v>
      </c>
      <c r="AH25">
        <f>SAM!AI25/1000</f>
        <v>1.5599133074798586</v>
      </c>
      <c r="AI25">
        <f>SAM!AJ25/1000</f>
        <v>0</v>
      </c>
      <c r="AJ25">
        <f>SAM!AK25/1000</f>
        <v>0</v>
      </c>
      <c r="AK25">
        <f>SAM!AL25/1000</f>
        <v>0</v>
      </c>
      <c r="AL25">
        <f>SAM!AM25/1000</f>
        <v>0</v>
      </c>
      <c r="AM25">
        <f>SAM!AN25/1000</f>
        <v>0</v>
      </c>
      <c r="AN25">
        <f>SAM!AO25/1000</f>
        <v>0</v>
      </c>
      <c r="AO25">
        <f>SAM!AP25/1000</f>
        <v>0</v>
      </c>
      <c r="AP25">
        <f>SAM!AQ25/1000</f>
        <v>0</v>
      </c>
      <c r="AQ25">
        <f>SAM!AR25/1000</f>
        <v>0</v>
      </c>
      <c r="AR25">
        <f>SAM!AS25/1000</f>
        <v>0</v>
      </c>
      <c r="AS25">
        <f>SAM!AU25/1000</f>
        <v>0</v>
      </c>
      <c r="AT25">
        <f>SAM!AV25/1000</f>
        <v>0</v>
      </c>
      <c r="AU25">
        <f>SAM!AW25/1000</f>
        <v>0</v>
      </c>
      <c r="AV25">
        <f>SAM!AX25/1000</f>
        <v>0</v>
      </c>
    </row>
    <row r="26" spans="1:48">
      <c r="A26" s="16" t="s">
        <v>3</v>
      </c>
      <c r="B26">
        <f>SAM!C26/1000</f>
        <v>0</v>
      </c>
      <c r="C26">
        <f>SAM!D26/1000</f>
        <v>0</v>
      </c>
      <c r="D26">
        <f>SAM!E26/1000</f>
        <v>0</v>
      </c>
      <c r="E26">
        <f>SAM!F26/1000</f>
        <v>0</v>
      </c>
      <c r="F26">
        <f>SAM!G26/1000</f>
        <v>0</v>
      </c>
      <c r="G26">
        <f>SAM!H26/1000</f>
        <v>0</v>
      </c>
      <c r="H26">
        <f>SAM!I26/1000</f>
        <v>0</v>
      </c>
      <c r="I26">
        <f>SAM!J26/1000</f>
        <v>0</v>
      </c>
      <c r="J26">
        <f>SAM!K26/1000</f>
        <v>0</v>
      </c>
      <c r="K26">
        <f>SAM!L26/1000</f>
        <v>0</v>
      </c>
      <c r="L26">
        <f>SAM!M26/1000</f>
        <v>0.23447527938523907</v>
      </c>
      <c r="M26">
        <f>SAM!N26/1000</f>
        <v>0.50237877724570668</v>
      </c>
      <c r="N26">
        <f>SAM!O26/1000</f>
        <v>1.6042974659377423</v>
      </c>
      <c r="O26">
        <f>SAM!P26/1000</f>
        <v>0</v>
      </c>
      <c r="P26">
        <f>SAM!Q26/1000</f>
        <v>0</v>
      </c>
      <c r="Q26">
        <f>SAM!R26/1000</f>
        <v>0</v>
      </c>
      <c r="R26">
        <f>SAM!S26/1000</f>
        <v>0</v>
      </c>
      <c r="S26">
        <f>SAM!T26/1000</f>
        <v>0</v>
      </c>
      <c r="T26">
        <f>SAM!U26/1000</f>
        <v>0</v>
      </c>
      <c r="U26">
        <f>SAM!V26/1000</f>
        <v>0</v>
      </c>
      <c r="V26">
        <f>SAM!W26/1000</f>
        <v>0</v>
      </c>
      <c r="W26">
        <f>SAM!X26/1000</f>
        <v>0</v>
      </c>
      <c r="X26">
        <f>SAM!Y26/1000</f>
        <v>0</v>
      </c>
      <c r="Y26">
        <f>SAM!Z26/1000</f>
        <v>0</v>
      </c>
      <c r="Z26">
        <f>SAM!AA26/1000</f>
        <v>0</v>
      </c>
      <c r="AA26">
        <f>SAM!AB26/1000</f>
        <v>0</v>
      </c>
      <c r="AB26">
        <f>SAM!AC26/1000</f>
        <v>0</v>
      </c>
      <c r="AC26">
        <f>SAM!AD26/1000</f>
        <v>0</v>
      </c>
      <c r="AD26">
        <f>SAM!AE26/1000</f>
        <v>0</v>
      </c>
      <c r="AE26">
        <f>SAM!AF26/1000</f>
        <v>0</v>
      </c>
      <c r="AF26">
        <f>SAM!AG26/1000</f>
        <v>0</v>
      </c>
      <c r="AG26">
        <f>SAM!AH26/1000</f>
        <v>0.54829439819526671</v>
      </c>
      <c r="AH26">
        <f>SAM!AI26/1000</f>
        <v>0.83686260104370114</v>
      </c>
      <c r="AI26">
        <f>SAM!AJ26/1000</f>
        <v>2.6916255130462647</v>
      </c>
      <c r="AJ26">
        <f>SAM!AK26/1000</f>
        <v>0</v>
      </c>
      <c r="AK26">
        <f>SAM!AL26/1000</f>
        <v>0</v>
      </c>
      <c r="AL26">
        <f>SAM!AM26/1000</f>
        <v>0</v>
      </c>
      <c r="AM26">
        <f>SAM!AN26/1000</f>
        <v>0</v>
      </c>
      <c r="AN26">
        <f>SAM!AO26/1000</f>
        <v>0</v>
      </c>
      <c r="AO26">
        <f>SAM!AP26/1000</f>
        <v>0</v>
      </c>
      <c r="AP26">
        <f>SAM!AQ26/1000</f>
        <v>0</v>
      </c>
      <c r="AQ26">
        <f>SAM!AR26/1000</f>
        <v>0</v>
      </c>
      <c r="AR26">
        <f>SAM!AS26/1000</f>
        <v>0</v>
      </c>
      <c r="AS26">
        <f>SAM!AU26/1000</f>
        <v>0</v>
      </c>
      <c r="AT26">
        <f>SAM!AV26/1000</f>
        <v>0</v>
      </c>
      <c r="AU26">
        <f>SAM!AW26/1000</f>
        <v>0</v>
      </c>
      <c r="AV26">
        <f>SAM!AX26/1000</f>
        <v>0</v>
      </c>
    </row>
    <row r="27" spans="1:48">
      <c r="A27" s="16" t="s">
        <v>4</v>
      </c>
      <c r="B27">
        <f>SAM!C27/1000</f>
        <v>0</v>
      </c>
      <c r="C27">
        <f>SAM!D27/1000</f>
        <v>0</v>
      </c>
      <c r="D27">
        <f>SAM!E27/1000</f>
        <v>0</v>
      </c>
      <c r="E27">
        <f>SAM!F27/1000</f>
        <v>0</v>
      </c>
      <c r="F27">
        <f>SAM!G27/1000</f>
        <v>0</v>
      </c>
      <c r="G27">
        <f>SAM!H27/1000</f>
        <v>0</v>
      </c>
      <c r="H27">
        <f>SAM!I27/1000</f>
        <v>0</v>
      </c>
      <c r="I27">
        <f>SAM!J27/1000</f>
        <v>0</v>
      </c>
      <c r="J27">
        <f>SAM!K27/1000</f>
        <v>0</v>
      </c>
      <c r="K27">
        <f>SAM!L27/1000</f>
        <v>0</v>
      </c>
      <c r="L27">
        <f>SAM!M27/1000</f>
        <v>0.29940689521499758</v>
      </c>
      <c r="M27">
        <f>SAM!N27/1000</f>
        <v>0.14019872853368559</v>
      </c>
      <c r="N27">
        <f>SAM!O27/1000</f>
        <v>0.6794671620442202</v>
      </c>
      <c r="O27">
        <f>SAM!P27/1000</f>
        <v>4.8749351733468131</v>
      </c>
      <c r="P27">
        <f>SAM!Q27/1000</f>
        <v>0</v>
      </c>
      <c r="Q27">
        <f>SAM!R27/1000</f>
        <v>0</v>
      </c>
      <c r="R27">
        <f>SAM!S27/1000</f>
        <v>0</v>
      </c>
      <c r="S27">
        <f>SAM!T27/1000</f>
        <v>0</v>
      </c>
      <c r="T27">
        <f>SAM!U27/1000</f>
        <v>0</v>
      </c>
      <c r="U27">
        <f>SAM!V27/1000</f>
        <v>0</v>
      </c>
      <c r="V27">
        <f>SAM!W27/1000</f>
        <v>0</v>
      </c>
      <c r="W27">
        <f>SAM!X27/1000</f>
        <v>0</v>
      </c>
      <c r="X27">
        <f>SAM!Y27/1000</f>
        <v>0</v>
      </c>
      <c r="Y27">
        <f>SAM!Z27/1000</f>
        <v>0</v>
      </c>
      <c r="Z27">
        <f>SAM!AA27/1000</f>
        <v>0</v>
      </c>
      <c r="AA27">
        <f>SAM!AB27/1000</f>
        <v>0</v>
      </c>
      <c r="AB27">
        <f>SAM!AC27/1000</f>
        <v>0</v>
      </c>
      <c r="AC27">
        <f>SAM!AD27/1000</f>
        <v>0</v>
      </c>
      <c r="AD27">
        <f>SAM!AE27/1000</f>
        <v>0</v>
      </c>
      <c r="AE27">
        <f>SAM!AF27/1000</f>
        <v>0</v>
      </c>
      <c r="AF27">
        <f>SAM!AG27/1000</f>
        <v>0</v>
      </c>
      <c r="AG27">
        <f>SAM!AH27/1000</f>
        <v>0.92122830834960934</v>
      </c>
      <c r="AH27">
        <f>SAM!AI27/1000</f>
        <v>1.1869223989562989</v>
      </c>
      <c r="AI27">
        <f>SAM!AJ27/1000</f>
        <v>2.2089038833007812</v>
      </c>
      <c r="AJ27">
        <f>SAM!AK27/1000</f>
        <v>0.36641880139160155</v>
      </c>
      <c r="AK27">
        <f>SAM!AL27/1000</f>
        <v>0</v>
      </c>
      <c r="AL27">
        <f>SAM!AM27/1000</f>
        <v>0</v>
      </c>
      <c r="AM27">
        <f>SAM!AN27/1000</f>
        <v>0</v>
      </c>
      <c r="AN27">
        <f>SAM!AO27/1000</f>
        <v>0</v>
      </c>
      <c r="AO27">
        <f>SAM!AP27/1000</f>
        <v>0</v>
      </c>
      <c r="AP27">
        <f>SAM!AQ27/1000</f>
        <v>0</v>
      </c>
      <c r="AQ27">
        <f>SAM!AR27/1000</f>
        <v>0</v>
      </c>
      <c r="AR27">
        <f>SAM!AS27/1000</f>
        <v>0</v>
      </c>
      <c r="AS27">
        <f>SAM!AU27/1000</f>
        <v>0</v>
      </c>
      <c r="AT27">
        <f>SAM!AV27/1000</f>
        <v>0</v>
      </c>
      <c r="AU27">
        <f>SAM!AW27/1000</f>
        <v>0</v>
      </c>
      <c r="AV27">
        <f>SAM!AX27/1000</f>
        <v>0</v>
      </c>
    </row>
    <row r="28" spans="1:48">
      <c r="A28" s="16" t="s">
        <v>5</v>
      </c>
      <c r="B28">
        <f>SAM!C28/1000</f>
        <v>0</v>
      </c>
      <c r="C28">
        <f>SAM!D28/1000</f>
        <v>0</v>
      </c>
      <c r="D28">
        <f>SAM!E28/1000</f>
        <v>0</v>
      </c>
      <c r="E28">
        <f>SAM!F28/1000</f>
        <v>0</v>
      </c>
      <c r="F28">
        <f>SAM!G28/1000</f>
        <v>0</v>
      </c>
      <c r="G28">
        <f>SAM!H28/1000</f>
        <v>0</v>
      </c>
      <c r="H28">
        <f>SAM!I28/1000</f>
        <v>0</v>
      </c>
      <c r="I28">
        <f>SAM!J28/1000</f>
        <v>0</v>
      </c>
      <c r="J28">
        <f>SAM!K28/1000</f>
        <v>0</v>
      </c>
      <c r="K28">
        <f>SAM!L28/1000</f>
        <v>0</v>
      </c>
      <c r="L28">
        <f>SAM!M28/1000</f>
        <v>0.48337980673264674</v>
      </c>
      <c r="M28">
        <f>SAM!N28/1000</f>
        <v>0.32713036657859978</v>
      </c>
      <c r="N28">
        <f>SAM!O28/1000</f>
        <v>2.906609526522498</v>
      </c>
      <c r="O28">
        <f>SAM!P28/1000</f>
        <v>1.3693638127378689</v>
      </c>
      <c r="P28">
        <f>SAM!Q28/1000</f>
        <v>4.7383077260755044</v>
      </c>
      <c r="Q28">
        <f>SAM!R28/1000</f>
        <v>0</v>
      </c>
      <c r="R28">
        <f>SAM!S28/1000</f>
        <v>0</v>
      </c>
      <c r="S28">
        <f>SAM!T28/1000</f>
        <v>0</v>
      </c>
      <c r="T28">
        <f>SAM!U28/1000</f>
        <v>0</v>
      </c>
      <c r="U28">
        <f>SAM!V28/1000</f>
        <v>0</v>
      </c>
      <c r="V28">
        <f>SAM!W28/1000</f>
        <v>0</v>
      </c>
      <c r="W28">
        <f>SAM!X28/1000</f>
        <v>0</v>
      </c>
      <c r="X28">
        <f>SAM!Y28/1000</f>
        <v>0</v>
      </c>
      <c r="Y28">
        <f>SAM!Z28/1000</f>
        <v>0</v>
      </c>
      <c r="Z28">
        <f>SAM!AA28/1000</f>
        <v>0</v>
      </c>
      <c r="AA28">
        <f>SAM!AB28/1000</f>
        <v>0</v>
      </c>
      <c r="AB28">
        <f>SAM!AC28/1000</f>
        <v>0</v>
      </c>
      <c r="AC28">
        <f>SAM!AD28/1000</f>
        <v>0</v>
      </c>
      <c r="AD28">
        <f>SAM!AE28/1000</f>
        <v>0</v>
      </c>
      <c r="AE28">
        <f>SAM!AF28/1000</f>
        <v>0</v>
      </c>
      <c r="AF28">
        <f>SAM!AG28/1000</f>
        <v>0</v>
      </c>
      <c r="AG28">
        <f>SAM!AH28/1000</f>
        <v>0.5510930971298218</v>
      </c>
      <c r="AH28">
        <f>SAM!AI28/1000</f>
        <v>1.7649708031311035</v>
      </c>
      <c r="AI28">
        <f>SAM!AJ28/1000</f>
        <v>3.2335700988693237</v>
      </c>
      <c r="AJ28">
        <f>SAM!AK28/1000</f>
        <v>0.85800390417480465</v>
      </c>
      <c r="AK28">
        <f>SAM!AL28/1000</f>
        <v>0.24179400000000001</v>
      </c>
      <c r="AL28">
        <f>SAM!AM28/1000</f>
        <v>0</v>
      </c>
      <c r="AM28">
        <f>SAM!AN28/1000</f>
        <v>0</v>
      </c>
      <c r="AN28">
        <f>SAM!AO28/1000</f>
        <v>0</v>
      </c>
      <c r="AO28">
        <f>SAM!AP28/1000</f>
        <v>0</v>
      </c>
      <c r="AP28">
        <f>SAM!AQ28/1000</f>
        <v>0</v>
      </c>
      <c r="AQ28">
        <f>SAM!AR28/1000</f>
        <v>0</v>
      </c>
      <c r="AR28">
        <f>SAM!AS28/1000</f>
        <v>0</v>
      </c>
      <c r="AS28">
        <f>SAM!AU28/1000</f>
        <v>0</v>
      </c>
      <c r="AT28">
        <f>SAM!AV28/1000</f>
        <v>0</v>
      </c>
      <c r="AU28">
        <f>SAM!AW28/1000</f>
        <v>0</v>
      </c>
      <c r="AV28">
        <f>SAM!AX28/1000</f>
        <v>0</v>
      </c>
    </row>
    <row r="29" spans="1:48">
      <c r="A29" s="16" t="s">
        <v>6</v>
      </c>
      <c r="B29">
        <f>SAM!C29/1000</f>
        <v>0</v>
      </c>
      <c r="C29">
        <f>SAM!D29/1000</f>
        <v>0</v>
      </c>
      <c r="D29">
        <f>SAM!E29/1000</f>
        <v>0</v>
      </c>
      <c r="E29">
        <f>SAM!F29/1000</f>
        <v>0</v>
      </c>
      <c r="F29">
        <f>SAM!G29/1000</f>
        <v>0</v>
      </c>
      <c r="G29">
        <f>SAM!H29/1000</f>
        <v>0</v>
      </c>
      <c r="H29">
        <f>SAM!I29/1000</f>
        <v>0</v>
      </c>
      <c r="I29">
        <f>SAM!J29/1000</f>
        <v>0</v>
      </c>
      <c r="J29">
        <f>SAM!K29/1000</f>
        <v>0</v>
      </c>
      <c r="K29">
        <f>SAM!L29/1000</f>
        <v>0</v>
      </c>
      <c r="L29">
        <f>SAM!M29/1000</f>
        <v>0.69260390218409063</v>
      </c>
      <c r="M29">
        <f>SAM!N29/1000</f>
        <v>0.67762718791281373</v>
      </c>
      <c r="N29">
        <f>SAM!O29/1000</f>
        <v>2.849987263018813</v>
      </c>
      <c r="O29">
        <f>SAM!P29/1000</f>
        <v>3.204311321806613</v>
      </c>
      <c r="P29">
        <f>SAM!Q29/1000</f>
        <v>5.1235359964881466</v>
      </c>
      <c r="Q29">
        <f>SAM!R29/1000</f>
        <v>15.367604011194029</v>
      </c>
      <c r="R29">
        <f>SAM!S29/1000</f>
        <v>0</v>
      </c>
      <c r="S29">
        <f>SAM!T29/1000</f>
        <v>0</v>
      </c>
      <c r="T29">
        <f>SAM!U29/1000</f>
        <v>0</v>
      </c>
      <c r="U29">
        <f>SAM!V29/1000</f>
        <v>0</v>
      </c>
      <c r="V29">
        <f>SAM!W29/1000</f>
        <v>0</v>
      </c>
      <c r="W29">
        <f>SAM!X29/1000</f>
        <v>0</v>
      </c>
      <c r="X29">
        <f>SAM!Y29/1000</f>
        <v>0</v>
      </c>
      <c r="Y29">
        <f>SAM!Z29/1000</f>
        <v>0</v>
      </c>
      <c r="Z29">
        <f>SAM!AA29/1000</f>
        <v>0</v>
      </c>
      <c r="AA29">
        <f>SAM!AB29/1000</f>
        <v>0</v>
      </c>
      <c r="AB29">
        <f>SAM!AC29/1000</f>
        <v>0</v>
      </c>
      <c r="AC29">
        <f>SAM!AD29/1000</f>
        <v>0</v>
      </c>
      <c r="AD29">
        <f>SAM!AE29/1000</f>
        <v>0</v>
      </c>
      <c r="AE29">
        <f>SAM!AF29/1000</f>
        <v>0</v>
      </c>
      <c r="AF29">
        <f>SAM!AG29/1000</f>
        <v>0</v>
      </c>
      <c r="AG29">
        <f>SAM!AH29/1000</f>
        <v>0.58211250282669069</v>
      </c>
      <c r="AH29">
        <f>SAM!AI29/1000</f>
        <v>2.2134924059143066</v>
      </c>
      <c r="AI29">
        <f>SAM!AJ29/1000</f>
        <v>4.837817993041992</v>
      </c>
      <c r="AJ29">
        <f>SAM!AK29/1000</f>
        <v>0.39255899478149414</v>
      </c>
      <c r="AK29">
        <f>SAM!AL29/1000</f>
        <v>0.16354439721679689</v>
      </c>
      <c r="AL29">
        <f>SAM!AM29/1000</f>
        <v>0.26219999999999999</v>
      </c>
      <c r="AM29">
        <f>SAM!AN29/1000</f>
        <v>0</v>
      </c>
      <c r="AN29">
        <f>SAM!AO29/1000</f>
        <v>0</v>
      </c>
      <c r="AO29">
        <f>SAM!AP29/1000</f>
        <v>0</v>
      </c>
      <c r="AP29">
        <f>SAM!AQ29/1000</f>
        <v>0</v>
      </c>
      <c r="AQ29">
        <f>SAM!AR29/1000</f>
        <v>0</v>
      </c>
      <c r="AR29">
        <f>SAM!AS29/1000</f>
        <v>0</v>
      </c>
      <c r="AS29">
        <f>SAM!AU29/1000</f>
        <v>0</v>
      </c>
      <c r="AT29">
        <f>SAM!AV29/1000</f>
        <v>0</v>
      </c>
      <c r="AU29">
        <f>SAM!AW29/1000</f>
        <v>0</v>
      </c>
      <c r="AV29">
        <f>SAM!AX29/1000</f>
        <v>0</v>
      </c>
    </row>
    <row r="30" spans="1:48">
      <c r="A30" s="16" t="s">
        <v>7</v>
      </c>
      <c r="B30">
        <f>SAM!C30/1000</f>
        <v>0</v>
      </c>
      <c r="C30">
        <f>SAM!D30/1000</f>
        <v>0</v>
      </c>
      <c r="D30">
        <f>SAM!E30/1000</f>
        <v>0</v>
      </c>
      <c r="E30">
        <f>SAM!F30/1000</f>
        <v>0</v>
      </c>
      <c r="F30">
        <f>SAM!G30/1000</f>
        <v>0</v>
      </c>
      <c r="G30">
        <f>SAM!H30/1000</f>
        <v>0</v>
      </c>
      <c r="H30">
        <f>SAM!I30/1000</f>
        <v>0</v>
      </c>
      <c r="I30">
        <f>SAM!J30/1000</f>
        <v>0</v>
      </c>
      <c r="J30">
        <f>SAM!K30/1000</f>
        <v>0</v>
      </c>
      <c r="K30">
        <f>SAM!L30/1000</f>
        <v>0</v>
      </c>
      <c r="L30">
        <f>SAM!M30/1000</f>
        <v>0.27415571128120259</v>
      </c>
      <c r="M30">
        <f>SAM!N30/1000</f>
        <v>0.72436009742404228</v>
      </c>
      <c r="N30">
        <f>SAM!O30/1000</f>
        <v>1.1324452700737004</v>
      </c>
      <c r="O30">
        <f>SAM!P30/1000</f>
        <v>1.2050401552093246</v>
      </c>
      <c r="P30">
        <f>SAM!Q30/1000</f>
        <v>6.2021751536435454</v>
      </c>
      <c r="Q30">
        <f>SAM!R30/1000</f>
        <v>7.4626854011194039</v>
      </c>
      <c r="R30">
        <f>SAM!S30/1000</f>
        <v>6.3635044642857128</v>
      </c>
      <c r="S30">
        <f>SAM!T30/1000</f>
        <v>0</v>
      </c>
      <c r="T30">
        <f>SAM!U30/1000</f>
        <v>0</v>
      </c>
      <c r="U30">
        <f>SAM!V30/1000</f>
        <v>0</v>
      </c>
      <c r="V30">
        <f>SAM!W30/1000</f>
        <v>0</v>
      </c>
      <c r="W30">
        <f>SAM!X30/1000</f>
        <v>0</v>
      </c>
      <c r="X30">
        <f>SAM!Y30/1000</f>
        <v>0</v>
      </c>
      <c r="Y30">
        <f>SAM!Z30/1000</f>
        <v>0</v>
      </c>
      <c r="Z30">
        <f>SAM!AA30/1000</f>
        <v>0</v>
      </c>
      <c r="AA30">
        <f>SAM!AB30/1000</f>
        <v>0</v>
      </c>
      <c r="AB30">
        <f>SAM!AC30/1000</f>
        <v>0</v>
      </c>
      <c r="AC30">
        <f>SAM!AD30/1000</f>
        <v>0</v>
      </c>
      <c r="AD30">
        <f>SAM!AE30/1000</f>
        <v>0</v>
      </c>
      <c r="AE30">
        <f>SAM!AF30/1000</f>
        <v>0</v>
      </c>
      <c r="AF30">
        <f>SAM!AG30/1000</f>
        <v>0</v>
      </c>
      <c r="AG30">
        <f>SAM!AH30/1000</f>
        <v>0.47829269752120973</v>
      </c>
      <c r="AH30">
        <f>SAM!AI30/1000</f>
        <v>0.86911319686889643</v>
      </c>
      <c r="AI30">
        <f>SAM!AJ30/1000</f>
        <v>2.1858132003479005</v>
      </c>
      <c r="AJ30">
        <f>SAM!AK30/1000</f>
        <v>0.52522080139160154</v>
      </c>
      <c r="AK30">
        <f>SAM!AL30/1000</f>
        <v>0.16872000000000001</v>
      </c>
      <c r="AL30">
        <f>SAM!AM30/1000</f>
        <v>0</v>
      </c>
      <c r="AM30">
        <f>SAM!AN30/1000</f>
        <v>0</v>
      </c>
      <c r="AN30">
        <f>SAM!AO30/1000</f>
        <v>0</v>
      </c>
      <c r="AO30">
        <f>SAM!AP30/1000</f>
        <v>0</v>
      </c>
      <c r="AP30">
        <f>SAM!AQ30/1000</f>
        <v>0</v>
      </c>
      <c r="AQ30">
        <f>SAM!AR30/1000</f>
        <v>0</v>
      </c>
      <c r="AR30">
        <f>SAM!AS30/1000</f>
        <v>0</v>
      </c>
      <c r="AS30">
        <f>SAM!AU30/1000</f>
        <v>0</v>
      </c>
      <c r="AT30">
        <f>SAM!AV30/1000</f>
        <v>0</v>
      </c>
      <c r="AU30">
        <f>SAM!AW30/1000</f>
        <v>0</v>
      </c>
      <c r="AV30">
        <f>SAM!AX30/1000</f>
        <v>0</v>
      </c>
    </row>
    <row r="31" spans="1:48">
      <c r="A31" s="16" t="s">
        <v>8</v>
      </c>
      <c r="B31">
        <f>SAM!C31/1000</f>
        <v>0</v>
      </c>
      <c r="C31">
        <f>SAM!D31/1000</f>
        <v>0</v>
      </c>
      <c r="D31">
        <f>SAM!E31/1000</f>
        <v>0</v>
      </c>
      <c r="E31">
        <f>SAM!F31/1000</f>
        <v>0</v>
      </c>
      <c r="F31">
        <f>SAM!G31/1000</f>
        <v>0</v>
      </c>
      <c r="G31">
        <f>SAM!H31/1000</f>
        <v>0</v>
      </c>
      <c r="H31">
        <f>SAM!I31/1000</f>
        <v>0</v>
      </c>
      <c r="I31">
        <f>SAM!J31/1000</f>
        <v>0</v>
      </c>
      <c r="J31">
        <f>SAM!K31/1000</f>
        <v>0</v>
      </c>
      <c r="K31">
        <f>SAM!L31/1000</f>
        <v>0</v>
      </c>
      <c r="L31">
        <f>SAM!M31/1000</f>
        <v>0.19479484748927553</v>
      </c>
      <c r="M31">
        <f>SAM!N31/1000</f>
        <v>0.18693163804491414</v>
      </c>
      <c r="N31">
        <f>SAM!O31/1000</f>
        <v>1.038074830900892</v>
      </c>
      <c r="O31">
        <f>SAM!P31/1000</f>
        <v>1.5063001940116558</v>
      </c>
      <c r="P31">
        <f>SAM!Q31/1000</f>
        <v>4.6612620719929758</v>
      </c>
      <c r="Q31">
        <f>SAM!R31/1000</f>
        <v>11.553342583955224</v>
      </c>
      <c r="R31">
        <f>SAM!S31/1000</f>
        <v>9.7838881138392821</v>
      </c>
      <c r="S31">
        <f>SAM!T31/1000</f>
        <v>7.194226823708207</v>
      </c>
      <c r="T31">
        <f>SAM!U31/1000</f>
        <v>0</v>
      </c>
      <c r="U31">
        <f>SAM!V31/1000</f>
        <v>0</v>
      </c>
      <c r="V31">
        <f>SAM!W31/1000</f>
        <v>0</v>
      </c>
      <c r="W31">
        <f>SAM!X31/1000</f>
        <v>0</v>
      </c>
      <c r="X31">
        <f>SAM!Y31/1000</f>
        <v>0</v>
      </c>
      <c r="Y31">
        <f>SAM!Z31/1000</f>
        <v>0</v>
      </c>
      <c r="Z31">
        <f>SAM!AA31/1000</f>
        <v>0</v>
      </c>
      <c r="AA31">
        <f>SAM!AB31/1000</f>
        <v>0</v>
      </c>
      <c r="AB31">
        <f>SAM!AC31/1000</f>
        <v>0</v>
      </c>
      <c r="AC31">
        <f>SAM!AD31/1000</f>
        <v>0</v>
      </c>
      <c r="AD31">
        <f>SAM!AE31/1000</f>
        <v>0</v>
      </c>
      <c r="AE31">
        <f>SAM!AF31/1000</f>
        <v>0</v>
      </c>
      <c r="AF31">
        <f>SAM!AG31/1000</f>
        <v>0</v>
      </c>
      <c r="AG31">
        <f>SAM!AH31/1000</f>
        <v>0.19659869773864747</v>
      </c>
      <c r="AH31">
        <f>SAM!AI31/1000</f>
        <v>0.47880000695800784</v>
      </c>
      <c r="AI31">
        <f>SAM!AJ31/1000</f>
        <v>1.5392393867797853</v>
      </c>
      <c r="AJ31">
        <f>SAM!AK31/1000</f>
        <v>0.79019669860839847</v>
      </c>
      <c r="AK31">
        <f>SAM!AL31/1000</f>
        <v>0</v>
      </c>
      <c r="AL31">
        <f>SAM!AM31/1000</f>
        <v>0</v>
      </c>
      <c r="AM31">
        <f>SAM!AN31/1000</f>
        <v>0</v>
      </c>
      <c r="AN31">
        <f>SAM!AO31/1000</f>
        <v>0</v>
      </c>
      <c r="AO31">
        <f>SAM!AP31/1000</f>
        <v>0</v>
      </c>
      <c r="AP31">
        <f>SAM!AQ31/1000</f>
        <v>0</v>
      </c>
      <c r="AQ31">
        <f>SAM!AR31/1000</f>
        <v>0</v>
      </c>
      <c r="AR31">
        <f>SAM!AS31/1000</f>
        <v>0</v>
      </c>
      <c r="AS31">
        <f>SAM!AU31/1000</f>
        <v>0</v>
      </c>
      <c r="AT31">
        <f>SAM!AV31/1000</f>
        <v>0</v>
      </c>
      <c r="AU31">
        <f>SAM!AW31/1000</f>
        <v>0</v>
      </c>
      <c r="AV31">
        <f>SAM!AX31/1000</f>
        <v>0</v>
      </c>
    </row>
    <row r="32" spans="1:48">
      <c r="A32" s="16" t="s">
        <v>9</v>
      </c>
      <c r="B32">
        <f>SAM!C32/1000</f>
        <v>0</v>
      </c>
      <c r="C32">
        <f>SAM!D32/1000</f>
        <v>0</v>
      </c>
      <c r="D32">
        <f>SAM!E32/1000</f>
        <v>0</v>
      </c>
      <c r="E32">
        <f>SAM!F32/1000</f>
        <v>0</v>
      </c>
      <c r="F32">
        <f>SAM!G32/1000</f>
        <v>0</v>
      </c>
      <c r="G32">
        <f>SAM!H32/1000</f>
        <v>0</v>
      </c>
      <c r="H32">
        <f>SAM!I32/1000</f>
        <v>0</v>
      </c>
      <c r="I32">
        <f>SAM!J32/1000</f>
        <v>0</v>
      </c>
      <c r="J32">
        <f>SAM!K32/1000</f>
        <v>0</v>
      </c>
      <c r="K32">
        <f>SAM!L32/1000</f>
        <v>0</v>
      </c>
      <c r="L32">
        <f>SAM!M32/1000</f>
        <v>0.44230706964375643</v>
      </c>
      <c r="M32">
        <f>SAM!N32/1000</f>
        <v>0.20905967281849933</v>
      </c>
      <c r="N32">
        <f>SAM!O32/1000</f>
        <v>0.88300532003362719</v>
      </c>
      <c r="O32">
        <f>SAM!P32/1000</f>
        <v>0.96556583185943645</v>
      </c>
      <c r="P32">
        <f>SAM!Q32/1000</f>
        <v>1.7838765583229632</v>
      </c>
      <c r="Q32">
        <f>SAM!R32/1000</f>
        <v>3.616362066231352</v>
      </c>
      <c r="R32">
        <f>SAM!S32/1000</f>
        <v>8.2273749218750023</v>
      </c>
      <c r="S32">
        <f>SAM!T32/1000</f>
        <v>8.9148281762917954</v>
      </c>
      <c r="T32">
        <f>SAM!U32/1000</f>
        <v>17.171125312499999</v>
      </c>
      <c r="U32">
        <f>SAM!V32/1000</f>
        <v>0</v>
      </c>
      <c r="V32">
        <f>SAM!W32/1000</f>
        <v>0</v>
      </c>
      <c r="W32">
        <f>SAM!X32/1000</f>
        <v>0</v>
      </c>
      <c r="X32">
        <f>SAM!Y32/1000</f>
        <v>0</v>
      </c>
      <c r="Y32">
        <f>SAM!Z32/1000</f>
        <v>0</v>
      </c>
      <c r="Z32">
        <f>SAM!AA32/1000</f>
        <v>0</v>
      </c>
      <c r="AA32">
        <f>SAM!AB32/1000</f>
        <v>0</v>
      </c>
      <c r="AB32">
        <f>SAM!AC32/1000</f>
        <v>0</v>
      </c>
      <c r="AC32">
        <f>SAM!AD32/1000</f>
        <v>0</v>
      </c>
      <c r="AD32">
        <f>SAM!AE32/1000</f>
        <v>0</v>
      </c>
      <c r="AE32">
        <f>SAM!AF32/1000</f>
        <v>0</v>
      </c>
      <c r="AF32">
        <f>SAM!AG32/1000</f>
        <v>0</v>
      </c>
      <c r="AG32">
        <f>SAM!AH32/1000</f>
        <v>0.29687309995651245</v>
      </c>
      <c r="AH32">
        <f>SAM!AI32/1000</f>
        <v>0.74782289373779309</v>
      </c>
      <c r="AI32">
        <f>SAM!AJ32/1000</f>
        <v>1.8058170017395021</v>
      </c>
      <c r="AJ32">
        <f>SAM!AK32/1000</f>
        <v>0.33292560278320316</v>
      </c>
      <c r="AK32">
        <f>SAM!AL32/1000</f>
        <v>5.9279999999999999E-2</v>
      </c>
      <c r="AL32">
        <f>SAM!AM32/1000</f>
        <v>0</v>
      </c>
      <c r="AM32">
        <f>SAM!AN32/1000</f>
        <v>0</v>
      </c>
      <c r="AN32">
        <f>SAM!AO32/1000</f>
        <v>0</v>
      </c>
      <c r="AO32">
        <f>SAM!AP32/1000</f>
        <v>0</v>
      </c>
      <c r="AP32">
        <f>SAM!AQ32/1000</f>
        <v>0</v>
      </c>
      <c r="AQ32">
        <f>SAM!AR32/1000</f>
        <v>0</v>
      </c>
      <c r="AR32">
        <f>SAM!AS32/1000</f>
        <v>0</v>
      </c>
      <c r="AS32">
        <f>SAM!AU32/1000</f>
        <v>0</v>
      </c>
      <c r="AT32">
        <f>SAM!AV32/1000</f>
        <v>0</v>
      </c>
      <c r="AU32">
        <f>SAM!AW32/1000</f>
        <v>0</v>
      </c>
      <c r="AV32">
        <f>SAM!AX32/1000</f>
        <v>0</v>
      </c>
    </row>
    <row r="33" spans="1:48">
      <c r="A33" s="16" t="s">
        <v>258</v>
      </c>
      <c r="B33">
        <f>SAM!C33/1000</f>
        <v>1.5247500000000001E-3</v>
      </c>
      <c r="C33">
        <f>SAM!D33/1000</f>
        <v>5.301000108718872E-4</v>
      </c>
      <c r="D33">
        <f>SAM!E33/1000</f>
        <v>1.412887486410141E-2</v>
      </c>
      <c r="E33">
        <f>SAM!F33/1000</f>
        <v>1.9207539375543595E-2</v>
      </c>
      <c r="F33">
        <f>SAM!G33/1000</f>
        <v>7.1213270701646805E-2</v>
      </c>
      <c r="G33">
        <f>SAM!H33/1000</f>
        <v>3.5029314230471849E-2</v>
      </c>
      <c r="H33">
        <f>SAM!I33/1000</f>
        <v>1.8574590000271798E-2</v>
      </c>
      <c r="I33">
        <f>SAM!J33/1000</f>
        <v>2.7463312282562254E-3</v>
      </c>
      <c r="J33">
        <f>SAM!K33/1000</f>
        <v>2.5391718654870988E-2</v>
      </c>
      <c r="K33">
        <f>SAM!L33/1000</f>
        <v>0</v>
      </c>
      <c r="L33">
        <f>SAM!M33/1000</f>
        <v>0.19879031406569481</v>
      </c>
      <c r="M33">
        <f>SAM!N33/1000</f>
        <v>0</v>
      </c>
      <c r="N33">
        <f>SAM!O33/1000</f>
        <v>0</v>
      </c>
      <c r="O33">
        <f>SAM!P33/1000</f>
        <v>0</v>
      </c>
      <c r="P33">
        <f>SAM!Q33/1000</f>
        <v>0</v>
      </c>
      <c r="Q33">
        <f>SAM!R33/1000</f>
        <v>0</v>
      </c>
      <c r="R33">
        <f>SAM!S33/1000</f>
        <v>0</v>
      </c>
      <c r="S33">
        <f>SAM!T33/1000</f>
        <v>0</v>
      </c>
      <c r="T33">
        <f>SAM!U33/1000</f>
        <v>0</v>
      </c>
      <c r="U33">
        <f>SAM!V33/1000</f>
        <v>0</v>
      </c>
      <c r="V33">
        <f>SAM!W33/1000</f>
        <v>0</v>
      </c>
      <c r="W33">
        <f>SAM!X33/1000</f>
        <v>0</v>
      </c>
      <c r="X33">
        <f>SAM!Y33/1000</f>
        <v>0</v>
      </c>
      <c r="Y33">
        <f>SAM!Z33/1000</f>
        <v>0</v>
      </c>
      <c r="Z33">
        <f>SAM!AA33/1000</f>
        <v>0</v>
      </c>
      <c r="AA33">
        <f>SAM!AB33/1000</f>
        <v>0</v>
      </c>
      <c r="AB33">
        <f>SAM!AC33/1000</f>
        <v>0</v>
      </c>
      <c r="AC33">
        <f>SAM!AD33/1000</f>
        <v>0</v>
      </c>
      <c r="AD33">
        <f>SAM!AE33/1000</f>
        <v>0</v>
      </c>
      <c r="AE33">
        <f>SAM!AF33/1000</f>
        <v>0</v>
      </c>
      <c r="AF33">
        <f>SAM!AG33/1000</f>
        <v>0</v>
      </c>
      <c r="AG33">
        <f>SAM!AH33/1000</f>
        <v>0</v>
      </c>
      <c r="AH33">
        <f>SAM!AI33/1000</f>
        <v>0</v>
      </c>
      <c r="AI33">
        <f>SAM!AJ33/1000</f>
        <v>0</v>
      </c>
      <c r="AJ33">
        <f>SAM!AK33/1000</f>
        <v>0</v>
      </c>
      <c r="AK33">
        <f>SAM!AL33/1000</f>
        <v>0</v>
      </c>
      <c r="AL33">
        <f>SAM!AM33/1000</f>
        <v>0</v>
      </c>
      <c r="AM33">
        <f>SAM!AN33/1000</f>
        <v>0</v>
      </c>
      <c r="AN33">
        <f>SAM!AO33/1000</f>
        <v>0</v>
      </c>
      <c r="AO33">
        <f>SAM!AP33/1000</f>
        <v>0</v>
      </c>
      <c r="AP33">
        <f>SAM!AQ33/1000</f>
        <v>0</v>
      </c>
      <c r="AQ33">
        <f>SAM!AR33/1000</f>
        <v>0</v>
      </c>
      <c r="AR33">
        <f>SAM!AS33/1000</f>
        <v>0</v>
      </c>
      <c r="AS33">
        <f>SAM!AU33/1000</f>
        <v>1.04438E-2</v>
      </c>
      <c r="AT33">
        <f>SAM!AV33/1000</f>
        <v>0</v>
      </c>
      <c r="AU33">
        <f>SAM!AW33/1000</f>
        <v>0</v>
      </c>
      <c r="AV33">
        <f>SAM!AX33/1000</f>
        <v>0</v>
      </c>
    </row>
    <row r="34" spans="1:48">
      <c r="A34" s="16" t="s">
        <v>259</v>
      </c>
      <c r="B34">
        <f>SAM!C34/1000</f>
        <v>1.22941875E-2</v>
      </c>
      <c r="C34">
        <f>SAM!D34/1000</f>
        <v>0</v>
      </c>
      <c r="D34">
        <f>SAM!E34/1000</f>
        <v>7.7683874130249032E-3</v>
      </c>
      <c r="E34">
        <f>SAM!F34/1000</f>
        <v>7.5282750434875496E-3</v>
      </c>
      <c r="F34">
        <f>SAM!G34/1000</f>
        <v>1.6139906249999999E-2</v>
      </c>
      <c r="G34">
        <f>SAM!H34/1000</f>
        <v>6.6707812717437753E-2</v>
      </c>
      <c r="H34">
        <f>SAM!I34/1000</f>
        <v>2.0020537456512454E-2</v>
      </c>
      <c r="I34">
        <f>SAM!J34/1000</f>
        <v>1.7869500000000003E-2</v>
      </c>
      <c r="J34">
        <f>SAM!K34/1000</f>
        <v>4.9297875000000005E-2</v>
      </c>
      <c r="K34">
        <f>SAM!L34/1000</f>
        <v>0</v>
      </c>
      <c r="L34">
        <f>SAM!M34/1000</f>
        <v>0</v>
      </c>
      <c r="M34">
        <f>SAM!N34/1000</f>
        <v>0.20164783139133458</v>
      </c>
      <c r="N34">
        <f>SAM!O34/1000</f>
        <v>0</v>
      </c>
      <c r="O34">
        <f>SAM!P34/1000</f>
        <v>0</v>
      </c>
      <c r="P34">
        <f>SAM!Q34/1000</f>
        <v>0</v>
      </c>
      <c r="Q34">
        <f>SAM!R34/1000</f>
        <v>0</v>
      </c>
      <c r="R34">
        <f>SAM!S34/1000</f>
        <v>0</v>
      </c>
      <c r="S34">
        <f>SAM!T34/1000</f>
        <v>0</v>
      </c>
      <c r="T34">
        <f>SAM!U34/1000</f>
        <v>0</v>
      </c>
      <c r="U34">
        <f>SAM!V34/1000</f>
        <v>0</v>
      </c>
      <c r="V34">
        <f>SAM!W34/1000</f>
        <v>0</v>
      </c>
      <c r="W34">
        <f>SAM!X34/1000</f>
        <v>0</v>
      </c>
      <c r="X34">
        <f>SAM!Y34/1000</f>
        <v>0</v>
      </c>
      <c r="Y34">
        <f>SAM!Z34/1000</f>
        <v>0</v>
      </c>
      <c r="Z34">
        <f>SAM!AA34/1000</f>
        <v>0</v>
      </c>
      <c r="AA34">
        <f>SAM!AB34/1000</f>
        <v>0</v>
      </c>
      <c r="AB34">
        <f>SAM!AC34/1000</f>
        <v>0</v>
      </c>
      <c r="AC34">
        <f>SAM!AD34/1000</f>
        <v>0</v>
      </c>
      <c r="AD34">
        <f>SAM!AE34/1000</f>
        <v>0</v>
      </c>
      <c r="AE34">
        <f>SAM!AF34/1000</f>
        <v>0</v>
      </c>
      <c r="AF34">
        <f>SAM!AG34/1000</f>
        <v>0</v>
      </c>
      <c r="AG34">
        <f>SAM!AH34/1000</f>
        <v>0</v>
      </c>
      <c r="AH34">
        <f>SAM!AI34/1000</f>
        <v>0</v>
      </c>
      <c r="AI34">
        <f>SAM!AJ34/1000</f>
        <v>0</v>
      </c>
      <c r="AJ34">
        <f>SAM!AK34/1000</f>
        <v>0</v>
      </c>
      <c r="AK34">
        <f>SAM!AL34/1000</f>
        <v>0</v>
      </c>
      <c r="AL34">
        <f>SAM!AM34/1000</f>
        <v>0</v>
      </c>
      <c r="AM34">
        <f>SAM!AN34/1000</f>
        <v>0</v>
      </c>
      <c r="AN34">
        <f>SAM!AO34/1000</f>
        <v>0</v>
      </c>
      <c r="AO34">
        <f>SAM!AP34/1000</f>
        <v>0</v>
      </c>
      <c r="AP34">
        <f>SAM!AQ34/1000</f>
        <v>0</v>
      </c>
      <c r="AQ34">
        <f>SAM!AR34/1000</f>
        <v>0</v>
      </c>
      <c r="AR34">
        <f>SAM!AS34/1000</f>
        <v>0</v>
      </c>
      <c r="AS34">
        <f>SAM!AU34/1000</f>
        <v>4.0213999999999996E-3</v>
      </c>
      <c r="AT34">
        <f>SAM!AV34/1000</f>
        <v>0</v>
      </c>
      <c r="AU34">
        <f>SAM!AW34/1000</f>
        <v>0</v>
      </c>
      <c r="AV34">
        <f>SAM!AX34/1000</f>
        <v>0</v>
      </c>
    </row>
    <row r="35" spans="1:48">
      <c r="A35" s="16" t="s">
        <v>260</v>
      </c>
      <c r="B35">
        <f>SAM!C35/1000</f>
        <v>0</v>
      </c>
      <c r="C35">
        <f>SAM!D35/1000</f>
        <v>3.9009374999999999E-3</v>
      </c>
      <c r="D35">
        <f>SAM!E35/1000</f>
        <v>2.8234593750000002E-2</v>
      </c>
      <c r="E35">
        <f>SAM!F35/1000</f>
        <v>5.7313856163024902E-2</v>
      </c>
      <c r="F35">
        <f>SAM!G35/1000</f>
        <v>0.2282785877609253</v>
      </c>
      <c r="G35">
        <f>SAM!H35/1000</f>
        <v>0.11600604388046265</v>
      </c>
      <c r="H35">
        <f>SAM!I35/1000</f>
        <v>0.15319747495651245</v>
      </c>
      <c r="I35">
        <f>SAM!J35/1000</f>
        <v>4.6595006423950196E-2</v>
      </c>
      <c r="J35">
        <f>SAM!K35/1000</f>
        <v>9.1896112152099613E-2</v>
      </c>
      <c r="K35">
        <f>SAM!L35/1000</f>
        <v>0</v>
      </c>
      <c r="L35">
        <f>SAM!M35/1000</f>
        <v>0</v>
      </c>
      <c r="M35">
        <f>SAM!N35/1000</f>
        <v>0</v>
      </c>
      <c r="N35">
        <f>SAM!O35/1000</f>
        <v>0.73959245590209943</v>
      </c>
      <c r="O35">
        <f>SAM!P35/1000</f>
        <v>0</v>
      </c>
      <c r="P35">
        <f>SAM!Q35/1000</f>
        <v>0</v>
      </c>
      <c r="Q35">
        <f>SAM!R35/1000</f>
        <v>0</v>
      </c>
      <c r="R35">
        <f>SAM!S35/1000</f>
        <v>0</v>
      </c>
      <c r="S35">
        <f>SAM!T35/1000</f>
        <v>0</v>
      </c>
      <c r="T35">
        <f>SAM!U35/1000</f>
        <v>0</v>
      </c>
      <c r="U35">
        <f>SAM!V35/1000</f>
        <v>0</v>
      </c>
      <c r="V35">
        <f>SAM!W35/1000</f>
        <v>0</v>
      </c>
      <c r="W35">
        <f>SAM!X35/1000</f>
        <v>0</v>
      </c>
      <c r="X35">
        <f>SAM!Y35/1000</f>
        <v>0</v>
      </c>
      <c r="Y35">
        <f>SAM!Z35/1000</f>
        <v>0</v>
      </c>
      <c r="Z35">
        <f>SAM!AA35/1000</f>
        <v>0</v>
      </c>
      <c r="AA35">
        <f>SAM!AB35/1000</f>
        <v>0</v>
      </c>
      <c r="AB35">
        <f>SAM!AC35/1000</f>
        <v>0</v>
      </c>
      <c r="AC35">
        <f>SAM!AD35/1000</f>
        <v>0</v>
      </c>
      <c r="AD35">
        <f>SAM!AE35/1000</f>
        <v>0</v>
      </c>
      <c r="AE35">
        <f>SAM!AF35/1000</f>
        <v>0</v>
      </c>
      <c r="AF35">
        <f>SAM!AG35/1000</f>
        <v>0</v>
      </c>
      <c r="AG35">
        <f>SAM!AH35/1000</f>
        <v>0</v>
      </c>
      <c r="AH35">
        <f>SAM!AI35/1000</f>
        <v>0</v>
      </c>
      <c r="AI35">
        <f>SAM!AJ35/1000</f>
        <v>0</v>
      </c>
      <c r="AJ35">
        <f>SAM!AK35/1000</f>
        <v>0</v>
      </c>
      <c r="AK35">
        <f>SAM!AL35/1000</f>
        <v>0</v>
      </c>
      <c r="AL35">
        <f>SAM!AM35/1000</f>
        <v>0</v>
      </c>
      <c r="AM35">
        <f>SAM!AN35/1000</f>
        <v>0</v>
      </c>
      <c r="AN35">
        <f>SAM!AO35/1000</f>
        <v>0</v>
      </c>
      <c r="AO35">
        <f>SAM!AP35/1000</f>
        <v>0</v>
      </c>
      <c r="AP35">
        <f>SAM!AQ35/1000</f>
        <v>0</v>
      </c>
      <c r="AQ35">
        <f>SAM!AR35/1000</f>
        <v>0</v>
      </c>
      <c r="AR35">
        <f>SAM!AS35/1000</f>
        <v>0</v>
      </c>
      <c r="AS35">
        <f>SAM!AU35/1000</f>
        <v>1.41698E-2</v>
      </c>
      <c r="AT35">
        <f>SAM!AV35/1000</f>
        <v>0</v>
      </c>
      <c r="AU35">
        <f>SAM!AW35/1000</f>
        <v>0</v>
      </c>
      <c r="AV35">
        <f>SAM!AX35/1000</f>
        <v>0</v>
      </c>
    </row>
    <row r="36" spans="1:48">
      <c r="A36" s="16" t="s">
        <v>261</v>
      </c>
      <c r="B36">
        <f>SAM!C36/1000</f>
        <v>4.2600374565124515E-3</v>
      </c>
      <c r="C36">
        <f>SAM!D36/1000</f>
        <v>0</v>
      </c>
      <c r="D36">
        <f>SAM!E36/1000</f>
        <v>2.5260975173950196E-2</v>
      </c>
      <c r="E36">
        <f>SAM!F36/1000</f>
        <v>0.11996006250000001</v>
      </c>
      <c r="F36">
        <f>SAM!G36/1000</f>
        <v>0.20914012500000001</v>
      </c>
      <c r="G36">
        <f>SAM!H36/1000</f>
        <v>0.1128104811630249</v>
      </c>
      <c r="H36">
        <f>SAM!I36/1000</f>
        <v>0.15908771276092529</v>
      </c>
      <c r="I36">
        <f>SAM!J36/1000</f>
        <v>0.10775137586975099</v>
      </c>
      <c r="J36">
        <f>SAM!K36/1000</f>
        <v>6.3547875000000004E-2</v>
      </c>
      <c r="K36">
        <f>SAM!L36/1000</f>
        <v>0</v>
      </c>
      <c r="L36">
        <f>SAM!M36/1000</f>
        <v>0</v>
      </c>
      <c r="M36">
        <f>SAM!N36/1000</f>
        <v>0</v>
      </c>
      <c r="N36">
        <f>SAM!O36/1000</f>
        <v>0</v>
      </c>
      <c r="O36">
        <f>SAM!P36/1000</f>
        <v>0.87503443259811409</v>
      </c>
      <c r="P36">
        <f>SAM!Q36/1000</f>
        <v>0</v>
      </c>
      <c r="Q36">
        <f>SAM!R36/1000</f>
        <v>0</v>
      </c>
      <c r="R36">
        <f>SAM!S36/1000</f>
        <v>0</v>
      </c>
      <c r="S36">
        <f>SAM!T36/1000</f>
        <v>0</v>
      </c>
      <c r="T36">
        <f>SAM!U36/1000</f>
        <v>0</v>
      </c>
      <c r="U36">
        <f>SAM!V36/1000</f>
        <v>0</v>
      </c>
      <c r="V36">
        <f>SAM!W36/1000</f>
        <v>0</v>
      </c>
      <c r="W36">
        <f>SAM!X36/1000</f>
        <v>0</v>
      </c>
      <c r="X36">
        <f>SAM!Y36/1000</f>
        <v>0</v>
      </c>
      <c r="Y36">
        <f>SAM!Z36/1000</f>
        <v>0</v>
      </c>
      <c r="Z36">
        <f>SAM!AA36/1000</f>
        <v>0</v>
      </c>
      <c r="AA36">
        <f>SAM!AB36/1000</f>
        <v>0</v>
      </c>
      <c r="AB36">
        <f>SAM!AC36/1000</f>
        <v>0</v>
      </c>
      <c r="AC36">
        <f>SAM!AD36/1000</f>
        <v>0</v>
      </c>
      <c r="AD36">
        <f>SAM!AE36/1000</f>
        <v>0</v>
      </c>
      <c r="AE36">
        <f>SAM!AF36/1000</f>
        <v>0</v>
      </c>
      <c r="AF36">
        <f>SAM!AG36/1000</f>
        <v>0</v>
      </c>
      <c r="AG36">
        <f>SAM!AH36/1000</f>
        <v>0</v>
      </c>
      <c r="AH36">
        <f>SAM!AI36/1000</f>
        <v>0</v>
      </c>
      <c r="AI36">
        <f>SAM!AJ36/1000</f>
        <v>0</v>
      </c>
      <c r="AJ36">
        <f>SAM!AK36/1000</f>
        <v>0</v>
      </c>
      <c r="AK36">
        <f>SAM!AL36/1000</f>
        <v>0</v>
      </c>
      <c r="AL36">
        <f>SAM!AM36/1000</f>
        <v>0</v>
      </c>
      <c r="AM36">
        <f>SAM!AN36/1000</f>
        <v>0</v>
      </c>
      <c r="AN36">
        <f>SAM!AO36/1000</f>
        <v>0</v>
      </c>
      <c r="AO36">
        <f>SAM!AP36/1000</f>
        <v>0</v>
      </c>
      <c r="AP36">
        <f>SAM!AQ36/1000</f>
        <v>0</v>
      </c>
      <c r="AQ36">
        <f>SAM!AR36/1000</f>
        <v>0</v>
      </c>
      <c r="AR36">
        <f>SAM!AS36/1000</f>
        <v>0</v>
      </c>
      <c r="AS36">
        <f>SAM!AU36/1000</f>
        <v>7.3215799999999998E-2</v>
      </c>
      <c r="AT36">
        <f>SAM!AV36/1000</f>
        <v>0</v>
      </c>
      <c r="AU36">
        <f>SAM!AW36/1000</f>
        <v>0</v>
      </c>
      <c r="AV36">
        <f>SAM!AX36/1000</f>
        <v>0</v>
      </c>
    </row>
    <row r="37" spans="1:48">
      <c r="A37" s="16" t="s">
        <v>262</v>
      </c>
      <c r="B37">
        <f>SAM!C37/1000</f>
        <v>5.2115812500000004E-2</v>
      </c>
      <c r="C37">
        <f>SAM!D37/1000</f>
        <v>4.5055649826049808E-2</v>
      </c>
      <c r="D37">
        <f>SAM!E37/1000</f>
        <v>9.9151500000000004E-2</v>
      </c>
      <c r="E37">
        <f>SAM!F37/1000</f>
        <v>0.25215410703277591</v>
      </c>
      <c r="F37">
        <f>SAM!G37/1000</f>
        <v>0.1879168874130249</v>
      </c>
      <c r="G37">
        <f>SAM!H37/1000</f>
        <v>0.42510778081512451</v>
      </c>
      <c r="H37">
        <f>SAM!I37/1000</f>
        <v>0.19425956250000001</v>
      </c>
      <c r="I37">
        <f>SAM!J37/1000</f>
        <v>1.2312000000000002E-2</v>
      </c>
      <c r="J37">
        <f>SAM!K37/1000</f>
        <v>4.4983687500000001E-2</v>
      </c>
      <c r="K37">
        <f>SAM!L37/1000</f>
        <v>0</v>
      </c>
      <c r="L37">
        <f>SAM!M37/1000</f>
        <v>0</v>
      </c>
      <c r="M37">
        <f>SAM!N37/1000</f>
        <v>0</v>
      </c>
      <c r="N37">
        <f>SAM!O37/1000</f>
        <v>0</v>
      </c>
      <c r="O37">
        <f>SAM!P37/1000</f>
        <v>0</v>
      </c>
      <c r="P37">
        <f>SAM!Q37/1000</f>
        <v>1.5006105004348755</v>
      </c>
      <c r="Q37">
        <f>SAM!R37/1000</f>
        <v>0</v>
      </c>
      <c r="R37">
        <f>SAM!S37/1000</f>
        <v>0</v>
      </c>
      <c r="S37">
        <f>SAM!T37/1000</f>
        <v>0</v>
      </c>
      <c r="T37">
        <f>SAM!U37/1000</f>
        <v>0</v>
      </c>
      <c r="U37">
        <f>SAM!V37/1000</f>
        <v>0</v>
      </c>
      <c r="V37">
        <f>SAM!W37/1000</f>
        <v>0</v>
      </c>
      <c r="W37">
        <f>SAM!X37/1000</f>
        <v>0</v>
      </c>
      <c r="X37">
        <f>SAM!Y37/1000</f>
        <v>0</v>
      </c>
      <c r="Y37">
        <f>SAM!Z37/1000</f>
        <v>0</v>
      </c>
      <c r="Z37">
        <f>SAM!AA37/1000</f>
        <v>0</v>
      </c>
      <c r="AA37">
        <f>SAM!AB37/1000</f>
        <v>0</v>
      </c>
      <c r="AB37">
        <f>SAM!AC37/1000</f>
        <v>0</v>
      </c>
      <c r="AC37">
        <f>SAM!AD37/1000</f>
        <v>0</v>
      </c>
      <c r="AD37">
        <f>SAM!AE37/1000</f>
        <v>0</v>
      </c>
      <c r="AE37">
        <f>SAM!AF37/1000</f>
        <v>0</v>
      </c>
      <c r="AF37">
        <f>SAM!AG37/1000</f>
        <v>0</v>
      </c>
      <c r="AG37">
        <f>SAM!AH37/1000</f>
        <v>0</v>
      </c>
      <c r="AH37">
        <f>SAM!AI37/1000</f>
        <v>0</v>
      </c>
      <c r="AI37">
        <f>SAM!AJ37/1000</f>
        <v>0</v>
      </c>
      <c r="AJ37">
        <f>SAM!AK37/1000</f>
        <v>0</v>
      </c>
      <c r="AK37">
        <f>SAM!AL37/1000</f>
        <v>0</v>
      </c>
      <c r="AL37">
        <f>SAM!AM37/1000</f>
        <v>0</v>
      </c>
      <c r="AM37">
        <f>SAM!AN37/1000</f>
        <v>0</v>
      </c>
      <c r="AN37">
        <f>SAM!AO37/1000</f>
        <v>0</v>
      </c>
      <c r="AO37">
        <f>SAM!AP37/1000</f>
        <v>0</v>
      </c>
      <c r="AP37">
        <f>SAM!AQ37/1000</f>
        <v>0</v>
      </c>
      <c r="AQ37">
        <f>SAM!AR37/1000</f>
        <v>0</v>
      </c>
      <c r="AR37">
        <f>SAM!AS37/1000</f>
        <v>0</v>
      </c>
      <c r="AS37">
        <f>SAM!AU37/1000</f>
        <v>0.18755350000000001</v>
      </c>
      <c r="AT37">
        <f>SAM!AV37/1000</f>
        <v>0</v>
      </c>
      <c r="AU37">
        <f>SAM!AW37/1000</f>
        <v>0</v>
      </c>
      <c r="AV37">
        <f>SAM!AX37/1000</f>
        <v>0</v>
      </c>
    </row>
    <row r="38" spans="1:48">
      <c r="A38" s="16" t="s">
        <v>263</v>
      </c>
      <c r="B38">
        <f>SAM!C38/1000</f>
        <v>5.0776312500000004E-2</v>
      </c>
      <c r="C38">
        <f>SAM!D38/1000</f>
        <v>3.9604312500000002E-2</v>
      </c>
      <c r="D38">
        <f>SAM!E38/1000</f>
        <v>0.33804918750000001</v>
      </c>
      <c r="E38">
        <f>SAM!F38/1000</f>
        <v>0.6424434375000001</v>
      </c>
      <c r="F38">
        <f>SAM!G38/1000</f>
        <v>0.282784125</v>
      </c>
      <c r="G38">
        <f>SAM!H38/1000</f>
        <v>0.57474881249999998</v>
      </c>
      <c r="H38">
        <f>SAM!I38/1000</f>
        <v>0.35567287500000005</v>
      </c>
      <c r="I38">
        <f>SAM!J38/1000</f>
        <v>2.86603125E-2</v>
      </c>
      <c r="J38">
        <f>SAM!K38/1000</f>
        <v>0</v>
      </c>
      <c r="K38">
        <f>SAM!L38/1000</f>
        <v>0</v>
      </c>
      <c r="L38">
        <f>SAM!M38/1000</f>
        <v>0</v>
      </c>
      <c r="M38">
        <f>SAM!N38/1000</f>
        <v>0</v>
      </c>
      <c r="N38">
        <f>SAM!O38/1000</f>
        <v>0</v>
      </c>
      <c r="O38">
        <f>SAM!P38/1000</f>
        <v>0</v>
      </c>
      <c r="P38">
        <f>SAM!Q38/1000</f>
        <v>0</v>
      </c>
      <c r="Q38">
        <f>SAM!R38/1000</f>
        <v>2.5333329375000009</v>
      </c>
      <c r="R38">
        <f>SAM!S38/1000</f>
        <v>0</v>
      </c>
      <c r="S38">
        <f>SAM!T38/1000</f>
        <v>0</v>
      </c>
      <c r="T38">
        <f>SAM!U38/1000</f>
        <v>0</v>
      </c>
      <c r="U38">
        <f>SAM!V38/1000</f>
        <v>0</v>
      </c>
      <c r="V38">
        <f>SAM!W38/1000</f>
        <v>0</v>
      </c>
      <c r="W38">
        <f>SAM!X38/1000</f>
        <v>0</v>
      </c>
      <c r="X38">
        <f>SAM!Y38/1000</f>
        <v>0</v>
      </c>
      <c r="Y38">
        <f>SAM!Z38/1000</f>
        <v>0</v>
      </c>
      <c r="Z38">
        <f>SAM!AA38/1000</f>
        <v>0</v>
      </c>
      <c r="AA38">
        <f>SAM!AB38/1000</f>
        <v>0</v>
      </c>
      <c r="AB38">
        <f>SAM!AC38/1000</f>
        <v>0</v>
      </c>
      <c r="AC38">
        <f>SAM!AD38/1000</f>
        <v>0</v>
      </c>
      <c r="AD38">
        <f>SAM!AE38/1000</f>
        <v>0</v>
      </c>
      <c r="AE38">
        <f>SAM!AF38/1000</f>
        <v>0</v>
      </c>
      <c r="AF38">
        <f>SAM!AG38/1000</f>
        <v>0</v>
      </c>
      <c r="AG38">
        <f>SAM!AH38/1000</f>
        <v>0</v>
      </c>
      <c r="AH38">
        <f>SAM!AI38/1000</f>
        <v>0</v>
      </c>
      <c r="AI38">
        <f>SAM!AJ38/1000</f>
        <v>0</v>
      </c>
      <c r="AJ38">
        <f>SAM!AK38/1000</f>
        <v>0</v>
      </c>
      <c r="AK38">
        <f>SAM!AL38/1000</f>
        <v>0</v>
      </c>
      <c r="AL38">
        <f>SAM!AM38/1000</f>
        <v>0</v>
      </c>
      <c r="AM38">
        <f>SAM!AN38/1000</f>
        <v>0</v>
      </c>
      <c r="AN38">
        <f>SAM!AO38/1000</f>
        <v>0</v>
      </c>
      <c r="AO38">
        <f>SAM!AP38/1000</f>
        <v>0</v>
      </c>
      <c r="AP38">
        <f>SAM!AQ38/1000</f>
        <v>0</v>
      </c>
      <c r="AQ38">
        <f>SAM!AR38/1000</f>
        <v>0</v>
      </c>
      <c r="AR38">
        <f>SAM!AS38/1000</f>
        <v>0</v>
      </c>
      <c r="AS38">
        <f>SAM!AU38/1000</f>
        <v>0.2205936</v>
      </c>
      <c r="AT38">
        <f>SAM!AV38/1000</f>
        <v>0</v>
      </c>
      <c r="AU38">
        <f>SAM!AW38/1000</f>
        <v>0</v>
      </c>
      <c r="AV38">
        <f>SAM!AX38/1000</f>
        <v>0</v>
      </c>
    </row>
    <row r="39" spans="1:48">
      <c r="A39" s="16" t="s">
        <v>299</v>
      </c>
      <c r="B39">
        <f>SAM!C39/1000</f>
        <v>1.3965E-2</v>
      </c>
      <c r="C39">
        <f>SAM!D39/1000</f>
        <v>0</v>
      </c>
      <c r="D39">
        <f>SAM!E39/1000</f>
        <v>0.22889418750000001</v>
      </c>
      <c r="E39">
        <f>SAM!F39/1000</f>
        <v>0.42394818750000002</v>
      </c>
      <c r="F39">
        <f>SAM!G39/1000</f>
        <v>5.3469562500000005E-2</v>
      </c>
      <c r="G39">
        <f>SAM!H39/1000</f>
        <v>0.43246256249999998</v>
      </c>
      <c r="H39">
        <f>SAM!I39/1000</f>
        <v>0.33830568750000001</v>
      </c>
      <c r="I39">
        <f>SAM!J39/1000</f>
        <v>0</v>
      </c>
      <c r="J39">
        <f>SAM!K39/1000</f>
        <v>0</v>
      </c>
      <c r="K39">
        <f>SAM!L39/1000</f>
        <v>0</v>
      </c>
      <c r="L39">
        <f>SAM!M39/1000</f>
        <v>0</v>
      </c>
      <c r="M39">
        <f>SAM!N39/1000</f>
        <v>0</v>
      </c>
      <c r="N39">
        <f>SAM!O39/1000</f>
        <v>0</v>
      </c>
      <c r="O39">
        <f>SAM!P39/1000</f>
        <v>0</v>
      </c>
      <c r="P39">
        <f>SAM!Q39/1000</f>
        <v>0</v>
      </c>
      <c r="Q39">
        <f>SAM!R39/1000</f>
        <v>0</v>
      </c>
      <c r="R39">
        <f>SAM!S39/1000</f>
        <v>1.6249845000000001</v>
      </c>
      <c r="S39">
        <f>SAM!T39/1000</f>
        <v>0</v>
      </c>
      <c r="T39">
        <f>SAM!U39/1000</f>
        <v>0</v>
      </c>
      <c r="U39">
        <f>SAM!V39/1000</f>
        <v>0</v>
      </c>
      <c r="V39">
        <f>SAM!W39/1000</f>
        <v>0</v>
      </c>
      <c r="W39">
        <f>SAM!X39/1000</f>
        <v>0</v>
      </c>
      <c r="X39">
        <f>SAM!Y39/1000</f>
        <v>0</v>
      </c>
      <c r="Y39">
        <f>SAM!Z39/1000</f>
        <v>0</v>
      </c>
      <c r="Z39">
        <f>SAM!AA39/1000</f>
        <v>0</v>
      </c>
      <c r="AA39">
        <f>SAM!AB39/1000</f>
        <v>0</v>
      </c>
      <c r="AB39">
        <f>SAM!AC39/1000</f>
        <v>0</v>
      </c>
      <c r="AC39">
        <f>SAM!AD39/1000</f>
        <v>0</v>
      </c>
      <c r="AD39">
        <f>SAM!AE39/1000</f>
        <v>0</v>
      </c>
      <c r="AE39">
        <f>SAM!AF39/1000</f>
        <v>0</v>
      </c>
      <c r="AF39">
        <f>SAM!AG39/1000</f>
        <v>0</v>
      </c>
      <c r="AG39">
        <f>SAM!AH39/1000</f>
        <v>0</v>
      </c>
      <c r="AH39">
        <f>SAM!AI39/1000</f>
        <v>0</v>
      </c>
      <c r="AI39">
        <f>SAM!AJ39/1000</f>
        <v>0</v>
      </c>
      <c r="AJ39">
        <f>SAM!AK39/1000</f>
        <v>0</v>
      </c>
      <c r="AK39">
        <f>SAM!AL39/1000</f>
        <v>0</v>
      </c>
      <c r="AL39">
        <f>SAM!AM39/1000</f>
        <v>0</v>
      </c>
      <c r="AM39">
        <f>SAM!AN39/1000</f>
        <v>0</v>
      </c>
      <c r="AN39">
        <f>SAM!AO39/1000</f>
        <v>0</v>
      </c>
      <c r="AO39">
        <f>SAM!AP39/1000</f>
        <v>0</v>
      </c>
      <c r="AP39">
        <f>SAM!AQ39/1000</f>
        <v>0</v>
      </c>
      <c r="AQ39">
        <f>SAM!AR39/1000</f>
        <v>0</v>
      </c>
      <c r="AR39">
        <f>SAM!AS39/1000</f>
        <v>0</v>
      </c>
      <c r="AS39">
        <f>SAM!AU39/1000</f>
        <v>0</v>
      </c>
      <c r="AT39">
        <f>SAM!AV39/1000</f>
        <v>0</v>
      </c>
      <c r="AU39">
        <f>SAM!AW39/1000</f>
        <v>0</v>
      </c>
      <c r="AV39">
        <f>SAM!AX39/1000</f>
        <v>0</v>
      </c>
    </row>
    <row r="40" spans="1:48">
      <c r="A40" s="16" t="s">
        <v>300</v>
      </c>
      <c r="B40">
        <f>SAM!C40/1000</f>
        <v>8.3202187500000011E-2</v>
      </c>
      <c r="C40">
        <f>SAM!D40/1000</f>
        <v>3.3166875000000005E-2</v>
      </c>
      <c r="D40">
        <f>SAM!E40/1000</f>
        <v>0.109546875</v>
      </c>
      <c r="E40">
        <f>SAM!F40/1000</f>
        <v>0.12640818750000002</v>
      </c>
      <c r="F40">
        <f>SAM!G40/1000</f>
        <v>3.5589375000000006E-2</v>
      </c>
      <c r="G40">
        <f>SAM!H40/1000</f>
        <v>0.36902512500000001</v>
      </c>
      <c r="H40">
        <f>SAM!I40/1000</f>
        <v>0.26366775000000003</v>
      </c>
      <c r="I40">
        <f>SAM!J40/1000</f>
        <v>0</v>
      </c>
      <c r="J40">
        <f>SAM!K40/1000</f>
        <v>0</v>
      </c>
      <c r="K40">
        <f>SAM!L40/1000</f>
        <v>0</v>
      </c>
      <c r="L40">
        <f>SAM!M40/1000</f>
        <v>0</v>
      </c>
      <c r="M40">
        <f>SAM!N40/1000</f>
        <v>0</v>
      </c>
      <c r="N40">
        <f>SAM!O40/1000</f>
        <v>0</v>
      </c>
      <c r="O40">
        <f>SAM!P40/1000</f>
        <v>0</v>
      </c>
      <c r="P40">
        <f>SAM!Q40/1000</f>
        <v>0</v>
      </c>
      <c r="Q40">
        <f>SAM!R40/1000</f>
        <v>0</v>
      </c>
      <c r="R40">
        <f>SAM!S40/1000</f>
        <v>0</v>
      </c>
      <c r="S40">
        <f>SAM!T40/1000</f>
        <v>1.0739370000000001</v>
      </c>
      <c r="T40">
        <f>SAM!U40/1000</f>
        <v>0</v>
      </c>
      <c r="U40">
        <f>SAM!V40/1000</f>
        <v>0</v>
      </c>
      <c r="V40">
        <f>SAM!W40/1000</f>
        <v>0</v>
      </c>
      <c r="W40">
        <f>SAM!X40/1000</f>
        <v>0</v>
      </c>
      <c r="X40">
        <f>SAM!Y40/1000</f>
        <v>0</v>
      </c>
      <c r="Y40">
        <f>SAM!Z40/1000</f>
        <v>0</v>
      </c>
      <c r="Z40">
        <f>SAM!AA40/1000</f>
        <v>0</v>
      </c>
      <c r="AA40">
        <f>SAM!AB40/1000</f>
        <v>0</v>
      </c>
      <c r="AB40">
        <f>SAM!AC40/1000</f>
        <v>0</v>
      </c>
      <c r="AC40">
        <f>SAM!AD40/1000</f>
        <v>0</v>
      </c>
      <c r="AD40">
        <f>SAM!AE40/1000</f>
        <v>0</v>
      </c>
      <c r="AE40">
        <f>SAM!AF40/1000</f>
        <v>0</v>
      </c>
      <c r="AF40">
        <f>SAM!AG40/1000</f>
        <v>0</v>
      </c>
      <c r="AG40">
        <f>SAM!AH40/1000</f>
        <v>0</v>
      </c>
      <c r="AH40">
        <f>SAM!AI40/1000</f>
        <v>0</v>
      </c>
      <c r="AI40">
        <f>SAM!AJ40/1000</f>
        <v>0</v>
      </c>
      <c r="AJ40">
        <f>SAM!AK40/1000</f>
        <v>0</v>
      </c>
      <c r="AK40">
        <f>SAM!AL40/1000</f>
        <v>0</v>
      </c>
      <c r="AL40">
        <f>SAM!AM40/1000</f>
        <v>0</v>
      </c>
      <c r="AM40">
        <f>SAM!AN40/1000</f>
        <v>0</v>
      </c>
      <c r="AN40">
        <f>SAM!AO40/1000</f>
        <v>0</v>
      </c>
      <c r="AO40">
        <f>SAM!AP40/1000</f>
        <v>0</v>
      </c>
      <c r="AP40">
        <f>SAM!AQ40/1000</f>
        <v>0</v>
      </c>
      <c r="AQ40">
        <f>SAM!AR40/1000</f>
        <v>0</v>
      </c>
      <c r="AR40">
        <f>SAM!AS40/1000</f>
        <v>0</v>
      </c>
      <c r="AS40">
        <f>SAM!AU40/1000</f>
        <v>0</v>
      </c>
      <c r="AT40">
        <f>SAM!AV40/1000</f>
        <v>0</v>
      </c>
      <c r="AU40">
        <f>SAM!AW40/1000</f>
        <v>0</v>
      </c>
      <c r="AV40">
        <f>SAM!AX40/1000</f>
        <v>0</v>
      </c>
    </row>
    <row r="41" spans="1:48">
      <c r="A41" s="16" t="s">
        <v>301</v>
      </c>
      <c r="B41">
        <f>SAM!C41/1000</f>
        <v>3.0459375E-2</v>
      </c>
      <c r="C41">
        <f>SAM!D41/1000</f>
        <v>0</v>
      </c>
      <c r="D41">
        <f>SAM!E41/1000</f>
        <v>0.1246055625</v>
      </c>
      <c r="E41">
        <f>SAM!F41/1000</f>
        <v>0.20653950000000001</v>
      </c>
      <c r="F41">
        <f>SAM!G41/1000</f>
        <v>0.142108125</v>
      </c>
      <c r="G41">
        <f>SAM!H41/1000</f>
        <v>0.34858706249999999</v>
      </c>
      <c r="H41">
        <f>SAM!I41/1000</f>
        <v>0.27213581249999996</v>
      </c>
      <c r="I41">
        <f>SAM!J41/1000</f>
        <v>0</v>
      </c>
      <c r="J41">
        <f>SAM!K41/1000</f>
        <v>0</v>
      </c>
      <c r="K41">
        <f>SAM!L41/1000</f>
        <v>0</v>
      </c>
      <c r="L41">
        <f>SAM!M41/1000</f>
        <v>0</v>
      </c>
      <c r="M41">
        <f>SAM!N41/1000</f>
        <v>0</v>
      </c>
      <c r="N41">
        <f>SAM!O41/1000</f>
        <v>0</v>
      </c>
      <c r="O41">
        <f>SAM!P41/1000</f>
        <v>0</v>
      </c>
      <c r="P41">
        <f>SAM!Q41/1000</f>
        <v>0</v>
      </c>
      <c r="Q41">
        <f>SAM!R41/1000</f>
        <v>0</v>
      </c>
      <c r="R41">
        <f>SAM!S41/1000</f>
        <v>0</v>
      </c>
      <c r="S41">
        <f>SAM!T41/1000</f>
        <v>0</v>
      </c>
      <c r="T41">
        <f>SAM!U41/1000</f>
        <v>1.1447416875</v>
      </c>
      <c r="U41">
        <f>SAM!V41/1000</f>
        <v>0</v>
      </c>
      <c r="V41">
        <f>SAM!W41/1000</f>
        <v>0</v>
      </c>
      <c r="W41">
        <f>SAM!X41/1000</f>
        <v>0</v>
      </c>
      <c r="X41">
        <f>SAM!Y41/1000</f>
        <v>0</v>
      </c>
      <c r="Y41">
        <f>SAM!Z41/1000</f>
        <v>0</v>
      </c>
      <c r="Z41">
        <f>SAM!AA41/1000</f>
        <v>0</v>
      </c>
      <c r="AA41">
        <f>SAM!AB41/1000</f>
        <v>0</v>
      </c>
      <c r="AB41">
        <f>SAM!AC41/1000</f>
        <v>0</v>
      </c>
      <c r="AC41">
        <f>SAM!AD41/1000</f>
        <v>0</v>
      </c>
      <c r="AD41">
        <f>SAM!AE41/1000</f>
        <v>0</v>
      </c>
      <c r="AE41">
        <f>SAM!AF41/1000</f>
        <v>0</v>
      </c>
      <c r="AF41">
        <f>SAM!AG41/1000</f>
        <v>0</v>
      </c>
      <c r="AG41">
        <f>SAM!AH41/1000</f>
        <v>0</v>
      </c>
      <c r="AH41">
        <f>SAM!AI41/1000</f>
        <v>0</v>
      </c>
      <c r="AI41">
        <f>SAM!AJ41/1000</f>
        <v>0</v>
      </c>
      <c r="AJ41">
        <f>SAM!AK41/1000</f>
        <v>0</v>
      </c>
      <c r="AK41">
        <f>SAM!AL41/1000</f>
        <v>0</v>
      </c>
      <c r="AL41">
        <f>SAM!AM41/1000</f>
        <v>0</v>
      </c>
      <c r="AM41">
        <f>SAM!AN41/1000</f>
        <v>0</v>
      </c>
      <c r="AN41">
        <f>SAM!AO41/1000</f>
        <v>0</v>
      </c>
      <c r="AO41">
        <f>SAM!AP41/1000</f>
        <v>0</v>
      </c>
      <c r="AP41">
        <f>SAM!AQ41/1000</f>
        <v>0</v>
      </c>
      <c r="AQ41">
        <f>SAM!AR41/1000</f>
        <v>0</v>
      </c>
      <c r="AR41">
        <f>SAM!AS41/1000</f>
        <v>0</v>
      </c>
      <c r="AS41">
        <f>SAM!AU41/1000</f>
        <v>0</v>
      </c>
      <c r="AT41">
        <f>SAM!AV41/1000</f>
        <v>0</v>
      </c>
      <c r="AU41">
        <f>SAM!AW41/1000</f>
        <v>0</v>
      </c>
      <c r="AV41">
        <f>SAM!AX41/1000</f>
        <v>0</v>
      </c>
    </row>
    <row r="42" spans="1:48">
      <c r="A42" s="16" t="s">
        <v>264</v>
      </c>
      <c r="B42">
        <f>SAM!C42/1000</f>
        <v>0</v>
      </c>
      <c r="C42">
        <f>SAM!D42/1000</f>
        <v>0</v>
      </c>
      <c r="D42">
        <f>SAM!E42/1000</f>
        <v>0</v>
      </c>
      <c r="E42">
        <f>SAM!F42/1000</f>
        <v>0</v>
      </c>
      <c r="F42">
        <f>SAM!G42/1000</f>
        <v>0</v>
      </c>
      <c r="G42">
        <f>SAM!H42/1000</f>
        <v>0</v>
      </c>
      <c r="H42">
        <f>SAM!I42/1000</f>
        <v>0</v>
      </c>
      <c r="I42">
        <f>SAM!J42/1000</f>
        <v>0</v>
      </c>
      <c r="J42">
        <f>SAM!K42/1000</f>
        <v>0</v>
      </c>
      <c r="K42">
        <f>SAM!L42/1000</f>
        <v>0</v>
      </c>
      <c r="L42">
        <f>SAM!M42/1000</f>
        <v>0</v>
      </c>
      <c r="M42">
        <f>SAM!N42/1000</f>
        <v>0</v>
      </c>
      <c r="N42">
        <f>SAM!O42/1000</f>
        <v>0</v>
      </c>
      <c r="O42">
        <f>SAM!P42/1000</f>
        <v>0</v>
      </c>
      <c r="P42">
        <f>SAM!Q42/1000</f>
        <v>0</v>
      </c>
      <c r="Q42">
        <f>SAM!R42/1000</f>
        <v>0</v>
      </c>
      <c r="R42">
        <f>SAM!S42/1000</f>
        <v>0</v>
      </c>
      <c r="S42">
        <f>SAM!T42/1000</f>
        <v>0</v>
      </c>
      <c r="T42">
        <f>SAM!U42/1000</f>
        <v>0</v>
      </c>
      <c r="U42">
        <f>SAM!V42/1000</f>
        <v>0</v>
      </c>
      <c r="V42">
        <f>SAM!W42/1000</f>
        <v>0</v>
      </c>
      <c r="W42">
        <f>SAM!X42/1000</f>
        <v>0</v>
      </c>
      <c r="X42">
        <f>SAM!Y42/1000</f>
        <v>9.6413812574620786E-3</v>
      </c>
      <c r="Y42">
        <f>SAM!Z42/1000</f>
        <v>1.8560194695873451E-2</v>
      </c>
      <c r="Z42">
        <f>SAM!AA42/1000</f>
        <v>0.12514545162576995</v>
      </c>
      <c r="AA42">
        <f>SAM!AB42/1000</f>
        <v>0.3204076395157765</v>
      </c>
      <c r="AB42">
        <f>SAM!AC42/1000</f>
        <v>0.52518084576617896</v>
      </c>
      <c r="AC42">
        <f>SAM!AD42/1000</f>
        <v>1.4922225478307789</v>
      </c>
      <c r="AD42">
        <f>SAM!AE42/1000</f>
        <v>2.0815569734945956</v>
      </c>
      <c r="AE42">
        <f>SAM!AF42/1000</f>
        <v>3.6040091609832485</v>
      </c>
      <c r="AF42">
        <f>SAM!AG42/1000</f>
        <v>6.0173558048303146</v>
      </c>
      <c r="AG42">
        <f>SAM!AH42/1000</f>
        <v>0</v>
      </c>
      <c r="AH42">
        <f>SAM!AI42/1000</f>
        <v>0</v>
      </c>
      <c r="AI42">
        <f>SAM!AJ42/1000</f>
        <v>0</v>
      </c>
      <c r="AJ42">
        <f>SAM!AK42/1000</f>
        <v>0</v>
      </c>
      <c r="AK42">
        <f>SAM!AL42/1000</f>
        <v>0</v>
      </c>
      <c r="AL42">
        <f>SAM!AM42/1000</f>
        <v>0</v>
      </c>
      <c r="AM42">
        <f>SAM!AN42/1000</f>
        <v>0</v>
      </c>
      <c r="AN42">
        <f>SAM!AO42/1000</f>
        <v>0</v>
      </c>
      <c r="AO42">
        <f>SAM!AP42/1000</f>
        <v>0</v>
      </c>
      <c r="AP42">
        <f>SAM!AQ42/1000</f>
        <v>0</v>
      </c>
      <c r="AQ42">
        <f>SAM!AR42/1000</f>
        <v>0</v>
      </c>
      <c r="AR42">
        <f>SAM!AS42/1000</f>
        <v>0</v>
      </c>
      <c r="AS42">
        <f>SAM!AU42/1000</f>
        <v>0</v>
      </c>
      <c r="AT42">
        <f>SAM!AV42/1000</f>
        <v>0</v>
      </c>
      <c r="AU42">
        <f>SAM!AW42/1000</f>
        <v>0</v>
      </c>
      <c r="AV42">
        <f>SAM!AX42/1000</f>
        <v>0</v>
      </c>
    </row>
    <row r="43" spans="1:48">
      <c r="A43" s="16" t="s">
        <v>310</v>
      </c>
      <c r="B43">
        <f>SAM!C43/1000</f>
        <v>7.7161563979941698E-3</v>
      </c>
      <c r="C43">
        <f>SAM!D43/1000</f>
        <v>3.4283076268368374E-3</v>
      </c>
      <c r="D43">
        <f>SAM!E43/1000</f>
        <v>5.2112806906929925E-2</v>
      </c>
      <c r="E43">
        <f>SAM!F43/1000</f>
        <v>5.186092077964486E-2</v>
      </c>
      <c r="F43">
        <f>SAM!G43/1000</f>
        <v>0.12128565508744293</v>
      </c>
      <c r="G43">
        <f>SAM!H43/1000</f>
        <v>0.4974212025628123</v>
      </c>
      <c r="H43">
        <f>SAM!I43/1000</f>
        <v>0.11019724998576737</v>
      </c>
      <c r="I43">
        <f>SAM!J43/1000</f>
        <v>0.14739363293689253</v>
      </c>
      <c r="J43">
        <f>SAM!K43/1000</f>
        <v>0.18746406771567883</v>
      </c>
      <c r="K43">
        <f>SAM!L43/1000</f>
        <v>0</v>
      </c>
      <c r="L43">
        <f>SAM!M43/1000</f>
        <v>0</v>
      </c>
      <c r="M43">
        <f>SAM!N43/1000</f>
        <v>0</v>
      </c>
      <c r="N43">
        <f>SAM!O43/1000</f>
        <v>0</v>
      </c>
      <c r="O43">
        <f>SAM!P43/1000</f>
        <v>0</v>
      </c>
      <c r="P43">
        <f>SAM!Q43/1000</f>
        <v>0</v>
      </c>
      <c r="Q43">
        <f>SAM!R43/1000</f>
        <v>0</v>
      </c>
      <c r="R43">
        <f>SAM!S43/1000</f>
        <v>0</v>
      </c>
      <c r="S43">
        <f>SAM!T43/1000</f>
        <v>0</v>
      </c>
      <c r="T43">
        <f>SAM!U43/1000</f>
        <v>0</v>
      </c>
      <c r="U43">
        <f>SAM!V43/1000</f>
        <v>0</v>
      </c>
      <c r="V43">
        <f>SAM!W43/1000</f>
        <v>0</v>
      </c>
      <c r="W43">
        <f>SAM!X43/1000</f>
        <v>0</v>
      </c>
      <c r="X43">
        <f>SAM!Y43/1000</f>
        <v>0</v>
      </c>
      <c r="Y43">
        <f>SAM!Z43/1000</f>
        <v>0</v>
      </c>
      <c r="Z43">
        <f>SAM!AA43/1000</f>
        <v>0</v>
      </c>
      <c r="AA43">
        <f>SAM!AB43/1000</f>
        <v>0</v>
      </c>
      <c r="AB43">
        <f>SAM!AC43/1000</f>
        <v>0</v>
      </c>
      <c r="AC43">
        <f>SAM!AD43/1000</f>
        <v>0</v>
      </c>
      <c r="AD43">
        <f>SAM!AE43/1000</f>
        <v>0</v>
      </c>
      <c r="AE43">
        <f>SAM!AF43/1000</f>
        <v>0</v>
      </c>
      <c r="AF43">
        <f>SAM!AG43/1000</f>
        <v>0</v>
      </c>
      <c r="AG43">
        <f>SAM!AH43/1000</f>
        <v>0</v>
      </c>
      <c r="AH43">
        <f>SAM!AI43/1000</f>
        <v>0</v>
      </c>
      <c r="AI43">
        <f>SAM!AJ43/1000</f>
        <v>0</v>
      </c>
      <c r="AJ43">
        <f>SAM!AK43/1000</f>
        <v>0</v>
      </c>
      <c r="AK43">
        <f>SAM!AL43/1000</f>
        <v>0</v>
      </c>
      <c r="AL43">
        <f>SAM!AM43/1000</f>
        <v>0</v>
      </c>
      <c r="AM43">
        <f>SAM!AN43/1000</f>
        <v>0</v>
      </c>
      <c r="AN43">
        <f>SAM!AO43/1000</f>
        <v>0</v>
      </c>
      <c r="AO43">
        <f>SAM!AP43/1000</f>
        <v>0</v>
      </c>
      <c r="AP43">
        <f>SAM!AQ43/1000</f>
        <v>0</v>
      </c>
      <c r="AQ43">
        <f>SAM!AR43/1000</f>
        <v>0</v>
      </c>
      <c r="AR43">
        <f>SAM!AS43/1000</f>
        <v>0</v>
      </c>
      <c r="AS43">
        <f>SAM!AU43/1000</f>
        <v>0</v>
      </c>
      <c r="AT43">
        <f>SAM!AV43/1000</f>
        <v>0</v>
      </c>
      <c r="AU43">
        <f>SAM!AW43/1000</f>
        <v>0</v>
      </c>
      <c r="AV43">
        <f>SAM!AX43/1000</f>
        <v>0</v>
      </c>
    </row>
    <row r="44" spans="1:48">
      <c r="A44" s="16" t="s">
        <v>309</v>
      </c>
      <c r="B44">
        <f>SAM!C44/1000</f>
        <v>4.4347870584461098E-4</v>
      </c>
      <c r="C44">
        <f>SAM!D44/1000</f>
        <v>1.9703870050923752E-4</v>
      </c>
      <c r="D44">
        <f>SAM!E44/1000</f>
        <v>2.9951337133372669E-3</v>
      </c>
      <c r="E44">
        <f>SAM!F44/1000</f>
        <v>2.980656799186378E-3</v>
      </c>
      <c r="F44">
        <f>SAM!G44/1000</f>
        <v>6.97077697513716E-3</v>
      </c>
      <c r="G44">
        <f>SAM!H44/1000</f>
        <v>2.8588807664599748E-2</v>
      </c>
      <c r="H44">
        <f>SAM!I44/1000</f>
        <v>6.3334815017522311E-3</v>
      </c>
      <c r="I44">
        <f>SAM!J44/1000</f>
        <v>8.4713080208665466E-3</v>
      </c>
      <c r="J44">
        <f>SAM!K44/1000</f>
        <v>1.0774317918766811E-2</v>
      </c>
      <c r="K44">
        <f>SAM!L44/1000</f>
        <v>0</v>
      </c>
      <c r="L44">
        <f>SAM!M44/1000</f>
        <v>0</v>
      </c>
      <c r="M44">
        <f>SAM!N44/1000</f>
        <v>0</v>
      </c>
      <c r="N44">
        <f>SAM!O44/1000</f>
        <v>0</v>
      </c>
      <c r="O44">
        <f>SAM!P44/1000</f>
        <v>0</v>
      </c>
      <c r="P44">
        <f>SAM!Q44/1000</f>
        <v>0</v>
      </c>
      <c r="Q44">
        <f>SAM!R44/1000</f>
        <v>0</v>
      </c>
      <c r="R44">
        <f>SAM!S44/1000</f>
        <v>0</v>
      </c>
      <c r="S44">
        <f>SAM!T44/1000</f>
        <v>0</v>
      </c>
      <c r="T44">
        <f>SAM!U44/1000</f>
        <v>0</v>
      </c>
      <c r="U44">
        <f>SAM!V44/1000</f>
        <v>0</v>
      </c>
      <c r="V44">
        <f>SAM!W44/1000</f>
        <v>0</v>
      </c>
      <c r="W44">
        <f>SAM!X44/1000</f>
        <v>0</v>
      </c>
      <c r="X44">
        <f>SAM!Y44/1000</f>
        <v>3.0681889308751409E-5</v>
      </c>
      <c r="Y44">
        <f>SAM!Z44/1000</f>
        <v>5.9064341923717769E-5</v>
      </c>
      <c r="Z44">
        <f>SAM!AA44/1000</f>
        <v>3.9825195080878996E-4</v>
      </c>
      <c r="AA44">
        <f>SAM!AB44/1000</f>
        <v>1.0196372767328086E-3</v>
      </c>
      <c r="AB44">
        <f>SAM!AC44/1000</f>
        <v>1.6712896364722693E-3</v>
      </c>
      <c r="AC44">
        <f>SAM!AD44/1000</f>
        <v>4.7487186549262988E-3</v>
      </c>
      <c r="AD44">
        <f>SAM!AE44/1000</f>
        <v>6.6241650387169077E-3</v>
      </c>
      <c r="AE44">
        <f>SAM!AF44/1000</f>
        <v>1.1469083857609181E-2</v>
      </c>
      <c r="AF44">
        <f>SAM!AG44/1000</f>
        <v>1.9149107353501272E-2</v>
      </c>
      <c r="AG44">
        <f>SAM!AH44/1000</f>
        <v>0</v>
      </c>
      <c r="AH44">
        <f>SAM!AI44/1000</f>
        <v>0</v>
      </c>
      <c r="AI44">
        <f>SAM!AJ44/1000</f>
        <v>0</v>
      </c>
      <c r="AJ44">
        <f>SAM!AK44/1000</f>
        <v>0</v>
      </c>
      <c r="AK44">
        <f>SAM!AL44/1000</f>
        <v>0</v>
      </c>
      <c r="AL44">
        <f>SAM!AM44/1000</f>
        <v>0</v>
      </c>
      <c r="AM44">
        <f>SAM!AN44/1000</f>
        <v>0</v>
      </c>
      <c r="AN44">
        <f>SAM!AO44/1000</f>
        <v>0</v>
      </c>
      <c r="AO44">
        <f>SAM!AP44/1000</f>
        <v>0</v>
      </c>
      <c r="AP44">
        <f>SAM!AQ44/1000</f>
        <v>0</v>
      </c>
      <c r="AQ44">
        <f>SAM!AR44/1000</f>
        <v>0</v>
      </c>
      <c r="AR44">
        <f>SAM!AS44/1000</f>
        <v>0</v>
      </c>
      <c r="AS44">
        <f>SAM!AU44/1000</f>
        <v>0</v>
      </c>
      <c r="AT44">
        <f>SAM!AV44/1000</f>
        <v>0</v>
      </c>
      <c r="AU44">
        <f>SAM!AW44/1000</f>
        <v>0</v>
      </c>
      <c r="AV44">
        <f>SAM!AX44/1000</f>
        <v>0</v>
      </c>
    </row>
    <row r="45" spans="1:48">
      <c r="A45" s="16" t="s">
        <v>265</v>
      </c>
      <c r="B45">
        <f>SAM!C45/1000</f>
        <v>8.5727623769728516E-4</v>
      </c>
      <c r="C45">
        <f>SAM!D45/1000</f>
        <v>2.1696056307065318E-4</v>
      </c>
      <c r="D45">
        <f>SAM!E45/1000</f>
        <v>1.2694360435436675E-2</v>
      </c>
      <c r="E45">
        <f>SAM!F45/1000</f>
        <v>2.0739770098828808E-3</v>
      </c>
      <c r="F45">
        <f>SAM!G45/1000</f>
        <v>3.0829475723144852E-2</v>
      </c>
      <c r="G45">
        <f>SAM!H45/1000</f>
        <v>0.20317966694846137</v>
      </c>
      <c r="H45">
        <f>SAM!I45/1000</f>
        <v>3.1232162967512769E-2</v>
      </c>
      <c r="I45">
        <f>SAM!J45/1000</f>
        <v>4.5126719700275639E-2</v>
      </c>
      <c r="J45">
        <f>SAM!K45/1000</f>
        <v>6.8828867217444009E-2</v>
      </c>
      <c r="K45">
        <f>SAM!L45/1000</f>
        <v>0</v>
      </c>
      <c r="L45">
        <f>SAM!M45/1000</f>
        <v>0</v>
      </c>
      <c r="M45">
        <f>SAM!N45/1000</f>
        <v>0</v>
      </c>
      <c r="N45">
        <f>SAM!O45/1000</f>
        <v>0</v>
      </c>
      <c r="O45">
        <f>SAM!P45/1000</f>
        <v>0</v>
      </c>
      <c r="P45">
        <f>SAM!Q45/1000</f>
        <v>0</v>
      </c>
      <c r="Q45">
        <f>SAM!R45/1000</f>
        <v>0</v>
      </c>
      <c r="R45">
        <f>SAM!S45/1000</f>
        <v>0</v>
      </c>
      <c r="S45">
        <f>SAM!T45/1000</f>
        <v>0</v>
      </c>
      <c r="T45">
        <f>SAM!U45/1000</f>
        <v>0</v>
      </c>
      <c r="U45">
        <f>SAM!V45/1000</f>
        <v>0</v>
      </c>
      <c r="V45">
        <f>SAM!W45/1000</f>
        <v>0</v>
      </c>
      <c r="W45">
        <f>SAM!X45/1000</f>
        <v>0</v>
      </c>
      <c r="X45">
        <f>SAM!Y45/1000</f>
        <v>0</v>
      </c>
      <c r="Y45">
        <f>SAM!Z45/1000</f>
        <v>0</v>
      </c>
      <c r="Z45">
        <f>SAM!AA45/1000</f>
        <v>0</v>
      </c>
      <c r="AA45">
        <f>SAM!AB45/1000</f>
        <v>0</v>
      </c>
      <c r="AB45">
        <f>SAM!AC45/1000</f>
        <v>0</v>
      </c>
      <c r="AC45">
        <f>SAM!AD45/1000</f>
        <v>0</v>
      </c>
      <c r="AD45">
        <f>SAM!AE45/1000</f>
        <v>0</v>
      </c>
      <c r="AE45">
        <f>SAM!AF45/1000</f>
        <v>0</v>
      </c>
      <c r="AF45">
        <f>SAM!AG45/1000</f>
        <v>0</v>
      </c>
      <c r="AG45">
        <f>SAM!AH45/1000</f>
        <v>0</v>
      </c>
      <c r="AH45">
        <f>SAM!AI45/1000</f>
        <v>0</v>
      </c>
      <c r="AI45">
        <f>SAM!AJ45/1000</f>
        <v>0</v>
      </c>
      <c r="AJ45">
        <f>SAM!AK45/1000</f>
        <v>0</v>
      </c>
      <c r="AK45">
        <f>SAM!AL45/1000</f>
        <v>0</v>
      </c>
      <c r="AL45">
        <f>SAM!AM45/1000</f>
        <v>0</v>
      </c>
      <c r="AM45">
        <f>SAM!AN45/1000</f>
        <v>0</v>
      </c>
      <c r="AN45">
        <f>SAM!AO45/1000</f>
        <v>0</v>
      </c>
      <c r="AO45">
        <f>SAM!AP45/1000</f>
        <v>0</v>
      </c>
      <c r="AP45">
        <f>SAM!AQ45/1000</f>
        <v>0</v>
      </c>
      <c r="AQ45">
        <f>SAM!AR45/1000</f>
        <v>0</v>
      </c>
      <c r="AR45">
        <f>SAM!AS45/1000</f>
        <v>0</v>
      </c>
      <c r="AS45">
        <f>SAM!AU45/1000</f>
        <v>0</v>
      </c>
      <c r="AT45">
        <f>SAM!AV45/1000</f>
        <v>0</v>
      </c>
      <c r="AU45">
        <f>SAM!AW45/1000</f>
        <v>0</v>
      </c>
      <c r="AV45">
        <f>SAM!AX45/1000</f>
        <v>0</v>
      </c>
    </row>
    <row r="46" spans="1:48">
      <c r="A46" s="16" t="s">
        <v>307</v>
      </c>
      <c r="B46">
        <f>SAM!C46/1000</f>
        <v>0</v>
      </c>
      <c r="C46">
        <f>SAM!D46/1000</f>
        <v>0</v>
      </c>
      <c r="D46">
        <f>SAM!E46/1000</f>
        <v>0</v>
      </c>
      <c r="E46">
        <f>SAM!F46/1000</f>
        <v>0</v>
      </c>
      <c r="F46">
        <f>SAM!G46/1000</f>
        <v>0</v>
      </c>
      <c r="G46">
        <f>SAM!H46/1000</f>
        <v>0</v>
      </c>
      <c r="H46">
        <f>SAM!I46/1000</f>
        <v>0</v>
      </c>
      <c r="I46">
        <f>SAM!J46/1000</f>
        <v>0</v>
      </c>
      <c r="J46">
        <f>SAM!K46/1000</f>
        <v>0</v>
      </c>
      <c r="K46">
        <f>SAM!L46/1000</f>
        <v>0</v>
      </c>
      <c r="L46">
        <f>SAM!M46/1000</f>
        <v>0</v>
      </c>
      <c r="M46">
        <f>SAM!N46/1000</f>
        <v>0</v>
      </c>
      <c r="N46">
        <f>SAM!O46/1000</f>
        <v>0</v>
      </c>
      <c r="O46">
        <f>SAM!P46/1000</f>
        <v>0</v>
      </c>
      <c r="P46">
        <f>SAM!Q46/1000</f>
        <v>0</v>
      </c>
      <c r="Q46">
        <f>SAM!R46/1000</f>
        <v>0</v>
      </c>
      <c r="R46">
        <f>SAM!S46/1000</f>
        <v>0</v>
      </c>
      <c r="S46">
        <f>SAM!T46/1000</f>
        <v>0</v>
      </c>
      <c r="T46">
        <f>SAM!U46/1000</f>
        <v>0</v>
      </c>
      <c r="U46">
        <f>SAM!V46/1000</f>
        <v>0</v>
      </c>
      <c r="V46">
        <f>SAM!W46/1000</f>
        <v>0</v>
      </c>
      <c r="W46">
        <f>SAM!X46/1000</f>
        <v>0</v>
      </c>
      <c r="X46">
        <f>SAM!Y46/1000</f>
        <v>0</v>
      </c>
      <c r="Y46">
        <f>SAM!Z46/1000</f>
        <v>0</v>
      </c>
      <c r="Z46">
        <f>SAM!AA46/1000</f>
        <v>0</v>
      </c>
      <c r="AA46">
        <f>SAM!AB46/1000</f>
        <v>0</v>
      </c>
      <c r="AB46">
        <f>SAM!AC46/1000</f>
        <v>0</v>
      </c>
      <c r="AC46">
        <f>SAM!AD46/1000</f>
        <v>0</v>
      </c>
      <c r="AD46">
        <f>SAM!AE46/1000</f>
        <v>0</v>
      </c>
      <c r="AE46">
        <f>SAM!AF46/1000</f>
        <v>0</v>
      </c>
      <c r="AF46">
        <f>SAM!AG46/1000</f>
        <v>0</v>
      </c>
      <c r="AG46">
        <f>SAM!AH46/1000</f>
        <v>-4.3638973056092674</v>
      </c>
      <c r="AH46">
        <f>SAM!AI46/1000</f>
        <v>-9.2546019013181695</v>
      </c>
      <c r="AI46">
        <f>SAM!AJ46/1000</f>
        <v>-17.023602208636472</v>
      </c>
      <c r="AJ46">
        <f>SAM!AK46/1000</f>
        <v>-1.5152559256088252</v>
      </c>
      <c r="AK46">
        <f>SAM!AL46/1000</f>
        <v>2.367882590805054</v>
      </c>
      <c r="AL46">
        <f>SAM!AM46/1000</f>
        <v>4.8044659125000013</v>
      </c>
      <c r="AM46">
        <f>SAM!AN46/1000</f>
        <v>3.1160296875000002</v>
      </c>
      <c r="AN46">
        <f>SAM!AO46/1000</f>
        <v>2.0945433750000002</v>
      </c>
      <c r="AO46">
        <f>SAM!AP46/1000</f>
        <v>2.2691771250000001</v>
      </c>
      <c r="AP46">
        <f>SAM!AQ46/1000</f>
        <v>0</v>
      </c>
      <c r="AQ46">
        <f>SAM!AR46/1000</f>
        <v>0</v>
      </c>
      <c r="AR46">
        <f>SAM!AS46/1000</f>
        <v>0</v>
      </c>
      <c r="AS46">
        <f>SAM!AU46/1000</f>
        <v>0</v>
      </c>
      <c r="AT46">
        <f>SAM!AV46/1000</f>
        <v>0</v>
      </c>
      <c r="AU46">
        <f>SAM!AW46/1000</f>
        <v>0</v>
      </c>
      <c r="AV46">
        <f>SAM!AX46/1000</f>
        <v>0</v>
      </c>
    </row>
    <row r="47" spans="1:48">
      <c r="A47" s="16" t="s">
        <v>308</v>
      </c>
      <c r="B47">
        <f>SAM!C47/1000</f>
        <v>0</v>
      </c>
      <c r="C47">
        <f>SAM!D47/1000</f>
        <v>0</v>
      </c>
      <c r="D47">
        <f>SAM!E47/1000</f>
        <v>0</v>
      </c>
      <c r="E47">
        <f>SAM!F47/1000</f>
        <v>0</v>
      </c>
      <c r="F47">
        <f>SAM!G47/1000</f>
        <v>0</v>
      </c>
      <c r="G47">
        <f>SAM!H47/1000</f>
        <v>0</v>
      </c>
      <c r="H47">
        <f>SAM!I47/1000</f>
        <v>0</v>
      </c>
      <c r="I47">
        <f>SAM!J47/1000</f>
        <v>0</v>
      </c>
      <c r="J47">
        <f>SAM!K47/1000</f>
        <v>0</v>
      </c>
      <c r="K47">
        <f>SAM!L47/1000</f>
        <v>0</v>
      </c>
      <c r="L47">
        <f>SAM!M47/1000</f>
        <v>0</v>
      </c>
      <c r="M47">
        <f>SAM!N47/1000</f>
        <v>0</v>
      </c>
      <c r="N47">
        <f>SAM!O47/1000</f>
        <v>0</v>
      </c>
      <c r="O47">
        <f>SAM!P47/1000</f>
        <v>0</v>
      </c>
      <c r="P47">
        <f>SAM!Q47/1000</f>
        <v>0</v>
      </c>
      <c r="Q47">
        <f>SAM!R47/1000</f>
        <v>0</v>
      </c>
      <c r="R47">
        <f>SAM!S47/1000</f>
        <v>0</v>
      </c>
      <c r="S47">
        <f>SAM!T47/1000</f>
        <v>0</v>
      </c>
      <c r="T47">
        <f>SAM!U47/1000</f>
        <v>0</v>
      </c>
      <c r="U47">
        <f>SAM!V47/1000</f>
        <v>0</v>
      </c>
      <c r="V47">
        <f>SAM!W47/1000</f>
        <v>0</v>
      </c>
      <c r="W47">
        <f>SAM!X47/1000</f>
        <v>0</v>
      </c>
      <c r="X47">
        <f>SAM!Y47/1000</f>
        <v>0</v>
      </c>
      <c r="Y47">
        <f>SAM!Z47/1000</f>
        <v>0</v>
      </c>
      <c r="Z47">
        <f>SAM!AA47/1000</f>
        <v>0</v>
      </c>
      <c r="AA47">
        <f>SAM!AB47/1000</f>
        <v>0</v>
      </c>
      <c r="AB47">
        <f>SAM!AC47/1000</f>
        <v>0</v>
      </c>
      <c r="AC47">
        <f>SAM!AD47/1000</f>
        <v>0</v>
      </c>
      <c r="AD47">
        <f>SAM!AE47/1000</f>
        <v>0</v>
      </c>
      <c r="AE47">
        <f>SAM!AF47/1000</f>
        <v>0</v>
      </c>
      <c r="AF47">
        <f>SAM!AG47/1000</f>
        <v>0</v>
      </c>
      <c r="AG47">
        <f>SAM!AH47/1000</f>
        <v>0</v>
      </c>
      <c r="AH47">
        <f>SAM!AI47/1000</f>
        <v>0</v>
      </c>
      <c r="AI47">
        <f>SAM!AJ47/1000</f>
        <v>0</v>
      </c>
      <c r="AJ47">
        <f>SAM!AK47/1000</f>
        <v>0</v>
      </c>
      <c r="AK47">
        <f>SAM!AL47/1000</f>
        <v>0</v>
      </c>
      <c r="AL47">
        <f>SAM!AM47/1000</f>
        <v>0</v>
      </c>
      <c r="AM47">
        <f>SAM!AN47/1000</f>
        <v>0</v>
      </c>
      <c r="AN47">
        <f>SAM!AO47/1000</f>
        <v>0</v>
      </c>
      <c r="AO47">
        <f>SAM!AP47/1000</f>
        <v>0</v>
      </c>
      <c r="AP47">
        <f>SAM!AQ47/1000</f>
        <v>14.194079999999998</v>
      </c>
      <c r="AQ47">
        <f>SAM!AR47/1000</f>
        <v>1.1788799999999999</v>
      </c>
      <c r="AR47">
        <f>SAM!AS48/1000</f>
        <v>0.112925</v>
      </c>
      <c r="AS47">
        <f>SAM!AU47/1000</f>
        <v>0</v>
      </c>
      <c r="AT47">
        <f>SAM!AV47/1000</f>
        <v>0</v>
      </c>
      <c r="AU47">
        <f>SAM!AW47/1000</f>
        <v>0</v>
      </c>
      <c r="AV47">
        <f>SAM!AX47/1000</f>
        <v>0</v>
      </c>
    </row>
    <row r="48" spans="1:48">
      <c r="A48" s="16" t="s">
        <v>266</v>
      </c>
      <c r="B48">
        <f>SAM!C48/1000</f>
        <v>0</v>
      </c>
      <c r="C48">
        <f>SAM!D48/1000</f>
        <v>0</v>
      </c>
      <c r="D48">
        <f>SAM!E48/1000</f>
        <v>0</v>
      </c>
      <c r="E48">
        <f>SAM!F48/1000</f>
        <v>0</v>
      </c>
      <c r="F48">
        <f>SAM!G48/1000</f>
        <v>0</v>
      </c>
      <c r="G48">
        <f>SAM!H48/1000</f>
        <v>0</v>
      </c>
      <c r="H48">
        <f>SAM!I48/1000</f>
        <v>0</v>
      </c>
      <c r="I48">
        <f>SAM!J48/1000</f>
        <v>0</v>
      </c>
      <c r="J48">
        <f>SAM!K48/1000</f>
        <v>0</v>
      </c>
      <c r="K48">
        <f>SAM!L48/1000</f>
        <v>0</v>
      </c>
      <c r="L48">
        <f>SAM!M48/1000</f>
        <v>0</v>
      </c>
      <c r="M48">
        <f>SAM!N48/1000</f>
        <v>0</v>
      </c>
      <c r="N48">
        <f>SAM!O48/1000</f>
        <v>0</v>
      </c>
      <c r="O48">
        <f>SAM!P48/1000</f>
        <v>0</v>
      </c>
      <c r="P48">
        <f>SAM!Q48/1000</f>
        <v>0</v>
      </c>
      <c r="Q48">
        <f>SAM!R48/1000</f>
        <v>0</v>
      </c>
      <c r="R48">
        <f>SAM!S48/1000</f>
        <v>0</v>
      </c>
      <c r="S48">
        <f>SAM!T48/1000</f>
        <v>0</v>
      </c>
      <c r="T48">
        <f>SAM!U48/1000</f>
        <v>0</v>
      </c>
      <c r="U48">
        <f>SAM!V48/1000</f>
        <v>0</v>
      </c>
      <c r="V48">
        <f>SAM!W48/1000</f>
        <v>0</v>
      </c>
      <c r="W48">
        <f>SAM!X48/1000</f>
        <v>0</v>
      </c>
      <c r="X48">
        <f>SAM!Y48/1000</f>
        <v>0</v>
      </c>
      <c r="Y48">
        <f>SAM!Z48/1000</f>
        <v>0</v>
      </c>
      <c r="Z48">
        <f>SAM!AA48/1000</f>
        <v>0</v>
      </c>
      <c r="AA48">
        <f>SAM!AB48/1000</f>
        <v>0</v>
      </c>
      <c r="AB48">
        <f>SAM!AC48/1000</f>
        <v>0</v>
      </c>
      <c r="AC48">
        <f>SAM!AD48/1000</f>
        <v>0</v>
      </c>
      <c r="AD48">
        <f>SAM!AE48/1000</f>
        <v>0</v>
      </c>
      <c r="AE48">
        <f>SAM!AF48/1000</f>
        <v>0</v>
      </c>
      <c r="AF48">
        <f>SAM!AG48/1000</f>
        <v>0</v>
      </c>
      <c r="AG48">
        <f>SAM!AH48/1000</f>
        <v>0</v>
      </c>
      <c r="AH48">
        <f>SAM!AI48/1000</f>
        <v>0</v>
      </c>
      <c r="AI48">
        <f>SAM!AJ48/1000</f>
        <v>0</v>
      </c>
      <c r="AJ48">
        <f>SAM!AK48/1000</f>
        <v>0</v>
      </c>
      <c r="AK48">
        <f>SAM!AL48/1000</f>
        <v>0</v>
      </c>
      <c r="AL48">
        <f>SAM!AM48/1000</f>
        <v>0</v>
      </c>
      <c r="AM48">
        <f>SAM!AN48/1000</f>
        <v>0</v>
      </c>
      <c r="AN48">
        <f>SAM!AO48/1000</f>
        <v>0</v>
      </c>
      <c r="AO48">
        <f>SAM!AP48/1000</f>
        <v>0</v>
      </c>
      <c r="AP48">
        <f>SAM!AQ48/1000</f>
        <v>0</v>
      </c>
      <c r="AQ48">
        <f>SAM!AR48/1000</f>
        <v>0</v>
      </c>
      <c r="AR48" t="e">
        <f>SAM!#REF!/1000</f>
        <v>#REF!</v>
      </c>
      <c r="AS48">
        <f>SAM!AU48/1000</f>
        <v>0</v>
      </c>
      <c r="AT48">
        <f>SAM!AV48/1000</f>
        <v>0</v>
      </c>
      <c r="AU48">
        <f>SAM!AW48/1000</f>
        <v>0</v>
      </c>
      <c r="AV48">
        <f>SAM!AX48/1000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workbookViewId="0">
      <selection activeCell="J56" sqref="J56"/>
    </sheetView>
  </sheetViews>
  <sheetFormatPr defaultRowHeight="14.4"/>
  <cols>
    <col min="2" max="2" width="10" bestFit="1" customWidth="1"/>
    <col min="3" max="3" width="12" bestFit="1" customWidth="1"/>
    <col min="4" max="4" width="10" bestFit="1" customWidth="1"/>
    <col min="22" max="22" width="31.5546875" bestFit="1" customWidth="1"/>
    <col min="25" max="26" width="12" bestFit="1" customWidth="1"/>
    <col min="27" max="27" width="10" bestFit="1" customWidth="1"/>
  </cols>
  <sheetData>
    <row r="1" spans="1:27" ht="15.6">
      <c r="A1" s="43" t="s">
        <v>333</v>
      </c>
      <c r="V1" s="12" t="s">
        <v>453</v>
      </c>
      <c r="Y1" s="12" t="s">
        <v>454</v>
      </c>
    </row>
    <row r="2" spans="1:27">
      <c r="B2" t="s">
        <v>313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 t="s">
        <v>314</v>
      </c>
      <c r="V2" t="s">
        <v>279</v>
      </c>
      <c r="W2" t="s">
        <v>326</v>
      </c>
      <c r="Y2" t="s">
        <v>279</v>
      </c>
      <c r="Z2">
        <f>SUM(LandKAP!F14:F24)</f>
        <v>32.667486035227576</v>
      </c>
      <c r="AA2">
        <f>Z2/$Z$6</f>
        <v>0.18731235278269831</v>
      </c>
    </row>
    <row r="3" spans="1:27">
      <c r="A3" t="s">
        <v>315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287</v>
      </c>
      <c r="W3" t="s">
        <v>326</v>
      </c>
      <c r="Y3" t="s">
        <v>287</v>
      </c>
      <c r="Z3">
        <f>SUM(LandKAP!F45:F46)</f>
        <v>11.01851802585141</v>
      </c>
      <c r="AA3">
        <f t="shared" ref="AA3:AA5" si="0">Z3/$Z$6</f>
        <v>6.3179166385045699E-2</v>
      </c>
    </row>
    <row r="4" spans="1:27">
      <c r="A4" t="s">
        <v>316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t="s">
        <v>452</v>
      </c>
      <c r="W4" t="s">
        <v>326</v>
      </c>
      <c r="Y4" s="12" t="s">
        <v>289</v>
      </c>
      <c r="Z4">
        <f>LandKAP!F47</f>
        <v>51.763542444005203</v>
      </c>
      <c r="AA4">
        <f t="shared" si="0"/>
        <v>0.2968073794566829</v>
      </c>
    </row>
    <row r="5" spans="1:27">
      <c r="A5" t="s">
        <v>317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12" t="s">
        <v>455</v>
      </c>
      <c r="Z5">
        <f>LandKAP!F48</f>
        <v>78.951583745653906</v>
      </c>
      <c r="AA5">
        <f t="shared" si="0"/>
        <v>0.45270110137557301</v>
      </c>
    </row>
    <row r="6" spans="1:27">
      <c r="A6" t="s">
        <v>318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Z6">
        <f>SUM(Z2:Z5)</f>
        <v>174.40113025073811</v>
      </c>
    </row>
    <row r="7" spans="1:27">
      <c r="A7" t="s">
        <v>319</v>
      </c>
      <c r="B7">
        <v>5</v>
      </c>
      <c r="C7">
        <v>0</v>
      </c>
      <c r="D7">
        <v>0</v>
      </c>
      <c r="E7">
        <v>0</v>
      </c>
      <c r="F7">
        <v>0</v>
      </c>
      <c r="G7">
        <v>0.50209793331250274</v>
      </c>
      <c r="H7">
        <v>9.1439825560948168E-4</v>
      </c>
      <c r="I7">
        <v>9.1439825560948168E-4</v>
      </c>
      <c r="J7">
        <v>9.1439825560948168E-4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7">
      <c r="A8" t="s">
        <v>320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</v>
      </c>
    </row>
    <row r="9" spans="1:27">
      <c r="A9" t="s">
        <v>321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7">
      <c r="A10" t="s">
        <v>322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7">
      <c r="A11" t="s">
        <v>323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7">
      <c r="A12" t="s">
        <v>304</v>
      </c>
      <c r="B12">
        <v>10</v>
      </c>
      <c r="C12">
        <v>8.6698822759973856E-2</v>
      </c>
      <c r="D12">
        <v>8.6698822759973856E-2</v>
      </c>
      <c r="E12">
        <v>0.13020195838433293</v>
      </c>
      <c r="F12">
        <v>0.35112142304717708</v>
      </c>
      <c r="G12">
        <v>7.1664509217515507E-2</v>
      </c>
      <c r="H12">
        <v>0.41830203277766065</v>
      </c>
      <c r="I12">
        <v>0.41830203277766054</v>
      </c>
      <c r="J12">
        <v>0.41830203277766054</v>
      </c>
      <c r="K12">
        <v>0.64558921070086228</v>
      </c>
      <c r="L12">
        <v>2.6894440192053441E-2</v>
      </c>
      <c r="M12">
        <v>0.13949298510132632</v>
      </c>
      <c r="N12">
        <v>0.14709281328999638</v>
      </c>
      <c r="O12">
        <v>0.13779599271402551</v>
      </c>
      <c r="P12">
        <v>0.54046983682575789</v>
      </c>
      <c r="Q12">
        <v>0.1422486000095726</v>
      </c>
      <c r="R12">
        <v>0.53684045535011804</v>
      </c>
      <c r="S12">
        <v>0.28524875483715678</v>
      </c>
      <c r="T12">
        <v>0.5</v>
      </c>
    </row>
    <row r="13" spans="1:27">
      <c r="A13" t="s">
        <v>291</v>
      </c>
      <c r="B13">
        <v>11</v>
      </c>
      <c r="C13">
        <v>1.6350555918901246E-4</v>
      </c>
      <c r="D13">
        <v>1.6350555918901246E-4</v>
      </c>
      <c r="E13">
        <v>7.6499388004895954E-5</v>
      </c>
      <c r="F13">
        <v>1.1600928074245939E-3</v>
      </c>
      <c r="G13">
        <v>2.6782127393652636E-4</v>
      </c>
      <c r="H13">
        <v>4.8064523692293276E-2</v>
      </c>
      <c r="I13">
        <v>4.8064523692293262E-2</v>
      </c>
      <c r="J13">
        <v>4.8064523692293262E-2</v>
      </c>
      <c r="K13">
        <v>1.4739479696366717E-4</v>
      </c>
      <c r="L13">
        <v>9.3939183077030133E-4</v>
      </c>
      <c r="M13">
        <v>2.0699701004318828E-3</v>
      </c>
      <c r="N13">
        <v>1.119537739256049E-3</v>
      </c>
      <c r="O13">
        <v>4.280510018214936E-3</v>
      </c>
      <c r="P13">
        <v>5.555798591364452E-3</v>
      </c>
      <c r="Q13">
        <v>6.3418369788924517E-4</v>
      </c>
      <c r="R13">
        <v>2.7691040519276159E-3</v>
      </c>
      <c r="S13">
        <v>3.1291081116110279E-3</v>
      </c>
      <c r="T13">
        <v>0</v>
      </c>
    </row>
    <row r="14" spans="1:27">
      <c r="A14" t="s">
        <v>324</v>
      </c>
      <c r="B14">
        <v>12</v>
      </c>
      <c r="C14">
        <v>0.71742151733158943</v>
      </c>
      <c r="D14">
        <v>0.71742151733158943</v>
      </c>
      <c r="E14">
        <v>0.69637392900856798</v>
      </c>
      <c r="F14">
        <v>0.52242846094354212</v>
      </c>
      <c r="G14">
        <v>0.30841851537740483</v>
      </c>
      <c r="H14">
        <v>0.39677850460716052</v>
      </c>
      <c r="I14">
        <v>0.39677850460716041</v>
      </c>
      <c r="J14">
        <v>0.39677850460716041</v>
      </c>
      <c r="K14">
        <v>0.24784435109440636</v>
      </c>
      <c r="L14">
        <v>0.75695845800570594</v>
      </c>
      <c r="M14">
        <v>0.60795788505277149</v>
      </c>
      <c r="N14">
        <v>0.57732936078006503</v>
      </c>
      <c r="O14">
        <v>0.60018214936247727</v>
      </c>
      <c r="P14">
        <v>0.33232424865479682</v>
      </c>
      <c r="Q14">
        <v>0.69147561384195666</v>
      </c>
      <c r="R14">
        <v>0.29110628933910304</v>
      </c>
      <c r="S14">
        <v>0.50384195226721473</v>
      </c>
      <c r="T14">
        <v>0</v>
      </c>
    </row>
    <row r="15" spans="1:27">
      <c r="A15" t="s">
        <v>325</v>
      </c>
      <c r="B15">
        <v>13</v>
      </c>
      <c r="C15">
        <v>0.11523054283845653</v>
      </c>
      <c r="D15">
        <v>0.11523054283845653</v>
      </c>
      <c r="E15">
        <v>7.5810893512851904E-2</v>
      </c>
      <c r="F15">
        <v>8.1206496519721574E-2</v>
      </c>
      <c r="G15">
        <v>4.6221488193545504E-2</v>
      </c>
      <c r="H15">
        <v>3.6786945206442996E-2</v>
      </c>
      <c r="I15">
        <v>3.6786945206442989E-2</v>
      </c>
      <c r="J15">
        <v>3.6786945206442989E-2</v>
      </c>
      <c r="K15">
        <v>3.6701304443953128E-2</v>
      </c>
      <c r="L15">
        <v>7.8526198594391486E-2</v>
      </c>
      <c r="M15">
        <v>8.4127673711379719E-2</v>
      </c>
      <c r="N15">
        <v>6.6124954857349219E-2</v>
      </c>
      <c r="O15">
        <v>7.364905889496054E-2</v>
      </c>
      <c r="P15">
        <v>4.497134607813115E-2</v>
      </c>
      <c r="Q15">
        <v>6.4124347867706891E-2</v>
      </c>
      <c r="R15">
        <v>3.479820269472856E-2</v>
      </c>
      <c r="S15">
        <v>0.10037216019552297</v>
      </c>
      <c r="T15">
        <v>0</v>
      </c>
    </row>
    <row r="16" spans="1:27">
      <c r="A16" s="19" t="s">
        <v>326</v>
      </c>
      <c r="B16">
        <v>14</v>
      </c>
      <c r="C16">
        <v>3.6829627207325057E-2</v>
      </c>
      <c r="D16">
        <v>3.6829627207325057E-2</v>
      </c>
      <c r="E16">
        <v>4.3298653610771114E-2</v>
      </c>
      <c r="F16">
        <v>7.3472544470224287E-3</v>
      </c>
      <c r="G16">
        <v>7.0749453198232382E-3</v>
      </c>
      <c r="H16">
        <v>1.0503856884949944E-2</v>
      </c>
      <c r="I16">
        <v>1.0503856884949944E-2</v>
      </c>
      <c r="J16">
        <v>1.0503856884949944E-2</v>
      </c>
      <c r="K16">
        <v>6.6327658633650232E-3</v>
      </c>
      <c r="L16">
        <v>3.6462319949899104E-2</v>
      </c>
      <c r="M16">
        <v>1.6176433007078786E-2</v>
      </c>
      <c r="N16">
        <v>1.4572047670639221E-2</v>
      </c>
      <c r="O16">
        <v>3.302975106253795E-2</v>
      </c>
      <c r="P16">
        <v>2.4244280152237632E-2</v>
      </c>
      <c r="Q16">
        <v>1.3174268893887906E-2</v>
      </c>
      <c r="R16">
        <v>2.7395997246262786E-2</v>
      </c>
      <c r="S16">
        <v>1.3275565183580515E-2</v>
      </c>
      <c r="T16">
        <v>0</v>
      </c>
    </row>
    <row r="17" spans="1:20">
      <c r="A17" t="s">
        <v>292</v>
      </c>
      <c r="B17">
        <v>15</v>
      </c>
      <c r="C17">
        <v>2.1500981033355137E-2</v>
      </c>
      <c r="D17">
        <v>2.1500981033355137E-2</v>
      </c>
      <c r="E17">
        <v>1.7747858017135864E-2</v>
      </c>
      <c r="F17">
        <v>1.5467904098994586E-2</v>
      </c>
      <c r="G17">
        <v>8.6149176449582653E-3</v>
      </c>
      <c r="H17">
        <v>9.0267520105038572E-3</v>
      </c>
      <c r="I17">
        <v>9.0267520105038572E-3</v>
      </c>
      <c r="J17">
        <v>9.0267520105038572E-3</v>
      </c>
      <c r="K17">
        <v>3.758567322573513E-3</v>
      </c>
      <c r="L17">
        <v>2.1745181267831048E-2</v>
      </c>
      <c r="M17">
        <v>9.6215276890444911E-3</v>
      </c>
      <c r="N17">
        <v>8.5409895269050202E-3</v>
      </c>
      <c r="O17">
        <v>1.3904068002428658E-2</v>
      </c>
      <c r="P17">
        <v>1.0210420403342229E-2</v>
      </c>
      <c r="Q17">
        <v>9.5486526587852394E-3</v>
      </c>
      <c r="R17">
        <v>4.8344069630212429E-3</v>
      </c>
      <c r="S17">
        <v>5.2028365642763242E-3</v>
      </c>
      <c r="T17">
        <v>0</v>
      </c>
    </row>
    <row r="18" spans="1:20">
      <c r="A18" t="s">
        <v>268</v>
      </c>
      <c r="B18">
        <v>16</v>
      </c>
      <c r="C18">
        <v>2.215500327011119E-2</v>
      </c>
      <c r="D18">
        <v>2.215500327011119E-2</v>
      </c>
      <c r="E18">
        <v>3.6490208078335376E-2</v>
      </c>
      <c r="F18">
        <v>2.1268368136117557E-2</v>
      </c>
      <c r="G18">
        <v>5.5639869660313354E-2</v>
      </c>
      <c r="H18">
        <v>7.9622986565379486E-2</v>
      </c>
      <c r="I18">
        <v>7.9622986565379472E-2</v>
      </c>
      <c r="J18">
        <v>7.9622986565379472E-2</v>
      </c>
      <c r="K18">
        <v>5.932640577787604E-2</v>
      </c>
      <c r="L18">
        <v>7.8474010159348684E-2</v>
      </c>
      <c r="M18">
        <v>0.14055352533796733</v>
      </c>
      <c r="N18">
        <v>0.18522029613578908</v>
      </c>
      <c r="O18">
        <v>0.13715846994535519</v>
      </c>
      <c r="P18">
        <v>4.222406929436983E-2</v>
      </c>
      <c r="Q18">
        <v>7.8794333030201502E-2</v>
      </c>
      <c r="R18">
        <v>0.1022555443548387</v>
      </c>
      <c r="S18">
        <v>8.892962284063767E-2</v>
      </c>
      <c r="T18">
        <v>0</v>
      </c>
    </row>
    <row r="19" spans="1:20">
      <c r="A19" t="s">
        <v>269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246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2" spans="1:20">
      <c r="C22" t="s">
        <v>315</v>
      </c>
      <c r="D22" t="s">
        <v>316</v>
      </c>
      <c r="E22" t="s">
        <v>317</v>
      </c>
      <c r="F22" t="s">
        <v>318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304</v>
      </c>
      <c r="M22" t="s">
        <v>291</v>
      </c>
      <c r="N22" t="s">
        <v>324</v>
      </c>
      <c r="O22" t="s">
        <v>325</v>
      </c>
      <c r="P22" t="s">
        <v>326</v>
      </c>
      <c r="Q22" t="s">
        <v>292</v>
      </c>
      <c r="R22" t="s">
        <v>268</v>
      </c>
      <c r="S22" t="s">
        <v>269</v>
      </c>
      <c r="T22" t="s">
        <v>246</v>
      </c>
    </row>
    <row r="23" spans="1:20">
      <c r="B23" s="16" t="s">
        <v>271</v>
      </c>
      <c r="C23">
        <f>SUM(C3:C7)</f>
        <v>0</v>
      </c>
      <c r="D23">
        <f t="shared" ref="D23:S23" si="1">SUM(D3:D7)</f>
        <v>0</v>
      </c>
      <c r="E23">
        <f t="shared" si="1"/>
        <v>0</v>
      </c>
      <c r="F23">
        <f t="shared" si="1"/>
        <v>0</v>
      </c>
      <c r="G23">
        <f t="shared" si="1"/>
        <v>0.50209793331250274</v>
      </c>
      <c r="H23">
        <f t="shared" si="1"/>
        <v>9.1439825560948168E-4</v>
      </c>
      <c r="I23">
        <f t="shared" si="1"/>
        <v>9.1439825560948168E-4</v>
      </c>
      <c r="J23">
        <f t="shared" si="1"/>
        <v>9.1439825560948168E-4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1"/>
        <v>0</v>
      </c>
      <c r="S23">
        <f t="shared" si="1"/>
        <v>0</v>
      </c>
      <c r="T23">
        <v>0</v>
      </c>
    </row>
    <row r="24" spans="1:20">
      <c r="B24" s="16" t="s">
        <v>290</v>
      </c>
      <c r="C24">
        <f>SUM(C8:C11)</f>
        <v>0</v>
      </c>
      <c r="D24">
        <f t="shared" ref="D24:S24" si="2">SUM(D8:D11)</f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v>0.5</v>
      </c>
    </row>
    <row r="25" spans="1:20">
      <c r="B25" s="16" t="s">
        <v>311</v>
      </c>
      <c r="C25">
        <f>C12</f>
        <v>8.6698822759973856E-2</v>
      </c>
      <c r="D25">
        <f t="shared" ref="D25:S25" si="3">D12</f>
        <v>8.6698822759973856E-2</v>
      </c>
      <c r="E25">
        <f t="shared" si="3"/>
        <v>0.13020195838433293</v>
      </c>
      <c r="F25">
        <f t="shared" si="3"/>
        <v>0.35112142304717708</v>
      </c>
      <c r="G25">
        <f t="shared" si="3"/>
        <v>7.1664509217515507E-2</v>
      </c>
      <c r="H25">
        <f t="shared" si="3"/>
        <v>0.41830203277766065</v>
      </c>
      <c r="I25">
        <f t="shared" si="3"/>
        <v>0.41830203277766054</v>
      </c>
      <c r="J25">
        <f t="shared" si="3"/>
        <v>0.41830203277766054</v>
      </c>
      <c r="K25">
        <f t="shared" si="3"/>
        <v>0.64558921070086228</v>
      </c>
      <c r="L25">
        <f t="shared" si="3"/>
        <v>2.6894440192053441E-2</v>
      </c>
      <c r="M25">
        <f t="shared" si="3"/>
        <v>0.13949298510132632</v>
      </c>
      <c r="N25">
        <f t="shared" si="3"/>
        <v>0.14709281328999638</v>
      </c>
      <c r="O25">
        <f t="shared" si="3"/>
        <v>0.13779599271402551</v>
      </c>
      <c r="P25">
        <f t="shared" si="3"/>
        <v>0.54046983682575789</v>
      </c>
      <c r="Q25">
        <f t="shared" si="3"/>
        <v>0.1422486000095726</v>
      </c>
      <c r="R25">
        <f t="shared" si="3"/>
        <v>0.53684045535011804</v>
      </c>
      <c r="S25">
        <f t="shared" si="3"/>
        <v>0.28524875483715678</v>
      </c>
      <c r="T25">
        <v>0.5</v>
      </c>
    </row>
    <row r="26" spans="1:20">
      <c r="B26" s="16" t="s">
        <v>296</v>
      </c>
      <c r="C26">
        <f>C13+C14+C17</f>
        <v>0.73908600392413359</v>
      </c>
      <c r="D26">
        <f t="shared" ref="D26:S26" si="4">D13+D14+D17</f>
        <v>0.73908600392413359</v>
      </c>
      <c r="E26">
        <f t="shared" si="4"/>
        <v>0.71419828641370875</v>
      </c>
      <c r="F26">
        <f t="shared" si="4"/>
        <v>0.53905645784996126</v>
      </c>
      <c r="G26">
        <f t="shared" si="4"/>
        <v>0.31730125429629963</v>
      </c>
      <c r="H26">
        <f t="shared" si="4"/>
        <v>0.45386978030995762</v>
      </c>
      <c r="I26">
        <f t="shared" si="4"/>
        <v>0.4538697803099575</v>
      </c>
      <c r="J26">
        <f t="shared" si="4"/>
        <v>0.4538697803099575</v>
      </c>
      <c r="K26">
        <f t="shared" si="4"/>
        <v>0.25175031321394353</v>
      </c>
      <c r="L26">
        <f t="shared" si="4"/>
        <v>0.77964303110430733</v>
      </c>
      <c r="M26">
        <f t="shared" si="4"/>
        <v>0.6196493828422478</v>
      </c>
      <c r="N26">
        <f t="shared" si="4"/>
        <v>0.58698988804622609</v>
      </c>
      <c r="O26">
        <f t="shared" si="4"/>
        <v>0.61836672738312082</v>
      </c>
      <c r="P26">
        <f t="shared" si="4"/>
        <v>0.34809046764950352</v>
      </c>
      <c r="Q26">
        <f t="shared" si="4"/>
        <v>0.70165845019863116</v>
      </c>
      <c r="R26">
        <f t="shared" si="4"/>
        <v>0.29870980035405187</v>
      </c>
      <c r="S26">
        <f t="shared" si="4"/>
        <v>0.51217389694310211</v>
      </c>
      <c r="T26">
        <v>0</v>
      </c>
    </row>
    <row r="27" spans="1:20">
      <c r="B27" s="146" t="s">
        <v>295</v>
      </c>
      <c r="C27">
        <f>C15+C16*$AA$2</f>
        <v>0.12212918696277027</v>
      </c>
      <c r="D27">
        <f t="shared" ref="D27:S27" si="5">D15+D16*$AA$2</f>
        <v>0.12212918696277027</v>
      </c>
      <c r="E27">
        <f t="shared" si="5"/>
        <v>8.392126619300852E-2</v>
      </c>
      <c r="F27">
        <f t="shared" si="5"/>
        <v>8.2582728036686495E-2</v>
      </c>
      <c r="G27">
        <f t="shared" si="5"/>
        <v>4.7546712847210536E-2</v>
      </c>
      <c r="H27">
        <f t="shared" si="5"/>
        <v>3.8754447352855714E-2</v>
      </c>
      <c r="I27">
        <f t="shared" si="5"/>
        <v>3.8754447352855707E-2</v>
      </c>
      <c r="J27">
        <f t="shared" si="5"/>
        <v>3.8754447352855707E-2</v>
      </c>
      <c r="K27">
        <f t="shared" si="5"/>
        <v>3.7943703423276798E-2</v>
      </c>
      <c r="L27">
        <f t="shared" si="5"/>
        <v>8.5356041532122603E-2</v>
      </c>
      <c r="M27">
        <f t="shared" si="5"/>
        <v>8.7157719437567352E-2</v>
      </c>
      <c r="N27">
        <f t="shared" si="5"/>
        <v>6.8854479391398285E-2</v>
      </c>
      <c r="O27">
        <f t="shared" si="5"/>
        <v>7.9835939278311355E-2</v>
      </c>
      <c r="P27">
        <f t="shared" si="5"/>
        <v>4.9512599234969659E-2</v>
      </c>
      <c r="Q27">
        <f t="shared" si="5"/>
        <v>6.6592051170412947E-2</v>
      </c>
      <c r="R27">
        <f t="shared" si="5"/>
        <v>3.9929811395754369E-2</v>
      </c>
      <c r="S27">
        <f t="shared" si="5"/>
        <v>0.10285883754457951</v>
      </c>
      <c r="T27">
        <v>0</v>
      </c>
    </row>
    <row r="28" spans="1:20">
      <c r="B28" s="158" t="s">
        <v>293</v>
      </c>
      <c r="C28">
        <f>C18+C16*$AA$3</f>
        <v>2.4481868415341987E-2</v>
      </c>
      <c r="D28">
        <f t="shared" ref="D28:S28" si="6">D18+D16*$AA$3</f>
        <v>2.4481868415341987E-2</v>
      </c>
      <c r="E28">
        <f t="shared" si="6"/>
        <v>3.9225780919058748E-2</v>
      </c>
      <c r="F28">
        <f t="shared" si="6"/>
        <v>2.1732561547299255E-2</v>
      </c>
      <c r="G28">
        <f t="shared" si="6"/>
        <v>5.6086858807839569E-2</v>
      </c>
      <c r="H28">
        <f t="shared" si="6"/>
        <v>8.0286611487198442E-2</v>
      </c>
      <c r="I28">
        <f t="shared" si="6"/>
        <v>8.0286611487198428E-2</v>
      </c>
      <c r="J28">
        <f t="shared" si="6"/>
        <v>8.0286611487198428E-2</v>
      </c>
      <c r="K28">
        <f t="shared" si="6"/>
        <v>5.9745458395950628E-2</v>
      </c>
      <c r="L28">
        <f t="shared" si="6"/>
        <v>8.0777669138248132E-2</v>
      </c>
      <c r="M28">
        <f t="shared" si="6"/>
        <v>0.14157553889043811</v>
      </c>
      <c r="N28">
        <f t="shared" si="6"/>
        <v>0.18614094596014322</v>
      </c>
      <c r="O28">
        <f t="shared" si="6"/>
        <v>0.13924526208339191</v>
      </c>
      <c r="P28">
        <f t="shared" si="6"/>
        <v>4.3755802703993714E-2</v>
      </c>
      <c r="Q28">
        <f t="shared" si="6"/>
        <v>7.9626672356649775E-2</v>
      </c>
      <c r="R28">
        <f t="shared" si="6"/>
        <v>0.1039864006231446</v>
      </c>
      <c r="S28">
        <f t="shared" si="6"/>
        <v>8.9768361982226624E-2</v>
      </c>
      <c r="T28">
        <v>0</v>
      </c>
    </row>
    <row r="29" spans="1:20">
      <c r="B29" s="16" t="s">
        <v>269</v>
      </c>
      <c r="C29">
        <f>C19</f>
        <v>0</v>
      </c>
      <c r="D29">
        <f t="shared" ref="D29:S29" si="7">D19</f>
        <v>0</v>
      </c>
      <c r="E29">
        <f t="shared" si="7"/>
        <v>0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0</v>
      </c>
      <c r="J29">
        <f t="shared" si="7"/>
        <v>0</v>
      </c>
      <c r="K29">
        <f t="shared" si="7"/>
        <v>0</v>
      </c>
      <c r="L29">
        <f t="shared" si="7"/>
        <v>0</v>
      </c>
      <c r="M29">
        <f t="shared" si="7"/>
        <v>0</v>
      </c>
      <c r="N29">
        <f t="shared" si="7"/>
        <v>0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ref="T29" si="8">T19</f>
        <v>0</v>
      </c>
    </row>
    <row r="30" spans="1:20">
      <c r="B30" s="146" t="s">
        <v>294</v>
      </c>
      <c r="C30">
        <f>C16*$AA$4</f>
        <v>1.09313051377727E-2</v>
      </c>
      <c r="D30">
        <f t="shared" ref="D30:S30" si="9">D16*$AA$4</f>
        <v>1.09313051377727E-2</v>
      </c>
      <c r="E30">
        <f t="shared" si="9"/>
        <v>1.2851359912215615E-2</v>
      </c>
      <c r="F30">
        <f t="shared" si="9"/>
        <v>2.1807193386221869E-3</v>
      </c>
      <c r="G30">
        <f t="shared" si="9"/>
        <v>2.0998959801760584E-3</v>
      </c>
      <c r="H30">
        <f t="shared" si="9"/>
        <v>3.117622236210029E-3</v>
      </c>
      <c r="I30">
        <f t="shared" si="9"/>
        <v>3.117622236210029E-3</v>
      </c>
      <c r="J30">
        <f t="shared" si="9"/>
        <v>3.117622236210029E-3</v>
      </c>
      <c r="K30">
        <f t="shared" si="9"/>
        <v>1.9686538544551155E-3</v>
      </c>
      <c r="L30">
        <f t="shared" si="9"/>
        <v>1.0822285633240683E-2</v>
      </c>
      <c r="M30">
        <f t="shared" si="9"/>
        <v>4.8012846897876431E-3</v>
      </c>
      <c r="N30">
        <f t="shared" si="9"/>
        <v>4.325091282440287E-3</v>
      </c>
      <c r="O30">
        <f t="shared" si="9"/>
        <v>9.8034738569784761E-3</v>
      </c>
      <c r="P30">
        <f t="shared" si="9"/>
        <v>7.1958812587993208E-3</v>
      </c>
      <c r="Q30">
        <f t="shared" si="9"/>
        <v>3.910220226652562E-3</v>
      </c>
      <c r="R30">
        <f t="shared" si="9"/>
        <v>8.1313341502657586E-3</v>
      </c>
      <c r="S30">
        <f t="shared" si="9"/>
        <v>3.9402857129449097E-3</v>
      </c>
      <c r="T30">
        <v>0</v>
      </c>
    </row>
    <row r="31" spans="1:20">
      <c r="B31" s="146" t="s">
        <v>312</v>
      </c>
      <c r="C31">
        <f>C16*$AA$5</f>
        <v>1.6672812800007823E-2</v>
      </c>
      <c r="D31">
        <f t="shared" ref="D31:S31" si="10">D16*$AA$5</f>
        <v>1.6672812800007823E-2</v>
      </c>
      <c r="E31">
        <f t="shared" si="10"/>
        <v>1.9601348177675514E-2</v>
      </c>
      <c r="F31">
        <f t="shared" si="10"/>
        <v>3.3261101802536303E-3</v>
      </c>
      <c r="G31">
        <f t="shared" si="10"/>
        <v>3.2028355384559355E-3</v>
      </c>
      <c r="H31">
        <f t="shared" si="10"/>
        <v>4.755107580508235E-3</v>
      </c>
      <c r="I31">
        <f t="shared" si="10"/>
        <v>4.755107580508235E-3</v>
      </c>
      <c r="J31">
        <f t="shared" si="10"/>
        <v>4.755107580508235E-3</v>
      </c>
      <c r="K31">
        <f t="shared" si="10"/>
        <v>3.0026604115116493E-3</v>
      </c>
      <c r="L31">
        <f t="shared" si="10"/>
        <v>1.6506532400027852E-2</v>
      </c>
      <c r="M31">
        <f t="shared" si="10"/>
        <v>7.323089038632739E-3</v>
      </c>
      <c r="N31">
        <f t="shared" si="10"/>
        <v>6.5967820297957282E-3</v>
      </c>
      <c r="O31">
        <f t="shared" si="10"/>
        <v>1.4952604684171932E-2</v>
      </c>
      <c r="P31">
        <f t="shared" si="10"/>
        <v>1.0975412326975921E-2</v>
      </c>
      <c r="Q31">
        <f t="shared" si="10"/>
        <v>5.9640060380810071E-3</v>
      </c>
      <c r="R31">
        <f t="shared" si="10"/>
        <v>1.2402198126665329E-2</v>
      </c>
      <c r="S31">
        <f t="shared" si="10"/>
        <v>6.0098629799901103E-3</v>
      </c>
      <c r="T31">
        <v>0</v>
      </c>
    </row>
    <row r="32" spans="1:20">
      <c r="B32" s="16" t="s">
        <v>246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4" spans="2:12">
      <c r="C34" s="16" t="s">
        <v>271</v>
      </c>
      <c r="D34" s="16" t="s">
        <v>290</v>
      </c>
      <c r="E34" s="16" t="s">
        <v>311</v>
      </c>
      <c r="F34" s="16" t="s">
        <v>296</v>
      </c>
      <c r="G34" s="146" t="s">
        <v>295</v>
      </c>
      <c r="H34" s="158" t="s">
        <v>293</v>
      </c>
      <c r="I34" s="16" t="s">
        <v>269</v>
      </c>
      <c r="J34" s="146" t="s">
        <v>294</v>
      </c>
      <c r="K34" s="146" t="s">
        <v>312</v>
      </c>
      <c r="L34" s="16" t="s">
        <v>246</v>
      </c>
    </row>
    <row r="35" spans="2:12">
      <c r="B35" s="16" t="s">
        <v>271</v>
      </c>
      <c r="C35">
        <f>SUM(C23:G23)</f>
        <v>0.50209793331250274</v>
      </c>
      <c r="D35">
        <f>SUM(H23:K23)</f>
        <v>2.7431947668284449E-3</v>
      </c>
      <c r="E35">
        <f>L23</f>
        <v>0</v>
      </c>
      <c r="F35">
        <f>M23+N23+Q23</f>
        <v>0</v>
      </c>
      <c r="G35">
        <f>O23+P23*$AA$2</f>
        <v>0</v>
      </c>
      <c r="H35">
        <f>R23+P23*$AA$3</f>
        <v>0</v>
      </c>
      <c r="I35">
        <f>S23</f>
        <v>0</v>
      </c>
      <c r="J35">
        <f>P23*$AA$4</f>
        <v>0</v>
      </c>
      <c r="K35">
        <f>P23*$AA$5</f>
        <v>0</v>
      </c>
      <c r="L35">
        <f>T23</f>
        <v>0</v>
      </c>
    </row>
    <row r="36" spans="2:12">
      <c r="B36" s="16" t="s">
        <v>290</v>
      </c>
      <c r="C36">
        <f t="shared" ref="C36:C44" si="11">SUM(C24:G24)</f>
        <v>0</v>
      </c>
      <c r="D36">
        <f t="shared" ref="D36:D44" si="12">SUM(H24:K24)</f>
        <v>0</v>
      </c>
      <c r="E36">
        <f t="shared" ref="E36:E44" si="13">L24</f>
        <v>0</v>
      </c>
      <c r="F36">
        <f t="shared" ref="F36:F44" si="14">M24+N24+Q24</f>
        <v>0</v>
      </c>
      <c r="G36">
        <f t="shared" ref="G36:G44" si="15">O24+P24*$AA$2</f>
        <v>0</v>
      </c>
      <c r="H36">
        <f t="shared" ref="H36:H44" si="16">R24+P24*$AA$3</f>
        <v>0</v>
      </c>
      <c r="I36">
        <f t="shared" ref="I36:I44" si="17">S24</f>
        <v>0</v>
      </c>
      <c r="J36">
        <f t="shared" ref="J36:J44" si="18">P24*$AA$4</f>
        <v>0</v>
      </c>
      <c r="K36">
        <f t="shared" ref="K36:K44" si="19">P24*$AA$5</f>
        <v>0</v>
      </c>
      <c r="L36">
        <f t="shared" ref="L36:L44" si="20">T24</f>
        <v>0.5</v>
      </c>
    </row>
    <row r="37" spans="2:12">
      <c r="B37" s="16" t="s">
        <v>311</v>
      </c>
      <c r="C37">
        <f t="shared" si="11"/>
        <v>0.72638553616897328</v>
      </c>
      <c r="D37">
        <f t="shared" si="12"/>
        <v>1.9004953090338441</v>
      </c>
      <c r="E37">
        <f t="shared" si="13"/>
        <v>2.6894440192053441E-2</v>
      </c>
      <c r="F37">
        <f t="shared" si="14"/>
        <v>0.42883439840089532</v>
      </c>
      <c r="G37">
        <f t="shared" si="15"/>
        <v>0.23903266945793927</v>
      </c>
      <c r="H37">
        <f t="shared" si="16"/>
        <v>0.5709868890970311</v>
      </c>
      <c r="I37">
        <f t="shared" si="17"/>
        <v>0.28524875483715678</v>
      </c>
      <c r="J37">
        <f t="shared" si="18"/>
        <v>0.16041543594363422</v>
      </c>
      <c r="K37">
        <f t="shared" si="19"/>
        <v>0.24467129039129681</v>
      </c>
      <c r="L37">
        <f t="shared" si="20"/>
        <v>0.5</v>
      </c>
    </row>
    <row r="38" spans="2:12">
      <c r="B38" s="16" t="s">
        <v>296</v>
      </c>
      <c r="C38">
        <f t="shared" si="11"/>
        <v>3.0487280064082367</v>
      </c>
      <c r="D38">
        <f t="shared" si="12"/>
        <v>1.6133596541438162</v>
      </c>
      <c r="E38">
        <f t="shared" si="13"/>
        <v>0.77964303110430733</v>
      </c>
      <c r="F38">
        <f t="shared" si="14"/>
        <v>1.908297721087105</v>
      </c>
      <c r="G38">
        <f t="shared" si="15"/>
        <v>0.68356837185977903</v>
      </c>
      <c r="H38">
        <f t="shared" si="16"/>
        <v>0.32070186592672822</v>
      </c>
      <c r="I38">
        <f t="shared" si="17"/>
        <v>0.51217389694310211</v>
      </c>
      <c r="J38">
        <f t="shared" si="18"/>
        <v>0.10331581951690039</v>
      </c>
      <c r="K38">
        <f t="shared" si="19"/>
        <v>0.15758093808326851</v>
      </c>
      <c r="L38">
        <f t="shared" si="20"/>
        <v>0</v>
      </c>
    </row>
    <row r="39" spans="2:12">
      <c r="B39" s="146" t="s">
        <v>295</v>
      </c>
      <c r="C39">
        <f t="shared" si="11"/>
        <v>0.45830908100244605</v>
      </c>
      <c r="D39">
        <f t="shared" si="12"/>
        <v>0.15420704548184394</v>
      </c>
      <c r="E39">
        <f t="shared" si="13"/>
        <v>8.5356041532122603E-2</v>
      </c>
      <c r="F39">
        <f t="shared" si="14"/>
        <v>0.22260424999937858</v>
      </c>
      <c r="G39">
        <f t="shared" si="15"/>
        <v>8.9110260733400351E-2</v>
      </c>
      <c r="H39">
        <f t="shared" si="16"/>
        <v>4.3057976140976603E-2</v>
      </c>
      <c r="I39">
        <f t="shared" si="17"/>
        <v>0.10285883754457951</v>
      </c>
      <c r="J39">
        <f t="shared" si="18"/>
        <v>1.4695704829020308E-2</v>
      </c>
      <c r="K39">
        <f t="shared" si="19"/>
        <v>2.2414408205638118E-2</v>
      </c>
      <c r="L39">
        <f t="shared" si="20"/>
        <v>0</v>
      </c>
    </row>
    <row r="40" spans="2:12">
      <c r="B40" s="158" t="s">
        <v>293</v>
      </c>
      <c r="C40">
        <f t="shared" si="11"/>
        <v>0.16600893810488154</v>
      </c>
      <c r="D40">
        <f t="shared" si="12"/>
        <v>0.30060529285754589</v>
      </c>
      <c r="E40">
        <f t="shared" si="13"/>
        <v>8.0777669138248132E-2</v>
      </c>
      <c r="F40">
        <f t="shared" si="14"/>
        <v>0.40734315720723113</v>
      </c>
      <c r="G40">
        <f t="shared" si="15"/>
        <v>0.14744126443577252</v>
      </c>
      <c r="H40">
        <f t="shared" si="16"/>
        <v>0.10675085576249145</v>
      </c>
      <c r="I40">
        <f t="shared" si="17"/>
        <v>8.9768361982226624E-2</v>
      </c>
      <c r="J40">
        <f t="shared" si="18"/>
        <v>1.2987045136596013E-2</v>
      </c>
      <c r="K40">
        <f t="shared" si="19"/>
        <v>1.9808300075670231E-2</v>
      </c>
      <c r="L40">
        <f t="shared" si="20"/>
        <v>0</v>
      </c>
    </row>
    <row r="41" spans="2:12">
      <c r="B41" s="16" t="s">
        <v>269</v>
      </c>
      <c r="C41">
        <f t="shared" si="11"/>
        <v>0</v>
      </c>
      <c r="D41">
        <f t="shared" si="12"/>
        <v>0</v>
      </c>
      <c r="E41">
        <f t="shared" si="13"/>
        <v>0</v>
      </c>
      <c r="F41">
        <f t="shared" si="14"/>
        <v>0</v>
      </c>
      <c r="G41">
        <f t="shared" si="15"/>
        <v>0</v>
      </c>
      <c r="H41">
        <f t="shared" si="16"/>
        <v>0</v>
      </c>
      <c r="I41">
        <f t="shared" si="17"/>
        <v>0</v>
      </c>
      <c r="J41">
        <f t="shared" si="18"/>
        <v>0</v>
      </c>
      <c r="K41">
        <f t="shared" si="19"/>
        <v>0</v>
      </c>
      <c r="L41">
        <f t="shared" si="20"/>
        <v>0</v>
      </c>
    </row>
    <row r="42" spans="2:12">
      <c r="B42" s="146" t="s">
        <v>294</v>
      </c>
      <c r="C42">
        <f t="shared" si="11"/>
        <v>3.8994585506559251E-2</v>
      </c>
      <c r="D42">
        <f t="shared" si="12"/>
        <v>1.1321520563085202E-2</v>
      </c>
      <c r="E42">
        <f t="shared" si="13"/>
        <v>1.0822285633240683E-2</v>
      </c>
      <c r="F42">
        <f t="shared" si="14"/>
        <v>1.3036596198880491E-2</v>
      </c>
      <c r="G42">
        <f t="shared" si="15"/>
        <v>1.1151351305909102E-2</v>
      </c>
      <c r="H42">
        <f t="shared" si="16"/>
        <v>8.5859639296024734E-3</v>
      </c>
      <c r="I42">
        <f t="shared" si="17"/>
        <v>3.9402857129449097E-3</v>
      </c>
      <c r="J42">
        <f t="shared" si="18"/>
        <v>2.1357906593056828E-3</v>
      </c>
      <c r="K42">
        <f t="shared" si="19"/>
        <v>3.2575833712262972E-3</v>
      </c>
      <c r="L42">
        <f t="shared" si="20"/>
        <v>0</v>
      </c>
    </row>
    <row r="43" spans="2:12">
      <c r="B43" s="146" t="s">
        <v>312</v>
      </c>
      <c r="C43">
        <f t="shared" si="11"/>
        <v>5.9475919496400721E-2</v>
      </c>
      <c r="D43">
        <f t="shared" si="12"/>
        <v>1.7267983153036355E-2</v>
      </c>
      <c r="E43">
        <f t="shared" si="13"/>
        <v>1.6506532400027852E-2</v>
      </c>
      <c r="F43">
        <f t="shared" si="14"/>
        <v>1.9883877106509476E-2</v>
      </c>
      <c r="G43">
        <f t="shared" si="15"/>
        <v>1.7008434989898021E-2</v>
      </c>
      <c r="H43">
        <f t="shared" si="16"/>
        <v>1.3095615528215821E-2</v>
      </c>
      <c r="I43">
        <f t="shared" si="17"/>
        <v>6.0098629799901103E-3</v>
      </c>
      <c r="J43">
        <f t="shared" si="18"/>
        <v>3.2575833712262972E-3</v>
      </c>
      <c r="K43">
        <f t="shared" si="19"/>
        <v>4.9685812484730396E-3</v>
      </c>
      <c r="L43">
        <f t="shared" si="20"/>
        <v>0</v>
      </c>
    </row>
    <row r="44" spans="2:12">
      <c r="B44" s="16" t="s">
        <v>246</v>
      </c>
      <c r="C44">
        <f t="shared" si="11"/>
        <v>0</v>
      </c>
      <c r="D44">
        <f t="shared" si="12"/>
        <v>0</v>
      </c>
      <c r="E44">
        <f t="shared" si="13"/>
        <v>0</v>
      </c>
      <c r="F44">
        <f t="shared" si="14"/>
        <v>0</v>
      </c>
      <c r="G44">
        <f t="shared" si="15"/>
        <v>0</v>
      </c>
      <c r="H44">
        <f t="shared" si="16"/>
        <v>0</v>
      </c>
      <c r="I44">
        <f t="shared" si="17"/>
        <v>0</v>
      </c>
      <c r="J44">
        <f t="shared" si="18"/>
        <v>0</v>
      </c>
      <c r="K44">
        <f t="shared" si="19"/>
        <v>0</v>
      </c>
      <c r="L44">
        <f t="shared" si="20"/>
        <v>0</v>
      </c>
    </row>
    <row r="48" spans="2:12" ht="15" thickBot="1">
      <c r="B48" s="12" t="s">
        <v>430</v>
      </c>
      <c r="C48" s="12" t="s">
        <v>442</v>
      </c>
    </row>
    <row r="49" spans="1:3">
      <c r="A49" s="16" t="s">
        <v>271</v>
      </c>
      <c r="B49">
        <f>LandKAP!K16</f>
        <v>983.356539341136</v>
      </c>
      <c r="C49" s="160">
        <f t="array" ref="C49:C58">MMULT(C35:L44,B49:B58)</f>
        <v>494.42398259805429</v>
      </c>
    </row>
    <row r="50" spans="1:3">
      <c r="A50" s="16" t="s">
        <v>290</v>
      </c>
      <c r="B50">
        <f>LandKAP!K17</f>
        <v>248.86912653468198</v>
      </c>
      <c r="C50" s="161">
        <v>169457.075012941</v>
      </c>
    </row>
    <row r="51" spans="1:3">
      <c r="A51" s="16" t="s">
        <v>311</v>
      </c>
      <c r="B51">
        <f>LandKAP!K18</f>
        <v>14561.330173423023</v>
      </c>
      <c r="C51" s="161">
        <v>351424.2911397643</v>
      </c>
    </row>
    <row r="52" spans="1:3">
      <c r="A52" s="16" t="s">
        <v>296</v>
      </c>
      <c r="B52">
        <f>LandKAP!K19</f>
        <v>2378.998466806524</v>
      </c>
      <c r="C52" s="161">
        <v>154346.8020903061</v>
      </c>
    </row>
    <row r="53" spans="1:3">
      <c r="A53" s="16" t="s">
        <v>295</v>
      </c>
      <c r="B53">
        <f>LandKAP!K20</f>
        <v>35363.591364955544</v>
      </c>
      <c r="C53" s="161">
        <v>21663.26930962627</v>
      </c>
    </row>
    <row r="54" spans="1:3">
      <c r="A54" s="16" t="s">
        <v>293</v>
      </c>
      <c r="B54">
        <f>LandKAP!K21</f>
        <v>233061.46300240123</v>
      </c>
      <c r="C54" s="161">
        <v>37929.068424682198</v>
      </c>
    </row>
    <row r="55" spans="1:3">
      <c r="A55" s="16" t="s">
        <v>269</v>
      </c>
      <c r="B55">
        <f>LandKAP!K22</f>
        <v>35825.502144288585</v>
      </c>
      <c r="C55" s="161">
        <v>0</v>
      </c>
    </row>
    <row r="56" spans="1:3">
      <c r="A56" s="16" t="s">
        <v>294</v>
      </c>
      <c r="B56">
        <f>LandKAP!K23</f>
        <v>51763.542444005201</v>
      </c>
      <c r="C56" s="161">
        <v>3134.083390809325</v>
      </c>
    </row>
    <row r="57" spans="1:3">
      <c r="A57" s="16" t="s">
        <v>312</v>
      </c>
      <c r="B57">
        <f>LandKAP!K24</f>
        <v>78951.583745653901</v>
      </c>
      <c r="C57" s="161">
        <v>4780.214715076977</v>
      </c>
    </row>
    <row r="58" spans="1:3" ht="15" thickBot="1">
      <c r="A58" s="16" t="s">
        <v>246</v>
      </c>
      <c r="B58">
        <f>LandKAP!S28</f>
        <v>338914.150025882</v>
      </c>
      <c r="C58" s="16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O59" sqref="O59"/>
    </sheetView>
  </sheetViews>
  <sheetFormatPr defaultRowHeight="14.4"/>
  <cols>
    <col min="1" max="1" width="8.88671875" style="14"/>
    <col min="2" max="2" width="26.33203125" style="14" bestFit="1" customWidth="1"/>
    <col min="3" max="16384" width="8.88671875" style="14"/>
  </cols>
  <sheetData>
    <row r="1" spans="1:20">
      <c r="M1" s="14" t="s">
        <v>456</v>
      </c>
    </row>
    <row r="2" spans="1:20">
      <c r="A2" s="14" t="s">
        <v>457</v>
      </c>
      <c r="C2" s="14">
        <v>10001</v>
      </c>
      <c r="D2" s="14">
        <v>10002</v>
      </c>
      <c r="E2" s="14">
        <v>10003</v>
      </c>
      <c r="F2" s="14">
        <v>10004</v>
      </c>
      <c r="G2" s="14">
        <v>10005</v>
      </c>
      <c r="H2" s="14">
        <v>10006</v>
      </c>
      <c r="I2" s="14">
        <v>10007</v>
      </c>
      <c r="J2" s="14">
        <v>10008</v>
      </c>
      <c r="K2" s="14">
        <v>10009</v>
      </c>
      <c r="M2" s="14">
        <v>520</v>
      </c>
      <c r="N2" s="14">
        <v>11001</v>
      </c>
      <c r="O2" s="14">
        <v>11002</v>
      </c>
      <c r="P2" s="14">
        <v>11003</v>
      </c>
      <c r="Q2" s="14">
        <v>12001</v>
      </c>
      <c r="R2" s="14">
        <v>12002</v>
      </c>
      <c r="S2" s="14">
        <v>12003</v>
      </c>
    </row>
    <row r="3" spans="1:20">
      <c r="B3" s="14" t="s">
        <v>315</v>
      </c>
      <c r="C3" s="14">
        <v>291.19088887748501</v>
      </c>
      <c r="D3" s="14">
        <v>429.80099101073699</v>
      </c>
      <c r="E3" s="14">
        <v>348.16066893211701</v>
      </c>
      <c r="F3" s="14">
        <v>361.489784815262</v>
      </c>
      <c r="G3" s="14">
        <v>606.86083869064703</v>
      </c>
      <c r="H3" s="14">
        <v>811.077384822216</v>
      </c>
      <c r="I3" s="14">
        <v>912.54430624829899</v>
      </c>
      <c r="J3" s="14">
        <v>501.33726671477302</v>
      </c>
      <c r="K3" s="14">
        <v>599.72699015979299</v>
      </c>
      <c r="M3" s="14">
        <v>0.49695044971213798</v>
      </c>
      <c r="N3" s="14">
        <v>7.1194010976905003E-2</v>
      </c>
      <c r="O3" s="14">
        <v>0.26275084548017302</v>
      </c>
      <c r="P3" s="14">
        <v>0</v>
      </c>
      <c r="Q3" s="14">
        <v>141.46295841457999</v>
      </c>
      <c r="R3" s="14">
        <v>15.011329900396399</v>
      </c>
      <c r="S3" s="14">
        <v>0</v>
      </c>
      <c r="T3" s="14">
        <f>SUM(M3:S3)</f>
        <v>157.3051836211456</v>
      </c>
    </row>
    <row r="4" spans="1:20">
      <c r="B4" s="14" t="s">
        <v>316</v>
      </c>
      <c r="C4" s="14">
        <v>5.6398504966825298</v>
      </c>
      <c r="D4" s="14">
        <v>8.6201867576523998</v>
      </c>
      <c r="E4" s="14">
        <v>6.7615540034266397</v>
      </c>
      <c r="F4" s="14">
        <v>6.0081774282490503</v>
      </c>
      <c r="G4" s="14">
        <v>12.5406863142861</v>
      </c>
      <c r="H4" s="14">
        <v>16.539475950531699</v>
      </c>
      <c r="I4" s="14">
        <v>19.544212341119302</v>
      </c>
      <c r="J4" s="14">
        <v>10.9020382307174</v>
      </c>
      <c r="K4" s="14">
        <v>13.1355562315541</v>
      </c>
      <c r="M4" s="14">
        <v>2.6256338853697402E-2</v>
      </c>
      <c r="N4" s="14">
        <v>5.6341563956604397E-3</v>
      </c>
      <c r="O4" s="14">
        <v>2.0793593958451501E-2</v>
      </c>
      <c r="P4" s="14">
        <v>0</v>
      </c>
      <c r="Q4" s="14">
        <v>11.991381734780299</v>
      </c>
      <c r="R4" s="14">
        <v>3.2387593361562401</v>
      </c>
      <c r="S4" s="14">
        <v>0</v>
      </c>
      <c r="T4" s="14">
        <f t="shared" ref="T4:T20" si="0">SUM(M4:S4)</f>
        <v>15.28282516014435</v>
      </c>
    </row>
    <row r="5" spans="1:20">
      <c r="B5" s="14" t="s">
        <v>458</v>
      </c>
      <c r="C5" s="14">
        <v>37.162307832596603</v>
      </c>
      <c r="D5" s="14">
        <v>56.836560618529198</v>
      </c>
      <c r="E5" s="14">
        <v>43.745160584428902</v>
      </c>
      <c r="F5" s="14">
        <v>40.789365702770098</v>
      </c>
      <c r="G5" s="14">
        <v>84.503234243245799</v>
      </c>
      <c r="H5" s="14">
        <v>108.403138231338</v>
      </c>
      <c r="I5" s="14">
        <v>131.669951607472</v>
      </c>
      <c r="J5" s="14">
        <v>73.704306460954101</v>
      </c>
      <c r="K5" s="14">
        <v>83.270451519982601</v>
      </c>
      <c r="M5" s="14">
        <v>3.2125509831742997E-2</v>
      </c>
      <c r="N5" s="14">
        <v>1.1208035778846199E-2</v>
      </c>
      <c r="O5" s="14">
        <v>0.194332696322433</v>
      </c>
      <c r="P5" s="14">
        <v>0</v>
      </c>
      <c r="Q5" s="14">
        <v>13.4777097607814</v>
      </c>
      <c r="R5" s="14">
        <v>10.8700915995502</v>
      </c>
      <c r="S5" s="14">
        <v>0</v>
      </c>
      <c r="T5" s="14">
        <f t="shared" si="0"/>
        <v>24.585467602264622</v>
      </c>
    </row>
    <row r="6" spans="1:20">
      <c r="B6" s="14" t="s">
        <v>459</v>
      </c>
      <c r="C6" s="14">
        <v>38.2983673279222</v>
      </c>
      <c r="D6" s="14">
        <v>59.263440970456301</v>
      </c>
      <c r="E6" s="14">
        <v>48.094800158907702</v>
      </c>
      <c r="F6" s="14">
        <v>46.649314340740901</v>
      </c>
      <c r="G6" s="14">
        <v>95.353935288532995</v>
      </c>
      <c r="H6" s="14">
        <v>141.29621107039199</v>
      </c>
      <c r="I6" s="14">
        <v>158.00511991174201</v>
      </c>
      <c r="J6" s="14">
        <v>98.254302336068505</v>
      </c>
      <c r="K6" s="14">
        <v>149.15514959335201</v>
      </c>
      <c r="M6" s="14">
        <v>1.72703927444844</v>
      </c>
      <c r="N6" s="14">
        <v>0</v>
      </c>
      <c r="O6" s="14">
        <v>0</v>
      </c>
      <c r="P6" s="14">
        <v>0</v>
      </c>
      <c r="Q6" s="14">
        <v>129.32187081205501</v>
      </c>
      <c r="R6" s="14">
        <v>57.827768725641498</v>
      </c>
      <c r="S6" s="14">
        <v>0</v>
      </c>
      <c r="T6" s="14">
        <f t="shared" si="0"/>
        <v>188.87667881214495</v>
      </c>
    </row>
    <row r="7" spans="1:20">
      <c r="B7" s="14" t="s">
        <v>346</v>
      </c>
      <c r="C7" s="14">
        <v>12.568140297723399</v>
      </c>
      <c r="D7" s="14">
        <v>21.4714512243862</v>
      </c>
      <c r="E7" s="14">
        <v>16.354012186268601</v>
      </c>
      <c r="F7" s="14">
        <v>14.711592244748999</v>
      </c>
      <c r="G7" s="14">
        <v>29.890312181493201</v>
      </c>
      <c r="H7" s="14">
        <v>38.992259092136102</v>
      </c>
      <c r="I7" s="14">
        <v>45.392047547017903</v>
      </c>
      <c r="J7" s="14">
        <v>24.8532057528158</v>
      </c>
      <c r="K7" s="14">
        <v>30.3099722688074</v>
      </c>
      <c r="M7" s="14">
        <v>502.40640638355399</v>
      </c>
      <c r="N7" s="14">
        <v>18.729055521700101</v>
      </c>
      <c r="O7" s="14">
        <v>3.7423769283141399</v>
      </c>
      <c r="P7" s="14">
        <v>0.25435598278654697</v>
      </c>
      <c r="Q7" s="14">
        <v>93.049455459879596</v>
      </c>
      <c r="R7" s="14">
        <v>4.3969536053362299</v>
      </c>
      <c r="S7" s="14">
        <v>0.16668966001739099</v>
      </c>
      <c r="T7" s="14">
        <f t="shared" si="0"/>
        <v>622.7452935415879</v>
      </c>
    </row>
    <row r="8" spans="1:20">
      <c r="B8" s="14" t="s">
        <v>460</v>
      </c>
      <c r="C8" s="14">
        <v>909.74670369827197</v>
      </c>
      <c r="D8" s="14">
        <v>1527.10717126432</v>
      </c>
      <c r="E8" s="14">
        <v>1056.4129522088499</v>
      </c>
      <c r="F8" s="14">
        <v>999.68595892988697</v>
      </c>
      <c r="G8" s="14">
        <v>1828.6001211335499</v>
      </c>
      <c r="H8" s="14">
        <v>2161.9772033995901</v>
      </c>
      <c r="I8" s="14">
        <v>2238.30491918286</v>
      </c>
      <c r="J8" s="14">
        <v>1052.9867685243</v>
      </c>
      <c r="K8" s="14">
        <v>1263.0318080135301</v>
      </c>
      <c r="M8" s="14">
        <v>192.27100003463801</v>
      </c>
      <c r="N8" s="14">
        <v>20.603790385591999</v>
      </c>
      <c r="O8" s="14">
        <v>86.4608425477563</v>
      </c>
      <c r="P8" s="14">
        <v>0</v>
      </c>
      <c r="Q8" s="14">
        <v>113.36503693871801</v>
      </c>
      <c r="R8" s="14">
        <v>723.11147027128595</v>
      </c>
      <c r="S8" s="14">
        <v>0</v>
      </c>
      <c r="T8" s="14">
        <f t="shared" si="0"/>
        <v>1135.8121401779902</v>
      </c>
    </row>
    <row r="9" spans="1:20">
      <c r="B9" s="14" t="s">
        <v>321</v>
      </c>
      <c r="C9" s="14">
        <v>10.3932607409492</v>
      </c>
      <c r="D9" s="14">
        <v>17.446200075034898</v>
      </c>
      <c r="E9" s="14">
        <v>12.068826650087001</v>
      </c>
      <c r="F9" s="14">
        <v>11.420757874677699</v>
      </c>
      <c r="G9" s="14">
        <v>20.890559726804501</v>
      </c>
      <c r="H9" s="14">
        <v>24.6991747258615</v>
      </c>
      <c r="I9" s="14">
        <v>25.5711689289421</v>
      </c>
      <c r="J9" s="14">
        <v>12.029684743625401</v>
      </c>
      <c r="K9" s="14">
        <v>14.4293118638778</v>
      </c>
      <c r="M9" s="14">
        <v>2.1965703310772899</v>
      </c>
      <c r="N9" s="14">
        <v>0.23538482179578499</v>
      </c>
      <c r="O9" s="14">
        <v>0.98775854512908801</v>
      </c>
      <c r="P9" s="14">
        <v>0</v>
      </c>
      <c r="Q9" s="14">
        <v>1.2951213596286999</v>
      </c>
      <c r="R9" s="14">
        <v>8.2610753353092008</v>
      </c>
      <c r="S9" s="14">
        <v>0</v>
      </c>
      <c r="T9" s="14">
        <f t="shared" si="0"/>
        <v>12.975910392940063</v>
      </c>
    </row>
    <row r="10" spans="1:20">
      <c r="B10" s="14" t="s">
        <v>461</v>
      </c>
      <c r="C10" s="14">
        <v>44.703389882744901</v>
      </c>
      <c r="D10" s="14">
        <v>75.0394225032625</v>
      </c>
      <c r="E10" s="14">
        <v>51.910317330962101</v>
      </c>
      <c r="F10" s="14">
        <v>49.122850350189601</v>
      </c>
      <c r="G10" s="14">
        <v>89.854268031268703</v>
      </c>
      <c r="H10" s="14">
        <v>106.235845041581</v>
      </c>
      <c r="I10" s="14">
        <v>109.986457848033</v>
      </c>
      <c r="J10" s="14">
        <v>51.741960551610603</v>
      </c>
      <c r="K10" s="14">
        <v>62.063212890369002</v>
      </c>
      <c r="M10" s="14">
        <v>9.4478668650748308</v>
      </c>
      <c r="N10" s="14">
        <v>1.0124348578843001</v>
      </c>
      <c r="O10" s="14">
        <v>4.24853724480751</v>
      </c>
      <c r="P10" s="14">
        <v>0</v>
      </c>
      <c r="Q10" s="14">
        <v>5.5705631300908598</v>
      </c>
      <c r="R10" s="14">
        <v>35.532455190893799</v>
      </c>
      <c r="S10" s="14">
        <v>0</v>
      </c>
      <c r="T10" s="14">
        <f t="shared" si="0"/>
        <v>55.811857288751298</v>
      </c>
    </row>
    <row r="11" spans="1:20">
      <c r="B11" s="14" t="s">
        <v>323</v>
      </c>
      <c r="C11" s="14">
        <v>316.25783726079698</v>
      </c>
      <c r="D11" s="14">
        <v>571.13628623148497</v>
      </c>
      <c r="E11" s="14">
        <v>419.50288061918599</v>
      </c>
      <c r="F11" s="14">
        <v>396.46029497196599</v>
      </c>
      <c r="G11" s="14">
        <v>776.72705967704701</v>
      </c>
      <c r="H11" s="14">
        <v>983.67338980379304</v>
      </c>
      <c r="I11" s="14">
        <v>1094.4110284112901</v>
      </c>
      <c r="J11" s="14">
        <v>532.449218682484</v>
      </c>
      <c r="K11" s="14">
        <v>663.89583597909495</v>
      </c>
      <c r="M11" s="14">
        <v>164.562684332711</v>
      </c>
      <c r="N11" s="14">
        <v>54.504103460196703</v>
      </c>
      <c r="O11" s="14">
        <v>92.515383104207899</v>
      </c>
      <c r="P11" s="14">
        <v>0</v>
      </c>
      <c r="Q11" s="14">
        <v>407.67480318803001</v>
      </c>
      <c r="R11" s="14">
        <v>2373.0548323235898</v>
      </c>
      <c r="S11" s="14">
        <v>0</v>
      </c>
      <c r="T11" s="14">
        <f t="shared" si="0"/>
        <v>3092.3118064087357</v>
      </c>
    </row>
    <row r="12" spans="1:20">
      <c r="B12" s="14" t="s">
        <v>304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M12" s="14">
        <v>12016.3307003183</v>
      </c>
      <c r="N12" s="14">
        <v>1380.14926079832</v>
      </c>
      <c r="O12" s="14">
        <v>1463.40491135868</v>
      </c>
      <c r="P12" s="14">
        <v>2285.2134353147999</v>
      </c>
      <c r="Q12" s="14">
        <v>13441.1150976435</v>
      </c>
      <c r="R12" s="14">
        <v>45.1751965312639</v>
      </c>
      <c r="S12" s="14">
        <v>45010.932284858798</v>
      </c>
      <c r="T12" s="14">
        <f t="shared" si="0"/>
        <v>75642.320886823669</v>
      </c>
    </row>
    <row r="13" spans="1:20">
      <c r="B13" s="14" t="s">
        <v>278</v>
      </c>
      <c r="C13" s="14">
        <v>5722.3149261755998</v>
      </c>
      <c r="D13" s="14">
        <v>9776.0818639592308</v>
      </c>
      <c r="E13" s="14">
        <v>7452.8451263894403</v>
      </c>
      <c r="F13" s="14">
        <v>6651.9794620393004</v>
      </c>
      <c r="G13" s="14">
        <v>13540.159853814301</v>
      </c>
      <c r="H13" s="14">
        <v>17642.3056296307</v>
      </c>
      <c r="I13" s="14">
        <v>20448.680524526699</v>
      </c>
      <c r="J13" s="14">
        <v>11140.676780588001</v>
      </c>
      <c r="K13" s="14">
        <v>13524.490184230401</v>
      </c>
      <c r="M13" s="14">
        <v>1155.2761713050299</v>
      </c>
      <c r="N13" s="14">
        <v>663.84602604670295</v>
      </c>
      <c r="O13" s="14">
        <v>1690.05069253032</v>
      </c>
      <c r="P13" s="14">
        <v>37.946860460977</v>
      </c>
      <c r="Q13" s="14">
        <v>12031.342313085501</v>
      </c>
      <c r="R13" s="14">
        <v>2041.2405239616</v>
      </c>
      <c r="S13" s="14">
        <v>13.5977949125846</v>
      </c>
      <c r="T13" s="14">
        <f t="shared" si="0"/>
        <v>17633.300382302714</v>
      </c>
    </row>
    <row r="14" spans="1:20">
      <c r="B14" s="14" t="s">
        <v>462</v>
      </c>
      <c r="C14" s="14">
        <v>1159.91437814393</v>
      </c>
      <c r="D14" s="14">
        <v>2331.7392360284298</v>
      </c>
      <c r="E14" s="14">
        <v>1975.9501095083001</v>
      </c>
      <c r="F14" s="14">
        <v>2291.4230109093801</v>
      </c>
      <c r="G14" s="14">
        <v>3954.88322649165</v>
      </c>
      <c r="H14" s="14">
        <v>6643.6148306259902</v>
      </c>
      <c r="I14" s="14">
        <v>8203.0185288706598</v>
      </c>
      <c r="J14" s="14">
        <v>4694.7464566283898</v>
      </c>
      <c r="K14" s="14">
        <v>7668.0547333255099</v>
      </c>
      <c r="M14" s="14">
        <v>1052.3984652936001</v>
      </c>
      <c r="N14" s="14">
        <v>323.11062461726601</v>
      </c>
      <c r="O14" s="14">
        <v>3095.3375269081098</v>
      </c>
      <c r="P14" s="14">
        <v>3940.37594302764</v>
      </c>
      <c r="Q14" s="14">
        <v>1933.7849775099301</v>
      </c>
      <c r="R14" s="14">
        <v>456.64203965329301</v>
      </c>
      <c r="S14" s="14">
        <v>2540.18703889064</v>
      </c>
      <c r="T14" s="14">
        <f t="shared" si="0"/>
        <v>13341.836615900476</v>
      </c>
    </row>
    <row r="15" spans="1:20">
      <c r="B15" s="14" t="s">
        <v>463</v>
      </c>
      <c r="C15" s="14">
        <v>3622.18212890625</v>
      </c>
      <c r="D15" s="14">
        <v>6295.7666015625</v>
      </c>
      <c r="E15" s="14">
        <v>4850.3115234375</v>
      </c>
      <c r="F15" s="14">
        <v>4751.26318359375</v>
      </c>
      <c r="G15" s="14">
        <v>9219.189453125</v>
      </c>
      <c r="H15" s="14">
        <v>12524.0693359375</v>
      </c>
      <c r="I15" s="14">
        <v>14851.51953125</v>
      </c>
      <c r="J15" s="14">
        <v>8163.51171875</v>
      </c>
      <c r="K15" s="14">
        <v>11418.513671875</v>
      </c>
      <c r="M15" s="14">
        <v>771.78308463182805</v>
      </c>
      <c r="N15" s="14">
        <v>369.31781005859301</v>
      </c>
      <c r="O15" s="14">
        <v>1130.369140625</v>
      </c>
      <c r="P15" s="14">
        <v>1043.0556640625</v>
      </c>
      <c r="Q15" s="14">
        <v>4322.048828125</v>
      </c>
      <c r="R15" s="14">
        <v>0.31891101598739602</v>
      </c>
      <c r="S15" s="14">
        <v>1040.63562011718</v>
      </c>
      <c r="T15" s="14">
        <f t="shared" si="0"/>
        <v>8677.5290586360879</v>
      </c>
    </row>
    <row r="16" spans="1:20">
      <c r="B16" s="14" t="s">
        <v>464</v>
      </c>
      <c r="C16" s="14">
        <v>15549.7592131319</v>
      </c>
      <c r="D16" s="14">
        <v>28457.858128770698</v>
      </c>
      <c r="E16" s="14">
        <v>22882.069599928102</v>
      </c>
      <c r="F16" s="14">
        <v>20683.691627120199</v>
      </c>
      <c r="G16" s="14">
        <v>43744.474332343598</v>
      </c>
      <c r="H16" s="14">
        <v>65164.554872942397</v>
      </c>
      <c r="I16" s="14">
        <v>79966.088838950498</v>
      </c>
      <c r="J16" s="14">
        <v>44938.628694264502</v>
      </c>
      <c r="K16" s="14">
        <v>67369.424308187707</v>
      </c>
      <c r="M16" s="14">
        <v>351.60183974163601</v>
      </c>
      <c r="N16" s="14">
        <v>181.96135315581</v>
      </c>
      <c r="O16" s="14">
        <v>665.41882394446998</v>
      </c>
      <c r="P16" s="14">
        <v>18.9401276814814</v>
      </c>
      <c r="Q16" s="14">
        <v>3613.37340474436</v>
      </c>
      <c r="R16" s="14">
        <v>1911.0175401572301</v>
      </c>
      <c r="S16" s="14">
        <v>4.6866100653524896</v>
      </c>
      <c r="T16" s="14">
        <f t="shared" si="0"/>
        <v>6746.9996994903404</v>
      </c>
    </row>
    <row r="17" spans="2:20">
      <c r="B17" s="14" t="s">
        <v>465</v>
      </c>
      <c r="C17" s="14">
        <v>1611.71029565042</v>
      </c>
      <c r="D17" s="14">
        <v>2741.23589311044</v>
      </c>
      <c r="E17" s="14">
        <v>1946.7951478269899</v>
      </c>
      <c r="F17" s="14">
        <v>2054.3530657092101</v>
      </c>
      <c r="G17" s="14">
        <v>4365.8183608869103</v>
      </c>
      <c r="H17" s="14">
        <v>6208.33010713359</v>
      </c>
      <c r="I17" s="14">
        <v>8142.6751201489897</v>
      </c>
      <c r="J17" s="14">
        <v>5180.4989217616603</v>
      </c>
      <c r="K17" s="14">
        <v>9079.4011641650104</v>
      </c>
      <c r="M17" s="14">
        <v>1680.58834069404</v>
      </c>
      <c r="N17" s="14">
        <v>591.92632427229398</v>
      </c>
      <c r="O17" s="14">
        <v>1845.53341757518</v>
      </c>
      <c r="P17" s="14">
        <v>117.500982933712</v>
      </c>
      <c r="Q17" s="14">
        <v>4299.9742341732399</v>
      </c>
      <c r="R17" s="14">
        <v>1074.0695205899999</v>
      </c>
      <c r="S17" s="14">
        <v>152.05912092957399</v>
      </c>
      <c r="T17" s="14">
        <f t="shared" si="0"/>
        <v>9761.6519411680401</v>
      </c>
    </row>
    <row r="18" spans="2:20">
      <c r="B18" s="14" t="s">
        <v>466</v>
      </c>
      <c r="C18" s="14">
        <v>36208.856013696903</v>
      </c>
      <c r="D18" s="14">
        <v>66070.656222980906</v>
      </c>
      <c r="E18" s="14">
        <v>48233.053799809801</v>
      </c>
      <c r="F18" s="14">
        <v>43450.664422069902</v>
      </c>
      <c r="G18" s="14">
        <v>88702.662908457496</v>
      </c>
      <c r="H18" s="14">
        <v>130453.57894124</v>
      </c>
      <c r="I18" s="14">
        <v>155397.601363625</v>
      </c>
      <c r="J18" s="14">
        <v>87824.107936073095</v>
      </c>
      <c r="K18" s="14">
        <v>129408.204974981</v>
      </c>
      <c r="M18" s="14">
        <v>20100.406466387602</v>
      </c>
      <c r="N18" s="14">
        <v>6291.8046903555196</v>
      </c>
      <c r="O18" s="14">
        <v>16271.210793420199</v>
      </c>
      <c r="P18" s="14">
        <v>21460.051492882802</v>
      </c>
      <c r="Q18" s="14">
        <v>38983.416636032998</v>
      </c>
      <c r="R18" s="14">
        <v>11558.556092025899</v>
      </c>
      <c r="S18" s="14">
        <v>5310.1522820249902</v>
      </c>
      <c r="T18" s="14">
        <f t="shared" si="0"/>
        <v>119975.59845313002</v>
      </c>
    </row>
    <row r="19" spans="2:20">
      <c r="B19" s="14" t="s">
        <v>467</v>
      </c>
      <c r="C19" s="14">
        <v>13063.466457835901</v>
      </c>
      <c r="D19" s="14">
        <v>21232.296484192098</v>
      </c>
      <c r="E19" s="14">
        <v>12767.370688356101</v>
      </c>
      <c r="F19" s="14">
        <v>12954.7335226009</v>
      </c>
      <c r="G19" s="14">
        <v>30426.205246539201</v>
      </c>
      <c r="H19" s="14">
        <v>44407.106745716701</v>
      </c>
      <c r="I19" s="14">
        <v>50787.772483855202</v>
      </c>
      <c r="J19" s="14">
        <v>31537.190021182101</v>
      </c>
      <c r="K19" s="14">
        <v>30665.411193731401</v>
      </c>
      <c r="N19" s="14">
        <v>95.822068310154407</v>
      </c>
      <c r="O19" s="14">
        <v>0</v>
      </c>
      <c r="P19" s="14">
        <v>0</v>
      </c>
      <c r="Q19" s="14">
        <v>287.18295095117702</v>
      </c>
      <c r="R19" s="14">
        <v>0</v>
      </c>
      <c r="S19" s="14">
        <v>0</v>
      </c>
      <c r="T19" s="14">
        <f t="shared" si="0"/>
        <v>383.00501926133143</v>
      </c>
    </row>
    <row r="20" spans="2:20">
      <c r="B20" s="159" t="s">
        <v>468</v>
      </c>
      <c r="C20" s="14">
        <v>1319.16583282334</v>
      </c>
      <c r="D20" s="14">
        <v>2761.2084509577899</v>
      </c>
      <c r="E20" s="14">
        <v>2254.56209022544</v>
      </c>
      <c r="F20" s="14">
        <v>1710.81694220708</v>
      </c>
      <c r="G20" s="14">
        <v>3697.8265217060698</v>
      </c>
      <c r="H20" s="14">
        <v>5210.0945891198198</v>
      </c>
      <c r="I20" s="14">
        <v>6601.73243424476</v>
      </c>
      <c r="J20" s="14">
        <v>2961.6579868725198</v>
      </c>
      <c r="K20" s="14">
        <v>4426.5141695256398</v>
      </c>
      <c r="M20" s="14">
        <v>585.64488202381995</v>
      </c>
      <c r="N20" s="14">
        <v>158.043437772358</v>
      </c>
      <c r="O20" s="14">
        <v>299.97259723300101</v>
      </c>
      <c r="P20" s="14">
        <v>95.306879901536405</v>
      </c>
      <c r="Q20" s="14">
        <v>1389.37768981678</v>
      </c>
      <c r="R20" s="14">
        <v>2208.1457415219402</v>
      </c>
      <c r="S20" s="14">
        <v>26.4108689089934</v>
      </c>
      <c r="T20" s="14">
        <f t="shared" si="0"/>
        <v>4762.9020971784294</v>
      </c>
    </row>
    <row r="21" spans="2:20">
      <c r="B21" s="14" t="s">
        <v>469</v>
      </c>
      <c r="C21" s="14">
        <v>614.45858745696501</v>
      </c>
      <c r="D21" s="14">
        <v>1243.369855791</v>
      </c>
      <c r="E21" s="14">
        <v>14043.593110766291</v>
      </c>
      <c r="F21" s="14">
        <v>17225.471309439839</v>
      </c>
      <c r="G21" s="14">
        <v>28404.829844822052</v>
      </c>
      <c r="H21" s="14">
        <v>5684.2714113168295</v>
      </c>
      <c r="I21" s="14">
        <v>34950.660319545743</v>
      </c>
      <c r="J21" s="14">
        <v>32611.696408762407</v>
      </c>
      <c r="K21" s="14">
        <v>309083.80032994848</v>
      </c>
    </row>
    <row r="22" spans="2:20">
      <c r="C22" s="156" t="s">
        <v>470</v>
      </c>
    </row>
    <row r="23" spans="2:20">
      <c r="C23" s="156" t="s">
        <v>471</v>
      </c>
    </row>
    <row r="28" spans="2:20">
      <c r="C28" s="14">
        <f>SUM(C3:C20)</f>
        <v>79923.329992779414</v>
      </c>
    </row>
    <row r="29" spans="2:20">
      <c r="C29" s="14">
        <f>C28/SUM('[1]job core'!V2:V10)*1000000</f>
        <v>4309.9983855856308</v>
      </c>
    </row>
    <row r="32" spans="2:20">
      <c r="C32" s="16" t="s">
        <v>271</v>
      </c>
      <c r="D32" s="16" t="s">
        <v>290</v>
      </c>
      <c r="E32" s="16" t="s">
        <v>311</v>
      </c>
      <c r="F32" s="16" t="s">
        <v>296</v>
      </c>
      <c r="G32" s="16" t="s">
        <v>295</v>
      </c>
      <c r="H32" s="16" t="s">
        <v>293</v>
      </c>
      <c r="I32" s="16" t="s">
        <v>269</v>
      </c>
      <c r="J32" s="16" t="s">
        <v>294</v>
      </c>
      <c r="K32" s="16" t="s">
        <v>312</v>
      </c>
    </row>
    <row r="33" spans="2:2">
      <c r="B33" s="16" t="s">
        <v>271</v>
      </c>
    </row>
    <row r="34" spans="2:2">
      <c r="B34" s="16" t="s">
        <v>290</v>
      </c>
    </row>
    <row r="35" spans="2:2">
      <c r="B35" s="16" t="s">
        <v>311</v>
      </c>
    </row>
    <row r="36" spans="2:2">
      <c r="B36" s="16" t="s">
        <v>296</v>
      </c>
    </row>
    <row r="37" spans="2:2">
      <c r="B37" s="16" t="s">
        <v>295</v>
      </c>
    </row>
    <row r="38" spans="2:2">
      <c r="B38" s="16" t="s">
        <v>293</v>
      </c>
    </row>
    <row r="39" spans="2:2">
      <c r="B39" s="16" t="s">
        <v>269</v>
      </c>
    </row>
    <row r="40" spans="2:2">
      <c r="B40" s="16" t="s">
        <v>294</v>
      </c>
    </row>
    <row r="41" spans="2:2">
      <c r="B41" s="16" t="s">
        <v>312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4.4"/>
  <sheetData>
    <row r="1" spans="1:3">
      <c r="A1" s="82" t="s">
        <v>438</v>
      </c>
      <c r="C1">
        <v>2501057</v>
      </c>
    </row>
    <row r="2" spans="1:3">
      <c r="A2" s="16"/>
      <c r="B2" t="s">
        <v>306</v>
      </c>
      <c r="C2">
        <v>3940</v>
      </c>
    </row>
    <row r="3" spans="1:3">
      <c r="A3" s="16"/>
      <c r="C3">
        <v>1.5753339488064446E-3</v>
      </c>
    </row>
    <row r="4" spans="1:3">
      <c r="A4" s="146" t="s">
        <v>439</v>
      </c>
      <c r="B4" s="19"/>
      <c r="C4" s="19">
        <v>1.6000000000000001E-3</v>
      </c>
    </row>
    <row r="5" spans="1:3">
      <c r="A5" s="16"/>
    </row>
    <row r="6" spans="1:3">
      <c r="A6" s="16"/>
    </row>
    <row r="7" spans="1:3">
      <c r="A7" s="16"/>
    </row>
    <row r="8" spans="1:3">
      <c r="A8" s="16"/>
    </row>
    <row r="9" spans="1:3">
      <c r="A9" s="16"/>
    </row>
    <row r="10" spans="1:3">
      <c r="A10" s="1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sector employment</vt:lpstr>
      <vt:lpstr>QCEW-Brad</vt:lpstr>
      <vt:lpstr>Seaside SAM</vt:lpstr>
      <vt:lpstr>new outsam</vt:lpstr>
      <vt:lpstr>miscHC</vt:lpstr>
      <vt:lpstr> fed state local</vt:lpstr>
      <vt:lpstr>kap land</vt:lpstr>
      <vt:lpstr>Import-Export</vt:lpstr>
      <vt:lpstr>I-O</vt:lpstr>
      <vt:lpstr>Taxes</vt:lpstr>
      <vt:lpstr>security payments</vt:lpstr>
      <vt:lpstr>job core</vt:lpstr>
      <vt:lpstr>employ</vt:lpstr>
      <vt:lpstr>capcom</vt:lpstr>
      <vt:lpstr>capcom out</vt:lpstr>
      <vt:lpstr>HH Cons</vt:lpstr>
      <vt:lpstr>LandKAP</vt:lpstr>
      <vt:lpstr>housing value-Brad</vt:lpstr>
      <vt:lpstr>SAM</vt:lpstr>
      <vt:lpstr>OUTSAM</vt:lpstr>
      <vt:lpstr>MISC</vt:lpstr>
      <vt:lpstr>Capcom-invest</vt:lpstr>
      <vt:lpstr>Far West consumption</vt:lpstr>
      <vt:lpstr>Consumption</vt:lpstr>
      <vt:lpstr>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Cutler,Harvey</dc:creator>
  <cp:lastModifiedBy>Cutler,Harvey</cp:lastModifiedBy>
  <dcterms:created xsi:type="dcterms:W3CDTF">2019-06-28T23:34:51Z</dcterms:created>
  <dcterms:modified xsi:type="dcterms:W3CDTF">2019-07-05T05:05:33Z</dcterms:modified>
</cp:coreProperties>
</file>