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D:\02-图书出版事宜\01-现金流量法股票估值\"/>
    </mc:Choice>
  </mc:AlternateContent>
  <xr:revisionPtr revIDLastSave="0" documentId="13_ncr:1_{52D831A0-CA1A-49D8-80CF-4C6A358D138A}" xr6:coauthVersionLast="46" xr6:coauthVersionMax="46" xr10:uidLastSave="{00000000-0000-0000-0000-000000000000}"/>
  <bookViews>
    <workbookView xWindow="-110" yWindow="-110" windowWidth="19420" windowHeight="10420" tabRatio="795" firstSheet="2" activeTab="12" xr2:uid="{00000000-000D-0000-FFFF-FFFF00000000}"/>
  </bookViews>
  <sheets>
    <sheet name="管理bs" sheetId="8" r:id="rId1"/>
    <sheet name="BS" sheetId="2" r:id="rId2"/>
    <sheet name="PL" sheetId="3" r:id="rId3"/>
    <sheet name="CF" sheetId="19" r:id="rId4"/>
    <sheet name="BS (分析)" sheetId="25" r:id="rId5"/>
    <sheet name="PL (分析)" sheetId="26" r:id="rId6"/>
    <sheet name="CF (分析)" sheetId="27" r:id="rId7"/>
    <sheet name="分红" sheetId="28" r:id="rId8"/>
    <sheet name="财务比率" sheetId="11" r:id="rId9"/>
    <sheet name="杜邦" sheetId="22" r:id="rId10"/>
    <sheet name="管理名称" sheetId="6" r:id="rId11"/>
    <sheet name="指数走势图" sheetId="30" r:id="rId12"/>
    <sheet name="价值评估" sheetId="5" r:id="rId13"/>
    <sheet name="自选股" sheetId="20" r:id="rId14"/>
    <sheet name="中国平安" sheetId="23" r:id="rId15"/>
    <sheet name="BS数据" sheetId="7" r:id="rId16"/>
    <sheet name="PL数据" sheetId="10" r:id="rId17"/>
    <sheet name="CF数据" sheetId="18" r:id="rId18"/>
    <sheet name="BS原始数据" sheetId="15" r:id="rId19"/>
    <sheet name="PL原始数据" sheetId="16" r:id="rId20"/>
    <sheet name="CF原始数据" sheetId="17" r:id="rId21"/>
    <sheet name="EVA" sheetId="9" r:id="rId22"/>
  </sheets>
  <externalReferences>
    <externalReference r:id="rId23"/>
  </externalReferences>
  <definedNames>
    <definedName name="_2009_fhzzgb_000002.shtml" localSheetId="7">分红!$ASG$1:$ASR$36</definedName>
    <definedName name="_2009_fhzzgb_000002.shtml_1" localSheetId="7">分红!$OG$1:$OR$36</definedName>
    <definedName name="_2009_fhzzgb_000002.shtml_2" localSheetId="7">分红!$GW$1:$HH$36</definedName>
    <definedName name="_2009_fhzzgb_000002.shtml_3" localSheetId="7">分红!$AK$1:$AV$36</definedName>
    <definedName name="_2009_fhzzgb_000002.shtml_4" localSheetId="7">分红!$Y$1:$AJ$36</definedName>
    <definedName name="_2009_fhzzgb_000157.shtml" localSheetId="7">分红!$AGS$1:$AHD$27</definedName>
    <definedName name="_2009_fhzzgb_000333.shtml" localSheetId="7">分红!$ADA$1:$ADL$12</definedName>
    <definedName name="_2009_fhzzgb_000338.shtml" localSheetId="7">分红!$BI$1:$BT$29</definedName>
    <definedName name="_2009_fhzzgb_000423.shtml" localSheetId="7">分红!$AFI$1:$AFT$31</definedName>
    <definedName name="_2009_fhzzgb_000528.shtml" localSheetId="7">分红!$AIC$1:$AIN$30</definedName>
    <definedName name="_2009_fhzzgb_000581.shtml" localSheetId="7">分红!$QC$1:$QN$28</definedName>
    <definedName name="_2009_fhzzgb_000651.shtml" localSheetId="7">分红!$ARU$1:$ASF$31</definedName>
    <definedName name="_2009_fhzzgb_000651.shtml_1" localSheetId="7">分红!$NU$1:$OF$31</definedName>
    <definedName name="_2009_fhzzgb_000651.shtml_2" localSheetId="7">分红!$GK$1:$GV$31</definedName>
    <definedName name="_2009_fhzzgb_000672.shtml" localSheetId="7">分红!$ANQ$1:$AOB$17</definedName>
    <definedName name="_2009_fhzzgb_000672.shtml_1" localSheetId="7">分红!$AMS$1:$AND$17</definedName>
    <definedName name="_2009_fhzzgb_000672.shtml_2" localSheetId="7">分红!$LY$1:$MJ$17</definedName>
    <definedName name="_2009_fhzzgb_000725.shtml" localSheetId="7">分红!$AGG$1:$AGR$17</definedName>
    <definedName name="_2009_fhzzgb_000725.shtml_1" localSheetId="7">分红!$WO$1:$WZ$17</definedName>
    <definedName name="_2009_fhzzgb_000725.shtml_2" localSheetId="7">分红!$WC$1:$WN$17</definedName>
    <definedName name="_2009_fhzzgb_000725.shtml_3" localSheetId="7">分红!$KO$1:$KZ$17</definedName>
    <definedName name="_2009_fhzzgb_000858.shtml" localSheetId="7">分红!$AJA$1:$AJL$25</definedName>
    <definedName name="_2009_fhzzgb_000963.shtml" localSheetId="7">分红!$AOO$1:$AOZ$22</definedName>
    <definedName name="_2009_fhzzgb_000963.shtml_1" localSheetId="7">分红!$PQ$1:$QB$22</definedName>
    <definedName name="_2009_fhzzgb_002008.shtml" localSheetId="7">分红!$ADY$1:$AEJ$20</definedName>
    <definedName name="_2009_fhzzgb_002124.shtml" localSheetId="7">分红!$FA$1:$FL$15</definedName>
    <definedName name="_2009_fhzzgb_002223.shtml" localSheetId="7">分红!$AAG$1:$AAR$17</definedName>
    <definedName name="_2009_fhzzgb_002230.shtml" localSheetId="7">分红!$IS$1:$JD$16</definedName>
    <definedName name="_2009_fhzzgb_002230.shtml_1" localSheetId="7">分红!$AW$1:$BH$16</definedName>
    <definedName name="_2009_fhzzgb_002382.shtml" localSheetId="7">分红!$ZU$1:$AAF$14</definedName>
    <definedName name="_2009_fhzzgb_002411.shtml" localSheetId="7">分红!$AKW$1:$ALH$13</definedName>
    <definedName name="_2009_fhzzgb_002413.shtml" localSheetId="7">分红!$AKK$1:$AKV$11</definedName>
    <definedName name="_2009_fhzzgb_002415.shtml" localSheetId="7">分红!$AJY$1:$AKJ$15</definedName>
    <definedName name="_2009_fhzzgb_002422.shtml" localSheetId="7">分红!$AEW$1:$AFH$15</definedName>
    <definedName name="_2009_fhzzgb_002423.shtml" localSheetId="7">分红!$AJM$1:$AJX$9</definedName>
    <definedName name="_2009_fhzzgb_002432.shtml" localSheetId="7">分红!$ZI$1:$ZT$8</definedName>
    <definedName name="_2009_fhzzgb_002734.shtml" localSheetId="7">分红!$YW$1:$ZH$10</definedName>
    <definedName name="_2009_fhzzgb_002734.shtml_1" localSheetId="7">分红!$EO$1:$EZ$10</definedName>
    <definedName name="_2009_fhzzgb_002737.shtml" localSheetId="7">分红!$TI$1:$TT$10</definedName>
    <definedName name="_2009_fhzzgb_002756.shtml" localSheetId="7">分红!$ADM$1:$ADX$9</definedName>
    <definedName name="_2009_fhzzgb_002768.shtml" localSheetId="7">分红!$YK$1:$YV$9</definedName>
    <definedName name="_2009_fhzzgb_002832.shtml" localSheetId="7">分红!$LM$1:$LX$8</definedName>
    <definedName name="_2009_fhzzgb_300012.shtml" localSheetId="7">分红!$AHE$1:$AHP$16</definedName>
    <definedName name="_2009_fhzzgb_300016.shtml" localSheetId="7">分红!$VE$1:$VP$16</definedName>
    <definedName name="_2009_fhzzgb_300016.shtml_1" localSheetId="7">分红!$MK$1:$MV$16</definedName>
    <definedName name="_2009_fhzzgb_300132.shtml" localSheetId="7">分红!$ARI$1:$ART$13</definedName>
    <definedName name="_2009_fhzzgb_300132.shtml_1" localSheetId="7">分红!$FY$1:$GJ$13</definedName>
    <definedName name="_2009_fhzzgb_300417.shtml" localSheetId="7">分红!$PE$1:$PP$11</definedName>
    <definedName name="_2009_fhzzgb_300417.shtml_1" localSheetId="7">分红!$OS$1:$PD$11</definedName>
    <definedName name="_2009_fhzzgb_300498.shtml" localSheetId="7">分红!$ASS$1:$ATD$12</definedName>
    <definedName name="_2009_fhzzgb_300498.shtml_1" localSheetId="7">分红!$US$1:$VD$12</definedName>
    <definedName name="_2009_fhzzgb_300498.shtml_2" localSheetId="7">分红!$UG$1:$UR$12</definedName>
    <definedName name="_2009_fhzzgb_300498.shtml_3" localSheetId="7">分红!$TU$1:$UF$12</definedName>
    <definedName name="_2009_fhzzgb_300658.shtml" localSheetId="7">分红!$XY$1:$YJ$7</definedName>
    <definedName name="_2009_fhzzgb_300767.shtml" localSheetId="7">分红!$ALU$1:$AMF$4</definedName>
    <definedName name="_2009_fhzzgb_300782.shtml" localSheetId="7">分红!$ALI$1:$ALT$4</definedName>
    <definedName name="_2009_fhzzgb_600019.shtml" localSheetId="7">分红!$KC$1:$KN$24</definedName>
    <definedName name="_2009_fhzzgb_600031.shtml" localSheetId="7">分红!$AHQ$1:$AIB$23</definedName>
    <definedName name="_2009_fhzzgb_600031.shtml_1" localSheetId="7">分红!$LA$1:$LL$23</definedName>
    <definedName name="_2009_fhzzgb_600031.shtml_2" localSheetId="7">分红!$A$1:$L$23</definedName>
    <definedName name="_2009_fhzzgb_600050.shtml" localSheetId="7">分红!$HU$1:$IF$22</definedName>
    <definedName name="_2009_fhzzgb_600050.shtml_1" localSheetId="7">分红!$CS$1:$DD$22</definedName>
    <definedName name="_2009_fhzzgb_600143.shtml" localSheetId="7">分红!$XM$1:$XX$22</definedName>
    <definedName name="_2009_fhzzgb_600177.shtml" localSheetId="7">分红!$FM$1:$FX$28</definedName>
    <definedName name="_2009_fhzzgb_600230.shtml" localSheetId="7">分红!$APA$1:$APL$22</definedName>
    <definedName name="_2009_fhzzgb_600309.shtml" localSheetId="7">分红!$AFU$1:$AGF$24</definedName>
    <definedName name="_2009_fhzzgb_600352.shtml" localSheetId="7">分红!$ATE$1:$ATP$20</definedName>
    <definedName name="_2009_fhzzgb_600352.shtml_1" localSheetId="7">分红!$JE$1:$JP$20</definedName>
    <definedName name="_2009_fhzzgb_600398.shtml" localSheetId="7">分红!$APM$1:$APX$24</definedName>
    <definedName name="_2009_fhzzgb_600409.shtml" localSheetId="7">分红!$AQW$1:$ARH$21</definedName>
    <definedName name="_2009_fhzzgb_600436.shtml" localSheetId="7">分红!$AMG$1:$AMR$22</definedName>
    <definedName name="_2009_fhzzgb_600507.shtml" localSheetId="7">分红!$RY$1:$SJ$19</definedName>
    <definedName name="_2009_fhzzgb_600519.shtml" localSheetId="7">分红!$AIO$1:$AIZ$24</definedName>
    <definedName name="_2009_fhzzgb_600585.shtml" localSheetId="7">分红!$AQK$1:$AQV$22</definedName>
    <definedName name="_2009_fhzzgb_600585.shtml_1" localSheetId="7">分红!$ANE$1:$ANP$22</definedName>
    <definedName name="_2009_fhzzgb_600585.shtml_2" localSheetId="7">分红!$SK$1:$SV$22</definedName>
    <definedName name="_2009_fhzzgb_600585.shtml_3" localSheetId="7">分红!$RA$1:$RL$22</definedName>
    <definedName name="_2009_fhzzgb_600633.shtml" localSheetId="7">分红!$ABQ$1:$ACB$20</definedName>
    <definedName name="_2009_fhzzgb_600660.shtml" localSheetId="7">分红!$VQ$1:$WB$30</definedName>
    <definedName name="_2009_fhzzgb_600679.shtml" localSheetId="7">分红!$ACC$1:$ACN$8</definedName>
    <definedName name="_2009_fhzzgb_600690.shtml" localSheetId="7">分红!$ACO$1:$ACZ$34</definedName>
    <definedName name="_2009_fhzzgb_600801.shtml" localSheetId="7">分红!$SW$1:$TH$28</definedName>
    <definedName name="_2009_fhzzgb_600801.shtml_1" localSheetId="7">分红!$RM$1:$RX$28</definedName>
    <definedName name="_2009_fhzzgb_600846.shtml" localSheetId="7">分红!$ATQ$1:$AUB$30</definedName>
    <definedName name="_2009_fhzzgb_600975.shtml" localSheetId="7">分红!$AAS$1:$ABD$16</definedName>
    <definedName name="_2009_fhzzgb_601168.shtml" localSheetId="7">分红!$HI$1:$HT$16</definedName>
    <definedName name="_2009_fhzzgb_601225.shtml" localSheetId="7">分红!$ABE$1:$ABP$10</definedName>
    <definedName name="_2009_fhzzgb_601225.shtml_1" localSheetId="7">分红!$XA$1:$XL$10</definedName>
    <definedName name="_2009_fhzzgb_601225.shtml_2" localSheetId="7">分红!$NI$1:$NT$10</definedName>
    <definedName name="_2009_fhzzgb_601225.shtml_3" localSheetId="7">分红!$CG$1:$CR$10</definedName>
    <definedName name="_2009_fhzzgb_601318.shtml" localSheetId="7">分红!$AOC$1:$AON$32</definedName>
    <definedName name="_2009_fhzzgb_601318.shtml_1" localSheetId="7">分红!$QO$1:$QZ$32</definedName>
    <definedName name="_2009_fhzzgb_601390.shtml" localSheetId="7">分红!$DQ$1:$EB$15</definedName>
    <definedName name="_2009_fhzzgb_601668.shtml" localSheetId="7">分红!$DE$1:$DP$15</definedName>
    <definedName name="_2009_fhzzgb_601766.shtml" localSheetId="7">分红!$BU$1:$CF$16</definedName>
    <definedName name="_2009_fhzzgb_603027.shtml" localSheetId="7">分红!$IG$1:$IR$9</definedName>
    <definedName name="_2009_fhzzgb_603129.shtml" localSheetId="7">分红!$AEK$1:$AEV$7</definedName>
    <definedName name="_2009_fhzzgb_603609.shtml" localSheetId="7">分红!$APY$1:$AQJ$11</definedName>
    <definedName name="_2009_fhzzgb_603609.shtml_1" localSheetId="7">分红!$MW$1:$NH$11</definedName>
    <definedName name="_2009_fhzzgb_603639.shtml" localSheetId="7">分红!$EC$1:$EN$8</definedName>
    <definedName name="_2009_fhzzgb_603737.shtml" localSheetId="7">分红!$M$1:$X$9</definedName>
    <definedName name="_2009_fhzzgb_688981.shtml" localSheetId="7">分红!$JQ$1:$KB$4</definedName>
    <definedName name="_xlnm._FilterDatabase" localSheetId="1" hidden="1">BS!$A$1:$W$146</definedName>
    <definedName name="_xlnm._FilterDatabase" localSheetId="4" hidden="1">'BS (分析)'!$A$9:$E$43</definedName>
    <definedName name="_xlnm._FilterDatabase" localSheetId="15" hidden="1">BS数据!$A$1:$O$116</definedName>
    <definedName name="_xlnm._FilterDatabase" localSheetId="2" hidden="1">PL!$A$1:$G$50</definedName>
    <definedName name="_xlnm._FilterDatabase" localSheetId="16" hidden="1">PL数据!$A$1:$O$47</definedName>
    <definedName name="_xlnm._FilterDatabase" localSheetId="10" hidden="1">管理名称!$A$1:$B$172</definedName>
    <definedName name="lrb_000002.html?type_year" localSheetId="16">PL数据!$A$1:$A$47</definedName>
    <definedName name="lrb_000002.html?type_year" localSheetId="19">PL原始数据!#REF!</definedName>
    <definedName name="lrb_000002.html?type_year_1" localSheetId="16">PL数据!$B$1:$P$47</definedName>
    <definedName name="lrb_000002.html?type_year_1" localSheetId="19">PL原始数据!#REF!</definedName>
    <definedName name="lrb_000002.html?type_year_2" localSheetId="16">PL数据!$B$1:$P$47</definedName>
    <definedName name="lrb_000002.html?type_year_2" localSheetId="19">PL原始数据!#REF!</definedName>
    <definedName name="lrb_000002.html?type_year_3" localSheetId="16">PL数据!$A$1:$A$47</definedName>
    <definedName name="lrb_000002.html?type_year_3" localSheetId="19">PL原始数据!#REF!</definedName>
    <definedName name="lrb_000002.html?type_year_4" localSheetId="16">PL数据!$B$1:$P$47</definedName>
    <definedName name="lrb_000002.html?type_year_5" localSheetId="16">PL数据!$A$1:$A$47</definedName>
    <definedName name="lrb_000002.html?type_year_6" localSheetId="16">PL数据!$B$1:$P$47</definedName>
    <definedName name="lrb_000002.html?type_year_7" localSheetId="16">PL数据!$A$1:$A$47</definedName>
    <definedName name="lrb_000157.html?type_year" localSheetId="16">PL数据!$A$1:$A$47</definedName>
    <definedName name="lrb_000157.html?type_year" localSheetId="19">PL原始数据!#REF!</definedName>
    <definedName name="lrb_000157.html?type_year_1" localSheetId="16">PL数据!$B$1:$O$47</definedName>
    <definedName name="lrb_000157.html?type_year_1" localSheetId="19">PL原始数据!#REF!</definedName>
    <definedName name="lrb_000333.html?type_year" localSheetId="19">PL原始数据!#REF!</definedName>
    <definedName name="lrb_000333.html?type_year_1" localSheetId="19">PL原始数据!#REF!</definedName>
    <definedName name="lrb_000338.html?type_year" localSheetId="16">PL数据!$A$1:$A$47</definedName>
    <definedName name="lrb_000338.html?type_year" localSheetId="19">PL原始数据!#REF!</definedName>
    <definedName name="lrb_000338.html?type_year_1" localSheetId="16">PL数据!$B$1:$O$47</definedName>
    <definedName name="lrb_000338.html?type_year_1" localSheetId="19">PL原始数据!#REF!</definedName>
    <definedName name="lrb_000338.html?type_year_2" localSheetId="16">PL数据!$B$1:$O$47</definedName>
    <definedName name="lrb_000338.html?type_year_3" localSheetId="16">PL数据!$A$1:$A$47</definedName>
    <definedName name="lrb_000423.html?type_year" localSheetId="19">PL原始数据!#REF!</definedName>
    <definedName name="lrb_000423.html?type_year_1" localSheetId="19">PL原始数据!#REF!</definedName>
    <definedName name="lrb_000528.html?type_year" localSheetId="19">PL原始数据!#REF!</definedName>
    <definedName name="lrb_000528.html?type_year_1" localSheetId="19">PL原始数据!#REF!</definedName>
    <definedName name="lrb_000581.html?type_year" localSheetId="16">PL数据!$A$1:$A$47</definedName>
    <definedName name="lrb_000581.html?type_year" localSheetId="19">PL原始数据!#REF!</definedName>
    <definedName name="lrb_000581.html?type_year_1" localSheetId="16">PL数据!$B$1:$O$47</definedName>
    <definedName name="lrb_000581.html?type_year_1" localSheetId="19">PL原始数据!#REF!</definedName>
    <definedName name="lrb_000651.html?type_year" localSheetId="16">PL数据!$A$1:$A$47</definedName>
    <definedName name="lrb_000651.html?type_year" localSheetId="19">PL原始数据!#REF!</definedName>
    <definedName name="lrb_000651.html?type_year_1" localSheetId="16">PL数据!$B$1:$O$47</definedName>
    <definedName name="lrb_000651.html?type_year_1" localSheetId="19">PL原始数据!#REF!</definedName>
    <definedName name="lrb_000651.html?type_year_2" localSheetId="16">PL数据!$B$1:$O$47</definedName>
    <definedName name="lrb_000651.html?type_year_3" localSheetId="16">PL数据!$A$1:$A$47</definedName>
    <definedName name="lrb_000672.html?type_year" localSheetId="16">PL数据!$A$1:$A$47</definedName>
    <definedName name="lrb_000672.html?type_year" localSheetId="19">PL原始数据!#REF!</definedName>
    <definedName name="lrb_000672.html?type_year_1" localSheetId="16">PL数据!$B$1:$O$47</definedName>
    <definedName name="lrb_000672.html?type_year_1" localSheetId="19">PL原始数据!#REF!</definedName>
    <definedName name="lrb_000672.html?type_year_2" localSheetId="16">PL数据!$B$1:$O$47</definedName>
    <definedName name="lrb_000672.html?type_year_2" localSheetId="19">PL原始数据!#REF!</definedName>
    <definedName name="lrb_000672.html?type_year_3" localSheetId="16">PL数据!$A$1:$A$47</definedName>
    <definedName name="lrb_000672.html?type_year_3" localSheetId="19">PL原始数据!#REF!</definedName>
    <definedName name="lrb_000725.html?type_year" localSheetId="16">PL数据!$A$1:$A$47</definedName>
    <definedName name="lrb_000725.html?type_year" localSheetId="19">PL原始数据!#REF!</definedName>
    <definedName name="lrb_000725.html?type_year_1" localSheetId="16">PL数据!$B$1:$O$47</definedName>
    <definedName name="lrb_000725.html?type_year_1" localSheetId="19">PL原始数据!#REF!</definedName>
    <definedName name="lrb_000858.html?type_year" localSheetId="19">PL原始数据!#REF!</definedName>
    <definedName name="lrb_000858.html?type_year_1" localSheetId="19">PL原始数据!#REF!</definedName>
    <definedName name="lrb_000963.html?type_year" localSheetId="16">PL数据!$A$1:$A$47</definedName>
    <definedName name="lrb_000963.html?type_year" localSheetId="19">PL原始数据!#REF!</definedName>
    <definedName name="lrb_000963.html?type_year_1" localSheetId="16">PL数据!$B$1:$O$47</definedName>
    <definedName name="lrb_000963.html?type_year_1" localSheetId="19">PL原始数据!#REF!</definedName>
    <definedName name="lrb_002008.html?type_year" localSheetId="19">PL原始数据!#REF!</definedName>
    <definedName name="lrb_002008.html?type_year_1" localSheetId="19">PL原始数据!#REF!</definedName>
    <definedName name="lrb_002124.html?type_year" localSheetId="16">PL数据!$A$1:$A$47</definedName>
    <definedName name="lrb_002124.html?type_year" localSheetId="19">PL原始数据!#REF!</definedName>
    <definedName name="lrb_002124.html?type_year_1" localSheetId="16">PL数据!$B$1:$O$47</definedName>
    <definedName name="lrb_002124.html?type_year_1" localSheetId="19">PL原始数据!#REF!</definedName>
    <definedName name="lrb_002223.html?type_year" localSheetId="19">PL原始数据!#REF!</definedName>
    <definedName name="lrb_002223.html?type_year_1" localSheetId="19">PL原始数据!#REF!</definedName>
    <definedName name="lrb_002230.html?type_year" localSheetId="16">PL数据!$A$1:$A$47</definedName>
    <definedName name="lrb_002230.html?type_year" localSheetId="19">PL原始数据!#REF!</definedName>
    <definedName name="lrb_002230.html?type_year_1" localSheetId="16">PL数据!$B$1:$P$47</definedName>
    <definedName name="lrb_002230.html?type_year_1" localSheetId="19">PL原始数据!#REF!</definedName>
    <definedName name="lrb_002230.html?type_year_2" localSheetId="16">PL数据!$B$1:$P$47</definedName>
    <definedName name="lrb_002230.html?type_year_3" localSheetId="16">PL数据!$A$1:$A$47</definedName>
    <definedName name="lrb_002236.html?type_year" localSheetId="16">PL数据!$A$1:$A$47</definedName>
    <definedName name="lrb_002236.html?type_year" localSheetId="19">PL原始数据!#REF!</definedName>
    <definedName name="lrb_002236.html?type_year_1" localSheetId="16">PL数据!$B$1:$P$47</definedName>
    <definedName name="lrb_002236.html?type_year_1" localSheetId="19">PL原始数据!#REF!</definedName>
    <definedName name="lrb_002382.html?type_year" localSheetId="19">PL原始数据!#REF!</definedName>
    <definedName name="lrb_002382.html?type_year_1" localSheetId="19">PL原始数据!#REF!</definedName>
    <definedName name="lrb_002411.html?type_year" localSheetId="19">PL原始数据!#REF!</definedName>
    <definedName name="lrb_002411.html?type_year_1" localSheetId="19">PL原始数据!#REF!</definedName>
    <definedName name="lrb_002413.html?type_year" localSheetId="19">PL原始数据!#REF!</definedName>
    <definedName name="lrb_002413.html?type_year_1" localSheetId="19">PL原始数据!#REF!</definedName>
    <definedName name="lrb_002415.html?type_year" localSheetId="19">PL原始数据!#REF!</definedName>
    <definedName name="lrb_002415.html?type_year_1" localSheetId="19">PL原始数据!#REF!</definedName>
    <definedName name="lrb_002422.html?type_year" localSheetId="19">PL原始数据!#REF!</definedName>
    <definedName name="lrb_002422.html?type_year_1" localSheetId="19">PL原始数据!#REF!</definedName>
    <definedName name="lrb_002423.html?type_year" localSheetId="19">PL原始数据!#REF!</definedName>
    <definedName name="lrb_002423.html?type_year_1" localSheetId="19">PL原始数据!#REF!</definedName>
    <definedName name="lrb_002432.html?type_year" localSheetId="19">PL原始数据!#REF!</definedName>
    <definedName name="lrb_002432.html?type_year_1" localSheetId="19">PL原始数据!#REF!</definedName>
    <definedName name="lrb_002734.html?type_year" localSheetId="16">PL数据!$A$1:$A$47</definedName>
    <definedName name="lrb_002734.html?type_year" localSheetId="19">PL原始数据!#REF!</definedName>
    <definedName name="lrb_002734.html?type_year_1" localSheetId="16">PL数据!$B$1:$M$47</definedName>
    <definedName name="lrb_002734.html?type_year_1" localSheetId="19">PL原始数据!#REF!</definedName>
    <definedName name="lrb_002737.html?type_year" localSheetId="16">PL数据!$A$1:$A$47</definedName>
    <definedName name="lrb_002737.html?type_year" localSheetId="19">PL原始数据!#REF!</definedName>
    <definedName name="lrb_002737.html?type_year_1" localSheetId="16">PL数据!$B$1:$J$47</definedName>
    <definedName name="lrb_002737.html?type_year_1" localSheetId="19">PL原始数据!#REF!</definedName>
    <definedName name="lrb_002756.html?type_year" localSheetId="19">PL原始数据!#REF!</definedName>
    <definedName name="lrb_002756.html?type_year_1" localSheetId="19">PL原始数据!#REF!</definedName>
    <definedName name="lrb_002768.html?type_year" localSheetId="19">PL原始数据!#REF!</definedName>
    <definedName name="lrb_002768.html?type_year_1" localSheetId="19">PL原始数据!#REF!</definedName>
    <definedName name="lrb_002832.html?type_year" localSheetId="16">PL数据!$A$1:$A$47</definedName>
    <definedName name="lrb_002832.html?type_year" localSheetId="19">PL原始数据!#REF!</definedName>
    <definedName name="lrb_002832.html?type_year_1" localSheetId="16">PL数据!$B$1:$J$47</definedName>
    <definedName name="lrb_002832.html?type_year_1" localSheetId="19">PL原始数据!#REF!</definedName>
    <definedName name="lrb_300012.html?type_year" localSheetId="19">PL原始数据!#REF!</definedName>
    <definedName name="lrb_300012.html?type_year_1" localSheetId="19">PL原始数据!#REF!</definedName>
    <definedName name="lrb_300016.html?type_year" localSheetId="16">PL数据!$A$1:$A$47</definedName>
    <definedName name="lrb_300016.html?type_year" localSheetId="19">PL原始数据!#REF!</definedName>
    <definedName name="lrb_300016.html?type_year_1" localSheetId="16">PL数据!$B$1:$O$47</definedName>
    <definedName name="lrb_300016.html?type_year_1" localSheetId="19">PL原始数据!#REF!</definedName>
    <definedName name="lrb_300030.html?type_year" localSheetId="19">PL原始数据!#REF!</definedName>
    <definedName name="lrb_300030.html?type_year_1" localSheetId="19">PL原始数据!#REF!</definedName>
    <definedName name="lrb_300132.html?type_year" localSheetId="16">PL数据!$A$1:$A$47</definedName>
    <definedName name="lrb_300132.html?type_year" localSheetId="19">PL原始数据!#REF!</definedName>
    <definedName name="lrb_300132.html?type_year_1" localSheetId="16">PL数据!$B$1:$N$47</definedName>
    <definedName name="lrb_300132.html?type_year_1" localSheetId="19">PL原始数据!#REF!</definedName>
    <definedName name="lrb_300417.html?type_year" localSheetId="16">PL数据!$A$1:$A$47</definedName>
    <definedName name="lrb_300417.html?type_year" localSheetId="19">PL原始数据!#REF!</definedName>
    <definedName name="lrb_300417.html?type_year_1" localSheetId="16">PL数据!$B$1:$J$47</definedName>
    <definedName name="lrb_300417.html?type_year_1" localSheetId="19">PL原始数据!#REF!</definedName>
    <definedName name="lrb_300417.html?type_year_2" localSheetId="16">PL数据!$A$1:$A$47</definedName>
    <definedName name="lrb_300417.html?type_year_2" localSheetId="19">PL原始数据!#REF!</definedName>
    <definedName name="lrb_300417.html?type_year_3" localSheetId="16">PL数据!$B$1:$J$47</definedName>
    <definedName name="lrb_300417.html?type_year_3" localSheetId="19">PL原始数据!#REF!</definedName>
    <definedName name="lrb_300498.html?type_year" localSheetId="16">PL数据!$A$1:$A$47</definedName>
    <definedName name="lrb_300498.html?type_year" localSheetId="19">PL原始数据!#REF!</definedName>
    <definedName name="lrb_300498.html?type_year_1" localSheetId="16">PL数据!$B$1:$N$47</definedName>
    <definedName name="lrb_300498.html?type_year_1" localSheetId="19">PL原始数据!#REF!</definedName>
    <definedName name="lrb_300498.html?type_year_2" localSheetId="16">PL数据!$A$1:$A$47</definedName>
    <definedName name="lrb_300498.html?type_year_2" localSheetId="19">PL原始数据!#REF!</definedName>
    <definedName name="lrb_300498.html?type_year_3" localSheetId="16">PL数据!$B$1:$N$47</definedName>
    <definedName name="lrb_300498.html?type_year_3" localSheetId="19">PL原始数据!#REF!</definedName>
    <definedName name="lrb_300498.html?type_year_4" localSheetId="16">PL数据!$A$1:$A$47</definedName>
    <definedName name="lrb_300498.html?type_year_4" localSheetId="19">PL原始数据!#REF!</definedName>
    <definedName name="lrb_300498.html?type_year_5" localSheetId="16">PL数据!$B$1:$N$47</definedName>
    <definedName name="lrb_300498.html?type_year_5" localSheetId="19">PL原始数据!#REF!</definedName>
    <definedName name="lrb_300658.html?type_year" localSheetId="19">PL原始数据!#REF!</definedName>
    <definedName name="lrb_300658.html?type_year_1" localSheetId="19">PL原始数据!#REF!</definedName>
    <definedName name="lrb_300767.html?type_year" localSheetId="19">PL原始数据!#REF!</definedName>
    <definedName name="lrb_300767.html?type_year_1" localSheetId="19">PL原始数据!#REF!</definedName>
    <definedName name="lrb_300782.html?type_year" localSheetId="19">PL原始数据!#REF!</definedName>
    <definedName name="lrb_300782.html?type_year_1" localSheetId="19">PL原始数据!#REF!</definedName>
    <definedName name="lrb_600019.html?type_year" localSheetId="16">PL数据!$A$1:$A$47</definedName>
    <definedName name="lrb_600019.html?type_year" localSheetId="19">PL原始数据!#REF!</definedName>
    <definedName name="lrb_600019.html?type_year_1" localSheetId="16">PL数据!$B$1:$O$47</definedName>
    <definedName name="lrb_600019.html?type_year_1" localSheetId="19">PL原始数据!#REF!</definedName>
    <definedName name="lrb_600031.html?type_year" localSheetId="16">PL数据!$A$1:$A$47</definedName>
    <definedName name="lrb_600031.html?type_year" localSheetId="19">PL原始数据!$A$1:$A$47</definedName>
    <definedName name="lrb_600031.html?type_year_1" localSheetId="16">PL数据!$B$1:$O$47</definedName>
    <definedName name="lrb_600031.html?type_year_1" localSheetId="19">PL原始数据!$B$1:$O$47</definedName>
    <definedName name="lrb_600031.html?type_year_2" localSheetId="16">PL数据!$B$1:$O$47</definedName>
    <definedName name="lrb_600031.html?type_year_3" localSheetId="16">PL数据!$A$1:$A$47</definedName>
    <definedName name="lrb_600050.html?type_year" localSheetId="16">PL数据!$A$1:$A$47</definedName>
    <definedName name="lrb_600050.html?type_year" localSheetId="19">PL原始数据!#REF!</definedName>
    <definedName name="lrb_600050.html?type_year_1" localSheetId="16">PL数据!$B$1:$O$47</definedName>
    <definedName name="lrb_600050.html?type_year_1" localSheetId="19">PL原始数据!#REF!</definedName>
    <definedName name="lrb_600050.html?type_year_2" localSheetId="16">PL数据!$B$1:$O$47</definedName>
    <definedName name="lrb_600050.html?type_year_3" localSheetId="16">PL数据!$A$1:$A$47</definedName>
    <definedName name="lrb_600143.html?type_year" localSheetId="19">PL原始数据!#REF!</definedName>
    <definedName name="lrb_600143.html?type_year_1" localSheetId="19">PL原始数据!#REF!</definedName>
    <definedName name="lrb_600177.html?type_year" localSheetId="16">PL数据!$A$1:$A$47</definedName>
    <definedName name="lrb_600177.html?type_year" localSheetId="19">PL原始数据!#REF!</definedName>
    <definedName name="lrb_600177.html?type_year_1" localSheetId="16">PL数据!$B$1:$O$47</definedName>
    <definedName name="lrb_600177.html?type_year_1" localSheetId="19">PL原始数据!#REF!</definedName>
    <definedName name="lrb_600230.html?type_year" localSheetId="19">PL原始数据!#REF!</definedName>
    <definedName name="lrb_600230.html?type_year_1" localSheetId="19">PL原始数据!#REF!</definedName>
    <definedName name="lrb_600309.html?type_year" localSheetId="19">PL原始数据!#REF!</definedName>
    <definedName name="lrb_600309.html?type_year_1" localSheetId="19">PL原始数据!#REF!</definedName>
    <definedName name="lrb_600352.html?type_year" localSheetId="16">PL数据!$A$1:$A$47</definedName>
    <definedName name="lrb_600352.html?type_year" localSheetId="19">PL原始数据!#REF!</definedName>
    <definedName name="lrb_600352.html?type_year_1" localSheetId="16">PL数据!$B$1:$O$47</definedName>
    <definedName name="lrb_600352.html?type_year_1" localSheetId="19">PL原始数据!#REF!</definedName>
    <definedName name="lrb_600352.html?type_year_2" localSheetId="16">PL数据!$A$1:$A$47</definedName>
    <definedName name="lrb_600352.html?type_year_2" localSheetId="19">PL原始数据!#REF!</definedName>
    <definedName name="lrb_600352.html?type_year_3" localSheetId="16">PL数据!$B$1:$O$47</definedName>
    <definedName name="lrb_600352.html?type_year_3" localSheetId="19">PL原始数据!#REF!</definedName>
    <definedName name="lrb_600352.html?type_year_4" localSheetId="16">PL数据!$B$1:$O$47</definedName>
    <definedName name="lrb_600352.html?type_year_5" localSheetId="16">PL数据!$A$1:$A$47</definedName>
    <definedName name="lrb_600398.html?type_year" localSheetId="19">PL原始数据!#REF!</definedName>
    <definedName name="lrb_600398.html?type_year_1" localSheetId="19">PL原始数据!#REF!</definedName>
    <definedName name="lrb_600409.html?type_year" localSheetId="19">PL原始数据!#REF!</definedName>
    <definedName name="lrb_600409.html?type_year_1" localSheetId="19">PL原始数据!#REF!</definedName>
    <definedName name="lrb_600436.html?type_year" localSheetId="19">PL原始数据!#REF!</definedName>
    <definedName name="lrb_600436.html?type_year_1" localSheetId="19">PL原始数据!#REF!</definedName>
    <definedName name="lrb_600477.html?type_year" localSheetId="19">PL原始数据!#REF!</definedName>
    <definedName name="lrb_600477.html?type_year_1" localSheetId="19">PL原始数据!#REF!</definedName>
    <definedName name="lrb_600507.html?type_year" localSheetId="16">PL数据!$A$1:$A$47</definedName>
    <definedName name="lrb_600507.html?type_year" localSheetId="19">PL原始数据!#REF!</definedName>
    <definedName name="lrb_600507.html?type_year_1" localSheetId="16">PL数据!$B$1:$O$47</definedName>
    <definedName name="lrb_600507.html?type_year_1" localSheetId="19">PL原始数据!#REF!</definedName>
    <definedName name="lrb_600519.html?type_year" localSheetId="19">PL原始数据!#REF!</definedName>
    <definedName name="lrb_600519.html?type_year_1" localSheetId="19">PL原始数据!#REF!</definedName>
    <definedName name="lrb_600585.html?type_year" localSheetId="16">PL数据!$A$1:$A$47</definedName>
    <definedName name="lrb_600585.html?type_year" localSheetId="19">PL原始数据!#REF!</definedName>
    <definedName name="lrb_600585.html?type_year_1" localSheetId="16">PL数据!$B$1:$O$47</definedName>
    <definedName name="lrb_600585.html?type_year_1" localSheetId="19">PL原始数据!#REF!</definedName>
    <definedName name="lrb_600585.html?type_year_2" localSheetId="19">PL原始数据!#REF!</definedName>
    <definedName name="lrb_600585.html?type_year_3" localSheetId="19">PL原始数据!#REF!</definedName>
    <definedName name="lrb_600585.html?type_year_4" localSheetId="16">PL数据!$A$1:$A$47</definedName>
    <definedName name="lrb_600585.html?type_year_4" localSheetId="19">PL原始数据!#REF!</definedName>
    <definedName name="lrb_600585.html?type_year_5" localSheetId="16">PL数据!$B$1:$O$47</definedName>
    <definedName name="lrb_600585.html?type_year_5" localSheetId="19">PL原始数据!#REF!</definedName>
    <definedName name="lrb_600585.html?type_year_6" localSheetId="16">PL数据!$A$1:$A$47</definedName>
    <definedName name="lrb_600585.html?type_year_6" localSheetId="19">PL原始数据!#REF!</definedName>
    <definedName name="lrb_600585.html?type_year_7" localSheetId="16">PL数据!$B$1:$O$47</definedName>
    <definedName name="lrb_600585.html?type_year_7" localSheetId="19">PL原始数据!#REF!</definedName>
    <definedName name="lrb_600633.html?type_year" localSheetId="19">PL原始数据!#REF!</definedName>
    <definedName name="lrb_600633.html?type_year_1" localSheetId="19">PL原始数据!#REF!</definedName>
    <definedName name="lrb_600660.html?type_year" localSheetId="19">PL原始数据!#REF!</definedName>
    <definedName name="lrb_600660.html?type_year_1" localSheetId="19">PL原始数据!#REF!</definedName>
    <definedName name="lrb_600679.html?type_year" localSheetId="19">PL原始数据!#REF!</definedName>
    <definedName name="lrb_600679.html?type_year_1" localSheetId="19">PL原始数据!#REF!</definedName>
    <definedName name="lrb_600690.html?type_year" localSheetId="19">PL原始数据!#REF!</definedName>
    <definedName name="lrb_600690.html?type_year_1" localSheetId="19">PL原始数据!#REF!</definedName>
    <definedName name="lrb_600801.html?type_year" localSheetId="16">PL数据!$A$1:$A$47</definedName>
    <definedName name="lrb_600801.html?type_year" localSheetId="19">PL原始数据!#REF!</definedName>
    <definedName name="lrb_600801.html?type_year_1" localSheetId="16">PL数据!$B$1:$O$47</definedName>
    <definedName name="lrb_600801.html?type_year_1" localSheetId="19">PL原始数据!#REF!</definedName>
    <definedName name="lrb_600801.html?type_year_2" localSheetId="16">PL数据!$A$1:$A$47</definedName>
    <definedName name="lrb_600801.html?type_year_2" localSheetId="19">PL原始数据!#REF!</definedName>
    <definedName name="lrb_600801.html?type_year_3" localSheetId="16">PL数据!$B$1:$O$47</definedName>
    <definedName name="lrb_600801.html?type_year_3" localSheetId="19">PL原始数据!#REF!</definedName>
    <definedName name="lrb_600846.html?type_year" localSheetId="19">PL原始数据!#REF!</definedName>
    <definedName name="lrb_600846.html?type_year_1" localSheetId="19">PL原始数据!#REF!</definedName>
    <definedName name="lrb_600975.html?type_year" localSheetId="19">PL原始数据!#REF!</definedName>
    <definedName name="lrb_600975.html?type_year_1" localSheetId="19">PL原始数据!#REF!</definedName>
    <definedName name="lrb_601168.html?type_year" localSheetId="16">PL数据!$A$1:$A$47</definedName>
    <definedName name="lrb_601168.html?type_year" localSheetId="19">PL原始数据!#REF!</definedName>
    <definedName name="lrb_601168.html?type_year_1" localSheetId="16">PL数据!$B$1:$Q$47</definedName>
    <definedName name="lrb_601168.html?type_year_1" localSheetId="19">PL原始数据!#REF!</definedName>
    <definedName name="lrb_601225.html?type_year" localSheetId="16">PL数据!$A$1:$A$47</definedName>
    <definedName name="lrb_601225.html?type_year" localSheetId="19">PL原始数据!#REF!</definedName>
    <definedName name="lrb_601225.html?type_year_1" localSheetId="16">PL数据!$B$1:$N$47</definedName>
    <definedName name="lrb_601225.html?type_year_1" localSheetId="19">PL原始数据!#REF!</definedName>
    <definedName name="lrb_601225.html?type_year_2" localSheetId="16">PL数据!$B$1:$N$47</definedName>
    <definedName name="lrb_601225.html?type_year_2" localSheetId="19">PL原始数据!#REF!</definedName>
    <definedName name="lrb_601225.html?type_year_3" localSheetId="16">PL数据!$A$1:$A$47</definedName>
    <definedName name="lrb_601225.html?type_year_3" localSheetId="19">PL原始数据!#REF!</definedName>
    <definedName name="lrb_601318.html?type_year" localSheetId="16">PL数据!$A$1:$A$47</definedName>
    <definedName name="lrb_601318.html?type_year" localSheetId="19">PL原始数据!#REF!</definedName>
    <definedName name="lrb_601318.html?type_year_1" localSheetId="16">PL数据!$B$1:$O$47</definedName>
    <definedName name="lrb_601318.html?type_year_1" localSheetId="19">PL原始数据!#REF!</definedName>
    <definedName name="lrb_601390.html?type_year" localSheetId="16">PL数据!$A$1:$A$47</definedName>
    <definedName name="lrb_601390.html?type_year" localSheetId="19">PL原始数据!#REF!</definedName>
    <definedName name="lrb_601390.html?type_year_1" localSheetId="16">PL数据!$B$1:$Q$47</definedName>
    <definedName name="lrb_601390.html?type_year_1" localSheetId="19">PL原始数据!#REF!</definedName>
    <definedName name="lrb_601668.html?type_year" localSheetId="16">PL数据!$A$1:$A$47</definedName>
    <definedName name="lrb_601668.html?type_year" localSheetId="19">PL原始数据!#REF!</definedName>
    <definedName name="lrb_601668.html?type_year_1" localSheetId="16">PL数据!$B$1:$P$47</definedName>
    <definedName name="lrb_601668.html?type_year_1" localSheetId="19">PL原始数据!#REF!</definedName>
    <definedName name="lrb_601766.html?type_year" localSheetId="16">PL数据!$A$1:$A$47</definedName>
    <definedName name="lrb_601766.html?type_year" localSheetId="19">PL原始数据!#REF!</definedName>
    <definedName name="lrb_601766.html?type_year_1" localSheetId="16">PL数据!$B$1:$P$47</definedName>
    <definedName name="lrb_601766.html?type_year_1" localSheetId="19">PL原始数据!#REF!</definedName>
    <definedName name="lrb_601777.html?type_year" localSheetId="16">PL数据!$A$1:$A$47</definedName>
    <definedName name="lrb_601777.html?type_year" localSheetId="19">PL原始数据!#REF!</definedName>
    <definedName name="lrb_601777.html?type_year_1" localSheetId="16">PL数据!$B$1:$N$47</definedName>
    <definedName name="lrb_601777.html?type_year_1" localSheetId="19">PL原始数据!#REF!</definedName>
    <definedName name="lrb_603027.html?type_year" localSheetId="16">PL数据!$A$1:$A$47</definedName>
    <definedName name="lrb_603027.html?type_year" localSheetId="19">PL原始数据!#REF!</definedName>
    <definedName name="lrb_603027.html?type_year_1" localSheetId="16">PL数据!$B$1:$J$47</definedName>
    <definedName name="lrb_603027.html?type_year_1" localSheetId="19">PL原始数据!#REF!</definedName>
    <definedName name="lrb_603129.html?type_year" localSheetId="19">PL原始数据!#REF!</definedName>
    <definedName name="lrb_603129.html?type_year_1" localSheetId="19">PL原始数据!#REF!</definedName>
    <definedName name="lrb_603238.html?type_year" localSheetId="19">PL原始数据!#REF!</definedName>
    <definedName name="lrb_603238.html?type_year_1" localSheetId="19">PL原始数据!#REF!</definedName>
    <definedName name="lrb_603301.html?type_year" localSheetId="19">PL原始数据!#REF!</definedName>
    <definedName name="lrb_603301.html?type_year_1" localSheetId="19">PL原始数据!#REF!</definedName>
    <definedName name="lrb_603609.html?type_year" localSheetId="16">PL数据!$A$1:$A$47</definedName>
    <definedName name="lrb_603609.html?type_year" localSheetId="19">PL原始数据!#REF!</definedName>
    <definedName name="lrb_603609.html?type_year_1" localSheetId="16">PL数据!$B$1:$L$47</definedName>
    <definedName name="lrb_603609.html?type_year_1" localSheetId="19">PL原始数据!#REF!</definedName>
    <definedName name="lrb_603639.html?type_year" localSheetId="16">PL数据!$A$1:$A$47</definedName>
    <definedName name="lrb_603639.html?type_year" localSheetId="19">PL原始数据!#REF!</definedName>
    <definedName name="lrb_603639.html?type_year_1" localSheetId="16">PL数据!$B$1:$J$47</definedName>
    <definedName name="lrb_603639.html?type_year_1" localSheetId="19">PL原始数据!#REF!</definedName>
    <definedName name="lrb_603737.html?type_year" localSheetId="16">PL数据!$A$1:$A$47</definedName>
    <definedName name="lrb_603737.html?type_year" localSheetId="19">PL原始数据!#REF!</definedName>
    <definedName name="lrb_603737.html?type_year_1" localSheetId="16">PL数据!$B$1:$J$47</definedName>
    <definedName name="lrb_603737.html?type_year_1" localSheetId="19">PL原始数据!#REF!</definedName>
    <definedName name="lrb_688981.html?type_year" localSheetId="16">PL数据!$A$1:$A$47</definedName>
    <definedName name="lrb_688981.html?type_year" localSheetId="19">PL原始数据!#REF!</definedName>
    <definedName name="lrb_688981.html?type_year_1" localSheetId="16">PL数据!$B$1:$I$47</definedName>
    <definedName name="lrb_688981.html?type_year_1" localSheetId="19">PL原始数据!#REF!</definedName>
    <definedName name="xjllb_000002.html?type_year" localSheetId="17">CF数据!$A$1:$A$99</definedName>
    <definedName name="xjllb_000002.html?type_year" localSheetId="20">CF原始数据!#REF!</definedName>
    <definedName name="xjllb_000002.html?type_year_1" localSheetId="17">CF数据!$B$1:$P$99</definedName>
    <definedName name="xjllb_000002.html?type_year_1" localSheetId="20">CF原始数据!#REF!</definedName>
    <definedName name="xjllb_000002.html?type_year_2" localSheetId="17">CF数据!$B$1:$P$99</definedName>
    <definedName name="xjllb_000002.html?type_year_2" localSheetId="20">CF原始数据!#REF!</definedName>
    <definedName name="xjllb_000002.html?type_year_3" localSheetId="17">CF数据!$A$1:$A$99</definedName>
    <definedName name="xjllb_000002.html?type_year_3" localSheetId="20">CF原始数据!#REF!</definedName>
    <definedName name="xjllb_000002.html?type_year_4" localSheetId="17">CF数据!$B$1:$P$99</definedName>
    <definedName name="xjllb_000002.html?type_year_5" localSheetId="17">CF数据!$A$1:$A$99</definedName>
    <definedName name="xjllb_000002.html?type_year_6" localSheetId="17">CF数据!$B$1:$P$99</definedName>
    <definedName name="xjllb_000002.html?type_year_7" localSheetId="17">CF数据!$A$1:$A$99</definedName>
    <definedName name="xjllb_000157.html?type_year" localSheetId="17">CF数据!$A$1:$A$99</definedName>
    <definedName name="xjllb_000157.html?type_year" localSheetId="20">CF原始数据!#REF!</definedName>
    <definedName name="xjllb_000157.html?type_year_1" localSheetId="17">CF数据!$B$1:$O$99</definedName>
    <definedName name="xjllb_000157.html?type_year_1" localSheetId="20">CF原始数据!#REF!</definedName>
    <definedName name="xjllb_000333.html?type_year" localSheetId="20">CF原始数据!#REF!</definedName>
    <definedName name="xjllb_000333.html?type_year_1" localSheetId="20">CF原始数据!#REF!</definedName>
    <definedName name="xjllb_000338.html?type_year" localSheetId="17">CF数据!$A$1:$A$99</definedName>
    <definedName name="xjllb_000338.html?type_year" localSheetId="20">CF原始数据!#REF!</definedName>
    <definedName name="xjllb_000338.html?type_year_1" localSheetId="17">CF数据!$B$1:$O$99</definedName>
    <definedName name="xjllb_000338.html?type_year_1" localSheetId="20">CF原始数据!#REF!</definedName>
    <definedName name="xjllb_000338.html?type_year_2" localSheetId="17">CF数据!$B$1:$O$99</definedName>
    <definedName name="xjllb_000338.html?type_year_3" localSheetId="17">CF数据!$A$1:$A$99</definedName>
    <definedName name="xjllb_000423.html?type_year" localSheetId="20">CF原始数据!#REF!</definedName>
    <definedName name="xjllb_000423.html?type_year_1" localSheetId="20">CF原始数据!#REF!</definedName>
    <definedName name="xjllb_000528.html?type_year" localSheetId="20">CF原始数据!#REF!</definedName>
    <definedName name="xjllb_000528.html?type_year_1" localSheetId="20">CF原始数据!#REF!</definedName>
    <definedName name="xjllb_000581.html?type_year" localSheetId="17">CF数据!$A$1:$A$99</definedName>
    <definedName name="xjllb_000581.html?type_year" localSheetId="20">CF原始数据!#REF!</definedName>
    <definedName name="xjllb_000581.html?type_year_1" localSheetId="17">CF数据!$B$1:$O$99</definedName>
    <definedName name="xjllb_000581.html?type_year_1" localSheetId="20">CF原始数据!#REF!</definedName>
    <definedName name="xjllb_000651.html?type_year" localSheetId="17">CF数据!$A$1:$A$99</definedName>
    <definedName name="xjllb_000651.html?type_year" localSheetId="20">CF原始数据!#REF!</definedName>
    <definedName name="xjllb_000651.html?type_year_1" localSheetId="17">CF数据!$B$1:$O$99</definedName>
    <definedName name="xjllb_000651.html?type_year_1" localSheetId="20">CF原始数据!#REF!</definedName>
    <definedName name="xjllb_000651.html?type_year_2" localSheetId="17">CF数据!$B$1:$O$99</definedName>
    <definedName name="xjllb_000651.html?type_year_3" localSheetId="17">CF数据!$A$1:$A$99</definedName>
    <definedName name="xjllb_000672.html?type_year" localSheetId="17">CF数据!$A$1:$A$99</definedName>
    <definedName name="xjllb_000672.html?type_year" localSheetId="20">CF原始数据!#REF!</definedName>
    <definedName name="xjllb_000672.html?type_year_1" localSheetId="17">CF数据!$B$1:$O$99</definedName>
    <definedName name="xjllb_000672.html?type_year_1" localSheetId="20">CF原始数据!#REF!</definedName>
    <definedName name="xjllb_000672.html?type_year_2" localSheetId="17">CF数据!$B$1:$O$99</definedName>
    <definedName name="xjllb_000672.html?type_year_2" localSheetId="20">CF原始数据!#REF!</definedName>
    <definedName name="xjllb_000672.html?type_year_3" localSheetId="17">CF数据!$A$1:$A$99</definedName>
    <definedName name="xjllb_000672.html?type_year_3" localSheetId="20">CF原始数据!#REF!</definedName>
    <definedName name="xjllb_000725.html?type_year" localSheetId="17">CF数据!$A$1:$A$99</definedName>
    <definedName name="xjllb_000725.html?type_year" localSheetId="20">CF原始数据!#REF!</definedName>
    <definedName name="xjllb_000725.html?type_year_1" localSheetId="17">CF数据!$B$1:$O$99</definedName>
    <definedName name="xjllb_000725.html?type_year_1" localSheetId="20">CF原始数据!#REF!</definedName>
    <definedName name="xjllb_000858.html?type_year" localSheetId="20">CF原始数据!#REF!</definedName>
    <definedName name="xjllb_000858.html?type_year_1" localSheetId="20">CF原始数据!#REF!</definedName>
    <definedName name="xjllb_000963.html?type_year" localSheetId="17">CF数据!$A$1:$A$99</definedName>
    <definedName name="xjllb_000963.html?type_year" localSheetId="20">CF原始数据!#REF!</definedName>
    <definedName name="xjllb_000963.html?type_year_1" localSheetId="17">CF数据!$B$1:$O$99</definedName>
    <definedName name="xjllb_000963.html?type_year_1" localSheetId="20">CF原始数据!#REF!</definedName>
    <definedName name="xjllb_002008.html?type_year" localSheetId="20">CF原始数据!#REF!</definedName>
    <definedName name="xjllb_002008.html?type_year_1" localSheetId="20">CF原始数据!#REF!</definedName>
    <definedName name="xjllb_002124.html?type_year" localSheetId="17">CF数据!$A$1:$A$99</definedName>
    <definedName name="xjllb_002124.html?type_year" localSheetId="20">CF原始数据!#REF!</definedName>
    <definedName name="xjllb_002124.html?type_year_1" localSheetId="17">CF数据!$B$1:$O$99</definedName>
    <definedName name="xjllb_002124.html?type_year_1" localSheetId="20">CF原始数据!#REF!</definedName>
    <definedName name="xjllb_002223.html?type_year" localSheetId="20">CF原始数据!#REF!</definedName>
    <definedName name="xjllb_002223.html?type_year_1" localSheetId="20">CF原始数据!#REF!</definedName>
    <definedName name="xjllb_002230.html?type_year" localSheetId="17">CF数据!$A$1:$A$99</definedName>
    <definedName name="xjllb_002230.html?type_year" localSheetId="20">CF原始数据!#REF!</definedName>
    <definedName name="xjllb_002230.html?type_year_1" localSheetId="17">CF数据!$B$1:$P$99</definedName>
    <definedName name="xjllb_002230.html?type_year_1" localSheetId="20">CF原始数据!#REF!</definedName>
    <definedName name="xjllb_002230.html?type_year_2" localSheetId="17">CF数据!$B$1:$P$99</definedName>
    <definedName name="xjllb_002230.html?type_year_3" localSheetId="17">CF数据!$A$1:$A$99</definedName>
    <definedName name="xjllb_002236.html?type_year" localSheetId="17">CF数据!$A$1:$A$99</definedName>
    <definedName name="xjllb_002236.html?type_year" localSheetId="20">CF原始数据!#REF!</definedName>
    <definedName name="xjllb_002236.html?type_year_1" localSheetId="17">CF数据!$B$1:$P$99</definedName>
    <definedName name="xjllb_002236.html?type_year_1" localSheetId="20">CF原始数据!#REF!</definedName>
    <definedName name="xjllb_002382.html?type_year" localSheetId="20">CF原始数据!#REF!</definedName>
    <definedName name="xjllb_002382.html?type_year_1" localSheetId="20">CF原始数据!#REF!</definedName>
    <definedName name="xjllb_002411.html?type_year" localSheetId="20">CF原始数据!#REF!</definedName>
    <definedName name="xjllb_002411.html?type_year_1" localSheetId="20">CF原始数据!#REF!</definedName>
    <definedName name="xjllb_002413.html?type_year" localSheetId="20">CF原始数据!#REF!</definedName>
    <definedName name="xjllb_002413.html?type_year_1" localSheetId="20">CF原始数据!#REF!</definedName>
    <definedName name="xjllb_002415.html?type_year" localSheetId="20">CF原始数据!#REF!</definedName>
    <definedName name="xjllb_002415.html?type_year_1" localSheetId="20">CF原始数据!#REF!</definedName>
    <definedName name="xjllb_002422.html?type_year" localSheetId="20">CF原始数据!#REF!</definedName>
    <definedName name="xjllb_002422.html?type_year_1" localSheetId="20">CF原始数据!#REF!</definedName>
    <definedName name="xjllb_002423.html?type_year" localSheetId="20">CF原始数据!#REF!</definedName>
    <definedName name="xjllb_002423.html?type_year_1" localSheetId="20">CF原始数据!#REF!</definedName>
    <definedName name="xjllb_002432.html?type_year" localSheetId="20">CF原始数据!#REF!</definedName>
    <definedName name="xjllb_002432.html?type_year_1" localSheetId="20">CF原始数据!#REF!</definedName>
    <definedName name="xjllb_002734.html?type_year" localSheetId="17">CF数据!$A$1:$A$99</definedName>
    <definedName name="xjllb_002734.html?type_year" localSheetId="20">CF原始数据!#REF!</definedName>
    <definedName name="xjllb_002734.html?type_year_1" localSheetId="17">CF数据!$B$1:$M$99</definedName>
    <definedName name="xjllb_002734.html?type_year_1" localSheetId="20">CF原始数据!#REF!</definedName>
    <definedName name="xjllb_002737.html?type_year" localSheetId="17">CF数据!$A$1:$A$99</definedName>
    <definedName name="xjllb_002737.html?type_year" localSheetId="20">CF原始数据!#REF!</definedName>
    <definedName name="xjllb_002737.html?type_year_1" localSheetId="17">CF数据!$B$1:$J$99</definedName>
    <definedName name="xjllb_002737.html?type_year_1" localSheetId="20">CF原始数据!#REF!</definedName>
    <definedName name="xjllb_002756.html?type_year" localSheetId="20">CF原始数据!#REF!</definedName>
    <definedName name="xjllb_002756.html?type_year_1" localSheetId="20">CF原始数据!#REF!</definedName>
    <definedName name="xjllb_002768.html?type_year" localSheetId="20">CF原始数据!#REF!</definedName>
    <definedName name="xjllb_002768.html?type_year_1" localSheetId="20">CF原始数据!#REF!</definedName>
    <definedName name="xjllb_002832.html?type_year" localSheetId="17">CF数据!$A$1:$A$99</definedName>
    <definedName name="xjllb_002832.html?type_year" localSheetId="20">CF原始数据!#REF!</definedName>
    <definedName name="xjllb_002832.html?type_year_1" localSheetId="17">CF数据!$B$1:$J$99</definedName>
    <definedName name="xjllb_002832.html?type_year_1" localSheetId="20">CF原始数据!#REF!</definedName>
    <definedName name="xjllb_300012.html?type_year" localSheetId="20">CF原始数据!#REF!</definedName>
    <definedName name="xjllb_300012.html?type_year_1" localSheetId="20">CF原始数据!#REF!</definedName>
    <definedName name="xjllb_300016.html?type_year" localSheetId="17">CF数据!$A$1:$A$99</definedName>
    <definedName name="xjllb_300016.html?type_year" localSheetId="20">CF原始数据!#REF!</definedName>
    <definedName name="xjllb_300016.html?type_year_1" localSheetId="17">CF数据!$B$1:$O$99</definedName>
    <definedName name="xjllb_300016.html?type_year_1" localSheetId="20">CF原始数据!#REF!</definedName>
    <definedName name="xjllb_300030.html?type_year" localSheetId="20">CF原始数据!#REF!</definedName>
    <definedName name="xjllb_300030.html?type_year_1" localSheetId="20">CF原始数据!#REF!</definedName>
    <definedName name="xjllb_300132.html?type_year" localSheetId="17">CF数据!$A$1:$A$99</definedName>
    <definedName name="xjllb_300132.html?type_year" localSheetId="20">CF原始数据!#REF!</definedName>
    <definedName name="xjllb_300132.html?type_year_1" localSheetId="17">CF数据!$B$1:$N$99</definedName>
    <definedName name="xjllb_300132.html?type_year_1" localSheetId="20">CF原始数据!#REF!</definedName>
    <definedName name="xjllb_300417.html?type_year" localSheetId="17">CF数据!$A$1:$A$99</definedName>
    <definedName name="xjllb_300417.html?type_year" localSheetId="20">CF原始数据!#REF!</definedName>
    <definedName name="xjllb_300417.html?type_year_1" localSheetId="17">CF数据!$B$1:$J$99</definedName>
    <definedName name="xjllb_300417.html?type_year_1" localSheetId="20">CF原始数据!#REF!</definedName>
    <definedName name="xjllb_300417.html?type_year_2" localSheetId="17">CF数据!$A$1:$A$99</definedName>
    <definedName name="xjllb_300417.html?type_year_2" localSheetId="20">CF原始数据!#REF!</definedName>
    <definedName name="xjllb_300417.html?type_year_3" localSheetId="17">CF数据!$B$1:$J$99</definedName>
    <definedName name="xjllb_300417.html?type_year_3" localSheetId="20">CF原始数据!#REF!</definedName>
    <definedName name="xjllb_300498.html?type_year" localSheetId="17">CF数据!$A$1:$A$99</definedName>
    <definedName name="xjllb_300498.html?type_year" localSheetId="20">CF原始数据!#REF!</definedName>
    <definedName name="xjllb_300498.html?type_year_1" localSheetId="17">CF数据!$B$1:$N$99</definedName>
    <definedName name="xjllb_300498.html?type_year_1" localSheetId="20">CF原始数据!#REF!</definedName>
    <definedName name="xjllb_300498.html?type_year_2" localSheetId="17">CF数据!$A$1:$A$99</definedName>
    <definedName name="xjllb_300498.html?type_year_2" localSheetId="20">CF原始数据!#REF!</definedName>
    <definedName name="xjllb_300498.html?type_year_3" localSheetId="17">CF数据!$B$1:$N$99</definedName>
    <definedName name="xjllb_300498.html?type_year_3" localSheetId="20">CF原始数据!#REF!</definedName>
    <definedName name="xjllb_300498.html?type_year_4" localSheetId="17">CF数据!$A$1:$A$99</definedName>
    <definedName name="xjllb_300498.html?type_year_4" localSheetId="20">CF原始数据!#REF!</definedName>
    <definedName name="xjllb_300498.html?type_year_5" localSheetId="17">CF数据!$B$1:$N$99</definedName>
    <definedName name="xjllb_300498.html?type_year_5" localSheetId="20">CF原始数据!#REF!</definedName>
    <definedName name="xjllb_300658.html?type_year" localSheetId="20">CF原始数据!#REF!</definedName>
    <definedName name="xjllb_300658.html?type_year_1" localSheetId="20">CF原始数据!#REF!</definedName>
    <definedName name="xjllb_300767.html?type_year" localSheetId="20">CF原始数据!#REF!</definedName>
    <definedName name="xjllb_300767.html?type_year_1" localSheetId="20">CF原始数据!#REF!</definedName>
    <definedName name="xjllb_300782.html?type_year" localSheetId="20">CF原始数据!#REF!</definedName>
    <definedName name="xjllb_300782.html?type_year_1" localSheetId="20">CF原始数据!#REF!</definedName>
    <definedName name="xjllb_600019.html?type_year" localSheetId="17">CF数据!$A$1:$A$99</definedName>
    <definedName name="xjllb_600019.html?type_year" localSheetId="20">CF原始数据!#REF!</definedName>
    <definedName name="xjllb_600019.html?type_year_1" localSheetId="17">CF数据!$B$1:$O$99</definedName>
    <definedName name="xjllb_600019.html?type_year_1" localSheetId="20">CF原始数据!#REF!</definedName>
    <definedName name="xjllb_600031.html?type_year" localSheetId="17">CF数据!$A$1:$A$99</definedName>
    <definedName name="xjllb_600031.html?type_year" localSheetId="20">CF原始数据!$A$1:$A$99</definedName>
    <definedName name="xjllb_600031.html?type_year_1" localSheetId="17">CF数据!$B$1:$O$99</definedName>
    <definedName name="xjllb_600031.html?type_year_1" localSheetId="20">CF原始数据!$B$1:$O$99</definedName>
    <definedName name="xjllb_600031.html?type_year_2" localSheetId="17">CF数据!$B$1:$O$99</definedName>
    <definedName name="xjllb_600031.html?type_year_3" localSheetId="17">CF数据!$A$1:$A$99</definedName>
    <definedName name="xjllb_600050.html?type_year" localSheetId="17">CF数据!$A$1:$A$99</definedName>
    <definedName name="xjllb_600050.html?type_year" localSheetId="20">CF原始数据!#REF!</definedName>
    <definedName name="xjllb_600050.html?type_year_1" localSheetId="17">CF数据!$B$1:$O$99</definedName>
    <definedName name="xjllb_600050.html?type_year_1" localSheetId="20">CF原始数据!#REF!</definedName>
    <definedName name="xjllb_600050.html?type_year_2" localSheetId="17">CF数据!$B$1:$O$99</definedName>
    <definedName name="xjllb_600050.html?type_year_3" localSheetId="17">CF数据!$A$1:$A$99</definedName>
    <definedName name="xjllb_600143.html?type_year" localSheetId="20">CF原始数据!#REF!</definedName>
    <definedName name="xjllb_600143.html?type_year_1" localSheetId="20">CF原始数据!#REF!</definedName>
    <definedName name="xjllb_600177.html?type_year" localSheetId="17">CF数据!$A$1:$A$99</definedName>
    <definedName name="xjllb_600177.html?type_year" localSheetId="20">CF原始数据!#REF!</definedName>
    <definedName name="xjllb_600177.html?type_year_1" localSheetId="17">CF数据!$B$1:$O$99</definedName>
    <definedName name="xjllb_600177.html?type_year_1" localSheetId="20">CF原始数据!#REF!</definedName>
    <definedName name="xjllb_600230.html?type_year" localSheetId="20">CF原始数据!#REF!</definedName>
    <definedName name="xjllb_600230.html?type_year_1" localSheetId="20">CF原始数据!#REF!</definedName>
    <definedName name="xjllb_600309.html?type_year" localSheetId="20">CF原始数据!#REF!</definedName>
    <definedName name="xjllb_600309.html?type_year_1" localSheetId="20">CF原始数据!#REF!</definedName>
    <definedName name="xjllb_600352.html?type_year" localSheetId="17">CF数据!$A$1:$A$99</definedName>
    <definedName name="xjllb_600352.html?type_year" localSheetId="20">CF原始数据!#REF!</definedName>
    <definedName name="xjllb_600352.html?type_year_1" localSheetId="17">CF数据!$B$1:$O$99</definedName>
    <definedName name="xjllb_600352.html?type_year_1" localSheetId="20">CF原始数据!#REF!</definedName>
    <definedName name="xjllb_600352.html?type_year_2" localSheetId="17">CF数据!$A$1:$A$99</definedName>
    <definedName name="xjllb_600352.html?type_year_2" localSheetId="20">CF原始数据!#REF!</definedName>
    <definedName name="xjllb_600352.html?type_year_3" localSheetId="17">CF数据!$B$1:$O$99</definedName>
    <definedName name="xjllb_600352.html?type_year_3" localSheetId="20">CF原始数据!#REF!</definedName>
    <definedName name="xjllb_600352.html?type_year_4" localSheetId="17">CF数据!$B$1:$O$99</definedName>
    <definedName name="xjllb_600352.html?type_year_5" localSheetId="17">CF数据!$A$1:$A$99</definedName>
    <definedName name="xjllb_600398.html?type_year" localSheetId="20">CF原始数据!#REF!</definedName>
    <definedName name="xjllb_600398.html?type_year_1" localSheetId="20">CF原始数据!#REF!</definedName>
    <definedName name="xjllb_600409.html?type_year" localSheetId="20">CF原始数据!#REF!</definedName>
    <definedName name="xjllb_600409.html?type_year_1" localSheetId="20">CF原始数据!#REF!</definedName>
    <definedName name="xjllb_600436.html?type_year" localSheetId="20">CF原始数据!#REF!</definedName>
    <definedName name="xjllb_600436.html?type_year_1" localSheetId="20">CF原始数据!#REF!</definedName>
    <definedName name="xjllb_600477.html?type_year" localSheetId="20">CF原始数据!#REF!</definedName>
    <definedName name="xjllb_600477.html?type_year_1" localSheetId="20">CF原始数据!#REF!</definedName>
    <definedName name="xjllb_600507.html?type_year" localSheetId="17">CF数据!$A$1:$A$99</definedName>
    <definedName name="xjllb_600507.html?type_year" localSheetId="20">CF原始数据!#REF!</definedName>
    <definedName name="xjllb_600507.html?type_year_1" localSheetId="17">CF数据!$B$1:$O$99</definedName>
    <definedName name="xjllb_600507.html?type_year_1" localSheetId="20">CF原始数据!#REF!</definedName>
    <definedName name="xjllb_600519.html?type_year" localSheetId="20">CF原始数据!#REF!</definedName>
    <definedName name="xjllb_600519.html?type_year_1" localSheetId="20">CF原始数据!#REF!</definedName>
    <definedName name="xjllb_600585.html?type_year" localSheetId="17">CF数据!$A$1:$A$99</definedName>
    <definedName name="xjllb_600585.html?type_year" localSheetId="20">CF原始数据!#REF!</definedName>
    <definedName name="xjllb_600585.html?type_year_1" localSheetId="17">CF数据!$B$1:$O$99</definedName>
    <definedName name="xjllb_600585.html?type_year_1" localSheetId="20">CF原始数据!#REF!</definedName>
    <definedName name="xjllb_600585.html?type_year_2" localSheetId="20">CF原始数据!#REF!</definedName>
    <definedName name="xjllb_600585.html?type_year_3" localSheetId="20">CF原始数据!#REF!</definedName>
    <definedName name="xjllb_600585.html?type_year_4" localSheetId="17">CF数据!$A$1:$A$99</definedName>
    <definedName name="xjllb_600585.html?type_year_4" localSheetId="20">CF原始数据!#REF!</definedName>
    <definedName name="xjllb_600585.html?type_year_5" localSheetId="17">CF数据!$B$1:$O$99</definedName>
    <definedName name="xjllb_600585.html?type_year_5" localSheetId="20">CF原始数据!#REF!</definedName>
    <definedName name="xjllb_600585.html?type_year_6" localSheetId="17">CF数据!$A$1:$A$99</definedName>
    <definedName name="xjllb_600585.html?type_year_6" localSheetId="20">CF原始数据!#REF!</definedName>
    <definedName name="xjllb_600585.html?type_year_7" localSheetId="17">CF数据!$B$1:$O$99</definedName>
    <definedName name="xjllb_600585.html?type_year_7" localSheetId="20">CF原始数据!#REF!</definedName>
    <definedName name="xjllb_600633.html?type_year" localSheetId="20">CF原始数据!#REF!</definedName>
    <definedName name="xjllb_600633.html?type_year_1" localSheetId="20">CF原始数据!#REF!</definedName>
    <definedName name="xjllb_600660.html?type_year" localSheetId="20">CF原始数据!#REF!</definedName>
    <definedName name="xjllb_600660.html?type_year_1" localSheetId="20">CF原始数据!#REF!</definedName>
    <definedName name="xjllb_600679.html?type_year" localSheetId="20">CF原始数据!#REF!</definedName>
    <definedName name="xjllb_600679.html?type_year_1" localSheetId="20">CF原始数据!#REF!</definedName>
    <definedName name="xjllb_600690.html?type_year" localSheetId="20">CF原始数据!#REF!</definedName>
    <definedName name="xjllb_600690.html?type_year_1" localSheetId="20">CF原始数据!#REF!</definedName>
    <definedName name="xjllb_600801.html?type_year" localSheetId="17">CF数据!$A$1:$A$99</definedName>
    <definedName name="xjllb_600801.html?type_year" localSheetId="20">CF原始数据!#REF!</definedName>
    <definedName name="xjllb_600801.html?type_year_1" localSheetId="17">CF数据!$B$1:$O$99</definedName>
    <definedName name="xjllb_600801.html?type_year_1" localSheetId="20">CF原始数据!#REF!</definedName>
    <definedName name="xjllb_600801.html?type_year_2" localSheetId="17">CF数据!$A$1:$A$99</definedName>
    <definedName name="xjllb_600801.html?type_year_2" localSheetId="20">CF原始数据!#REF!</definedName>
    <definedName name="xjllb_600801.html?type_year_3" localSheetId="17">CF数据!$B$1:$O$99</definedName>
    <definedName name="xjllb_600801.html?type_year_3" localSheetId="20">CF原始数据!#REF!</definedName>
    <definedName name="xjllb_600846.html?type_year" localSheetId="20">CF原始数据!#REF!</definedName>
    <definedName name="xjllb_600846.html?type_year_1" localSheetId="20">CF原始数据!#REF!</definedName>
    <definedName name="xjllb_600975.html?type_year" localSheetId="20">CF原始数据!#REF!</definedName>
    <definedName name="xjllb_600975.html?type_year_1" localSheetId="20">CF原始数据!#REF!</definedName>
    <definedName name="xjllb_601168.html?type_year" localSheetId="17">CF数据!$A$1:$A$99</definedName>
    <definedName name="xjllb_601168.html?type_year" localSheetId="20">CF原始数据!#REF!</definedName>
    <definedName name="xjllb_601168.html?type_year_1" localSheetId="17">CF数据!$B$1:$Q$99</definedName>
    <definedName name="xjllb_601168.html?type_year_1" localSheetId="20">CF原始数据!#REF!</definedName>
    <definedName name="xjllb_601225.html?type_year" localSheetId="17">CF数据!$A$1:$A$99</definedName>
    <definedName name="xjllb_601225.html?type_year" localSheetId="20">CF原始数据!#REF!</definedName>
    <definedName name="xjllb_601225.html?type_year_1" localSheetId="17">CF数据!$B$1:$N$99</definedName>
    <definedName name="xjllb_601225.html?type_year_1" localSheetId="20">CF原始数据!#REF!</definedName>
    <definedName name="xjllb_601225.html?type_year_2" localSheetId="17">CF数据!$B$1:$N$99</definedName>
    <definedName name="xjllb_601225.html?type_year_2" localSheetId="20">CF原始数据!#REF!</definedName>
    <definedName name="xjllb_601225.html?type_year_3" localSheetId="17">CF数据!$A$1:$A$99</definedName>
    <definedName name="xjllb_601225.html?type_year_3" localSheetId="20">CF原始数据!#REF!</definedName>
    <definedName name="xjllb_601318.html?type_year" localSheetId="17">CF数据!$A$1:$A$99</definedName>
    <definedName name="xjllb_601318.html?type_year" localSheetId="20">CF原始数据!#REF!</definedName>
    <definedName name="xjllb_601318.html?type_year_1" localSheetId="17">CF数据!$B$1:$O$99</definedName>
    <definedName name="xjllb_601318.html?type_year_1" localSheetId="20">CF原始数据!#REF!</definedName>
    <definedName name="xjllb_601390.html?type_year" localSheetId="17">CF数据!$A$1:$A$99</definedName>
    <definedName name="xjllb_601390.html?type_year" localSheetId="20">CF原始数据!#REF!</definedName>
    <definedName name="xjllb_601390.html?type_year_1" localSheetId="17">CF数据!$B$1:$Q$99</definedName>
    <definedName name="xjllb_601390.html?type_year_1" localSheetId="20">CF原始数据!#REF!</definedName>
    <definedName name="xjllb_601668.html?type_year" localSheetId="17">CF数据!$A$1:$A$99</definedName>
    <definedName name="xjllb_601668.html?type_year" localSheetId="20">CF原始数据!#REF!</definedName>
    <definedName name="xjllb_601668.html?type_year_1" localSheetId="17">CF数据!$B$1:$P$99</definedName>
    <definedName name="xjllb_601668.html?type_year_1" localSheetId="20">CF原始数据!#REF!</definedName>
    <definedName name="xjllb_601766.html?type_year" localSheetId="17">CF数据!$A$1:$A$99</definedName>
    <definedName name="xjllb_601766.html?type_year" localSheetId="20">CF原始数据!#REF!</definedName>
    <definedName name="xjllb_601766.html?type_year_1" localSheetId="17">CF数据!$B$1:$O$99</definedName>
    <definedName name="xjllb_601766.html?type_year_1" localSheetId="20">CF原始数据!#REF!</definedName>
    <definedName name="xjllb_601777.html?type_year" localSheetId="17">CF数据!$A$1:$A$99</definedName>
    <definedName name="xjllb_601777.html?type_year" localSheetId="20">CF原始数据!#REF!</definedName>
    <definedName name="xjllb_601777.html?type_year_1" localSheetId="17">CF数据!$B$1:$N$99</definedName>
    <definedName name="xjllb_601777.html?type_year_1" localSheetId="20">CF原始数据!#REF!</definedName>
    <definedName name="xjllb_603027.html?type_year" localSheetId="17">CF数据!$A$1:$A$99</definedName>
    <definedName name="xjllb_603027.html?type_year" localSheetId="20">CF原始数据!#REF!</definedName>
    <definedName name="xjllb_603027.html?type_year_1" localSheetId="17">CF数据!$B$1:$J$99</definedName>
    <definedName name="xjllb_603027.html?type_year_1" localSheetId="20">CF原始数据!#REF!</definedName>
    <definedName name="xjllb_603129.html?type_year" localSheetId="20">CF原始数据!#REF!</definedName>
    <definedName name="xjllb_603129.html?type_year_1" localSheetId="20">CF原始数据!#REF!</definedName>
    <definedName name="xjllb_603238.html?type_year" localSheetId="20">CF原始数据!#REF!</definedName>
    <definedName name="xjllb_603238.html?type_year_1" localSheetId="20">CF原始数据!#REF!</definedName>
    <definedName name="xjllb_603301.html?type_year" localSheetId="20">CF原始数据!#REF!</definedName>
    <definedName name="xjllb_603301.html?type_year_1" localSheetId="20">CF原始数据!#REF!</definedName>
    <definedName name="xjllb_603609.html?type_year" localSheetId="17">CF数据!$A$1:$A$99</definedName>
    <definedName name="xjllb_603609.html?type_year" localSheetId="20">CF原始数据!#REF!</definedName>
    <definedName name="xjllb_603609.html?type_year_1" localSheetId="17">CF数据!$B$1:$L$99</definedName>
    <definedName name="xjllb_603609.html?type_year_1" localSheetId="20">CF原始数据!#REF!</definedName>
    <definedName name="xjllb_603639.html?type_year" localSheetId="17">CF数据!$A$1:$A$99</definedName>
    <definedName name="xjllb_603639.html?type_year" localSheetId="20">CF原始数据!#REF!</definedName>
    <definedName name="xjllb_603639.html?type_year_1" localSheetId="17">CF数据!$B$1:$J$99</definedName>
    <definedName name="xjllb_603639.html?type_year_1" localSheetId="20">CF原始数据!#REF!</definedName>
    <definedName name="xjllb_603737.html?type_year" localSheetId="17">CF数据!$A$1:$A$99</definedName>
    <definedName name="xjllb_603737.html?type_year" localSheetId="20">CF原始数据!#REF!</definedName>
    <definedName name="xjllb_603737.html?type_year_1" localSheetId="17">CF数据!$B$1:$J$99</definedName>
    <definedName name="xjllb_603737.html?type_year_1" localSheetId="20">CF原始数据!#REF!</definedName>
    <definedName name="xjllb_688981.html?type_year" localSheetId="17">CF数据!$A$1:$A$99</definedName>
    <definedName name="xjllb_688981.html?type_year" localSheetId="20">CF原始数据!#REF!</definedName>
    <definedName name="xjllb_688981.html?type_year_1" localSheetId="17">CF数据!$B$1:$I$99</definedName>
    <definedName name="xjllb_688981.html?type_year_1" localSheetId="20">CF原始数据!#REF!</definedName>
    <definedName name="zcfzb_000002.html?type_year" localSheetId="15">BS数据!$A$1:$A$116</definedName>
    <definedName name="zcfzb_000002.html?type_year" localSheetId="18">BS原始数据!#REF!</definedName>
    <definedName name="zcfzb_000002.html?type_year_1" localSheetId="15">BS数据!$B$1:$P$116</definedName>
    <definedName name="zcfzb_000002.html?type_year_1" localSheetId="18">BS原始数据!#REF!</definedName>
    <definedName name="zcfzb_000002.html?type_year_2" localSheetId="15">BS数据!$B$1:$P$116</definedName>
    <definedName name="zcfzb_000002.html?type_year_2" localSheetId="18">BS原始数据!#REF!</definedName>
    <definedName name="zcfzb_000002.html?type_year_3" localSheetId="15">BS数据!$A$1:$A$116</definedName>
    <definedName name="zcfzb_000002.html?type_year_3" localSheetId="18">BS原始数据!#REF!</definedName>
    <definedName name="zcfzb_000002.html?type_year_4" localSheetId="15">BS数据!$B$1:$P$116</definedName>
    <definedName name="zcfzb_000002.html?type_year_5" localSheetId="15">BS数据!$A$1:$A$116</definedName>
    <definedName name="zcfzb_000002.html?type_year_6" localSheetId="15">BS数据!$B$1:$P$116</definedName>
    <definedName name="zcfzb_000002.html?type_year_7" localSheetId="15">BS数据!$A$1:$A$116</definedName>
    <definedName name="zcfzb_000157.html?type_year" localSheetId="15">BS数据!$A$1:$A$116</definedName>
    <definedName name="zcfzb_000157.html?type_year" localSheetId="18">BS原始数据!#REF!</definedName>
    <definedName name="zcfzb_000157.html?type_year_1" localSheetId="15">BS数据!$B$1:$O$116</definedName>
    <definedName name="zcfzb_000157.html?type_year_1" localSheetId="18">BS原始数据!#REF!</definedName>
    <definedName name="zcfzb_000333.html?type_year" localSheetId="18">BS原始数据!#REF!</definedName>
    <definedName name="zcfzb_000333.html?type_year_1" localSheetId="18">BS原始数据!#REF!</definedName>
    <definedName name="zcfzb_000338.html?type_year" localSheetId="15">BS数据!$A$1:$A$116</definedName>
    <definedName name="zcfzb_000338.html?type_year" localSheetId="18">BS原始数据!#REF!</definedName>
    <definedName name="zcfzb_000338.html?type_year_1" localSheetId="15">BS数据!$B$1:$O$116</definedName>
    <definedName name="zcfzb_000338.html?type_year_1" localSheetId="18">BS原始数据!#REF!</definedName>
    <definedName name="zcfzb_000338.html?type_year_2" localSheetId="15">BS数据!$B$1:$O$116</definedName>
    <definedName name="zcfzb_000338.html?type_year_3" localSheetId="15">BS数据!$A$1:$A$116</definedName>
    <definedName name="zcfzb_000423.html?type_year" localSheetId="18">BS原始数据!#REF!</definedName>
    <definedName name="zcfzb_000423.html?type_year_1" localSheetId="18">BS原始数据!#REF!</definedName>
    <definedName name="zcfzb_000528.html?type_year" localSheetId="18">BS原始数据!#REF!</definedName>
    <definedName name="zcfzb_000528.html?type_year_1" localSheetId="18">BS原始数据!#REF!</definedName>
    <definedName name="zcfzb_000581.html?type_year" localSheetId="15">BS数据!$A$1:$A$116</definedName>
    <definedName name="zcfzb_000581.html?type_year" localSheetId="18">BS原始数据!#REF!</definedName>
    <definedName name="zcfzb_000581.html?type_year_1" localSheetId="15">BS数据!$B$1:$O$116</definedName>
    <definedName name="zcfzb_000581.html?type_year_1" localSheetId="18">BS原始数据!#REF!</definedName>
    <definedName name="zcfzb_000651.html?type_year" localSheetId="15">BS数据!$A$1:$A$116</definedName>
    <definedName name="zcfzb_000651.html?type_year" localSheetId="18">BS原始数据!#REF!</definedName>
    <definedName name="zcfzb_000651.html?type_year_1" localSheetId="15">BS数据!$B$1:$O$116</definedName>
    <definedName name="zcfzb_000651.html?type_year_1" localSheetId="18">BS原始数据!#REF!</definedName>
    <definedName name="zcfzb_000651.html?type_year_2" localSheetId="15">BS数据!$B$1:$O$116</definedName>
    <definedName name="zcfzb_000651.html?type_year_3" localSheetId="15">BS数据!$A$1:$A$116</definedName>
    <definedName name="zcfzb_000672.html?type_year" localSheetId="15">BS数据!$A$1:$A$116</definedName>
    <definedName name="zcfzb_000672.html?type_year" localSheetId="18">BS原始数据!#REF!</definedName>
    <definedName name="zcfzb_000672.html?type_year_1" localSheetId="15">BS数据!$B$1:$O$116</definedName>
    <definedName name="zcfzb_000672.html?type_year_1" localSheetId="18">BS原始数据!#REF!</definedName>
    <definedName name="zcfzb_000672.html?type_year_2" localSheetId="15">BS数据!$B$1:$O$116</definedName>
    <definedName name="zcfzb_000672.html?type_year_2" localSheetId="18">BS原始数据!#REF!</definedName>
    <definedName name="zcfzb_000672.html?type_year_3" localSheetId="15">BS数据!$A$1:$A$116</definedName>
    <definedName name="zcfzb_000672.html?type_year_3" localSheetId="18">BS原始数据!#REF!</definedName>
    <definedName name="zcfzb_000725.html?type_year" localSheetId="15">BS数据!$A$1:$A$116</definedName>
    <definedName name="zcfzb_000725.html?type_year" localSheetId="18">BS原始数据!#REF!</definedName>
    <definedName name="zcfzb_000725.html?type_year_1" localSheetId="15">BS数据!$B$1:$O$116</definedName>
    <definedName name="zcfzb_000725.html?type_year_1" localSheetId="18">BS原始数据!#REF!</definedName>
    <definedName name="zcfzb_000858.html?type_year" localSheetId="18">BS原始数据!#REF!</definedName>
    <definedName name="zcfzb_000858.html?type_year_1" localSheetId="18">BS原始数据!#REF!</definedName>
    <definedName name="zcfzb_000963.html?type_year" localSheetId="15">BS数据!$A$1:$A$116</definedName>
    <definedName name="zcfzb_000963.html?type_year" localSheetId="18">BS原始数据!#REF!</definedName>
    <definedName name="zcfzb_000963.html?type_year_1" localSheetId="15">BS数据!$B$1:$O$116</definedName>
    <definedName name="zcfzb_000963.html?type_year_1" localSheetId="18">BS原始数据!#REF!</definedName>
    <definedName name="zcfzb_002008.html?type_year" localSheetId="18">BS原始数据!#REF!</definedName>
    <definedName name="zcfzb_002008.html?type_year_1" localSheetId="18">BS原始数据!#REF!</definedName>
    <definedName name="zcfzb_002124.html?type_year" localSheetId="15">BS数据!$A$1:$A$116</definedName>
    <definedName name="zcfzb_002124.html?type_year" localSheetId="18">BS原始数据!#REF!</definedName>
    <definedName name="zcfzb_002124.html?type_year_1" localSheetId="15">BS数据!$B$1:$O$116</definedName>
    <definedName name="zcfzb_002124.html?type_year_1" localSheetId="18">BS原始数据!#REF!</definedName>
    <definedName name="zcfzb_002223.html?type_year" localSheetId="18">BS原始数据!#REF!</definedName>
    <definedName name="zcfzb_002223.html?type_year_1" localSheetId="18">BS原始数据!#REF!</definedName>
    <definedName name="zcfzb_002230.html?type_year" localSheetId="15">BS数据!$A$1:$A$116</definedName>
    <definedName name="zcfzb_002230.html?type_year" localSheetId="18">BS原始数据!#REF!</definedName>
    <definedName name="zcfzb_002230.html?type_year_1" localSheetId="15">BS数据!$B$1:$P$116</definedName>
    <definedName name="zcfzb_002230.html?type_year_1" localSheetId="18">BS原始数据!#REF!</definedName>
    <definedName name="zcfzb_002230.html?type_year_2" localSheetId="15">BS数据!$B$1:$P$116</definedName>
    <definedName name="zcfzb_002230.html?type_year_3" localSheetId="15">BS数据!$A$1:$A$116</definedName>
    <definedName name="zcfzb_002236.html?type_year" localSheetId="15">BS数据!$A$1:$A$116</definedName>
    <definedName name="zcfzb_002236.html?type_year" localSheetId="18">BS原始数据!#REF!</definedName>
    <definedName name="zcfzb_002236.html?type_year_1" localSheetId="15">BS数据!$B$1:$P$116</definedName>
    <definedName name="zcfzb_002236.html?type_year_1" localSheetId="18">BS原始数据!#REF!</definedName>
    <definedName name="zcfzb_002382.html?type_year" localSheetId="18">BS原始数据!#REF!</definedName>
    <definedName name="zcfzb_002382.html?type_year_1" localSheetId="18">BS原始数据!#REF!</definedName>
    <definedName name="zcfzb_002411.html?type_year" localSheetId="18">BS原始数据!#REF!</definedName>
    <definedName name="zcfzb_002411.html?type_year_1" localSheetId="18">BS原始数据!#REF!</definedName>
    <definedName name="zcfzb_002413.html?type_year" localSheetId="18">BS原始数据!#REF!</definedName>
    <definedName name="zcfzb_002413.html?type_year_1" localSheetId="18">BS原始数据!#REF!</definedName>
    <definedName name="zcfzb_002415.html?type_year" localSheetId="18">BS原始数据!#REF!</definedName>
    <definedName name="zcfzb_002415.html?type_year_1" localSheetId="18">BS原始数据!#REF!</definedName>
    <definedName name="zcfzb_002422.html?type_year" localSheetId="18">BS原始数据!#REF!</definedName>
    <definedName name="zcfzb_002422.html?type_year_1" localSheetId="18">BS原始数据!#REF!</definedName>
    <definedName name="zcfzb_002423.html?type_year" localSheetId="18">BS原始数据!#REF!</definedName>
    <definedName name="zcfzb_002423.html?type_year_1" localSheetId="18">BS原始数据!#REF!</definedName>
    <definedName name="zcfzb_002432.html?type_year" localSheetId="18">BS原始数据!#REF!</definedName>
    <definedName name="zcfzb_002432.html?type_year_1" localSheetId="18">BS原始数据!#REF!</definedName>
    <definedName name="zcfzb_002734.html?type_year" localSheetId="15">BS数据!$A$1:$A$116</definedName>
    <definedName name="zcfzb_002734.html?type_year" localSheetId="18">BS原始数据!#REF!</definedName>
    <definedName name="zcfzb_002734.html?type_year_1" localSheetId="15">BS数据!$B$1:$M$116</definedName>
    <definedName name="zcfzb_002734.html?type_year_1" localSheetId="18">BS原始数据!#REF!</definedName>
    <definedName name="zcfzb_002737.html?type_year" localSheetId="15">BS数据!$A$1:$A$116</definedName>
    <definedName name="zcfzb_002737.html?type_year" localSheetId="18">BS原始数据!#REF!</definedName>
    <definedName name="zcfzb_002737.html?type_year_1" localSheetId="15">BS数据!$B$1:$J$116</definedName>
    <definedName name="zcfzb_002737.html?type_year_1" localSheetId="18">BS原始数据!#REF!</definedName>
    <definedName name="zcfzb_002756.html?type_year" localSheetId="18">BS原始数据!#REF!</definedName>
    <definedName name="zcfzb_002756.html?type_year_1" localSheetId="18">BS原始数据!#REF!</definedName>
    <definedName name="zcfzb_002768.html?type_year" localSheetId="18">BS原始数据!#REF!</definedName>
    <definedName name="zcfzb_002768.html?type_year_1" localSheetId="18">BS原始数据!#REF!</definedName>
    <definedName name="zcfzb_002832.html?type_year" localSheetId="15">BS数据!$A$1:$A$116</definedName>
    <definedName name="zcfzb_002832.html?type_year" localSheetId="18">BS原始数据!#REF!</definedName>
    <definedName name="zcfzb_002832.html?type_year_1" localSheetId="15">BS数据!$B$1:$J$116</definedName>
    <definedName name="zcfzb_002832.html?type_year_1" localSheetId="18">BS原始数据!#REF!</definedName>
    <definedName name="zcfzb_300012.html?type_year" localSheetId="18">BS原始数据!#REF!</definedName>
    <definedName name="zcfzb_300012.html?type_year_1" localSheetId="18">BS原始数据!#REF!</definedName>
    <definedName name="zcfzb_300016.html?type_year" localSheetId="15">BS数据!$A$1:$A$116</definedName>
    <definedName name="zcfzb_300016.html?type_year" localSheetId="18">BS原始数据!#REF!</definedName>
    <definedName name="zcfzb_300016.html?type_year_1" localSheetId="15">BS数据!$B$1:$O$116</definedName>
    <definedName name="zcfzb_300016.html?type_year_1" localSheetId="18">BS原始数据!#REF!</definedName>
    <definedName name="zcfzb_300030.html?type_year" localSheetId="18">BS原始数据!#REF!</definedName>
    <definedName name="zcfzb_300030.html?type_year_1" localSheetId="18">BS原始数据!#REF!</definedName>
    <definedName name="zcfzb_300132.html?type_year" localSheetId="15">BS数据!$A$1:$A$116</definedName>
    <definedName name="zcfzb_300132.html?type_year" localSheetId="18">BS原始数据!#REF!</definedName>
    <definedName name="zcfzb_300132.html?type_year_1" localSheetId="15">BS数据!$B$1:$N$116</definedName>
    <definedName name="zcfzb_300132.html?type_year_1" localSheetId="18">BS原始数据!#REF!</definedName>
    <definedName name="zcfzb_300417.html?type_year" localSheetId="15">BS数据!$A$1:$A$116</definedName>
    <definedName name="zcfzb_300417.html?type_year" localSheetId="18">BS原始数据!#REF!</definedName>
    <definedName name="zcfzb_300417.html?type_year_1" localSheetId="15">BS数据!$B$1:$J$116</definedName>
    <definedName name="zcfzb_300417.html?type_year_1" localSheetId="18">BS原始数据!#REF!</definedName>
    <definedName name="zcfzb_300417.html?type_year_2" localSheetId="15">BS数据!$A$1:$A$116</definedName>
    <definedName name="zcfzb_300417.html?type_year_2" localSheetId="18">BS原始数据!#REF!</definedName>
    <definedName name="zcfzb_300417.html?type_year_3" localSheetId="15">BS数据!$B$1:$J$116</definedName>
    <definedName name="zcfzb_300417.html?type_year_3" localSheetId="18">BS原始数据!#REF!</definedName>
    <definedName name="zcfzb_300498.html?type_year" localSheetId="15">BS数据!$A$1:$A$116</definedName>
    <definedName name="zcfzb_300498.html?type_year" localSheetId="18">BS原始数据!#REF!</definedName>
    <definedName name="zcfzb_300498.html?type_year_1" localSheetId="15">BS数据!$B$1:$N$116</definedName>
    <definedName name="zcfzb_300498.html?type_year_1" localSheetId="18">BS原始数据!#REF!</definedName>
    <definedName name="zcfzb_300498.html?type_year_2" localSheetId="15">BS数据!$A$1:$A$116</definedName>
    <definedName name="zcfzb_300498.html?type_year_2" localSheetId="18">BS原始数据!#REF!</definedName>
    <definedName name="zcfzb_300498.html?type_year_3" localSheetId="15">BS数据!$B$1:$N$116</definedName>
    <definedName name="zcfzb_300498.html?type_year_3" localSheetId="18">BS原始数据!#REF!</definedName>
    <definedName name="zcfzb_300498.html?type_year_4" localSheetId="15">BS数据!$A$1:$A$116</definedName>
    <definedName name="zcfzb_300498.html?type_year_4" localSheetId="18">BS原始数据!#REF!</definedName>
    <definedName name="zcfzb_300498.html?type_year_5" localSheetId="15">BS数据!$B$1:$N$116</definedName>
    <definedName name="zcfzb_300498.html?type_year_5" localSheetId="18">BS原始数据!#REF!</definedName>
    <definedName name="zcfzb_300658.html?type_year" localSheetId="18">BS原始数据!#REF!</definedName>
    <definedName name="zcfzb_300658.html?type_year_1" localSheetId="18">BS原始数据!#REF!</definedName>
    <definedName name="zcfzb_300767.html?type_year" localSheetId="18">BS原始数据!#REF!</definedName>
    <definedName name="zcfzb_300767.html?type_year_1" localSheetId="18">BS原始数据!#REF!</definedName>
    <definedName name="zcfzb_300782.html?type_year" localSheetId="18">BS原始数据!#REF!</definedName>
    <definedName name="zcfzb_300782.html?type_year_1" localSheetId="18">BS原始数据!#REF!</definedName>
    <definedName name="zcfzb_600019.html?type_year" localSheetId="15">BS数据!$A$1:$A$116</definedName>
    <definedName name="zcfzb_600019.html?type_year" localSheetId="18">BS原始数据!#REF!</definedName>
    <definedName name="zcfzb_600019.html?type_year_1" localSheetId="15">BS数据!$B$1:$O$116</definedName>
    <definedName name="zcfzb_600019.html?type_year_1" localSheetId="18">BS原始数据!#REF!</definedName>
    <definedName name="zcfzb_600031.html?type_year" localSheetId="15">BS数据!$A$1:$A$116</definedName>
    <definedName name="zcfzb_600031.html?type_year" localSheetId="18">BS原始数据!$A$1:$A$116</definedName>
    <definedName name="zcfzb_600031.html?type_year_1" localSheetId="15">BS数据!$B$1:$O$116</definedName>
    <definedName name="zcfzb_600031.html?type_year_1" localSheetId="18">BS原始数据!$B$1:$O$116</definedName>
    <definedName name="zcfzb_600031.html?type_year_2" localSheetId="15">BS数据!$B$1:$O$116</definedName>
    <definedName name="zcfzb_600031.html?type_year_3" localSheetId="15">BS数据!$A$1:$A$116</definedName>
    <definedName name="zcfzb_600050.html?type_year" localSheetId="15">BS数据!$A$1:$A$116</definedName>
    <definedName name="zcfzb_600050.html?type_year" localSheetId="18">BS原始数据!#REF!</definedName>
    <definedName name="zcfzb_600050.html?type_year_1" localSheetId="15">BS数据!$B$1:$O$116</definedName>
    <definedName name="zcfzb_600050.html?type_year_1" localSheetId="18">BS原始数据!#REF!</definedName>
    <definedName name="zcfzb_600050.html?type_year_2" localSheetId="15">BS数据!$B$1:$O$116</definedName>
    <definedName name="zcfzb_600050.html?type_year_3" localSheetId="15">BS数据!$A$1:$A$116</definedName>
    <definedName name="zcfzb_600143.html?type_year" localSheetId="18">BS原始数据!#REF!</definedName>
    <definedName name="zcfzb_600143.html?type_year_1" localSheetId="18">BS原始数据!#REF!</definedName>
    <definedName name="zcfzb_600177.html?type_year" localSheetId="15">BS数据!$A$1:$A$116</definedName>
    <definedName name="zcfzb_600177.html?type_year" localSheetId="18">BS原始数据!#REF!</definedName>
    <definedName name="zcfzb_600177.html?type_year_1" localSheetId="15">BS数据!$B$1:$O$116</definedName>
    <definedName name="zcfzb_600177.html?type_year_1" localSheetId="18">BS原始数据!#REF!</definedName>
    <definedName name="zcfzb_600230.html?type_year" localSheetId="18">BS原始数据!#REF!</definedName>
    <definedName name="zcfzb_600230.html?type_year_1" localSheetId="18">BS原始数据!#REF!</definedName>
    <definedName name="zcfzb_600309.html?type_year" localSheetId="18">BS原始数据!#REF!</definedName>
    <definedName name="zcfzb_600309.html?type_year_1" localSheetId="18">BS原始数据!#REF!</definedName>
    <definedName name="zcfzb_600352.html?type_year" localSheetId="15">BS数据!$A$1:$A$116</definedName>
    <definedName name="zcfzb_600352.html?type_year" localSheetId="18">BS原始数据!#REF!</definedName>
    <definedName name="zcfzb_600352.html?type_year_1" localSheetId="15">BS数据!$B$1:$O$116</definedName>
    <definedName name="zcfzb_600352.html?type_year_1" localSheetId="18">BS原始数据!#REF!</definedName>
    <definedName name="zcfzb_600352.html?type_year_2" localSheetId="15">BS数据!$A$1:$A$116</definedName>
    <definedName name="zcfzb_600352.html?type_year_2" localSheetId="18">BS原始数据!#REF!</definedName>
    <definedName name="zcfzb_600352.html?type_year_3" localSheetId="15">BS数据!$B$1:$O$116</definedName>
    <definedName name="zcfzb_600352.html?type_year_3" localSheetId="18">BS原始数据!#REF!</definedName>
    <definedName name="zcfzb_600352.html?type_year_4" localSheetId="15">BS数据!$B$1:$O$116</definedName>
    <definedName name="zcfzb_600352.html?type_year_5" localSheetId="15">BS数据!$A$1:$A$116</definedName>
    <definedName name="zcfzb_600398.html?type_year" localSheetId="18">BS原始数据!#REF!</definedName>
    <definedName name="zcfzb_600398.html?type_year_1" localSheetId="18">BS原始数据!#REF!</definedName>
    <definedName name="zcfzb_600409.html?type_year" localSheetId="18">BS原始数据!#REF!</definedName>
    <definedName name="zcfzb_600409.html?type_year_1" localSheetId="18">BS原始数据!#REF!</definedName>
    <definedName name="zcfzb_600436.html?type_year" localSheetId="18">BS原始数据!#REF!</definedName>
    <definedName name="zcfzb_600436.html?type_year_1" localSheetId="18">BS原始数据!#REF!</definedName>
    <definedName name="zcfzb_600477.html?type_year" localSheetId="18">BS原始数据!#REF!</definedName>
    <definedName name="zcfzb_600477.html?type_year_1" localSheetId="18">BS原始数据!#REF!</definedName>
    <definedName name="zcfzb_600507.html?type_year" localSheetId="15">BS数据!$A$1:$A$116</definedName>
    <definedName name="zcfzb_600507.html?type_year" localSheetId="18">BS原始数据!#REF!</definedName>
    <definedName name="zcfzb_600507.html?type_year_1" localSheetId="15">BS数据!$B$1:$O$116</definedName>
    <definedName name="zcfzb_600507.html?type_year_1" localSheetId="18">BS原始数据!#REF!</definedName>
    <definedName name="zcfzb_600519.html?type_year" localSheetId="18">BS原始数据!#REF!</definedName>
    <definedName name="zcfzb_600519.html?type_year_1" localSheetId="18">BS原始数据!#REF!</definedName>
    <definedName name="zcfzb_600585.html?type_year" localSheetId="15">BS数据!$A$1:$A$116</definedName>
    <definedName name="zcfzb_600585.html?type_year" localSheetId="18">BS原始数据!#REF!</definedName>
    <definedName name="zcfzb_600585.html?type_year_1" localSheetId="15">BS数据!$B$1:$O$116</definedName>
    <definedName name="zcfzb_600585.html?type_year_1" localSheetId="18">BS原始数据!#REF!</definedName>
    <definedName name="zcfzb_600585.html?type_year_2" localSheetId="18">BS原始数据!#REF!</definedName>
    <definedName name="zcfzb_600585.html?type_year_3" localSheetId="18">BS原始数据!#REF!</definedName>
    <definedName name="zcfzb_600585.html?type_year_4" localSheetId="15">BS数据!$A$1:$A$116</definedName>
    <definedName name="zcfzb_600585.html?type_year_4" localSheetId="18">BS原始数据!#REF!</definedName>
    <definedName name="zcfzb_600585.html?type_year_5" localSheetId="15">BS数据!$B$1:$O$116</definedName>
    <definedName name="zcfzb_600585.html?type_year_5" localSheetId="18">BS原始数据!#REF!</definedName>
    <definedName name="zcfzb_600585.html?type_year_6" localSheetId="15">BS数据!$A$1:$A$116</definedName>
    <definedName name="zcfzb_600585.html?type_year_6" localSheetId="18">BS原始数据!#REF!</definedName>
    <definedName name="zcfzb_600585.html?type_year_7" localSheetId="15">BS数据!$B$1:$O$116</definedName>
    <definedName name="zcfzb_600585.html?type_year_7" localSheetId="18">BS原始数据!#REF!</definedName>
    <definedName name="zcfzb_600633.html?type_year" localSheetId="18">BS原始数据!#REF!</definedName>
    <definedName name="zcfzb_600633.html?type_year_1" localSheetId="18">BS原始数据!#REF!</definedName>
    <definedName name="zcfzb_600660.html?type_year" localSheetId="18">BS原始数据!#REF!</definedName>
    <definedName name="zcfzb_600660.html?type_year_1" localSheetId="18">BS原始数据!#REF!</definedName>
    <definedName name="zcfzb_600679.html?type_year" localSheetId="18">BS原始数据!#REF!</definedName>
    <definedName name="zcfzb_600679.html?type_year_1" localSheetId="18">BS原始数据!#REF!</definedName>
    <definedName name="zcfzb_600690.html?type_year" localSheetId="18">BS原始数据!#REF!</definedName>
    <definedName name="zcfzb_600690.html?type_year_1" localSheetId="18">BS原始数据!#REF!</definedName>
    <definedName name="zcfzb_600801.html?type_year" localSheetId="15">BS数据!$A$1:$A$116</definedName>
    <definedName name="zcfzb_600801.html?type_year" localSheetId="18">BS原始数据!#REF!</definedName>
    <definedName name="zcfzb_600801.html?type_year_1" localSheetId="15">BS数据!$B$1:$O$116</definedName>
    <definedName name="zcfzb_600801.html?type_year_1" localSheetId="18">BS原始数据!#REF!</definedName>
    <definedName name="zcfzb_600801.html?type_year_2" localSheetId="15">BS数据!$A$1:$A$116</definedName>
    <definedName name="zcfzb_600801.html?type_year_2" localSheetId="18">BS原始数据!#REF!</definedName>
    <definedName name="zcfzb_600801.html?type_year_3" localSheetId="15">BS数据!$B$1:$O$116</definedName>
    <definedName name="zcfzb_600801.html?type_year_3" localSheetId="18">BS原始数据!#REF!</definedName>
    <definedName name="zcfzb_600846.html?type_year" localSheetId="18">BS原始数据!#REF!</definedName>
    <definedName name="zcfzb_600846.html?type_year_1" localSheetId="18">BS原始数据!#REF!</definedName>
    <definedName name="zcfzb_600975.html?type_year" localSheetId="18">BS原始数据!#REF!</definedName>
    <definedName name="zcfzb_600975.html?type_year_1" localSheetId="18">BS原始数据!#REF!</definedName>
    <definedName name="zcfzb_601168.html?type_year" localSheetId="15">BS数据!$A$1:$A$116</definedName>
    <definedName name="zcfzb_601168.html?type_year" localSheetId="18">BS原始数据!#REF!</definedName>
    <definedName name="zcfzb_601168.html?type_year_1" localSheetId="15">BS数据!$B$1:$Q$116</definedName>
    <definedName name="zcfzb_601168.html?type_year_1" localSheetId="18">BS原始数据!#REF!</definedName>
    <definedName name="zcfzb_601225.html?type_year" localSheetId="15">BS数据!$A$1:$A$116</definedName>
    <definedName name="zcfzb_601225.html?type_year" localSheetId="18">BS原始数据!#REF!</definedName>
    <definedName name="zcfzb_601225.html?type_year_1" localSheetId="15">BS数据!$B$1:$N$116</definedName>
    <definedName name="zcfzb_601225.html?type_year_1" localSheetId="18">BS原始数据!#REF!</definedName>
    <definedName name="zcfzb_601225.html?type_year_2" localSheetId="15">BS数据!$B$1:$N$116</definedName>
    <definedName name="zcfzb_601225.html?type_year_2" localSheetId="18">BS原始数据!#REF!</definedName>
    <definedName name="zcfzb_601225.html?type_year_3" localSheetId="15">BS数据!$A$1:$A$116</definedName>
    <definedName name="zcfzb_601225.html?type_year_3" localSheetId="18">BS原始数据!#REF!</definedName>
    <definedName name="zcfzb_601318.html?type_year" localSheetId="15">BS数据!$A$1:$A$116</definedName>
    <definedName name="zcfzb_601318.html?type_year" localSheetId="18">BS原始数据!#REF!</definedName>
    <definedName name="zcfzb_601318.html?type_year_1" localSheetId="15">BS数据!$B$1:$O$116</definedName>
    <definedName name="zcfzb_601318.html?type_year_1" localSheetId="18">BS原始数据!#REF!</definedName>
    <definedName name="zcfzb_601390.html?type_year" localSheetId="15">BS数据!$A$1:$A$116</definedName>
    <definedName name="zcfzb_601390.html?type_year" localSheetId="18">BS原始数据!#REF!</definedName>
    <definedName name="zcfzb_601390.html?type_year_1" localSheetId="15">BS数据!$B$1:$Q$116</definedName>
    <definedName name="zcfzb_601390.html?type_year_1" localSheetId="18">BS原始数据!#REF!</definedName>
    <definedName name="zcfzb_601668.html?type_year" localSheetId="15">BS数据!$A$1:$A$116</definedName>
    <definedName name="zcfzb_601668.html?type_year" localSheetId="18">BS原始数据!#REF!</definedName>
    <definedName name="zcfzb_601668.html?type_year_1" localSheetId="15">BS数据!$B$1:$P$116</definedName>
    <definedName name="zcfzb_601668.html?type_year_1" localSheetId="18">BS原始数据!#REF!</definedName>
    <definedName name="zcfzb_601766.html?type_year" localSheetId="15">BS数据!$A$1:$A$116</definedName>
    <definedName name="zcfzb_601766.html?type_year" localSheetId="18">BS原始数据!#REF!</definedName>
    <definedName name="zcfzb_601766.html?type_year_1" localSheetId="15">BS数据!$B$1:$O$116</definedName>
    <definedName name="zcfzb_601766.html?type_year_1" localSheetId="18">BS原始数据!#REF!</definedName>
    <definedName name="zcfzb_601777.html?type_year" localSheetId="15">BS数据!$A$1:$A$116</definedName>
    <definedName name="zcfzb_601777.html?type_year" localSheetId="18">BS原始数据!#REF!</definedName>
    <definedName name="zcfzb_601777.html?type_year_1" localSheetId="15">BS数据!$B$1:$N$116</definedName>
    <definedName name="zcfzb_601777.html?type_year_1" localSheetId="18">BS原始数据!#REF!</definedName>
    <definedName name="zcfzb_603027.html?type_year" localSheetId="15">BS数据!$A$1:$A$116</definedName>
    <definedName name="zcfzb_603027.html?type_year" localSheetId="18">BS原始数据!#REF!</definedName>
    <definedName name="zcfzb_603027.html?type_year_1" localSheetId="15">BS数据!$B$1:$J$116</definedName>
    <definedName name="zcfzb_603027.html?type_year_1" localSheetId="18">BS原始数据!#REF!</definedName>
    <definedName name="zcfzb_603129.html?type_year" localSheetId="18">BS原始数据!#REF!</definedName>
    <definedName name="zcfzb_603129.html?type_year_1" localSheetId="18">BS原始数据!#REF!</definedName>
    <definedName name="zcfzb_603238.html?type_year" localSheetId="18">BS原始数据!#REF!</definedName>
    <definedName name="zcfzb_603238.html?type_year_1" localSheetId="18">BS原始数据!#REF!</definedName>
    <definedName name="zcfzb_603301.html?type_year" localSheetId="18">BS原始数据!#REF!</definedName>
    <definedName name="zcfzb_603301.html?type_year_1" localSheetId="18">BS原始数据!#REF!</definedName>
    <definedName name="zcfzb_603609.html?type_year" localSheetId="15">BS数据!$A$1:$A$116</definedName>
    <definedName name="zcfzb_603609.html?type_year" localSheetId="18">BS原始数据!#REF!</definedName>
    <definedName name="zcfzb_603609.html?type_year_1" localSheetId="15">BS数据!$B$1:$L$116</definedName>
    <definedName name="zcfzb_603609.html?type_year_1" localSheetId="18">BS原始数据!#REF!</definedName>
    <definedName name="zcfzb_603639.html?type_year" localSheetId="15">BS数据!$A$1:$A$116</definedName>
    <definedName name="zcfzb_603639.html?type_year" localSheetId="18">BS原始数据!#REF!</definedName>
    <definedName name="zcfzb_603639.html?type_year_1" localSheetId="15">BS数据!$B$1:$J$116</definedName>
    <definedName name="zcfzb_603639.html?type_year_1" localSheetId="18">BS原始数据!#REF!</definedName>
    <definedName name="zcfzb_603737.html?type_year" localSheetId="15">BS数据!$A$1:$A$116</definedName>
    <definedName name="zcfzb_603737.html?type_year" localSheetId="18">BS原始数据!#REF!</definedName>
    <definedName name="zcfzb_603737.html?type_year_1" localSheetId="15">BS数据!$B$1:$J$116</definedName>
    <definedName name="zcfzb_603737.html?type_year_1" localSheetId="18">BS原始数据!#REF!</definedName>
    <definedName name="zcfzb_688981.html?type_year" localSheetId="15">BS数据!$A$1:$A$116</definedName>
    <definedName name="zcfzb_688981.html?type_year" localSheetId="18">BS原始数据!#REF!</definedName>
    <definedName name="zcfzb_688981.html?type_year_1" localSheetId="15">BS数据!$B$1:$I$116</definedName>
    <definedName name="zcfzb_688981.html?type_year_1" localSheetId="18">BS原始数据!#REF!</definedName>
    <definedName name="管理名称">管理名称!$A$1:$B$342</definedName>
  </definedNames>
  <calcPr calcId="191029"/>
  <pivotCaches>
    <pivotCache cacheId="207" r:id="rId2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 i="28" l="1"/>
  <c r="J6" i="28"/>
  <c r="J7" i="28"/>
  <c r="J8" i="28"/>
  <c r="J4" i="28"/>
  <c r="N44" i="26"/>
  <c r="O44" i="26"/>
  <c r="V5" i="28" l="1"/>
  <c r="V6" i="28"/>
  <c r="V7" i="28"/>
  <c r="V8" i="28"/>
  <c r="V4" i="28"/>
  <c r="AH5" i="28"/>
  <c r="AH6" i="28"/>
  <c r="AH7" i="28"/>
  <c r="AH8" i="28"/>
  <c r="AH4" i="28"/>
  <c r="AT5" i="28"/>
  <c r="AT6" i="28"/>
  <c r="AT7" i="28"/>
  <c r="AT8" i="28"/>
  <c r="AT4" i="28"/>
  <c r="BF5" i="28"/>
  <c r="BF6" i="28"/>
  <c r="BF7" i="28"/>
  <c r="BF8" i="28"/>
  <c r="BF4" i="28"/>
  <c r="BR5" i="28"/>
  <c r="BR6" i="28"/>
  <c r="BR7" i="28"/>
  <c r="BR8" i="28"/>
  <c r="BR4" i="28"/>
  <c r="CD5" i="28"/>
  <c r="CD6" i="28"/>
  <c r="CD7" i="28"/>
  <c r="CD8" i="28"/>
  <c r="CD4" i="28"/>
  <c r="CP5" i="28"/>
  <c r="CP6" i="28"/>
  <c r="CP7" i="28"/>
  <c r="CP8" i="28"/>
  <c r="CP4" i="28"/>
  <c r="DB5" i="28"/>
  <c r="DB6" i="28"/>
  <c r="DB7" i="28"/>
  <c r="DB8" i="28"/>
  <c r="DB4" i="28"/>
  <c r="DN5" i="28"/>
  <c r="DN6" i="28"/>
  <c r="DN7" i="28"/>
  <c r="DN8" i="28"/>
  <c r="DN4" i="28"/>
  <c r="DZ5" i="28"/>
  <c r="DZ6" i="28"/>
  <c r="DZ7" i="28"/>
  <c r="DZ8" i="28"/>
  <c r="DZ4" i="28"/>
  <c r="EL5" i="28"/>
  <c r="EL6" i="28"/>
  <c r="EL7" i="28"/>
  <c r="EL8" i="28"/>
  <c r="EL4" i="28"/>
  <c r="EX5" i="28"/>
  <c r="EX6" i="28"/>
  <c r="EX7" i="28"/>
  <c r="EX8" i="28"/>
  <c r="EX4" i="28"/>
  <c r="FJ5" i="28"/>
  <c r="FJ6" i="28"/>
  <c r="FJ7" i="28"/>
  <c r="FJ8" i="28"/>
  <c r="FJ4" i="28"/>
  <c r="FV5" i="28"/>
  <c r="FV6" i="28"/>
  <c r="FV7" i="28"/>
  <c r="FV8" i="28"/>
  <c r="FV4" i="28"/>
  <c r="GH5" i="28" l="1"/>
  <c r="GH6" i="28"/>
  <c r="GH7" i="28"/>
  <c r="GH8" i="28"/>
  <c r="GH4" i="28"/>
  <c r="GT5" i="28"/>
  <c r="GT6" i="28"/>
  <c r="GT7" i="28"/>
  <c r="GT8" i="28"/>
  <c r="GT4" i="28"/>
  <c r="HF5" i="28"/>
  <c r="HF6" i="28"/>
  <c r="HF7" i="28"/>
  <c r="HF8" i="28"/>
  <c r="HF4" i="28"/>
  <c r="HR5" i="28"/>
  <c r="HR6" i="28"/>
  <c r="HR7" i="28"/>
  <c r="HR8" i="28"/>
  <c r="HR4" i="28"/>
  <c r="ID5" i="28"/>
  <c r="ID6" i="28"/>
  <c r="ID7" i="28"/>
  <c r="ID8" i="28"/>
  <c r="ID4" i="28"/>
  <c r="IP5" i="28"/>
  <c r="IP6" i="28"/>
  <c r="IP7" i="28"/>
  <c r="IP8" i="28"/>
  <c r="IP4" i="28"/>
  <c r="JB5" i="28"/>
  <c r="JB6" i="28"/>
  <c r="JB7" i="28"/>
  <c r="JB8" i="28"/>
  <c r="JB4" i="28"/>
  <c r="JN5" i="28"/>
  <c r="JN6" i="28"/>
  <c r="JN7" i="28"/>
  <c r="JN8" i="28"/>
  <c r="JN4" i="28"/>
  <c r="JZ5" i="28"/>
  <c r="JZ6" i="28"/>
  <c r="JZ7" i="28"/>
  <c r="JZ8" i="28"/>
  <c r="JZ4" i="28"/>
  <c r="O16" i="20" l="1"/>
  <c r="M16" i="20"/>
  <c r="KL5" i="28"/>
  <c r="KL6" i="28"/>
  <c r="KL7" i="28"/>
  <c r="KL8" i="28"/>
  <c r="KL4" i="28"/>
  <c r="KX5" i="28"/>
  <c r="KX6" i="28"/>
  <c r="KX7" i="28"/>
  <c r="KX8" i="28"/>
  <c r="KX4" i="28"/>
  <c r="LJ5" i="28"/>
  <c r="LJ6" i="28"/>
  <c r="LJ7" i="28"/>
  <c r="LJ8" i="28"/>
  <c r="LJ4" i="28"/>
  <c r="LV5" i="28"/>
  <c r="LV6" i="28"/>
  <c r="LV7" i="28"/>
  <c r="LV8" i="28"/>
  <c r="LV4" i="28"/>
  <c r="MH5" i="28"/>
  <c r="MH6" i="28"/>
  <c r="MH7" i="28"/>
  <c r="MH8" i="28"/>
  <c r="MH4" i="28"/>
  <c r="MT5" i="28"/>
  <c r="MT6" i="28"/>
  <c r="MT7" i="28"/>
  <c r="MT8" i="28"/>
  <c r="MT4" i="28"/>
  <c r="NF5" i="28"/>
  <c r="NF6" i="28"/>
  <c r="NF7" i="28"/>
  <c r="NF8" i="28"/>
  <c r="NF4" i="28"/>
  <c r="NR5" i="28"/>
  <c r="NR6" i="28"/>
  <c r="NR7" i="28"/>
  <c r="NR8" i="28"/>
  <c r="NR4" i="28"/>
  <c r="OD5" i="28"/>
  <c r="OD6" i="28"/>
  <c r="OD7" i="28"/>
  <c r="OD8" i="28"/>
  <c r="OD4" i="28"/>
  <c r="OP5" i="28"/>
  <c r="OP6" i="28"/>
  <c r="OP7" i="28"/>
  <c r="OP8" i="28"/>
  <c r="OP4" i="28"/>
  <c r="PB5" i="28"/>
  <c r="PB6" i="28"/>
  <c r="PB7" i="28"/>
  <c r="PB8" i="28"/>
  <c r="PB4" i="28"/>
  <c r="PN5" i="28"/>
  <c r="PN6" i="28"/>
  <c r="PN7" i="28"/>
  <c r="PN8" i="28"/>
  <c r="PN4" i="28"/>
  <c r="PZ5" i="28"/>
  <c r="PZ6" i="28"/>
  <c r="PZ7" i="28"/>
  <c r="PZ8" i="28"/>
  <c r="PZ4" i="28"/>
  <c r="QL5" i="28"/>
  <c r="QL6" i="28"/>
  <c r="QL7" i="28"/>
  <c r="QL8" i="28"/>
  <c r="QL4" i="28"/>
  <c r="QX5" i="28"/>
  <c r="QX6" i="28"/>
  <c r="QX7" i="28"/>
  <c r="QX8" i="28"/>
  <c r="QX4" i="28"/>
  <c r="M3" i="20"/>
  <c r="M4" i="20"/>
  <c r="M5" i="20"/>
  <c r="M6" i="20"/>
  <c r="M7" i="20"/>
  <c r="M8" i="20"/>
  <c r="M9" i="20"/>
  <c r="M10" i="20"/>
  <c r="M11" i="20"/>
  <c r="M12" i="20"/>
  <c r="M13" i="20"/>
  <c r="M14" i="20"/>
  <c r="M15" i="20"/>
  <c r="M2" i="20"/>
  <c r="O3" i="20"/>
  <c r="O4" i="20"/>
  <c r="O5" i="20"/>
  <c r="O6" i="20"/>
  <c r="O7" i="20"/>
  <c r="O8" i="20"/>
  <c r="O9" i="20"/>
  <c r="O10" i="20"/>
  <c r="O11" i="20"/>
  <c r="O12" i="20"/>
  <c r="O13" i="20"/>
  <c r="O14" i="20"/>
  <c r="O15" i="20"/>
  <c r="O2" i="20"/>
  <c r="RJ5" i="28"/>
  <c r="RJ6" i="28"/>
  <c r="RJ7" i="28"/>
  <c r="RJ8" i="28"/>
  <c r="RJ4" i="28"/>
  <c r="RV5" i="28"/>
  <c r="RV6" i="28"/>
  <c r="RV7" i="28"/>
  <c r="RV8" i="28"/>
  <c r="RV4" i="28"/>
  <c r="SH5" i="28"/>
  <c r="SH6" i="28"/>
  <c r="SH7" i="28"/>
  <c r="SH8" i="28"/>
  <c r="SH4" i="28"/>
  <c r="ST5" i="28"/>
  <c r="ST6" i="28"/>
  <c r="ST7" i="28"/>
  <c r="ST8" i="28"/>
  <c r="ST4" i="28"/>
  <c r="TF5" i="28"/>
  <c r="TF6" i="28"/>
  <c r="TF7" i="28"/>
  <c r="TF8" i="28"/>
  <c r="TF4" i="28"/>
  <c r="TR12" i="28"/>
  <c r="TR5" i="28"/>
  <c r="TR6" i="28"/>
  <c r="TR7" i="28"/>
  <c r="TR8" i="28"/>
  <c r="TR4" i="28"/>
  <c r="UD5" i="28"/>
  <c r="UD6" i="28"/>
  <c r="UD7" i="28"/>
  <c r="UD8" i="28"/>
  <c r="UD4" i="28"/>
  <c r="UP5" i="28" l="1"/>
  <c r="UP6" i="28"/>
  <c r="UP7" i="28"/>
  <c r="UP8" i="28"/>
  <c r="UP4" i="28"/>
  <c r="VB5" i="28"/>
  <c r="VB6" i="28"/>
  <c r="VB7" i="28"/>
  <c r="VB8" i="28"/>
  <c r="VB4" i="28"/>
  <c r="VN5" i="28"/>
  <c r="VN6" i="28"/>
  <c r="VN7" i="28"/>
  <c r="VN8" i="28"/>
  <c r="VN4" i="28"/>
  <c r="VZ5" i="28"/>
  <c r="VZ6" i="28"/>
  <c r="VZ7" i="28"/>
  <c r="VZ8" i="28"/>
  <c r="VZ4" i="28"/>
  <c r="WL5" i="28"/>
  <c r="WL6" i="28"/>
  <c r="WL7" i="28"/>
  <c r="WL8" i="28"/>
  <c r="WL4" i="28"/>
  <c r="WX5" i="28" l="1"/>
  <c r="WX6" i="28"/>
  <c r="WX7" i="28"/>
  <c r="WX8" i="28"/>
  <c r="WX4" i="28"/>
  <c r="XJ5" i="28" l="1"/>
  <c r="XJ6" i="28"/>
  <c r="XJ7" i="28"/>
  <c r="XJ8" i="28"/>
  <c r="XJ4" i="28"/>
  <c r="XV5" i="28"/>
  <c r="XV6" i="28"/>
  <c r="XV7" i="28"/>
  <c r="XV8" i="28"/>
  <c r="XV4" i="28"/>
  <c r="YH5" i="28"/>
  <c r="YH6" i="28"/>
  <c r="YH7" i="28"/>
  <c r="YH8" i="28"/>
  <c r="YH4" i="28"/>
  <c r="YT5" i="28"/>
  <c r="YT6" i="28"/>
  <c r="YT7" i="28"/>
  <c r="YT8" i="28"/>
  <c r="YT4" i="28"/>
  <c r="ZF5" i="28"/>
  <c r="ZF6" i="28"/>
  <c r="ZF7" i="28"/>
  <c r="ZF8" i="28"/>
  <c r="ZF4" i="28"/>
  <c r="ZR5" i="28"/>
  <c r="ZR6" i="28"/>
  <c r="ZR7" i="28"/>
  <c r="ZR8" i="28"/>
  <c r="ZR4" i="28"/>
  <c r="AAD5" i="28"/>
  <c r="AAD6" i="28"/>
  <c r="AAD7" i="28"/>
  <c r="AAD8" i="28"/>
  <c r="AAD4" i="28"/>
  <c r="AAP5" i="28"/>
  <c r="AAP6" i="28"/>
  <c r="AAP7" i="28"/>
  <c r="AAP8" i="28"/>
  <c r="AAP4" i="28"/>
  <c r="ABB5" i="28"/>
  <c r="ABB6" i="28"/>
  <c r="ABB7" i="28"/>
  <c r="ABB8" i="28"/>
  <c r="ABB4" i="28"/>
  <c r="ABN5" i="28"/>
  <c r="ABN6" i="28"/>
  <c r="ABN7" i="28"/>
  <c r="ABN8" i="28"/>
  <c r="ABN4" i="28"/>
  <c r="ABZ5" i="28"/>
  <c r="ABZ6" i="28"/>
  <c r="ABZ7" i="28"/>
  <c r="ABZ8" i="28"/>
  <c r="ABZ4" i="28"/>
  <c r="ACL5" i="28"/>
  <c r="ACL6" i="28"/>
  <c r="ACL7" i="28"/>
  <c r="ACL8" i="28"/>
  <c r="ACL4" i="28"/>
  <c r="ACX5" i="28"/>
  <c r="ACX6" i="28"/>
  <c r="ACX7" i="28"/>
  <c r="ACX8" i="28"/>
  <c r="ACX4" i="28"/>
  <c r="ADJ5" i="28"/>
  <c r="ADJ6" i="28"/>
  <c r="ADJ7" i="28"/>
  <c r="ADJ8" i="28"/>
  <c r="ADJ4" i="28"/>
  <c r="ADV5" i="28"/>
  <c r="ADV6" i="28"/>
  <c r="ADV7" i="28"/>
  <c r="ADV8" i="28"/>
  <c r="ADV4" i="28"/>
  <c r="AEH5" i="28"/>
  <c r="AEH6" i="28"/>
  <c r="AEH7" i="28"/>
  <c r="AEH8" i="28"/>
  <c r="AEH4" i="28"/>
  <c r="AET5" i="28"/>
  <c r="AET6" i="28"/>
  <c r="AET7" i="28"/>
  <c r="AET8" i="28"/>
  <c r="AET4" i="28"/>
  <c r="AFF5" i="28"/>
  <c r="AFF6" i="28"/>
  <c r="AFF7" i="28"/>
  <c r="AFF8" i="28"/>
  <c r="AFF4" i="28"/>
  <c r="AFR5" i="28"/>
  <c r="AFR6" i="28"/>
  <c r="AFR7" i="28"/>
  <c r="AFR8" i="28"/>
  <c r="AFR4" i="28"/>
  <c r="AGD5" i="28"/>
  <c r="AGD6" i="28"/>
  <c r="AGD7" i="28"/>
  <c r="AGD8" i="28"/>
  <c r="AGD4" i="28"/>
  <c r="AGP5" i="28"/>
  <c r="AGP6" i="28"/>
  <c r="AGP7" i="28"/>
  <c r="AGP8" i="28"/>
  <c r="AGP4" i="28"/>
  <c r="AHB5" i="28"/>
  <c r="AHB6" i="28"/>
  <c r="AHB7" i="28"/>
  <c r="AHB8" i="28"/>
  <c r="AHB4" i="28"/>
  <c r="AHN5" i="28" l="1"/>
  <c r="AHN6" i="28"/>
  <c r="AHN7" i="28"/>
  <c r="AHN8" i="28"/>
  <c r="AHN4" i="28"/>
  <c r="AHZ5" i="28"/>
  <c r="AHZ6" i="28"/>
  <c r="AHZ7" i="28"/>
  <c r="AHZ8" i="28"/>
  <c r="AHZ4" i="28"/>
  <c r="AIL5" i="28"/>
  <c r="AIL6" i="28"/>
  <c r="AIL7" i="28"/>
  <c r="AIL8" i="28"/>
  <c r="AIL4" i="28"/>
  <c r="AIX5" i="28"/>
  <c r="AIX6" i="28"/>
  <c r="AIX7" i="28"/>
  <c r="AIX8" i="28"/>
  <c r="AIX4" i="28"/>
  <c r="AJJ5" i="28"/>
  <c r="AJJ6" i="28"/>
  <c r="AJJ7" i="28"/>
  <c r="AJJ8" i="28"/>
  <c r="AJJ4" i="28"/>
  <c r="AJV5" i="28"/>
  <c r="AJV6" i="28"/>
  <c r="AJV7" i="28"/>
  <c r="AJV8" i="28"/>
  <c r="AJV4" i="28"/>
  <c r="AKH5" i="28"/>
  <c r="AKH6" i="28"/>
  <c r="AKH7" i="28"/>
  <c r="AKH8" i="28"/>
  <c r="AKH4" i="28"/>
  <c r="AKT5" i="28"/>
  <c r="AKT6" i="28"/>
  <c r="AKT7" i="28"/>
  <c r="AKT8" i="28"/>
  <c r="AKT4" i="28"/>
  <c r="ALF5" i="28"/>
  <c r="ALF6" i="28"/>
  <c r="ALF7" i="28"/>
  <c r="ALF8" i="28"/>
  <c r="ALF4" i="28"/>
  <c r="ALR5" i="28"/>
  <c r="ALR6" i="28"/>
  <c r="ALR7" i="28"/>
  <c r="ALR8" i="28"/>
  <c r="ALR4" i="28"/>
  <c r="AMD5" i="28"/>
  <c r="AMD6" i="28"/>
  <c r="AMD7" i="28"/>
  <c r="AMD8" i="28"/>
  <c r="AMD4" i="28"/>
  <c r="AMP5" i="28"/>
  <c r="AMP6" i="28"/>
  <c r="AMP7" i="28"/>
  <c r="AMP8" i="28"/>
  <c r="AMP4" i="28"/>
  <c r="ANB5" i="28" l="1"/>
  <c r="ANB6" i="28"/>
  <c r="ANB7" i="28"/>
  <c r="ANB8" i="28"/>
  <c r="ANB4" i="28"/>
  <c r="ANN5" i="28"/>
  <c r="ANN6" i="28"/>
  <c r="ANN7" i="28"/>
  <c r="ANN8" i="28"/>
  <c r="ANN4" i="28"/>
  <c r="ANZ5" i="28"/>
  <c r="ANZ6" i="28"/>
  <c r="ANZ7" i="28"/>
  <c r="ANZ8" i="28"/>
  <c r="ANZ4" i="28"/>
  <c r="AOL5" i="28"/>
  <c r="AOL6" i="28"/>
  <c r="AOL7" i="28"/>
  <c r="AOL8" i="28"/>
  <c r="AOL4" i="28"/>
  <c r="AOX5" i="28"/>
  <c r="AOX6" i="28"/>
  <c r="AOX7" i="28"/>
  <c r="AOX8" i="28"/>
  <c r="AOX4" i="28"/>
  <c r="APJ5" i="28" l="1"/>
  <c r="APJ6" i="28"/>
  <c r="APJ7" i="28"/>
  <c r="APJ8" i="28"/>
  <c r="APJ4" i="28"/>
  <c r="A3" i="3"/>
  <c r="A4" i="3"/>
  <c r="H4" i="3" s="1"/>
  <c r="A5" i="3"/>
  <c r="G5" i="3" s="1"/>
  <c r="A6" i="3"/>
  <c r="N6" i="3" s="1"/>
  <c r="A7" i="3"/>
  <c r="I7" i="3" s="1"/>
  <c r="A8" i="3"/>
  <c r="L8" i="3" s="1"/>
  <c r="A9" i="3"/>
  <c r="A10" i="3"/>
  <c r="G10" i="3" s="1"/>
  <c r="A11" i="3"/>
  <c r="A12" i="3"/>
  <c r="E12" i="3" s="1"/>
  <c r="A13" i="3"/>
  <c r="H13" i="3" s="1"/>
  <c r="A14" i="3"/>
  <c r="C14" i="3" s="1"/>
  <c r="A15" i="3"/>
  <c r="B15" i="3" s="1"/>
  <c r="A16" i="3"/>
  <c r="A17" i="3"/>
  <c r="D17" i="3" s="1"/>
  <c r="A18" i="3"/>
  <c r="O18" i="3" s="1"/>
  <c r="A19" i="3"/>
  <c r="J19" i="3" s="1"/>
  <c r="A20" i="3"/>
  <c r="B20" i="3" s="1"/>
  <c r="A21" i="3"/>
  <c r="B21" i="3" s="1"/>
  <c r="A22" i="3"/>
  <c r="K22" i="3" s="1"/>
  <c r="A23" i="3"/>
  <c r="B23" i="3" s="1"/>
  <c r="A24" i="3"/>
  <c r="I24" i="3" s="1"/>
  <c r="A25" i="3"/>
  <c r="B25" i="3" s="1"/>
  <c r="A26" i="3"/>
  <c r="G26" i="3" s="1"/>
  <c r="A27" i="3"/>
  <c r="J27" i="3" s="1"/>
  <c r="A28" i="3"/>
  <c r="E28" i="3" s="1"/>
  <c r="A29" i="3"/>
  <c r="H29" i="3" s="1"/>
  <c r="A30" i="3"/>
  <c r="E30" i="3" s="1"/>
  <c r="A31" i="3"/>
  <c r="B31" i="3" s="1"/>
  <c r="A32" i="3"/>
  <c r="C32" i="3" s="1"/>
  <c r="A33" i="3"/>
  <c r="F33" i="3" s="1"/>
  <c r="A34" i="3"/>
  <c r="K34" i="3" s="1"/>
  <c r="A35" i="3"/>
  <c r="D35" i="3" s="1"/>
  <c r="A36" i="3"/>
  <c r="G36" i="3" s="1"/>
  <c r="A37" i="3"/>
  <c r="J37" i="3" s="1"/>
  <c r="A38" i="3"/>
  <c r="I38" i="3" s="1"/>
  <c r="A39" i="3"/>
  <c r="H39" i="3" s="1"/>
  <c r="A40" i="3"/>
  <c r="A41" i="3"/>
  <c r="F41" i="3" s="1"/>
  <c r="A42" i="3"/>
  <c r="G42" i="3" s="1"/>
  <c r="A43" i="3"/>
  <c r="C43" i="3" s="1"/>
  <c r="A44" i="3"/>
  <c r="F44" i="3" s="1"/>
  <c r="A45" i="3"/>
  <c r="D45" i="3" s="1"/>
  <c r="A46" i="3"/>
  <c r="C46" i="3" s="1"/>
  <c r="A47" i="3"/>
  <c r="D47" i="3" s="1"/>
  <c r="APV5" i="28"/>
  <c r="APV6" i="28"/>
  <c r="APV7" i="28"/>
  <c r="APV8" i="28"/>
  <c r="APV4" i="28"/>
  <c r="AQH5" i="28"/>
  <c r="AQH6" i="28"/>
  <c r="AQH7" i="28"/>
  <c r="AQH8" i="28"/>
  <c r="AQH4" i="28"/>
  <c r="AQT5" i="28"/>
  <c r="AQT6" i="28"/>
  <c r="AQT7" i="28"/>
  <c r="AQT8" i="28"/>
  <c r="AQT4" i="28"/>
  <c r="ARF5" i="28"/>
  <c r="ARF6" i="28"/>
  <c r="ARF7" i="28"/>
  <c r="ARF8" i="28"/>
  <c r="ARF4" i="28"/>
  <c r="ARR5" i="28"/>
  <c r="ARR6" i="28"/>
  <c r="ARR7" i="28"/>
  <c r="ARR8" i="28"/>
  <c r="ARR4" i="28"/>
  <c r="G18" i="3" l="1"/>
  <c r="G38" i="3"/>
  <c r="O42" i="3"/>
  <c r="H35" i="3"/>
  <c r="O10" i="3"/>
  <c r="H46" i="3"/>
  <c r="E42" i="3"/>
  <c r="G34" i="3"/>
  <c r="O46" i="3"/>
  <c r="D39" i="3"/>
  <c r="H31" i="3"/>
  <c r="B37" i="3"/>
  <c r="B17" i="3"/>
  <c r="B33" i="3"/>
  <c r="B6" i="3"/>
  <c r="M46" i="3"/>
  <c r="E46" i="3"/>
  <c r="F45" i="3"/>
  <c r="M42" i="3"/>
  <c r="C42" i="3"/>
  <c r="O38" i="3"/>
  <c r="C38" i="3"/>
  <c r="O34" i="3"/>
  <c r="E34" i="3"/>
  <c r="I30" i="3"/>
  <c r="F23" i="3"/>
  <c r="N15" i="3"/>
  <c r="C5" i="3"/>
  <c r="K5" i="3"/>
  <c r="L47" i="3"/>
  <c r="K46" i="3"/>
  <c r="D46" i="3"/>
  <c r="K43" i="3"/>
  <c r="K42" i="3"/>
  <c r="J41" i="3"/>
  <c r="K38" i="3"/>
  <c r="N37" i="3"/>
  <c r="M34" i="3"/>
  <c r="C34" i="3"/>
  <c r="L45" i="3"/>
  <c r="L25" i="3"/>
  <c r="B39" i="3"/>
  <c r="G47" i="3"/>
  <c r="I46" i="3"/>
  <c r="F43" i="3"/>
  <c r="L39" i="3"/>
  <c r="F37" i="3"/>
  <c r="J33" i="3"/>
  <c r="D40" i="3"/>
  <c r="H40" i="3"/>
  <c r="L40" i="3"/>
  <c r="F40" i="3"/>
  <c r="J40" i="3"/>
  <c r="N40" i="3"/>
  <c r="B12" i="3"/>
  <c r="O40" i="3"/>
  <c r="G40" i="3"/>
  <c r="K32" i="3"/>
  <c r="M20" i="3"/>
  <c r="L37" i="3"/>
  <c r="F35" i="3"/>
  <c r="K36" i="3"/>
  <c r="C36" i="3"/>
  <c r="B32" i="3"/>
  <c r="B27" i="3"/>
  <c r="J45" i="3"/>
  <c r="E45" i="3"/>
  <c r="M44" i="3"/>
  <c r="G44" i="3"/>
  <c r="O43" i="3"/>
  <c r="J43" i="3"/>
  <c r="D43" i="3"/>
  <c r="H41" i="3"/>
  <c r="M40" i="3"/>
  <c r="E40" i="3"/>
  <c r="J39" i="3"/>
  <c r="D37" i="3"/>
  <c r="I36" i="3"/>
  <c r="N35" i="3"/>
  <c r="H33" i="3"/>
  <c r="G32" i="3"/>
  <c r="D31" i="3"/>
  <c r="N29" i="3"/>
  <c r="D25" i="3"/>
  <c r="E20" i="3"/>
  <c r="L17" i="3"/>
  <c r="F15" i="3"/>
  <c r="M12" i="3"/>
  <c r="F46" i="3"/>
  <c r="J46" i="3"/>
  <c r="N46" i="3"/>
  <c r="B46" i="3"/>
  <c r="F42" i="3"/>
  <c r="J42" i="3"/>
  <c r="N42" i="3"/>
  <c r="B42" i="3"/>
  <c r="D42" i="3"/>
  <c r="H42" i="3"/>
  <c r="L42" i="3"/>
  <c r="F38" i="3"/>
  <c r="J38" i="3"/>
  <c r="N38" i="3"/>
  <c r="B38" i="3"/>
  <c r="D38" i="3"/>
  <c r="H38" i="3"/>
  <c r="L38" i="3"/>
  <c r="F34" i="3"/>
  <c r="J34" i="3"/>
  <c r="N34" i="3"/>
  <c r="B34" i="3"/>
  <c r="D34" i="3"/>
  <c r="H34" i="3"/>
  <c r="L34" i="3"/>
  <c r="F30" i="3"/>
  <c r="J30" i="3"/>
  <c r="N30" i="3"/>
  <c r="B30" i="3"/>
  <c r="C30" i="3"/>
  <c r="G30" i="3"/>
  <c r="K30" i="3"/>
  <c r="O30" i="3"/>
  <c r="D30" i="3"/>
  <c r="H30" i="3"/>
  <c r="L30" i="3"/>
  <c r="D26" i="3"/>
  <c r="H26" i="3"/>
  <c r="L26" i="3"/>
  <c r="E26" i="3"/>
  <c r="I26" i="3"/>
  <c r="M26" i="3"/>
  <c r="J26" i="3"/>
  <c r="B26" i="3"/>
  <c r="C26" i="3"/>
  <c r="K26" i="3"/>
  <c r="F26" i="3"/>
  <c r="N26" i="3"/>
  <c r="D22" i="3"/>
  <c r="H22" i="3"/>
  <c r="L22" i="3"/>
  <c r="E22" i="3"/>
  <c r="I22" i="3"/>
  <c r="M22" i="3"/>
  <c r="F22" i="3"/>
  <c r="N22" i="3"/>
  <c r="B22" i="3"/>
  <c r="G22" i="3"/>
  <c r="O22" i="3"/>
  <c r="J22" i="3"/>
  <c r="D18" i="3"/>
  <c r="H18" i="3"/>
  <c r="L18" i="3"/>
  <c r="E18" i="3"/>
  <c r="I18" i="3"/>
  <c r="M18" i="3"/>
  <c r="J18" i="3"/>
  <c r="B18" i="3"/>
  <c r="C18" i="3"/>
  <c r="K18" i="3"/>
  <c r="F18" i="3"/>
  <c r="N18" i="3"/>
  <c r="D14" i="3"/>
  <c r="H14" i="3"/>
  <c r="L14" i="3"/>
  <c r="E14" i="3"/>
  <c r="I14" i="3"/>
  <c r="M14" i="3"/>
  <c r="F14" i="3"/>
  <c r="N14" i="3"/>
  <c r="B14" i="3"/>
  <c r="G14" i="3"/>
  <c r="O14" i="3"/>
  <c r="J14" i="3"/>
  <c r="D10" i="3"/>
  <c r="H10" i="3"/>
  <c r="L10" i="3"/>
  <c r="E10" i="3"/>
  <c r="I10" i="3"/>
  <c r="M10" i="3"/>
  <c r="J10" i="3"/>
  <c r="B10" i="3"/>
  <c r="C10" i="3"/>
  <c r="K10" i="3"/>
  <c r="F10" i="3"/>
  <c r="N10" i="3"/>
  <c r="C6" i="3"/>
  <c r="G6" i="3"/>
  <c r="K6" i="3"/>
  <c r="O6" i="3"/>
  <c r="D6" i="3"/>
  <c r="H6" i="3"/>
  <c r="L6" i="3"/>
  <c r="I6" i="3"/>
  <c r="J6" i="3"/>
  <c r="E6" i="3"/>
  <c r="M6" i="3"/>
  <c r="B47" i="3"/>
  <c r="B41" i="3"/>
  <c r="B36" i="3"/>
  <c r="B8" i="3"/>
  <c r="O47" i="3"/>
  <c r="J47" i="3"/>
  <c r="L46" i="3"/>
  <c r="G46" i="3"/>
  <c r="N45" i="3"/>
  <c r="I45" i="3"/>
  <c r="K44" i="3"/>
  <c r="N43" i="3"/>
  <c r="H43" i="3"/>
  <c r="I42" i="3"/>
  <c r="N41" i="3"/>
  <c r="K40" i="3"/>
  <c r="C40" i="3"/>
  <c r="M38" i="3"/>
  <c r="E38" i="3"/>
  <c r="O36" i="3"/>
  <c r="L35" i="3"/>
  <c r="I34" i="3"/>
  <c r="N33" i="3"/>
  <c r="M30" i="3"/>
  <c r="O26" i="3"/>
  <c r="C22" i="3"/>
  <c r="K14" i="3"/>
  <c r="F6" i="3"/>
  <c r="D44" i="3"/>
  <c r="H44" i="3"/>
  <c r="L44" i="3"/>
  <c r="D36" i="3"/>
  <c r="H36" i="3"/>
  <c r="L36" i="3"/>
  <c r="F36" i="3"/>
  <c r="J36" i="3"/>
  <c r="N36" i="3"/>
  <c r="D32" i="3"/>
  <c r="H32" i="3"/>
  <c r="L32" i="3"/>
  <c r="E32" i="3"/>
  <c r="I32" i="3"/>
  <c r="M32" i="3"/>
  <c r="F32" i="3"/>
  <c r="J32" i="3"/>
  <c r="N32" i="3"/>
  <c r="F28" i="3"/>
  <c r="J28" i="3"/>
  <c r="N28" i="3"/>
  <c r="C28" i="3"/>
  <c r="G28" i="3"/>
  <c r="K28" i="3"/>
  <c r="O28" i="3"/>
  <c r="H28" i="3"/>
  <c r="I28" i="3"/>
  <c r="D28" i="3"/>
  <c r="L28" i="3"/>
  <c r="F24" i="3"/>
  <c r="J24" i="3"/>
  <c r="N24" i="3"/>
  <c r="C24" i="3"/>
  <c r="G24" i="3"/>
  <c r="K24" i="3"/>
  <c r="O24" i="3"/>
  <c r="D24" i="3"/>
  <c r="L24" i="3"/>
  <c r="E24" i="3"/>
  <c r="M24" i="3"/>
  <c r="H24" i="3"/>
  <c r="F20" i="3"/>
  <c r="J20" i="3"/>
  <c r="N20" i="3"/>
  <c r="C20" i="3"/>
  <c r="G20" i="3"/>
  <c r="K20" i="3"/>
  <c r="O20" i="3"/>
  <c r="H20" i="3"/>
  <c r="I20" i="3"/>
  <c r="D20" i="3"/>
  <c r="L20" i="3"/>
  <c r="F16" i="3"/>
  <c r="J16" i="3"/>
  <c r="N16" i="3"/>
  <c r="C16" i="3"/>
  <c r="G16" i="3"/>
  <c r="K16" i="3"/>
  <c r="O16" i="3"/>
  <c r="D16" i="3"/>
  <c r="L16" i="3"/>
  <c r="E16" i="3"/>
  <c r="M16" i="3"/>
  <c r="H16" i="3"/>
  <c r="F12" i="3"/>
  <c r="J12" i="3"/>
  <c r="N12" i="3"/>
  <c r="C12" i="3"/>
  <c r="G12" i="3"/>
  <c r="K12" i="3"/>
  <c r="O12" i="3"/>
  <c r="H12" i="3"/>
  <c r="I12" i="3"/>
  <c r="D12" i="3"/>
  <c r="L12" i="3"/>
  <c r="E8" i="3"/>
  <c r="I8" i="3"/>
  <c r="M8" i="3"/>
  <c r="F8" i="3"/>
  <c r="J8" i="3"/>
  <c r="N8" i="3"/>
  <c r="G8" i="3"/>
  <c r="O8" i="3"/>
  <c r="H8" i="3"/>
  <c r="C8" i="3"/>
  <c r="K8" i="3"/>
  <c r="E4" i="3"/>
  <c r="I4" i="3"/>
  <c r="M4" i="3"/>
  <c r="F4" i="3"/>
  <c r="J4" i="3"/>
  <c r="N4" i="3"/>
  <c r="C4" i="3"/>
  <c r="K4" i="3"/>
  <c r="D4" i="3"/>
  <c r="L4" i="3"/>
  <c r="G4" i="3"/>
  <c r="O4" i="3"/>
  <c r="B44" i="3"/>
  <c r="B28" i="3"/>
  <c r="N44" i="3"/>
  <c r="I44" i="3"/>
  <c r="C44" i="3"/>
  <c r="E47" i="3"/>
  <c r="I47" i="3"/>
  <c r="M47" i="3"/>
  <c r="E43" i="3"/>
  <c r="I43" i="3"/>
  <c r="M43" i="3"/>
  <c r="E39" i="3"/>
  <c r="I39" i="3"/>
  <c r="M39" i="3"/>
  <c r="C39" i="3"/>
  <c r="G39" i="3"/>
  <c r="K39" i="3"/>
  <c r="O39" i="3"/>
  <c r="E35" i="3"/>
  <c r="I35" i="3"/>
  <c r="M35" i="3"/>
  <c r="C35" i="3"/>
  <c r="G35" i="3"/>
  <c r="K35" i="3"/>
  <c r="O35" i="3"/>
  <c r="E31" i="3"/>
  <c r="I31" i="3"/>
  <c r="M31" i="3"/>
  <c r="F31" i="3"/>
  <c r="J31" i="3"/>
  <c r="N31" i="3"/>
  <c r="C31" i="3"/>
  <c r="G31" i="3"/>
  <c r="K31" i="3"/>
  <c r="O31" i="3"/>
  <c r="C27" i="3"/>
  <c r="G27" i="3"/>
  <c r="K27" i="3"/>
  <c r="O27" i="3"/>
  <c r="D27" i="3"/>
  <c r="H27" i="3"/>
  <c r="L27" i="3"/>
  <c r="E27" i="3"/>
  <c r="M27" i="3"/>
  <c r="F27" i="3"/>
  <c r="N27" i="3"/>
  <c r="I27" i="3"/>
  <c r="C23" i="3"/>
  <c r="G23" i="3"/>
  <c r="K23" i="3"/>
  <c r="O23" i="3"/>
  <c r="D23" i="3"/>
  <c r="H23" i="3"/>
  <c r="L23" i="3"/>
  <c r="I23" i="3"/>
  <c r="J23" i="3"/>
  <c r="E23" i="3"/>
  <c r="M23" i="3"/>
  <c r="C19" i="3"/>
  <c r="G19" i="3"/>
  <c r="K19" i="3"/>
  <c r="O19" i="3"/>
  <c r="D19" i="3"/>
  <c r="H19" i="3"/>
  <c r="L19" i="3"/>
  <c r="E19" i="3"/>
  <c r="M19" i="3"/>
  <c r="F19" i="3"/>
  <c r="N19" i="3"/>
  <c r="I19" i="3"/>
  <c r="C15" i="3"/>
  <c r="G15" i="3"/>
  <c r="K15" i="3"/>
  <c r="O15" i="3"/>
  <c r="D15" i="3"/>
  <c r="H15" i="3"/>
  <c r="L15" i="3"/>
  <c r="I15" i="3"/>
  <c r="J15" i="3"/>
  <c r="E15" i="3"/>
  <c r="M15" i="3"/>
  <c r="C11" i="3"/>
  <c r="G11" i="3"/>
  <c r="K11" i="3"/>
  <c r="O11" i="3"/>
  <c r="D11" i="3"/>
  <c r="H11" i="3"/>
  <c r="L11" i="3"/>
  <c r="E11" i="3"/>
  <c r="M11" i="3"/>
  <c r="F11" i="3"/>
  <c r="N11" i="3"/>
  <c r="I11" i="3"/>
  <c r="F7" i="3"/>
  <c r="J7" i="3"/>
  <c r="N7" i="3"/>
  <c r="C7" i="3"/>
  <c r="G7" i="3"/>
  <c r="K7" i="3"/>
  <c r="O7" i="3"/>
  <c r="D7" i="3"/>
  <c r="L7" i="3"/>
  <c r="E7" i="3"/>
  <c r="M7" i="3"/>
  <c r="H7" i="3"/>
  <c r="B43" i="3"/>
  <c r="B16" i="3"/>
  <c r="B11" i="3"/>
  <c r="B4" i="3"/>
  <c r="K47" i="3"/>
  <c r="F47" i="3"/>
  <c r="C45" i="3"/>
  <c r="G45" i="3"/>
  <c r="K45" i="3"/>
  <c r="O45" i="3"/>
  <c r="C41" i="3"/>
  <c r="G41" i="3"/>
  <c r="K41" i="3"/>
  <c r="O41" i="3"/>
  <c r="E41" i="3"/>
  <c r="I41" i="3"/>
  <c r="M41" i="3"/>
  <c r="C37" i="3"/>
  <c r="G37" i="3"/>
  <c r="K37" i="3"/>
  <c r="O37" i="3"/>
  <c r="E37" i="3"/>
  <c r="I37" i="3"/>
  <c r="M37" i="3"/>
  <c r="C33" i="3"/>
  <c r="G33" i="3"/>
  <c r="K33" i="3"/>
  <c r="O33" i="3"/>
  <c r="D33" i="3"/>
  <c r="E33" i="3"/>
  <c r="I33" i="3"/>
  <c r="M33" i="3"/>
  <c r="E29" i="3"/>
  <c r="I29" i="3"/>
  <c r="F29" i="3"/>
  <c r="J29" i="3"/>
  <c r="C29" i="3"/>
  <c r="K29" i="3"/>
  <c r="O29" i="3"/>
  <c r="D29" i="3"/>
  <c r="L29" i="3"/>
  <c r="G29" i="3"/>
  <c r="M29" i="3"/>
  <c r="E25" i="3"/>
  <c r="I25" i="3"/>
  <c r="M25" i="3"/>
  <c r="F25" i="3"/>
  <c r="J25" i="3"/>
  <c r="N25" i="3"/>
  <c r="G25" i="3"/>
  <c r="O25" i="3"/>
  <c r="H25" i="3"/>
  <c r="C25" i="3"/>
  <c r="K25" i="3"/>
  <c r="E21" i="3"/>
  <c r="I21" i="3"/>
  <c r="M21" i="3"/>
  <c r="F21" i="3"/>
  <c r="J21" i="3"/>
  <c r="N21" i="3"/>
  <c r="C21" i="3"/>
  <c r="K21" i="3"/>
  <c r="D21" i="3"/>
  <c r="L21" i="3"/>
  <c r="G21" i="3"/>
  <c r="O21" i="3"/>
  <c r="E17" i="3"/>
  <c r="I17" i="3"/>
  <c r="M17" i="3"/>
  <c r="F17" i="3"/>
  <c r="J17" i="3"/>
  <c r="N17" i="3"/>
  <c r="G17" i="3"/>
  <c r="O17" i="3"/>
  <c r="H17" i="3"/>
  <c r="C17" i="3"/>
  <c r="K17" i="3"/>
  <c r="E13" i="3"/>
  <c r="I13" i="3"/>
  <c r="M13" i="3"/>
  <c r="F13" i="3"/>
  <c r="J13" i="3"/>
  <c r="N13" i="3"/>
  <c r="C13" i="3"/>
  <c r="K13" i="3"/>
  <c r="D13" i="3"/>
  <c r="L13" i="3"/>
  <c r="G13" i="3"/>
  <c r="O13" i="3"/>
  <c r="B45" i="3"/>
  <c r="B40" i="3"/>
  <c r="B35" i="3"/>
  <c r="B29" i="3"/>
  <c r="B24" i="3"/>
  <c r="B19" i="3"/>
  <c r="B13" i="3"/>
  <c r="B7" i="3"/>
  <c r="N47" i="3"/>
  <c r="H47" i="3"/>
  <c r="C47" i="3"/>
  <c r="M45" i="3"/>
  <c r="H45" i="3"/>
  <c r="O44" i="3"/>
  <c r="J44" i="3"/>
  <c r="E44" i="3"/>
  <c r="L43" i="3"/>
  <c r="G43" i="3"/>
  <c r="L41" i="3"/>
  <c r="D41" i="3"/>
  <c r="I40" i="3"/>
  <c r="N39" i="3"/>
  <c r="F39" i="3"/>
  <c r="H37" i="3"/>
  <c r="M36" i="3"/>
  <c r="E36" i="3"/>
  <c r="J35" i="3"/>
  <c r="L33" i="3"/>
  <c r="O32" i="3"/>
  <c r="L31" i="3"/>
  <c r="M28" i="3"/>
  <c r="N23" i="3"/>
  <c r="H21" i="3"/>
  <c r="I16" i="3"/>
  <c r="J11" i="3"/>
  <c r="D8" i="3"/>
  <c r="J5" i="3"/>
  <c r="O5" i="3"/>
  <c r="D5" i="3"/>
  <c r="H5" i="3"/>
  <c r="L5" i="3"/>
  <c r="E5" i="3"/>
  <c r="I5" i="3"/>
  <c r="M5" i="3"/>
  <c r="B5" i="3"/>
  <c r="N5" i="3"/>
  <c r="F5" i="3"/>
  <c r="ASD5" i="28"/>
  <c r="ASD6" i="28"/>
  <c r="ASD7" i="28"/>
  <c r="ASD8" i="28"/>
  <c r="ASD4" i="28"/>
  <c r="ASP5" i="28" l="1"/>
  <c r="ASP6" i="28"/>
  <c r="ASP7" i="28"/>
  <c r="ASP8" i="28"/>
  <c r="ASP4" i="28"/>
  <c r="ATB5" i="28"/>
  <c r="ATB6" i="28"/>
  <c r="ATB7" i="28"/>
  <c r="ATB8" i="28"/>
  <c r="ATB4" i="28"/>
  <c r="ATN5" i="28"/>
  <c r="ATN6" i="28"/>
  <c r="ATN7" i="28"/>
  <c r="ATN8" i="28"/>
  <c r="ATN4" i="28"/>
  <c r="ATZ5" i="28"/>
  <c r="ATZ6" i="28"/>
  <c r="ATZ7" i="28"/>
  <c r="ATZ8" i="28"/>
  <c r="ATZ4" i="28"/>
  <c r="G37" i="27" l="1"/>
  <c r="G40" i="27" s="1"/>
  <c r="G41" i="27" s="1"/>
  <c r="H37" i="27"/>
  <c r="H40" i="27" s="1"/>
  <c r="H41" i="27" s="1"/>
  <c r="I37" i="27"/>
  <c r="I40" i="27" s="1"/>
  <c r="I41" i="27" s="1"/>
  <c r="J37" i="27"/>
  <c r="J40" i="27" s="1"/>
  <c r="J41" i="27" s="1"/>
  <c r="K37" i="27"/>
  <c r="K40" i="27" s="1"/>
  <c r="K41" i="27" s="1"/>
  <c r="L37" i="27"/>
  <c r="L40" i="27" s="1"/>
  <c r="L41" i="27" s="1"/>
  <c r="M37" i="27"/>
  <c r="M40" i="27" s="1"/>
  <c r="M41" i="27" s="1"/>
  <c r="N37" i="27"/>
  <c r="N40" i="27" s="1"/>
  <c r="N41" i="27" s="1"/>
  <c r="O37" i="27"/>
  <c r="O40" i="27" s="1"/>
  <c r="O41" i="27" s="1"/>
  <c r="G38" i="27"/>
  <c r="H38" i="27"/>
  <c r="I38" i="27"/>
  <c r="J38" i="27"/>
  <c r="K38" i="27"/>
  <c r="L38" i="27"/>
  <c r="M38" i="27"/>
  <c r="N38" i="27"/>
  <c r="O38" i="27"/>
  <c r="H28" i="27"/>
  <c r="I28" i="27"/>
  <c r="J28" i="27"/>
  <c r="K28" i="27"/>
  <c r="L28" i="27"/>
  <c r="M28" i="27"/>
  <c r="N28" i="27"/>
  <c r="O28" i="27"/>
  <c r="P28" i="27"/>
  <c r="H29" i="27"/>
  <c r="I29" i="27"/>
  <c r="J29" i="27"/>
  <c r="K29" i="27"/>
  <c r="L29" i="27"/>
  <c r="M29" i="27"/>
  <c r="N29" i="27"/>
  <c r="O29" i="27"/>
  <c r="P29" i="27"/>
  <c r="H30" i="27"/>
  <c r="I30" i="27"/>
  <c r="J30" i="27"/>
  <c r="K30" i="27"/>
  <c r="L30" i="27"/>
  <c r="M30" i="27"/>
  <c r="N30" i="27"/>
  <c r="O30" i="27"/>
  <c r="P30" i="27"/>
  <c r="G75" i="26"/>
  <c r="H75" i="26"/>
  <c r="I75" i="26"/>
  <c r="J75" i="26"/>
  <c r="K75" i="26"/>
  <c r="L75" i="26"/>
  <c r="M75" i="26"/>
  <c r="G66" i="26"/>
  <c r="H66" i="26"/>
  <c r="I66" i="26"/>
  <c r="J66" i="26"/>
  <c r="K66" i="26"/>
  <c r="L66" i="26"/>
  <c r="M66" i="26"/>
  <c r="N5" i="26"/>
  <c r="O5" i="26"/>
  <c r="P5" i="26"/>
  <c r="P6" i="26" s="1"/>
  <c r="P9" i="26" s="1"/>
  <c r="G7" i="26"/>
  <c r="H7" i="26"/>
  <c r="I7" i="26"/>
  <c r="J7" i="26"/>
  <c r="K7" i="26"/>
  <c r="L7" i="26"/>
  <c r="M7" i="26"/>
  <c r="N7" i="26"/>
  <c r="O7" i="26"/>
  <c r="P7" i="26"/>
  <c r="H9" i="26"/>
  <c r="J9" i="26"/>
  <c r="L9" i="26"/>
  <c r="O9" i="26"/>
  <c r="H101" i="25"/>
  <c r="I101" i="25"/>
  <c r="J101" i="25"/>
  <c r="K101" i="25"/>
  <c r="L101" i="25"/>
  <c r="M101" i="25"/>
  <c r="N101" i="25"/>
  <c r="O101" i="25"/>
  <c r="P101" i="25"/>
  <c r="H53" i="25"/>
  <c r="I53" i="25"/>
  <c r="J53" i="25"/>
  <c r="K53" i="25"/>
  <c r="L53" i="25"/>
  <c r="M53" i="25"/>
  <c r="N53" i="25"/>
  <c r="O53" i="25"/>
  <c r="I25" i="2"/>
  <c r="J25" i="2"/>
  <c r="K25" i="2"/>
  <c r="L25" i="2"/>
  <c r="M25" i="2"/>
  <c r="N25" i="2"/>
  <c r="O25" i="2"/>
  <c r="D53" i="25"/>
  <c r="E53" i="25"/>
  <c r="F53" i="25"/>
  <c r="G53" i="25"/>
  <c r="F9" i="26"/>
  <c r="P31" i="27" l="1"/>
  <c r="P32" i="27" s="1"/>
  <c r="L31" i="27"/>
  <c r="L32" i="27" s="1"/>
  <c r="H31" i="27"/>
  <c r="H32" i="27" s="1"/>
  <c r="M31" i="27"/>
  <c r="M32" i="27" s="1"/>
  <c r="I31" i="27"/>
  <c r="I32" i="27" s="1"/>
  <c r="N31" i="27"/>
  <c r="N32" i="27" s="1"/>
  <c r="J31" i="27"/>
  <c r="J32" i="27" s="1"/>
  <c r="O31" i="27"/>
  <c r="O32" i="27" s="1"/>
  <c r="K31" i="27"/>
  <c r="K32" i="27" s="1"/>
  <c r="N8" i="26"/>
  <c r="N10" i="26" s="1"/>
  <c r="O8" i="26"/>
  <c r="O10" i="26" s="1"/>
  <c r="N6" i="26"/>
  <c r="N9" i="26" s="1"/>
  <c r="P8" i="26"/>
  <c r="P10" i="26" s="1"/>
  <c r="AUL5" i="28"/>
  <c r="AUL6" i="28"/>
  <c r="AUL7" i="28"/>
  <c r="AUL8" i="28"/>
  <c r="AUL4" i="28"/>
  <c r="AUX5" i="28" l="1"/>
  <c r="AUX6" i="28"/>
  <c r="AUX7" i="28"/>
  <c r="AUX8" i="28"/>
  <c r="AUX4" i="28"/>
  <c r="AVJ5" i="28" l="1"/>
  <c r="AVJ6" i="28"/>
  <c r="AVJ7" i="28"/>
  <c r="AVJ8" i="28"/>
  <c r="AVJ4" i="28"/>
  <c r="C116" i="5" l="1"/>
  <c r="D116" i="5"/>
  <c r="C117" i="5"/>
  <c r="AVV5" i="28"/>
  <c r="AVV6" i="28"/>
  <c r="AVV7" i="28"/>
  <c r="AVV8" i="28"/>
  <c r="AVV4" i="28"/>
  <c r="AWH8" i="28" l="1"/>
  <c r="AWH7" i="28"/>
  <c r="AWH6" i="28"/>
  <c r="AWH5" i="28"/>
  <c r="AWH4" i="28"/>
  <c r="AB110" i="2" l="1"/>
  <c r="AWT5" i="28"/>
  <c r="AWT6" i="28"/>
  <c r="AWT7" i="28"/>
  <c r="AWT8" i="28"/>
  <c r="AWT9" i="28"/>
  <c r="AWT4" i="28"/>
  <c r="A3" i="27" l="1"/>
  <c r="A27" i="27" s="1"/>
  <c r="A36" i="27" s="1"/>
  <c r="A4" i="26"/>
  <c r="H25" i="2"/>
  <c r="A15" i="27" l="1"/>
  <c r="R38" i="2"/>
  <c r="R39" i="2"/>
  <c r="R40" i="2"/>
  <c r="R41" i="2"/>
  <c r="R118" i="2"/>
  <c r="R4" i="2"/>
  <c r="R3" i="2"/>
  <c r="G116" i="5" l="1"/>
  <c r="H115" i="5"/>
  <c r="B38" i="27" l="1"/>
  <c r="C38" i="27"/>
  <c r="D38" i="27"/>
  <c r="E38" i="27"/>
  <c r="F38" i="27"/>
  <c r="F37" i="27"/>
  <c r="E37" i="27"/>
  <c r="D37" i="27"/>
  <c r="C37" i="27"/>
  <c r="B37" i="27"/>
  <c r="B40" i="27" s="1"/>
  <c r="B41" i="27" s="1"/>
  <c r="G28" i="27"/>
  <c r="G29" i="27"/>
  <c r="G30" i="27"/>
  <c r="B28" i="27"/>
  <c r="C28" i="27"/>
  <c r="D28" i="27"/>
  <c r="E28" i="27"/>
  <c r="F28" i="27"/>
  <c r="B29" i="27"/>
  <c r="C29" i="27"/>
  <c r="D29" i="27"/>
  <c r="E29" i="27"/>
  <c r="F29" i="27"/>
  <c r="F30" i="27"/>
  <c r="E30" i="27"/>
  <c r="D30" i="27"/>
  <c r="C30" i="27"/>
  <c r="B30" i="27"/>
  <c r="B17" i="27"/>
  <c r="C17" i="27"/>
  <c r="D17" i="27"/>
  <c r="E17" i="27"/>
  <c r="F17" i="27"/>
  <c r="G17" i="27"/>
  <c r="G16" i="27"/>
  <c r="F16" i="27"/>
  <c r="E16" i="27"/>
  <c r="D16" i="27"/>
  <c r="C16" i="27"/>
  <c r="B16" i="27"/>
  <c r="G4" i="27"/>
  <c r="F4" i="27"/>
  <c r="E4" i="27"/>
  <c r="D4" i="27"/>
  <c r="C4" i="27"/>
  <c r="B4" i="27"/>
  <c r="E75" i="26"/>
  <c r="F75" i="26"/>
  <c r="C75" i="26"/>
  <c r="D75" i="26"/>
  <c r="B75" i="26"/>
  <c r="C66" i="26"/>
  <c r="D66" i="26"/>
  <c r="E66" i="26"/>
  <c r="F66" i="26"/>
  <c r="B66" i="26"/>
  <c r="A14" i="26"/>
  <c r="A25" i="26" s="1"/>
  <c r="A40" i="26" s="1"/>
  <c r="A48" i="26" s="1"/>
  <c r="A65" i="26" s="1"/>
  <c r="A72" i="26" s="1"/>
  <c r="C7" i="26"/>
  <c r="D7" i="26"/>
  <c r="E7" i="26"/>
  <c r="F7" i="26"/>
  <c r="B7" i="26"/>
  <c r="F40" i="27" l="1"/>
  <c r="F41" i="27" s="1"/>
  <c r="C40" i="27"/>
  <c r="C41" i="27" s="1"/>
  <c r="D40" i="27"/>
  <c r="D41" i="27" s="1"/>
  <c r="E40" i="27"/>
  <c r="E41" i="27" s="1"/>
  <c r="E5" i="27"/>
  <c r="F5" i="27"/>
  <c r="E18" i="27"/>
  <c r="E19" i="27" s="1"/>
  <c r="F18" i="27"/>
  <c r="F19" i="27" s="1"/>
  <c r="B18" i="27"/>
  <c r="B19" i="27" s="1"/>
  <c r="E31" i="27"/>
  <c r="E32" i="27" s="1"/>
  <c r="B5" i="27"/>
  <c r="D31" i="27"/>
  <c r="D32" i="27" s="1"/>
  <c r="C31" i="27"/>
  <c r="C32" i="27" s="1"/>
  <c r="G31" i="27"/>
  <c r="G32" i="27" s="1"/>
  <c r="C5" i="27"/>
  <c r="D18" i="27"/>
  <c r="D19" i="27" s="1"/>
  <c r="G18" i="27"/>
  <c r="G19" i="27" s="1"/>
  <c r="C18" i="27"/>
  <c r="C19" i="27" s="1"/>
  <c r="F31" i="27"/>
  <c r="F32" i="27" s="1"/>
  <c r="B31" i="27"/>
  <c r="B32" i="27" s="1"/>
  <c r="D5" i="27"/>
  <c r="G101" i="25"/>
  <c r="F101" i="25"/>
  <c r="E101" i="25"/>
  <c r="D101" i="25"/>
  <c r="C101" i="25"/>
  <c r="C53" i="25" l="1"/>
  <c r="B19" i="25"/>
  <c r="B35" i="25" s="1"/>
  <c r="A35" i="25" s="1"/>
  <c r="A20" i="25"/>
  <c r="A43" i="25"/>
  <c r="B41" i="25"/>
  <c r="A41" i="25" s="1"/>
  <c r="A40" i="25"/>
  <c r="A38" i="25"/>
  <c r="A37" i="25"/>
  <c r="A36" i="25"/>
  <c r="A34" i="25"/>
  <c r="B24" i="25"/>
  <c r="A24" i="25" s="1"/>
  <c r="A23" i="25"/>
  <c r="A21" i="25"/>
  <c r="A18" i="25"/>
  <c r="B42" i="25" l="1"/>
  <c r="A19" i="25"/>
  <c r="A2" i="19"/>
  <c r="B2" i="19" l="1"/>
  <c r="N2" i="19"/>
  <c r="M2" i="19"/>
  <c r="I2" i="19"/>
  <c r="O2" i="19"/>
  <c r="K2" i="19"/>
  <c r="P2" i="19"/>
  <c r="G2" i="19"/>
  <c r="L2" i="19"/>
  <c r="Q2" i="19"/>
  <c r="H2" i="19"/>
  <c r="J2" i="19"/>
  <c r="A42" i="25"/>
  <c r="B58" i="25"/>
  <c r="E2" i="19"/>
  <c r="D2" i="19"/>
  <c r="C2" i="19"/>
  <c r="F2" i="19"/>
  <c r="B5" i="2"/>
  <c r="H5" i="2" l="1"/>
  <c r="J5" i="2"/>
  <c r="N5" i="2"/>
  <c r="L5" i="2"/>
  <c r="M5" i="2"/>
  <c r="O5" i="2"/>
  <c r="I5" i="2"/>
  <c r="K5" i="2"/>
  <c r="B82" i="25"/>
  <c r="B91" i="25" s="1"/>
  <c r="B108" i="25" s="1"/>
  <c r="B114" i="25" s="1"/>
  <c r="B73" i="25"/>
  <c r="D115" i="5" l="1"/>
  <c r="D120" i="5" s="1"/>
  <c r="C115" i="5"/>
  <c r="C5" i="11"/>
  <c r="D5" i="11"/>
  <c r="B5" i="11"/>
  <c r="C4" i="11"/>
  <c r="D4" i="11"/>
  <c r="B4" i="11"/>
  <c r="C53" i="11"/>
  <c r="D53" i="11"/>
  <c r="B53" i="11"/>
  <c r="C51" i="11"/>
  <c r="D51" i="11"/>
  <c r="B51" i="11"/>
  <c r="C38" i="11"/>
  <c r="D38" i="11"/>
  <c r="B38" i="11"/>
  <c r="C39" i="11"/>
  <c r="D39" i="11"/>
  <c r="B39" i="11"/>
  <c r="C36" i="11"/>
  <c r="D36" i="11"/>
  <c r="B36" i="11"/>
  <c r="C34" i="11"/>
  <c r="D34" i="11"/>
  <c r="B34" i="11"/>
  <c r="C24" i="11"/>
  <c r="C25" i="11" s="1"/>
  <c r="D24" i="11"/>
  <c r="D25" i="11" s="1"/>
  <c r="C26" i="11"/>
  <c r="C27" i="11" s="1"/>
  <c r="D26" i="11"/>
  <c r="D27" i="11" s="1"/>
  <c r="C28" i="11"/>
  <c r="C29" i="11" s="1"/>
  <c r="D28" i="11"/>
  <c r="D29" i="11" s="1"/>
  <c r="B28" i="11"/>
  <c r="B29" i="11" s="1"/>
  <c r="B26" i="11"/>
  <c r="B27" i="11" s="1"/>
  <c r="B24" i="11"/>
  <c r="B25" i="11" s="1"/>
  <c r="C17" i="11"/>
  <c r="D17" i="11"/>
  <c r="B17" i="11"/>
  <c r="C10" i="11"/>
  <c r="D10" i="11"/>
  <c r="C11" i="11"/>
  <c r="D11" i="11"/>
  <c r="B11" i="11"/>
  <c r="B10" i="11"/>
  <c r="C6" i="11"/>
  <c r="C16" i="11" s="1"/>
  <c r="D6" i="11"/>
  <c r="D16" i="11" s="1"/>
  <c r="B6" i="11"/>
  <c r="B19" i="11" s="1"/>
  <c r="C3" i="11"/>
  <c r="D3" i="11"/>
  <c r="B3" i="11"/>
  <c r="B6" i="2"/>
  <c r="B7" i="2"/>
  <c r="B8" i="2"/>
  <c r="B9" i="2"/>
  <c r="B10" i="2"/>
  <c r="B11" i="2"/>
  <c r="B12" i="2"/>
  <c r="B14" i="2"/>
  <c r="B15" i="2"/>
  <c r="B16" i="2"/>
  <c r="B17" i="2"/>
  <c r="B18" i="2"/>
  <c r="B19" i="2"/>
  <c r="B20" i="2"/>
  <c r="B21" i="2"/>
  <c r="B22" i="2"/>
  <c r="B23" i="2"/>
  <c r="B24" i="2"/>
  <c r="B26" i="2"/>
  <c r="B27" i="2"/>
  <c r="B28" i="2"/>
  <c r="B29" i="2"/>
  <c r="B30" i="2"/>
  <c r="B31" i="2"/>
  <c r="B32" i="2"/>
  <c r="B33" i="2"/>
  <c r="B34" i="2"/>
  <c r="B35" i="2"/>
  <c r="B37" i="2"/>
  <c r="B38" i="2"/>
  <c r="B39" i="2"/>
  <c r="B40" i="2"/>
  <c r="B41" i="2"/>
  <c r="B42" i="2"/>
  <c r="B43" i="2"/>
  <c r="B44" i="2"/>
  <c r="B45" i="2"/>
  <c r="B46" i="2"/>
  <c r="B48" i="2"/>
  <c r="B49" i="2"/>
  <c r="B50" i="2"/>
  <c r="B51" i="2"/>
  <c r="B52" i="2"/>
  <c r="B53" i="2"/>
  <c r="B54" i="2"/>
  <c r="B55" i="2"/>
  <c r="B56" i="2"/>
  <c r="B57" i="2"/>
  <c r="B58" i="2"/>
  <c r="B59" i="2"/>
  <c r="B60" i="2"/>
  <c r="B61" i="2"/>
  <c r="B62" i="2"/>
  <c r="B63" i="2"/>
  <c r="B64"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7" i="2"/>
  <c r="B98" i="2"/>
  <c r="B99" i="2"/>
  <c r="B100" i="2"/>
  <c r="B101" i="2"/>
  <c r="B102" i="2"/>
  <c r="B103" i="2"/>
  <c r="B104" i="2"/>
  <c r="B105" i="2"/>
  <c r="B106" i="2"/>
  <c r="B107" i="2"/>
  <c r="B108" i="2"/>
  <c r="B110" i="2"/>
  <c r="B111" i="2"/>
  <c r="B112" i="2"/>
  <c r="B113" i="2"/>
  <c r="B114" i="2"/>
  <c r="B115" i="2"/>
  <c r="B116" i="2"/>
  <c r="B117" i="2"/>
  <c r="B118" i="2"/>
  <c r="B137" i="2"/>
  <c r="B138" i="2"/>
  <c r="B139" i="2"/>
  <c r="B140" i="2"/>
  <c r="B141" i="2"/>
  <c r="B4" i="2"/>
  <c r="B113" i="5"/>
  <c r="F42" i="2" l="1"/>
  <c r="J42" i="2"/>
  <c r="N42" i="2"/>
  <c r="E42" i="2"/>
  <c r="E83" i="25" s="1"/>
  <c r="C42" i="2"/>
  <c r="G42" i="2"/>
  <c r="K42" i="2"/>
  <c r="O42" i="2"/>
  <c r="O83" i="25" s="1"/>
  <c r="I42" i="2"/>
  <c r="I83" i="25" s="1"/>
  <c r="D42" i="2"/>
  <c r="H42" i="2"/>
  <c r="L42" i="2"/>
  <c r="L83" i="25" s="1"/>
  <c r="M42" i="2"/>
  <c r="D44" i="2"/>
  <c r="H44" i="2"/>
  <c r="H85" i="25" s="1"/>
  <c r="L44" i="2"/>
  <c r="L85" i="25" s="1"/>
  <c r="G44" i="2"/>
  <c r="E44" i="2"/>
  <c r="I44" i="2"/>
  <c r="I85" i="25" s="1"/>
  <c r="M44" i="2"/>
  <c r="M85" i="25" s="1"/>
  <c r="C44" i="2"/>
  <c r="O44" i="2"/>
  <c r="O85" i="25" s="1"/>
  <c r="F44" i="2"/>
  <c r="J44" i="2"/>
  <c r="J85" i="25" s="1"/>
  <c r="N44" i="2"/>
  <c r="N85" i="25" s="1"/>
  <c r="K44" i="2"/>
  <c r="K85" i="25" s="1"/>
  <c r="F46" i="2"/>
  <c r="J46" i="2"/>
  <c r="N46" i="2"/>
  <c r="E46" i="2"/>
  <c r="C46" i="2"/>
  <c r="G46" i="2"/>
  <c r="K46" i="2"/>
  <c r="O46" i="2"/>
  <c r="M46" i="2"/>
  <c r="D46" i="2"/>
  <c r="H46" i="2"/>
  <c r="L46" i="2"/>
  <c r="I46" i="2"/>
  <c r="C45" i="2"/>
  <c r="G45" i="2"/>
  <c r="K45" i="2"/>
  <c r="O45" i="2"/>
  <c r="F45" i="2"/>
  <c r="D45" i="2"/>
  <c r="H45" i="2"/>
  <c r="L45" i="2"/>
  <c r="N45" i="2"/>
  <c r="E45" i="2"/>
  <c r="I45" i="2"/>
  <c r="M45" i="2"/>
  <c r="J45" i="2"/>
  <c r="C37" i="2"/>
  <c r="G37" i="2"/>
  <c r="K37" i="2"/>
  <c r="O37" i="2"/>
  <c r="O99" i="25" s="1"/>
  <c r="F37" i="2"/>
  <c r="D37" i="2"/>
  <c r="H37" i="2"/>
  <c r="L37" i="2"/>
  <c r="L99" i="25" s="1"/>
  <c r="J37" i="2"/>
  <c r="E37" i="2"/>
  <c r="I37" i="2"/>
  <c r="I99" i="25" s="1"/>
  <c r="M37" i="2"/>
  <c r="M99" i="25" s="1"/>
  <c r="N37" i="2"/>
  <c r="E48" i="2"/>
  <c r="I48" i="2"/>
  <c r="M48" i="2"/>
  <c r="D48" i="2"/>
  <c r="F48" i="2"/>
  <c r="J48" i="2"/>
  <c r="N48" i="2"/>
  <c r="L48" i="2"/>
  <c r="C48" i="2"/>
  <c r="G48" i="2"/>
  <c r="K48" i="2"/>
  <c r="O48" i="2"/>
  <c r="H48" i="2"/>
  <c r="E43" i="2"/>
  <c r="I43" i="2"/>
  <c r="I84" i="25" s="1"/>
  <c r="M43" i="2"/>
  <c r="M84" i="25" s="1"/>
  <c r="H43" i="2"/>
  <c r="H84" i="25" s="1"/>
  <c r="F43" i="2"/>
  <c r="J43" i="2"/>
  <c r="J84" i="25" s="1"/>
  <c r="N43" i="2"/>
  <c r="N84" i="25" s="1"/>
  <c r="D43" i="2"/>
  <c r="C43" i="2"/>
  <c r="G43" i="2"/>
  <c r="K43" i="2"/>
  <c r="K84" i="25" s="1"/>
  <c r="O43" i="2"/>
  <c r="O84" i="25" s="1"/>
  <c r="L43" i="2"/>
  <c r="L84" i="25" s="1"/>
  <c r="P110" i="25"/>
  <c r="J92" i="25"/>
  <c r="N92" i="25"/>
  <c r="H94" i="25"/>
  <c r="L94" i="25"/>
  <c r="P94" i="25"/>
  <c r="H98" i="25"/>
  <c r="L98" i="25"/>
  <c r="P98" i="25"/>
  <c r="P86" i="25"/>
  <c r="I74" i="25"/>
  <c r="M74" i="25"/>
  <c r="P75" i="25"/>
  <c r="K61" i="25"/>
  <c r="O61" i="25"/>
  <c r="H66" i="25"/>
  <c r="L66" i="25"/>
  <c r="J43" i="25"/>
  <c r="N43" i="25"/>
  <c r="J49" i="25"/>
  <c r="N49" i="25"/>
  <c r="K92" i="25"/>
  <c r="O92" i="25"/>
  <c r="I94" i="25"/>
  <c r="M94" i="25"/>
  <c r="P95" i="25"/>
  <c r="I98" i="25"/>
  <c r="M98" i="25"/>
  <c r="P99" i="25"/>
  <c r="P83" i="25"/>
  <c r="J74" i="25"/>
  <c r="N74" i="25"/>
  <c r="P76" i="25"/>
  <c r="H61" i="25"/>
  <c r="L61" i="25"/>
  <c r="I66" i="25"/>
  <c r="M66" i="25"/>
  <c r="K43" i="25"/>
  <c r="O43" i="25"/>
  <c r="K49" i="25"/>
  <c r="O49" i="25"/>
  <c r="H92" i="25"/>
  <c r="L92" i="25"/>
  <c r="P92" i="25"/>
  <c r="J94" i="25"/>
  <c r="N94" i="25"/>
  <c r="P96" i="25"/>
  <c r="J98" i="25"/>
  <c r="N98" i="25"/>
  <c r="P84" i="25"/>
  <c r="K74" i="25"/>
  <c r="O74" i="25"/>
  <c r="O98" i="25"/>
  <c r="P74" i="25"/>
  <c r="I61" i="25"/>
  <c r="J66" i="25"/>
  <c r="H43" i="25"/>
  <c r="H49" i="25"/>
  <c r="P109" i="25"/>
  <c r="I92" i="25"/>
  <c r="P93" i="25"/>
  <c r="J61" i="25"/>
  <c r="K66" i="25"/>
  <c r="I43" i="25"/>
  <c r="I49" i="25"/>
  <c r="M92" i="25"/>
  <c r="K94" i="25"/>
  <c r="P97" i="25"/>
  <c r="H74" i="25"/>
  <c r="M61" i="25"/>
  <c r="N66" i="25"/>
  <c r="L43" i="25"/>
  <c r="L49" i="25"/>
  <c r="O94" i="25"/>
  <c r="K98" i="25"/>
  <c r="P85" i="25"/>
  <c r="L74" i="25"/>
  <c r="N61" i="25"/>
  <c r="O66" i="25"/>
  <c r="M43" i="25"/>
  <c r="M49" i="25"/>
  <c r="H112" i="2"/>
  <c r="J112" i="2"/>
  <c r="N112" i="2"/>
  <c r="L112" i="2"/>
  <c r="I112" i="2"/>
  <c r="M112" i="2"/>
  <c r="O112" i="2"/>
  <c r="K112" i="2"/>
  <c r="H103" i="2"/>
  <c r="J103" i="2"/>
  <c r="N103" i="2"/>
  <c r="L103" i="2"/>
  <c r="I103" i="2"/>
  <c r="M103" i="2"/>
  <c r="K103" i="2"/>
  <c r="O103" i="2"/>
  <c r="H94" i="2"/>
  <c r="H48" i="25" s="1"/>
  <c r="K94" i="2"/>
  <c r="K48" i="25" s="1"/>
  <c r="O94" i="2"/>
  <c r="O48" i="25" s="1"/>
  <c r="I94" i="2"/>
  <c r="I48" i="25" s="1"/>
  <c r="M94" i="2"/>
  <c r="M48" i="25" s="1"/>
  <c r="J94" i="2"/>
  <c r="J48" i="25" s="1"/>
  <c r="N94" i="2"/>
  <c r="N48" i="25" s="1"/>
  <c r="L94" i="2"/>
  <c r="L48" i="25" s="1"/>
  <c r="I86" i="2"/>
  <c r="M86" i="2"/>
  <c r="L86" i="2"/>
  <c r="J86" i="2"/>
  <c r="N86" i="2"/>
  <c r="O86" i="2"/>
  <c r="K86" i="2"/>
  <c r="H78" i="2"/>
  <c r="I78" i="2"/>
  <c r="M78" i="2"/>
  <c r="J78" i="2"/>
  <c r="O78" i="2"/>
  <c r="L78" i="2"/>
  <c r="N78" i="2"/>
  <c r="K78" i="2"/>
  <c r="H70" i="2"/>
  <c r="I70" i="2"/>
  <c r="M70" i="2"/>
  <c r="L70" i="2"/>
  <c r="O70" i="2"/>
  <c r="K70" i="2"/>
  <c r="N70" i="2"/>
  <c r="J70" i="2"/>
  <c r="H61" i="2"/>
  <c r="I61" i="2"/>
  <c r="M61" i="2"/>
  <c r="J61" i="2"/>
  <c r="O61" i="2"/>
  <c r="N61" i="2"/>
  <c r="K61" i="2"/>
  <c r="L61" i="2"/>
  <c r="H53" i="2"/>
  <c r="L53" i="2"/>
  <c r="M53" i="2"/>
  <c r="J53" i="2"/>
  <c r="O53" i="2"/>
  <c r="I53" i="2"/>
  <c r="N53" i="2"/>
  <c r="K53" i="2"/>
  <c r="H35" i="2"/>
  <c r="H97" i="25" s="1"/>
  <c r="L35" i="2"/>
  <c r="L97" i="25" s="1"/>
  <c r="K35" i="2"/>
  <c r="K97" i="25" s="1"/>
  <c r="I35" i="2"/>
  <c r="I97" i="25" s="1"/>
  <c r="N35" i="2"/>
  <c r="N97" i="25" s="1"/>
  <c r="M35" i="2"/>
  <c r="M97" i="25" s="1"/>
  <c r="O35" i="2"/>
  <c r="O97" i="25" s="1"/>
  <c r="J35" i="2"/>
  <c r="J97" i="25" s="1"/>
  <c r="H22" i="2"/>
  <c r="J22" i="2"/>
  <c r="N22" i="2"/>
  <c r="L22" i="2"/>
  <c r="M22" i="2"/>
  <c r="O22" i="2"/>
  <c r="I22" i="2"/>
  <c r="K22" i="2"/>
  <c r="H14" i="2"/>
  <c r="J14" i="2"/>
  <c r="N14" i="2"/>
  <c r="L14" i="2"/>
  <c r="M14" i="2"/>
  <c r="O14" i="2"/>
  <c r="I14" i="2"/>
  <c r="K14" i="2"/>
  <c r="H115" i="2"/>
  <c r="I115" i="2"/>
  <c r="M115" i="2"/>
  <c r="K115" i="2"/>
  <c r="O115" i="2"/>
  <c r="L115" i="2"/>
  <c r="J115" i="2"/>
  <c r="N115" i="2"/>
  <c r="H111" i="2"/>
  <c r="I111" i="2"/>
  <c r="M111" i="2"/>
  <c r="K111" i="2"/>
  <c r="O111" i="2"/>
  <c r="L111" i="2"/>
  <c r="J111" i="2"/>
  <c r="N111" i="2"/>
  <c r="I106" i="2"/>
  <c r="M106" i="2"/>
  <c r="K106" i="2"/>
  <c r="O106" i="2"/>
  <c r="L106" i="2"/>
  <c r="J106" i="2"/>
  <c r="N106" i="2"/>
  <c r="H98" i="2"/>
  <c r="J98" i="2"/>
  <c r="N98" i="2"/>
  <c r="L98" i="2"/>
  <c r="I98" i="2"/>
  <c r="M98" i="2"/>
  <c r="O98" i="2"/>
  <c r="K98" i="2"/>
  <c r="H93" i="2"/>
  <c r="H47" i="25" s="1"/>
  <c r="J93" i="2"/>
  <c r="J47" i="25" s="1"/>
  <c r="N93" i="2"/>
  <c r="N47" i="25" s="1"/>
  <c r="L93" i="2"/>
  <c r="I93" i="2"/>
  <c r="I47" i="25" s="1"/>
  <c r="M93" i="2"/>
  <c r="M47" i="25" s="1"/>
  <c r="O93" i="2"/>
  <c r="O47" i="25" s="1"/>
  <c r="K93" i="2"/>
  <c r="K47" i="25" s="1"/>
  <c r="H89" i="2"/>
  <c r="H46" i="25" s="1"/>
  <c r="I89" i="2"/>
  <c r="I46" i="25" s="1"/>
  <c r="M89" i="2"/>
  <c r="M46" i="25" s="1"/>
  <c r="K89" i="2"/>
  <c r="K46" i="25" s="1"/>
  <c r="O89" i="2"/>
  <c r="O46" i="25" s="1"/>
  <c r="L89" i="2"/>
  <c r="L46" i="25" s="1"/>
  <c r="J89" i="2"/>
  <c r="J46" i="25" s="1"/>
  <c r="N89" i="2"/>
  <c r="N46" i="25" s="1"/>
  <c r="L85" i="2"/>
  <c r="I85" i="2"/>
  <c r="N85" i="2"/>
  <c r="J85" i="2"/>
  <c r="M85" i="2"/>
  <c r="O85" i="2"/>
  <c r="K85" i="2"/>
  <c r="H81" i="2"/>
  <c r="L81" i="2"/>
  <c r="J81" i="2"/>
  <c r="O81" i="2"/>
  <c r="I81" i="2"/>
  <c r="M81" i="2"/>
  <c r="N81" i="2"/>
  <c r="K81" i="2"/>
  <c r="H77" i="2"/>
  <c r="L77" i="2"/>
  <c r="K77" i="2"/>
  <c r="I77" i="2"/>
  <c r="O77" i="2"/>
  <c r="M77" i="2"/>
  <c r="N77" i="2"/>
  <c r="J77" i="2"/>
  <c r="H73" i="2"/>
  <c r="L73" i="2"/>
  <c r="M73" i="2"/>
  <c r="I73" i="2"/>
  <c r="O73" i="2"/>
  <c r="K73" i="2"/>
  <c r="N73" i="2"/>
  <c r="J73" i="2"/>
  <c r="H69" i="2"/>
  <c r="L69" i="2"/>
  <c r="I69" i="2"/>
  <c r="N69" i="2"/>
  <c r="O69" i="2"/>
  <c r="K69" i="2"/>
  <c r="M69" i="2"/>
  <c r="J69" i="2"/>
  <c r="H64" i="2"/>
  <c r="L64" i="2"/>
  <c r="J64" i="2"/>
  <c r="O64" i="2"/>
  <c r="N64" i="2"/>
  <c r="K64" i="2"/>
  <c r="M64" i="2"/>
  <c r="I64" i="2"/>
  <c r="H60" i="2"/>
  <c r="H45" i="25" s="1"/>
  <c r="L60" i="2"/>
  <c r="L45" i="25" s="1"/>
  <c r="K60" i="2"/>
  <c r="K45" i="25" s="1"/>
  <c r="N60" i="2"/>
  <c r="N45" i="25" s="1"/>
  <c r="J60" i="2"/>
  <c r="M60" i="2"/>
  <c r="M45" i="25" s="1"/>
  <c r="I60" i="2"/>
  <c r="I45" i="25" s="1"/>
  <c r="O60" i="2"/>
  <c r="O45" i="25" s="1"/>
  <c r="H52" i="2"/>
  <c r="K52" i="2"/>
  <c r="O52" i="2"/>
  <c r="I52" i="2"/>
  <c r="N52" i="2"/>
  <c r="L52" i="2"/>
  <c r="J52" i="2"/>
  <c r="M52" i="2"/>
  <c r="H34" i="2"/>
  <c r="H96" i="25" s="1"/>
  <c r="K34" i="2"/>
  <c r="K96" i="25" s="1"/>
  <c r="O34" i="2"/>
  <c r="O96" i="25" s="1"/>
  <c r="M34" i="2"/>
  <c r="M96" i="25" s="1"/>
  <c r="J34" i="2"/>
  <c r="J96" i="25" s="1"/>
  <c r="N34" i="2"/>
  <c r="N96" i="25" s="1"/>
  <c r="I34" i="2"/>
  <c r="I96" i="25" s="1"/>
  <c r="L34" i="2"/>
  <c r="L96" i="25" s="1"/>
  <c r="H30" i="2"/>
  <c r="K30" i="2"/>
  <c r="O30" i="2"/>
  <c r="I30" i="2"/>
  <c r="N30" i="2"/>
  <c r="L30" i="2"/>
  <c r="J30" i="2"/>
  <c r="M30" i="2"/>
  <c r="H26" i="2"/>
  <c r="J26" i="2"/>
  <c r="N26" i="2"/>
  <c r="K26" i="2"/>
  <c r="M26" i="2"/>
  <c r="L26" i="2"/>
  <c r="I26" i="2"/>
  <c r="O26" i="2"/>
  <c r="H21" i="2"/>
  <c r="I21" i="2"/>
  <c r="M21" i="2"/>
  <c r="K21" i="2"/>
  <c r="O21" i="2"/>
  <c r="L21" i="2"/>
  <c r="N21" i="2"/>
  <c r="J21" i="2"/>
  <c r="H17" i="2"/>
  <c r="I17" i="2"/>
  <c r="M17" i="2"/>
  <c r="K17" i="2"/>
  <c r="O17" i="2"/>
  <c r="J17" i="2"/>
  <c r="L17" i="2"/>
  <c r="N17" i="2"/>
  <c r="H12" i="2"/>
  <c r="H65" i="25" s="1"/>
  <c r="I12" i="2"/>
  <c r="I65" i="25" s="1"/>
  <c r="M12" i="2"/>
  <c r="M65" i="25" s="1"/>
  <c r="K12" i="2"/>
  <c r="K65" i="25" s="1"/>
  <c r="O12" i="2"/>
  <c r="O65" i="25" s="1"/>
  <c r="L12" i="2"/>
  <c r="L65" i="25" s="1"/>
  <c r="N12" i="2"/>
  <c r="N65" i="25" s="1"/>
  <c r="J12" i="2"/>
  <c r="J65" i="25" s="1"/>
  <c r="H8" i="2"/>
  <c r="H44" i="25" s="1"/>
  <c r="I8" i="2"/>
  <c r="I44" i="25" s="1"/>
  <c r="M8" i="2"/>
  <c r="M44" i="25" s="1"/>
  <c r="K8" i="2"/>
  <c r="K44" i="25" s="1"/>
  <c r="O8" i="2"/>
  <c r="O44" i="25" s="1"/>
  <c r="J8" i="2"/>
  <c r="J44" i="25" s="1"/>
  <c r="L8" i="2"/>
  <c r="L44" i="25" s="1"/>
  <c r="N8" i="2"/>
  <c r="N44" i="25" s="1"/>
  <c r="H97" i="2"/>
  <c r="I97" i="2"/>
  <c r="M97" i="2"/>
  <c r="K97" i="2"/>
  <c r="O97" i="2"/>
  <c r="L97" i="2"/>
  <c r="J97" i="2"/>
  <c r="N97" i="2"/>
  <c r="H92" i="2"/>
  <c r="I92" i="2"/>
  <c r="M92" i="2"/>
  <c r="K92" i="2"/>
  <c r="O92" i="2"/>
  <c r="L92" i="2"/>
  <c r="J92" i="2"/>
  <c r="N92" i="2"/>
  <c r="L88" i="2"/>
  <c r="J88" i="2"/>
  <c r="N88" i="2"/>
  <c r="K88" i="2"/>
  <c r="O88" i="2"/>
  <c r="M88" i="2"/>
  <c r="I88" i="2"/>
  <c r="H84" i="2"/>
  <c r="K84" i="2"/>
  <c r="O84" i="2"/>
  <c r="J84" i="2"/>
  <c r="I84" i="2"/>
  <c r="M84" i="2"/>
  <c r="N84" i="2"/>
  <c r="L84" i="2"/>
  <c r="H80" i="2"/>
  <c r="K80" i="2"/>
  <c r="O80" i="2"/>
  <c r="L80" i="2"/>
  <c r="I80" i="2"/>
  <c r="M80" i="2"/>
  <c r="N80" i="2"/>
  <c r="J80" i="2"/>
  <c r="H76" i="2"/>
  <c r="K76" i="2"/>
  <c r="O76" i="2"/>
  <c r="M76" i="2"/>
  <c r="I76" i="2"/>
  <c r="L76" i="2"/>
  <c r="N76" i="2"/>
  <c r="J76" i="2"/>
  <c r="H72" i="2"/>
  <c r="K72" i="2"/>
  <c r="O72" i="2"/>
  <c r="I72" i="2"/>
  <c r="N72" i="2"/>
  <c r="L72" i="2"/>
  <c r="M72" i="2"/>
  <c r="J72" i="2"/>
  <c r="H68" i="2"/>
  <c r="H60" i="25" s="1"/>
  <c r="K68" i="2"/>
  <c r="K60" i="25" s="1"/>
  <c r="O68" i="2"/>
  <c r="O60" i="25" s="1"/>
  <c r="J68" i="2"/>
  <c r="J60" i="25" s="1"/>
  <c r="N68" i="2"/>
  <c r="N60" i="25" s="1"/>
  <c r="L68" i="2"/>
  <c r="L60" i="25" s="1"/>
  <c r="M68" i="2"/>
  <c r="M60" i="25" s="1"/>
  <c r="I68" i="2"/>
  <c r="I60" i="25" s="1"/>
  <c r="H63" i="2"/>
  <c r="K63" i="2"/>
  <c r="O63" i="2"/>
  <c r="L63" i="2"/>
  <c r="N63" i="2"/>
  <c r="J63" i="2"/>
  <c r="M63" i="2"/>
  <c r="I63" i="2"/>
  <c r="H59" i="2"/>
  <c r="K59" i="2"/>
  <c r="O59" i="2"/>
  <c r="M59" i="2"/>
  <c r="N59" i="2"/>
  <c r="J59" i="2"/>
  <c r="L59" i="2"/>
  <c r="I59" i="2"/>
  <c r="H55" i="2"/>
  <c r="J55" i="2"/>
  <c r="N55" i="2"/>
  <c r="I55" i="2"/>
  <c r="L55" i="2"/>
  <c r="O55" i="2"/>
  <c r="K55" i="2"/>
  <c r="M55" i="2"/>
  <c r="H51" i="2"/>
  <c r="H115" i="25" s="1"/>
  <c r="J51" i="2"/>
  <c r="J115" i="25" s="1"/>
  <c r="N51" i="2"/>
  <c r="N115" i="25" s="1"/>
  <c r="K51" i="2"/>
  <c r="K115" i="25" s="1"/>
  <c r="M51" i="2"/>
  <c r="M115" i="25" s="1"/>
  <c r="L51" i="2"/>
  <c r="L115" i="25" s="1"/>
  <c r="I51" i="2"/>
  <c r="I115" i="25" s="1"/>
  <c r="O51" i="2"/>
  <c r="O115" i="25" s="1"/>
  <c r="H83" i="25"/>
  <c r="J83" i="25"/>
  <c r="N83" i="25"/>
  <c r="M83" i="25"/>
  <c r="K83" i="25"/>
  <c r="H33" i="2"/>
  <c r="H95" i="25" s="1"/>
  <c r="J33" i="2"/>
  <c r="J95" i="25" s="1"/>
  <c r="N33" i="2"/>
  <c r="N95" i="25" s="1"/>
  <c r="I33" i="2"/>
  <c r="I95" i="25" s="1"/>
  <c r="O33" i="2"/>
  <c r="L33" i="2"/>
  <c r="L95" i="25" s="1"/>
  <c r="K33" i="2"/>
  <c r="M33" i="2"/>
  <c r="M95" i="25" s="1"/>
  <c r="H24" i="2"/>
  <c r="H109" i="25" s="1"/>
  <c r="L24" i="2"/>
  <c r="L109" i="25" s="1"/>
  <c r="J24" i="2"/>
  <c r="J109" i="25" s="1"/>
  <c r="N24" i="2"/>
  <c r="N109" i="25" s="1"/>
  <c r="O24" i="2"/>
  <c r="O109" i="25" s="1"/>
  <c r="I24" i="2"/>
  <c r="I109" i="25" s="1"/>
  <c r="K24" i="2"/>
  <c r="K109" i="25" s="1"/>
  <c r="M24" i="2"/>
  <c r="M109" i="25" s="1"/>
  <c r="H20" i="2"/>
  <c r="L20" i="2"/>
  <c r="J20" i="2"/>
  <c r="N20" i="2"/>
  <c r="K20" i="2"/>
  <c r="M20" i="2"/>
  <c r="O20" i="2"/>
  <c r="I20" i="2"/>
  <c r="H16" i="2"/>
  <c r="L16" i="2"/>
  <c r="J16" i="2"/>
  <c r="N16" i="2"/>
  <c r="O16" i="2"/>
  <c r="I16" i="2"/>
  <c r="K16" i="2"/>
  <c r="M16" i="2"/>
  <c r="L11" i="2"/>
  <c r="L64" i="25" s="1"/>
  <c r="J11" i="2"/>
  <c r="J64" i="25" s="1"/>
  <c r="N11" i="2"/>
  <c r="K11" i="2"/>
  <c r="K75" i="25" s="1"/>
  <c r="M11" i="2"/>
  <c r="M75" i="25" s="1"/>
  <c r="O11" i="2"/>
  <c r="O75" i="25" s="1"/>
  <c r="I11" i="2"/>
  <c r="I75" i="25" s="1"/>
  <c r="H7" i="2"/>
  <c r="L7" i="2"/>
  <c r="J7" i="2"/>
  <c r="N7" i="2"/>
  <c r="O7" i="2"/>
  <c r="I7" i="2"/>
  <c r="K7" i="2"/>
  <c r="M7" i="2"/>
  <c r="H107" i="2"/>
  <c r="J107" i="2"/>
  <c r="N107" i="2"/>
  <c r="L107" i="2"/>
  <c r="I107" i="2"/>
  <c r="M107" i="2"/>
  <c r="K107" i="2"/>
  <c r="O107" i="2"/>
  <c r="H99" i="2"/>
  <c r="K99" i="2"/>
  <c r="O99" i="2"/>
  <c r="I99" i="2"/>
  <c r="M99" i="2"/>
  <c r="J99" i="2"/>
  <c r="N99" i="2"/>
  <c r="L99" i="2"/>
  <c r="H90" i="2"/>
  <c r="J90" i="2"/>
  <c r="N90" i="2"/>
  <c r="L90" i="2"/>
  <c r="I90" i="2"/>
  <c r="M90" i="2"/>
  <c r="O90" i="2"/>
  <c r="K90" i="2"/>
  <c r="H82" i="2"/>
  <c r="I82" i="2"/>
  <c r="M82" i="2"/>
  <c r="N82" i="2"/>
  <c r="J82" i="2"/>
  <c r="L82" i="2"/>
  <c r="O82" i="2"/>
  <c r="K82" i="2"/>
  <c r="H74" i="2"/>
  <c r="I74" i="2"/>
  <c r="M74" i="2"/>
  <c r="K74" i="2"/>
  <c r="O74" i="2"/>
  <c r="L74" i="2"/>
  <c r="N74" i="2"/>
  <c r="J74" i="2"/>
  <c r="H66" i="2"/>
  <c r="I66" i="2"/>
  <c r="M66" i="2"/>
  <c r="N66" i="2"/>
  <c r="O66" i="2"/>
  <c r="K66" i="2"/>
  <c r="L66" i="2"/>
  <c r="J66" i="2"/>
  <c r="H49" i="2"/>
  <c r="L49" i="2"/>
  <c r="I49" i="2"/>
  <c r="N49" i="2"/>
  <c r="K49" i="2"/>
  <c r="O49" i="2"/>
  <c r="J49" i="2"/>
  <c r="M49" i="2"/>
  <c r="H31" i="2"/>
  <c r="L31" i="2"/>
  <c r="M31" i="2"/>
  <c r="J31" i="2"/>
  <c r="O31" i="2"/>
  <c r="N31" i="2"/>
  <c r="I31" i="2"/>
  <c r="K31" i="2"/>
  <c r="H27" i="2"/>
  <c r="K27" i="2"/>
  <c r="O27" i="2"/>
  <c r="I27" i="2"/>
  <c r="N27" i="2"/>
  <c r="L27" i="2"/>
  <c r="J27" i="2"/>
  <c r="M27" i="2"/>
  <c r="H18" i="2"/>
  <c r="J18" i="2"/>
  <c r="N18" i="2"/>
  <c r="L18" i="2"/>
  <c r="I18" i="2"/>
  <c r="K18" i="2"/>
  <c r="M18" i="2"/>
  <c r="O18" i="2"/>
  <c r="H9" i="2"/>
  <c r="J9" i="2"/>
  <c r="N9" i="2"/>
  <c r="L9" i="2"/>
  <c r="I9" i="2"/>
  <c r="K9" i="2"/>
  <c r="M9" i="2"/>
  <c r="O9" i="2"/>
  <c r="L114" i="2"/>
  <c r="J114" i="2"/>
  <c r="N114" i="2"/>
  <c r="K114" i="2"/>
  <c r="O114" i="2"/>
  <c r="M114" i="2"/>
  <c r="I114" i="2"/>
  <c r="H110" i="2"/>
  <c r="L110" i="2"/>
  <c r="J110" i="2"/>
  <c r="N110" i="2"/>
  <c r="K110" i="2"/>
  <c r="O110" i="2"/>
  <c r="M110" i="2"/>
  <c r="I110" i="2"/>
  <c r="H105" i="2"/>
  <c r="L105" i="2"/>
  <c r="J105" i="2"/>
  <c r="N105" i="2"/>
  <c r="K105" i="2"/>
  <c r="O105" i="2"/>
  <c r="I105" i="2"/>
  <c r="M105" i="2"/>
  <c r="H113" i="2"/>
  <c r="K113" i="2"/>
  <c r="O113" i="2"/>
  <c r="I113" i="2"/>
  <c r="M113" i="2"/>
  <c r="J113" i="2"/>
  <c r="N113" i="2"/>
  <c r="L113" i="2"/>
  <c r="H108" i="2"/>
  <c r="K108" i="2"/>
  <c r="O108" i="2"/>
  <c r="I108" i="2"/>
  <c r="M108" i="2"/>
  <c r="J108" i="2"/>
  <c r="N108" i="2"/>
  <c r="L108" i="2"/>
  <c r="H104" i="2"/>
  <c r="K104" i="2"/>
  <c r="O104" i="2"/>
  <c r="I104" i="2"/>
  <c r="M104" i="2"/>
  <c r="J104" i="2"/>
  <c r="N104" i="2"/>
  <c r="L104" i="2"/>
  <c r="H100" i="2"/>
  <c r="L100" i="2"/>
  <c r="J100" i="2"/>
  <c r="N100" i="2"/>
  <c r="K100" i="2"/>
  <c r="O100" i="2"/>
  <c r="I100" i="2"/>
  <c r="M100" i="2"/>
  <c r="J87" i="2"/>
  <c r="K87" i="2"/>
  <c r="I87" i="2"/>
  <c r="O87" i="2"/>
  <c r="M87" i="2"/>
  <c r="N87" i="2"/>
  <c r="L87" i="2"/>
  <c r="H83" i="2"/>
  <c r="J83" i="2"/>
  <c r="N83" i="2"/>
  <c r="L83" i="2"/>
  <c r="I83" i="2"/>
  <c r="M83" i="2"/>
  <c r="O83" i="2"/>
  <c r="K83" i="2"/>
  <c r="H79" i="2"/>
  <c r="J79" i="2"/>
  <c r="N79" i="2"/>
  <c r="M79" i="2"/>
  <c r="I79" i="2"/>
  <c r="L79" i="2"/>
  <c r="O79" i="2"/>
  <c r="K79" i="2"/>
  <c r="H75" i="2"/>
  <c r="J75" i="2"/>
  <c r="N75" i="2"/>
  <c r="I75" i="2"/>
  <c r="O75" i="2"/>
  <c r="L75" i="2"/>
  <c r="M75" i="2"/>
  <c r="K75" i="2"/>
  <c r="H71" i="2"/>
  <c r="J71" i="2"/>
  <c r="N71" i="2"/>
  <c r="K71" i="2"/>
  <c r="O71" i="2"/>
  <c r="L71" i="2"/>
  <c r="M71" i="2"/>
  <c r="I71" i="2"/>
  <c r="H67" i="2"/>
  <c r="H59" i="25" s="1"/>
  <c r="J67" i="2"/>
  <c r="J59" i="25" s="1"/>
  <c r="N67" i="2"/>
  <c r="N59" i="25" s="1"/>
  <c r="L67" i="2"/>
  <c r="L59" i="25" s="1"/>
  <c r="O67" i="2"/>
  <c r="O59" i="25" s="1"/>
  <c r="K67" i="2"/>
  <c r="K59" i="25" s="1"/>
  <c r="M67" i="2"/>
  <c r="M59" i="25" s="1"/>
  <c r="I67" i="2"/>
  <c r="I59" i="25" s="1"/>
  <c r="H62" i="2"/>
  <c r="J62" i="2"/>
  <c r="N62" i="2"/>
  <c r="M62" i="2"/>
  <c r="O62" i="2"/>
  <c r="K62" i="2"/>
  <c r="L62" i="2"/>
  <c r="I62" i="2"/>
  <c r="H58" i="2"/>
  <c r="J58" i="2"/>
  <c r="N58" i="2"/>
  <c r="I58" i="2"/>
  <c r="O58" i="2"/>
  <c r="M58" i="2"/>
  <c r="K58" i="2"/>
  <c r="L58" i="2"/>
  <c r="H54" i="2"/>
  <c r="I54" i="2"/>
  <c r="M54" i="2"/>
  <c r="K54" i="2"/>
  <c r="N54" i="2"/>
  <c r="L54" i="2"/>
  <c r="J54" i="2"/>
  <c r="O54" i="2"/>
  <c r="H50" i="2"/>
  <c r="I50" i="2"/>
  <c r="M50" i="2"/>
  <c r="L50" i="2"/>
  <c r="J50" i="2"/>
  <c r="O50" i="2"/>
  <c r="N50" i="2"/>
  <c r="K50" i="2"/>
  <c r="H99" i="25"/>
  <c r="J99" i="25"/>
  <c r="K99" i="25"/>
  <c r="N99" i="25"/>
  <c r="H32" i="2"/>
  <c r="H93" i="25" s="1"/>
  <c r="I32" i="2"/>
  <c r="I93" i="25" s="1"/>
  <c r="M32" i="2"/>
  <c r="M93" i="25" s="1"/>
  <c r="K32" i="2"/>
  <c r="K93" i="25" s="1"/>
  <c r="N32" i="2"/>
  <c r="N93" i="25" s="1"/>
  <c r="L32" i="2"/>
  <c r="L93" i="25" s="1"/>
  <c r="O32" i="2"/>
  <c r="O93" i="25" s="1"/>
  <c r="J32" i="2"/>
  <c r="J93" i="25" s="1"/>
  <c r="H28" i="2"/>
  <c r="L28" i="2"/>
  <c r="M28" i="2"/>
  <c r="J28" i="2"/>
  <c r="O28" i="2"/>
  <c r="I28" i="2"/>
  <c r="N28" i="2"/>
  <c r="K28" i="2"/>
  <c r="H23" i="2"/>
  <c r="K23" i="2"/>
  <c r="O23" i="2"/>
  <c r="I23" i="2"/>
  <c r="M23" i="2"/>
  <c r="N23" i="2"/>
  <c r="J23" i="2"/>
  <c r="L23" i="2"/>
  <c r="H19" i="2"/>
  <c r="K19" i="2"/>
  <c r="O19" i="2"/>
  <c r="I19" i="2"/>
  <c r="M19" i="2"/>
  <c r="J19" i="2"/>
  <c r="L19" i="2"/>
  <c r="N19" i="2"/>
  <c r="H15" i="2"/>
  <c r="K15" i="2"/>
  <c r="O15" i="2"/>
  <c r="I15" i="2"/>
  <c r="M15" i="2"/>
  <c r="N15" i="2"/>
  <c r="J15" i="2"/>
  <c r="L15" i="2"/>
  <c r="H10" i="2"/>
  <c r="H63" i="25" s="1"/>
  <c r="K10" i="2"/>
  <c r="K63" i="25" s="1"/>
  <c r="O10" i="2"/>
  <c r="O63" i="25" s="1"/>
  <c r="I10" i="2"/>
  <c r="I63" i="25" s="1"/>
  <c r="M10" i="2"/>
  <c r="M63" i="25" s="1"/>
  <c r="J10" i="2"/>
  <c r="J63" i="25" s="1"/>
  <c r="L10" i="2"/>
  <c r="L63" i="25" s="1"/>
  <c r="N10" i="2"/>
  <c r="N63" i="25" s="1"/>
  <c r="H6" i="2"/>
  <c r="K6" i="2"/>
  <c r="O6" i="2"/>
  <c r="I6" i="2"/>
  <c r="M6" i="2"/>
  <c r="N6" i="2"/>
  <c r="J6" i="2"/>
  <c r="L6" i="2"/>
  <c r="H86" i="2"/>
  <c r="C86" i="2"/>
  <c r="H88" i="2"/>
  <c r="C88" i="2"/>
  <c r="H87" i="2"/>
  <c r="C87" i="2"/>
  <c r="H85" i="2"/>
  <c r="C85" i="2"/>
  <c r="H106" i="2"/>
  <c r="C106" i="2"/>
  <c r="H114" i="2"/>
  <c r="C114" i="2"/>
  <c r="C11" i="2"/>
  <c r="H11" i="2"/>
  <c r="H64" i="25" s="1"/>
  <c r="E98" i="25"/>
  <c r="E94" i="25"/>
  <c r="G74" i="25"/>
  <c r="C74" i="25"/>
  <c r="E66" i="25"/>
  <c r="E61" i="25"/>
  <c r="G49" i="25"/>
  <c r="C49" i="25"/>
  <c r="D98" i="25"/>
  <c r="D94" i="25"/>
  <c r="F74" i="25"/>
  <c r="D66" i="25"/>
  <c r="D61" i="25"/>
  <c r="F49" i="25"/>
  <c r="G98" i="25"/>
  <c r="C98" i="25"/>
  <c r="G94" i="25"/>
  <c r="C94" i="25"/>
  <c r="C75" i="25"/>
  <c r="E74" i="25"/>
  <c r="G66" i="25"/>
  <c r="C66" i="25"/>
  <c r="C64" i="25"/>
  <c r="G61" i="25"/>
  <c r="C61" i="25"/>
  <c r="E49" i="25"/>
  <c r="F66" i="25"/>
  <c r="F94" i="25"/>
  <c r="F61" i="25"/>
  <c r="F98" i="25"/>
  <c r="D74" i="25"/>
  <c r="D49" i="25"/>
  <c r="D122" i="5"/>
  <c r="D19" i="11"/>
  <c r="C19" i="11"/>
  <c r="B16" i="11"/>
  <c r="A100" i="19"/>
  <c r="A101" i="19"/>
  <c r="A102" i="19"/>
  <c r="A103" i="19"/>
  <c r="A104" i="19"/>
  <c r="A105" i="19"/>
  <c r="A106" i="19"/>
  <c r="A107" i="19"/>
  <c r="A91" i="19"/>
  <c r="A92" i="19"/>
  <c r="A93" i="19"/>
  <c r="A94" i="19"/>
  <c r="A95" i="19"/>
  <c r="A96" i="19"/>
  <c r="A97" i="19"/>
  <c r="A98" i="19"/>
  <c r="A99"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3" i="19"/>
  <c r="A48" i="3"/>
  <c r="A49" i="3"/>
  <c r="A50" i="3"/>
  <c r="A33" i="5"/>
  <c r="A35" i="5"/>
  <c r="A36" i="5"/>
  <c r="A2" i="3"/>
  <c r="A102" i="2"/>
  <c r="A103" i="2"/>
  <c r="E104" i="2"/>
  <c r="D105" i="2"/>
  <c r="A106" i="2"/>
  <c r="A107" i="2"/>
  <c r="E108" i="2"/>
  <c r="A110" i="2"/>
  <c r="A111" i="2"/>
  <c r="E112" i="2"/>
  <c r="G113" i="2"/>
  <c r="A114" i="2"/>
  <c r="A115" i="2"/>
  <c r="A118" i="2"/>
  <c r="A119" i="2"/>
  <c r="A120" i="2"/>
  <c r="A121" i="2"/>
  <c r="A122" i="2"/>
  <c r="A123" i="2"/>
  <c r="A124" i="2"/>
  <c r="A125" i="2"/>
  <c r="A126" i="2"/>
  <c r="A127" i="2"/>
  <c r="A128" i="2"/>
  <c r="A129" i="2"/>
  <c r="A130" i="2"/>
  <c r="A131" i="2"/>
  <c r="A132" i="2"/>
  <c r="A133" i="2"/>
  <c r="A134" i="2"/>
  <c r="A135" i="2"/>
  <c r="A136" i="2"/>
  <c r="A137" i="2"/>
  <c r="A138" i="2"/>
  <c r="A139" i="2"/>
  <c r="A140" i="2"/>
  <c r="A141" i="2"/>
  <c r="A74" i="2"/>
  <c r="A75" i="2"/>
  <c r="A78" i="2"/>
  <c r="A79" i="2"/>
  <c r="E80" i="2"/>
  <c r="D81" i="2"/>
  <c r="A82" i="2"/>
  <c r="A83" i="2"/>
  <c r="E84" i="2"/>
  <c r="D85" i="2"/>
  <c r="A86" i="2"/>
  <c r="A87" i="2"/>
  <c r="E88" i="2"/>
  <c r="A90" i="2"/>
  <c r="A91" i="2"/>
  <c r="A94" i="2"/>
  <c r="A95" i="2"/>
  <c r="D97" i="2"/>
  <c r="A98" i="2"/>
  <c r="A99" i="2"/>
  <c r="E100" i="2"/>
  <c r="G6" i="2"/>
  <c r="F6" i="2"/>
  <c r="E7" i="2"/>
  <c r="D8" i="2"/>
  <c r="D44" i="25" s="1"/>
  <c r="C10" i="2"/>
  <c r="C63" i="25" s="1"/>
  <c r="F11" i="2"/>
  <c r="F64" i="25" s="1"/>
  <c r="E12" i="2"/>
  <c r="E65" i="25" s="1"/>
  <c r="C14" i="2"/>
  <c r="F15" i="2"/>
  <c r="E16" i="2"/>
  <c r="E19" i="2"/>
  <c r="D20" i="2"/>
  <c r="E21" i="2"/>
  <c r="D22" i="2"/>
  <c r="E23" i="2"/>
  <c r="F24" i="2"/>
  <c r="F109" i="25" s="1"/>
  <c r="E25" i="2"/>
  <c r="D26" i="2"/>
  <c r="F27" i="2"/>
  <c r="F28" i="2"/>
  <c r="E30" i="2"/>
  <c r="D31" i="2"/>
  <c r="D32" i="2"/>
  <c r="D93" i="25" s="1"/>
  <c r="F33" i="2"/>
  <c r="F95" i="25" s="1"/>
  <c r="E34" i="2"/>
  <c r="E96" i="25" s="1"/>
  <c r="D35" i="2"/>
  <c r="D97" i="25" s="1"/>
  <c r="D84" i="25"/>
  <c r="D85" i="25"/>
  <c r="F49" i="2"/>
  <c r="E50" i="2"/>
  <c r="D51" i="2"/>
  <c r="D115" i="25" s="1"/>
  <c r="E52" i="2"/>
  <c r="F53" i="2"/>
  <c r="E54" i="2"/>
  <c r="D55" i="2"/>
  <c r="E58" i="2"/>
  <c r="F59" i="2"/>
  <c r="E60" i="2"/>
  <c r="E45" i="25" s="1"/>
  <c r="D61" i="2"/>
  <c r="F63" i="2"/>
  <c r="E64" i="2"/>
  <c r="D66" i="2"/>
  <c r="F67" i="2"/>
  <c r="F59" i="25" s="1"/>
  <c r="E68" i="2"/>
  <c r="E60" i="25" s="1"/>
  <c r="D69" i="2"/>
  <c r="F71" i="2"/>
  <c r="E72" i="2"/>
  <c r="D73" i="2"/>
  <c r="E5" i="2"/>
  <c r="E43" i="25" s="1"/>
  <c r="F2" i="3" l="1"/>
  <c r="J2" i="3"/>
  <c r="N2" i="3"/>
  <c r="C2" i="3"/>
  <c r="C26" i="26" s="1"/>
  <c r="G2" i="3"/>
  <c r="G15" i="26" s="1"/>
  <c r="K2" i="3"/>
  <c r="K49" i="26" s="1"/>
  <c r="O2" i="3"/>
  <c r="H2" i="3"/>
  <c r="H26" i="26" s="1"/>
  <c r="I2" i="3"/>
  <c r="D2" i="3"/>
  <c r="L2" i="3"/>
  <c r="L26" i="26" s="1"/>
  <c r="E2" i="3"/>
  <c r="M2" i="3"/>
  <c r="H101" i="2"/>
  <c r="P111" i="25"/>
  <c r="H91" i="2"/>
  <c r="O29" i="2"/>
  <c r="K29" i="2"/>
  <c r="J67" i="25"/>
  <c r="H116" i="2"/>
  <c r="H56" i="2"/>
  <c r="J62" i="25"/>
  <c r="M51" i="25"/>
  <c r="I62" i="25"/>
  <c r="N62" i="25"/>
  <c r="N100" i="25"/>
  <c r="N102" i="25" s="1"/>
  <c r="N103" i="25" s="1"/>
  <c r="O62" i="25"/>
  <c r="J100" i="25"/>
  <c r="J102" i="25" s="1"/>
  <c r="J103" i="25" s="1"/>
  <c r="L62" i="25"/>
  <c r="L67" i="25"/>
  <c r="M62" i="25"/>
  <c r="K51" i="25"/>
  <c r="H62" i="25"/>
  <c r="H51" i="25"/>
  <c r="I51" i="25"/>
  <c r="D88" i="19"/>
  <c r="P88" i="19"/>
  <c r="M88" i="19"/>
  <c r="N88" i="19"/>
  <c r="O88" i="19"/>
  <c r="H88" i="19"/>
  <c r="L88" i="19"/>
  <c r="Q88" i="19"/>
  <c r="I88" i="19"/>
  <c r="G88" i="19"/>
  <c r="J88" i="19"/>
  <c r="K88" i="19"/>
  <c r="D80" i="19"/>
  <c r="P80" i="19"/>
  <c r="O80" i="19"/>
  <c r="Q80" i="19"/>
  <c r="M80" i="19"/>
  <c r="H80" i="19"/>
  <c r="L80" i="19"/>
  <c r="N80" i="19"/>
  <c r="I80" i="19"/>
  <c r="G80" i="19"/>
  <c r="J80" i="19"/>
  <c r="K80" i="19"/>
  <c r="D64" i="19"/>
  <c r="P64" i="19"/>
  <c r="O64" i="19"/>
  <c r="Q64" i="19"/>
  <c r="H64" i="19"/>
  <c r="L64" i="19"/>
  <c r="I64" i="19"/>
  <c r="N64" i="19"/>
  <c r="G64" i="19"/>
  <c r="M64" i="19"/>
  <c r="J64" i="19"/>
  <c r="K64" i="19"/>
  <c r="D56" i="19"/>
  <c r="P56" i="19"/>
  <c r="O56" i="19"/>
  <c r="N56" i="19"/>
  <c r="Q56" i="19"/>
  <c r="H56" i="19"/>
  <c r="L56" i="19"/>
  <c r="I56" i="19"/>
  <c r="M56" i="19"/>
  <c r="G56" i="19"/>
  <c r="J56" i="19"/>
  <c r="K56" i="19"/>
  <c r="P40" i="19"/>
  <c r="O40" i="19"/>
  <c r="I40" i="19"/>
  <c r="Q40" i="19"/>
  <c r="M40" i="19"/>
  <c r="J40" i="19"/>
  <c r="N40" i="19"/>
  <c r="K40" i="19"/>
  <c r="H40" i="19"/>
  <c r="L40" i="19"/>
  <c r="G40" i="19"/>
  <c r="P36" i="19"/>
  <c r="N36" i="19"/>
  <c r="I36" i="19"/>
  <c r="O36" i="19"/>
  <c r="Q36" i="19"/>
  <c r="G36" i="19"/>
  <c r="L36" i="19"/>
  <c r="H36" i="19"/>
  <c r="M36" i="19"/>
  <c r="K36" i="19"/>
  <c r="J36" i="19"/>
  <c r="P28" i="19"/>
  <c r="Q28" i="19"/>
  <c r="I28" i="19"/>
  <c r="M28" i="19"/>
  <c r="N28" i="19"/>
  <c r="O28" i="19"/>
  <c r="G28" i="19"/>
  <c r="L28" i="19"/>
  <c r="H28" i="19"/>
  <c r="J28" i="19"/>
  <c r="K28" i="19"/>
  <c r="P20" i="19"/>
  <c r="N20" i="19"/>
  <c r="I20" i="19"/>
  <c r="Q20" i="19"/>
  <c r="K20" i="19"/>
  <c r="M20" i="19"/>
  <c r="J20" i="19"/>
  <c r="O20" i="19"/>
  <c r="L20" i="19"/>
  <c r="G20" i="19"/>
  <c r="H20" i="19"/>
  <c r="D4" i="19"/>
  <c r="P4" i="19"/>
  <c r="N4" i="19"/>
  <c r="I4" i="19"/>
  <c r="J4" i="19"/>
  <c r="M4" i="19"/>
  <c r="K4" i="19"/>
  <c r="G4" i="19"/>
  <c r="O4" i="19"/>
  <c r="H4" i="19"/>
  <c r="Q4" i="19"/>
  <c r="L4" i="19"/>
  <c r="D84" i="19"/>
  <c r="P84" i="19"/>
  <c r="Q84" i="19"/>
  <c r="M84" i="19"/>
  <c r="N84" i="19"/>
  <c r="H84" i="19"/>
  <c r="L84" i="19"/>
  <c r="O84" i="19"/>
  <c r="I84" i="19"/>
  <c r="G84" i="19"/>
  <c r="J84" i="19"/>
  <c r="K84" i="19"/>
  <c r="D76" i="19"/>
  <c r="P76" i="19"/>
  <c r="N76" i="19"/>
  <c r="O76" i="19"/>
  <c r="H76" i="19"/>
  <c r="L76" i="19"/>
  <c r="M76" i="19"/>
  <c r="I76" i="19"/>
  <c r="G76" i="19"/>
  <c r="J76" i="19"/>
  <c r="K76" i="19"/>
  <c r="Q76" i="19"/>
  <c r="D72" i="19"/>
  <c r="P72" i="19"/>
  <c r="M72" i="19"/>
  <c r="N72" i="19"/>
  <c r="H72" i="19"/>
  <c r="L72" i="19"/>
  <c r="I72" i="19"/>
  <c r="Q72" i="19"/>
  <c r="G72" i="19"/>
  <c r="O72" i="19"/>
  <c r="J72" i="19"/>
  <c r="K72" i="19"/>
  <c r="D68" i="19"/>
  <c r="P68" i="19"/>
  <c r="Q68" i="19"/>
  <c r="M68" i="19"/>
  <c r="H68" i="19"/>
  <c r="L68" i="19"/>
  <c r="I68" i="19"/>
  <c r="O68" i="19"/>
  <c r="G68" i="19"/>
  <c r="J68" i="19"/>
  <c r="K68" i="19"/>
  <c r="N68" i="19"/>
  <c r="D60" i="19"/>
  <c r="P60" i="19"/>
  <c r="Q60" i="19"/>
  <c r="O60" i="19"/>
  <c r="M60" i="19"/>
  <c r="H60" i="19"/>
  <c r="L60" i="19"/>
  <c r="N60" i="19"/>
  <c r="I60" i="19"/>
  <c r="G60" i="19"/>
  <c r="J60" i="19"/>
  <c r="K60" i="19"/>
  <c r="D52" i="19"/>
  <c r="P52" i="19"/>
  <c r="N52" i="19"/>
  <c r="M52" i="19"/>
  <c r="O52" i="19"/>
  <c r="H52" i="19"/>
  <c r="L52" i="19"/>
  <c r="I52" i="19"/>
  <c r="G52" i="19"/>
  <c r="Q52" i="19"/>
  <c r="J52" i="19"/>
  <c r="K52" i="19"/>
  <c r="P48" i="19"/>
  <c r="M48" i="19"/>
  <c r="N48" i="19"/>
  <c r="O48" i="19"/>
  <c r="H48" i="19"/>
  <c r="L48" i="19"/>
  <c r="Q48" i="19"/>
  <c r="I48" i="19"/>
  <c r="G48" i="19"/>
  <c r="J48" i="19"/>
  <c r="K48" i="19"/>
  <c r="P44" i="19"/>
  <c r="Q44" i="19"/>
  <c r="I44" i="19"/>
  <c r="M44" i="19"/>
  <c r="G44" i="19"/>
  <c r="L44" i="19"/>
  <c r="H44" i="19"/>
  <c r="O44" i="19"/>
  <c r="J44" i="19"/>
  <c r="N44" i="19"/>
  <c r="K44" i="19"/>
  <c r="P32" i="19"/>
  <c r="M32" i="19"/>
  <c r="I32" i="19"/>
  <c r="N32" i="19"/>
  <c r="O32" i="19"/>
  <c r="J32" i="19"/>
  <c r="K32" i="19"/>
  <c r="G32" i="19"/>
  <c r="Q32" i="19"/>
  <c r="H32" i="19"/>
  <c r="L32" i="19"/>
  <c r="P24" i="19"/>
  <c r="O24" i="19"/>
  <c r="I24" i="19"/>
  <c r="M24" i="19"/>
  <c r="H24" i="19"/>
  <c r="G24" i="19"/>
  <c r="J24" i="19"/>
  <c r="Q24" i="19"/>
  <c r="K24" i="19"/>
  <c r="L24" i="19"/>
  <c r="N24" i="19"/>
  <c r="P16" i="19"/>
  <c r="M16" i="19"/>
  <c r="I16" i="19"/>
  <c r="O16" i="19"/>
  <c r="Q16" i="19"/>
  <c r="H16" i="19"/>
  <c r="L16" i="19"/>
  <c r="G16" i="19"/>
  <c r="N16" i="19"/>
  <c r="K16" i="19"/>
  <c r="J16" i="19"/>
  <c r="P12" i="19"/>
  <c r="Q12" i="19"/>
  <c r="I12" i="19"/>
  <c r="N12" i="19"/>
  <c r="O12" i="19"/>
  <c r="K12" i="19"/>
  <c r="H12" i="19"/>
  <c r="M12" i="19"/>
  <c r="J12" i="19"/>
  <c r="G12" i="19"/>
  <c r="L12" i="19"/>
  <c r="P8" i="19"/>
  <c r="O8" i="19"/>
  <c r="I8" i="19"/>
  <c r="M8" i="19"/>
  <c r="N8" i="19"/>
  <c r="H8" i="19"/>
  <c r="Q8" i="19"/>
  <c r="K8" i="19"/>
  <c r="L8" i="19"/>
  <c r="G8" i="19"/>
  <c r="J8" i="19"/>
  <c r="D96" i="19"/>
  <c r="P96" i="19"/>
  <c r="O96" i="19"/>
  <c r="Q96" i="19"/>
  <c r="H96" i="19"/>
  <c r="L96" i="19"/>
  <c r="I96" i="19"/>
  <c r="N96" i="19"/>
  <c r="M96" i="19"/>
  <c r="G96" i="19"/>
  <c r="J96" i="19"/>
  <c r="K96" i="19"/>
  <c r="D92" i="19"/>
  <c r="P92" i="19"/>
  <c r="N92" i="19"/>
  <c r="O92" i="19"/>
  <c r="Q92" i="19"/>
  <c r="H92" i="19"/>
  <c r="L92" i="19"/>
  <c r="I92" i="19"/>
  <c r="M92" i="19"/>
  <c r="G92" i="19"/>
  <c r="K92" i="19"/>
  <c r="J92" i="19"/>
  <c r="M3" i="19"/>
  <c r="Q3" i="19"/>
  <c r="N3" i="19"/>
  <c r="G3" i="19"/>
  <c r="K3" i="19"/>
  <c r="P3" i="19"/>
  <c r="J3" i="19"/>
  <c r="L3" i="19"/>
  <c r="O3" i="19"/>
  <c r="I3" i="19"/>
  <c r="H3" i="19"/>
  <c r="F87" i="19"/>
  <c r="M87" i="19"/>
  <c r="Q87" i="19"/>
  <c r="N87" i="19"/>
  <c r="J87" i="19"/>
  <c r="G87" i="19"/>
  <c r="K87" i="19"/>
  <c r="P87" i="19"/>
  <c r="O87" i="19"/>
  <c r="I87" i="19"/>
  <c r="L87" i="19"/>
  <c r="H87" i="19"/>
  <c r="B83" i="19"/>
  <c r="M83" i="19"/>
  <c r="Q83" i="19"/>
  <c r="P83" i="19"/>
  <c r="J83" i="19"/>
  <c r="G83" i="19"/>
  <c r="K83" i="19"/>
  <c r="O83" i="19"/>
  <c r="N83" i="19"/>
  <c r="I83" i="19"/>
  <c r="L83" i="19"/>
  <c r="H83" i="19"/>
  <c r="F79" i="19"/>
  <c r="M79" i="19"/>
  <c r="Q79" i="19"/>
  <c r="O79" i="19"/>
  <c r="P79" i="19"/>
  <c r="J79" i="19"/>
  <c r="G79" i="19"/>
  <c r="K79" i="19"/>
  <c r="N79" i="19"/>
  <c r="H79" i="19"/>
  <c r="I79" i="19"/>
  <c r="L79" i="19"/>
  <c r="B75" i="19"/>
  <c r="M75" i="19"/>
  <c r="Q75" i="19"/>
  <c r="N75" i="19"/>
  <c r="O75" i="19"/>
  <c r="P75" i="19"/>
  <c r="J75" i="19"/>
  <c r="G75" i="19"/>
  <c r="K75" i="19"/>
  <c r="H75" i="19"/>
  <c r="I75" i="19"/>
  <c r="L75" i="19"/>
  <c r="F71" i="19"/>
  <c r="M71" i="19"/>
  <c r="Q71" i="19"/>
  <c r="N71" i="19"/>
  <c r="O71" i="19"/>
  <c r="J71" i="19"/>
  <c r="P71" i="19"/>
  <c r="G71" i="19"/>
  <c r="K71" i="19"/>
  <c r="H71" i="19"/>
  <c r="I71" i="19"/>
  <c r="L71" i="19"/>
  <c r="B67" i="19"/>
  <c r="M67" i="19"/>
  <c r="Q67" i="19"/>
  <c r="P67" i="19"/>
  <c r="N67" i="19"/>
  <c r="J67" i="19"/>
  <c r="O67" i="19"/>
  <c r="G67" i="19"/>
  <c r="K67" i="19"/>
  <c r="H67" i="19"/>
  <c r="I67" i="19"/>
  <c r="L67" i="19"/>
  <c r="F63" i="19"/>
  <c r="M63" i="19"/>
  <c r="Q63" i="19"/>
  <c r="O63" i="19"/>
  <c r="P63" i="19"/>
  <c r="J63" i="19"/>
  <c r="N63" i="19"/>
  <c r="G63" i="19"/>
  <c r="K63" i="19"/>
  <c r="H63" i="19"/>
  <c r="I63" i="19"/>
  <c r="L63" i="19"/>
  <c r="B59" i="19"/>
  <c r="M59" i="19"/>
  <c r="Q59" i="19"/>
  <c r="P59" i="19"/>
  <c r="N59" i="19"/>
  <c r="O59" i="19"/>
  <c r="J59" i="19"/>
  <c r="G59" i="19"/>
  <c r="K59" i="19"/>
  <c r="H59" i="19"/>
  <c r="I59" i="19"/>
  <c r="L59" i="19"/>
  <c r="F55" i="19"/>
  <c r="M55" i="19"/>
  <c r="Q55" i="19"/>
  <c r="O55" i="19"/>
  <c r="N55" i="19"/>
  <c r="J55" i="19"/>
  <c r="G55" i="19"/>
  <c r="K55" i="19"/>
  <c r="H55" i="19"/>
  <c r="P55" i="19"/>
  <c r="I55" i="19"/>
  <c r="L55" i="19"/>
  <c r="F51" i="19"/>
  <c r="M51" i="19"/>
  <c r="Q51" i="19"/>
  <c r="N51" i="19"/>
  <c r="O51" i="19"/>
  <c r="J51" i="19"/>
  <c r="P51" i="19"/>
  <c r="G51" i="19"/>
  <c r="K51" i="19"/>
  <c r="H51" i="19"/>
  <c r="I51" i="19"/>
  <c r="L51" i="19"/>
  <c r="D47" i="19"/>
  <c r="M47" i="19"/>
  <c r="Q47" i="19"/>
  <c r="P47" i="19"/>
  <c r="J47" i="19"/>
  <c r="G47" i="19"/>
  <c r="K47" i="19"/>
  <c r="O47" i="19"/>
  <c r="H47" i="19"/>
  <c r="I47" i="19"/>
  <c r="N47" i="19"/>
  <c r="L47" i="19"/>
  <c r="C43" i="19"/>
  <c r="M43" i="19"/>
  <c r="Q43" i="19"/>
  <c r="P43" i="19"/>
  <c r="G43" i="19"/>
  <c r="K43" i="19"/>
  <c r="O43" i="19"/>
  <c r="H43" i="19"/>
  <c r="N43" i="19"/>
  <c r="I43" i="19"/>
  <c r="L43" i="19"/>
  <c r="J43" i="19"/>
  <c r="M39" i="19"/>
  <c r="Q39" i="19"/>
  <c r="O39" i="19"/>
  <c r="G39" i="19"/>
  <c r="K39" i="19"/>
  <c r="N39" i="19"/>
  <c r="P39" i="19"/>
  <c r="J39" i="19"/>
  <c r="L39" i="19"/>
  <c r="H39" i="19"/>
  <c r="I39" i="19"/>
  <c r="E35" i="19"/>
  <c r="M35" i="19"/>
  <c r="Q35" i="19"/>
  <c r="N35" i="19"/>
  <c r="G35" i="19"/>
  <c r="K35" i="19"/>
  <c r="O35" i="19"/>
  <c r="H35" i="19"/>
  <c r="I35" i="19"/>
  <c r="J35" i="19"/>
  <c r="L35" i="19"/>
  <c r="P35" i="19"/>
  <c r="D31" i="19"/>
  <c r="M31" i="19"/>
  <c r="Q31" i="19"/>
  <c r="G31" i="19"/>
  <c r="K31" i="19"/>
  <c r="N31" i="19"/>
  <c r="O31" i="19"/>
  <c r="J31" i="19"/>
  <c r="P31" i="19"/>
  <c r="L31" i="19"/>
  <c r="I31" i="19"/>
  <c r="H31" i="19"/>
  <c r="M27" i="19"/>
  <c r="Q27" i="19"/>
  <c r="P27" i="19"/>
  <c r="G27" i="19"/>
  <c r="K27" i="19"/>
  <c r="H27" i="19"/>
  <c r="I27" i="19"/>
  <c r="O27" i="19"/>
  <c r="N27" i="19"/>
  <c r="L27" i="19"/>
  <c r="J27" i="19"/>
  <c r="M23" i="19"/>
  <c r="Q23" i="19"/>
  <c r="O23" i="19"/>
  <c r="G23" i="19"/>
  <c r="K23" i="19"/>
  <c r="P23" i="19"/>
  <c r="I23" i="19"/>
  <c r="N23" i="19"/>
  <c r="H23" i="19"/>
  <c r="L23" i="19"/>
  <c r="J23" i="19"/>
  <c r="M19" i="19"/>
  <c r="Q19" i="19"/>
  <c r="N19" i="19"/>
  <c r="G19" i="19"/>
  <c r="K19" i="19"/>
  <c r="O19" i="19"/>
  <c r="P19" i="19"/>
  <c r="L19" i="19"/>
  <c r="I19" i="19"/>
  <c r="J19" i="19"/>
  <c r="H19" i="19"/>
  <c r="M15" i="19"/>
  <c r="Q15" i="19"/>
  <c r="G15" i="19"/>
  <c r="K15" i="19"/>
  <c r="N15" i="19"/>
  <c r="O15" i="19"/>
  <c r="I15" i="19"/>
  <c r="L15" i="19"/>
  <c r="P15" i="19"/>
  <c r="H15" i="19"/>
  <c r="J15" i="19"/>
  <c r="M11" i="19"/>
  <c r="Q11" i="19"/>
  <c r="P11" i="19"/>
  <c r="G11" i="19"/>
  <c r="K11" i="19"/>
  <c r="N11" i="19"/>
  <c r="L11" i="19"/>
  <c r="O11" i="19"/>
  <c r="H11" i="19"/>
  <c r="I11" i="19"/>
  <c r="J11" i="19"/>
  <c r="M7" i="19"/>
  <c r="Q7" i="19"/>
  <c r="O7" i="19"/>
  <c r="G7" i="19"/>
  <c r="K7" i="19"/>
  <c r="H7" i="19"/>
  <c r="I7" i="19"/>
  <c r="J7" i="19"/>
  <c r="N7" i="19"/>
  <c r="L7" i="19"/>
  <c r="P7" i="19"/>
  <c r="B99" i="19"/>
  <c r="M99" i="19"/>
  <c r="Q99" i="19"/>
  <c r="P99" i="19"/>
  <c r="N99" i="19"/>
  <c r="J99" i="19"/>
  <c r="O99" i="19"/>
  <c r="G99" i="19"/>
  <c r="K99" i="19"/>
  <c r="I99" i="19"/>
  <c r="L99" i="19"/>
  <c r="H99" i="19"/>
  <c r="B95" i="19"/>
  <c r="M95" i="19"/>
  <c r="Q95" i="19"/>
  <c r="O95" i="19"/>
  <c r="P95" i="19"/>
  <c r="J95" i="19"/>
  <c r="N95" i="19"/>
  <c r="G95" i="19"/>
  <c r="K95" i="19"/>
  <c r="I95" i="19"/>
  <c r="L95" i="19"/>
  <c r="H95" i="19"/>
  <c r="B91" i="19"/>
  <c r="M91" i="19"/>
  <c r="Q91" i="19"/>
  <c r="N91" i="19"/>
  <c r="O91" i="19"/>
  <c r="J91" i="19"/>
  <c r="G91" i="19"/>
  <c r="K91" i="19"/>
  <c r="H91" i="19"/>
  <c r="P91" i="19"/>
  <c r="I91" i="19"/>
  <c r="L91" i="19"/>
  <c r="E100" i="19"/>
  <c r="P100" i="19"/>
  <c r="Q100" i="19"/>
  <c r="M100" i="19"/>
  <c r="H100" i="19"/>
  <c r="L100" i="19"/>
  <c r="I100" i="19"/>
  <c r="O100" i="19"/>
  <c r="G100" i="19"/>
  <c r="J100" i="19"/>
  <c r="N100" i="19"/>
  <c r="K100" i="19"/>
  <c r="D90" i="19"/>
  <c r="N90" i="19"/>
  <c r="M90" i="19"/>
  <c r="O90" i="19"/>
  <c r="P90" i="19"/>
  <c r="H90" i="19"/>
  <c r="L90" i="19"/>
  <c r="Q90" i="19"/>
  <c r="I90" i="19"/>
  <c r="K90" i="19"/>
  <c r="G90" i="19"/>
  <c r="J90" i="19"/>
  <c r="D86" i="19"/>
  <c r="N86" i="19"/>
  <c r="Q86" i="19"/>
  <c r="M86" i="19"/>
  <c r="O86" i="19"/>
  <c r="H86" i="19"/>
  <c r="L86" i="19"/>
  <c r="P86" i="19"/>
  <c r="I86" i="19"/>
  <c r="K86" i="19"/>
  <c r="G86" i="19"/>
  <c r="J86" i="19"/>
  <c r="D82" i="19"/>
  <c r="N82" i="19"/>
  <c r="P82" i="19"/>
  <c r="Q82" i="19"/>
  <c r="M82" i="19"/>
  <c r="H82" i="19"/>
  <c r="L82" i="19"/>
  <c r="O82" i="19"/>
  <c r="I82" i="19"/>
  <c r="K82" i="19"/>
  <c r="G82" i="19"/>
  <c r="J82" i="19"/>
  <c r="D78" i="19"/>
  <c r="N78" i="19"/>
  <c r="O78" i="19"/>
  <c r="P78" i="19"/>
  <c r="H78" i="19"/>
  <c r="L78" i="19"/>
  <c r="M78" i="19"/>
  <c r="I78" i="19"/>
  <c r="Q78" i="19"/>
  <c r="K78" i="19"/>
  <c r="G78" i="19"/>
  <c r="J78" i="19"/>
  <c r="D74" i="19"/>
  <c r="N74" i="19"/>
  <c r="M74" i="19"/>
  <c r="O74" i="19"/>
  <c r="H74" i="19"/>
  <c r="L74" i="19"/>
  <c r="I74" i="19"/>
  <c r="Q74" i="19"/>
  <c r="K74" i="19"/>
  <c r="P74" i="19"/>
  <c r="G74" i="19"/>
  <c r="J74" i="19"/>
  <c r="D70" i="19"/>
  <c r="N70" i="19"/>
  <c r="Q70" i="19"/>
  <c r="M70" i="19"/>
  <c r="H70" i="19"/>
  <c r="L70" i="19"/>
  <c r="I70" i="19"/>
  <c r="P70" i="19"/>
  <c r="O70" i="19"/>
  <c r="K70" i="19"/>
  <c r="G70" i="19"/>
  <c r="J70" i="19"/>
  <c r="D66" i="19"/>
  <c r="N66" i="19"/>
  <c r="P66" i="19"/>
  <c r="Q66" i="19"/>
  <c r="H66" i="19"/>
  <c r="L66" i="19"/>
  <c r="I66" i="19"/>
  <c r="O66" i="19"/>
  <c r="K66" i="19"/>
  <c r="M66" i="19"/>
  <c r="G66" i="19"/>
  <c r="J66" i="19"/>
  <c r="D62" i="19"/>
  <c r="N62" i="19"/>
  <c r="Q62" i="19"/>
  <c r="M62" i="19"/>
  <c r="O62" i="19"/>
  <c r="P62" i="19"/>
  <c r="H62" i="19"/>
  <c r="L62" i="19"/>
  <c r="I62" i="19"/>
  <c r="K62" i="19"/>
  <c r="G62" i="19"/>
  <c r="J62" i="19"/>
  <c r="D58" i="19"/>
  <c r="N58" i="19"/>
  <c r="P58" i="19"/>
  <c r="M58" i="19"/>
  <c r="H58" i="19"/>
  <c r="L58" i="19"/>
  <c r="I58" i="19"/>
  <c r="Q58" i="19"/>
  <c r="K58" i="19"/>
  <c r="G58" i="19"/>
  <c r="O58" i="19"/>
  <c r="J58" i="19"/>
  <c r="D54" i="19"/>
  <c r="N54" i="19"/>
  <c r="O54" i="19"/>
  <c r="Q54" i="19"/>
  <c r="M54" i="19"/>
  <c r="H54" i="19"/>
  <c r="L54" i="19"/>
  <c r="P54" i="19"/>
  <c r="I54" i="19"/>
  <c r="K54" i="19"/>
  <c r="G54" i="19"/>
  <c r="J54" i="19"/>
  <c r="D50" i="19"/>
  <c r="N50" i="19"/>
  <c r="M50" i="19"/>
  <c r="P50" i="19"/>
  <c r="Q50" i="19"/>
  <c r="H50" i="19"/>
  <c r="L50" i="19"/>
  <c r="I50" i="19"/>
  <c r="O50" i="19"/>
  <c r="K50" i="19"/>
  <c r="G50" i="19"/>
  <c r="J50" i="19"/>
  <c r="C46" i="19"/>
  <c r="N46" i="19"/>
  <c r="Q46" i="19"/>
  <c r="O46" i="19"/>
  <c r="P46" i="19"/>
  <c r="H46" i="19"/>
  <c r="L46" i="19"/>
  <c r="M46" i="19"/>
  <c r="I46" i="19"/>
  <c r="K46" i="19"/>
  <c r="G46" i="19"/>
  <c r="J46" i="19"/>
  <c r="C42" i="19"/>
  <c r="N42" i="19"/>
  <c r="P42" i="19"/>
  <c r="I42" i="19"/>
  <c r="M42" i="19"/>
  <c r="O42" i="19"/>
  <c r="Q42" i="19"/>
  <c r="H42" i="19"/>
  <c r="J42" i="19"/>
  <c r="G42" i="19"/>
  <c r="K42" i="19"/>
  <c r="L42" i="19"/>
  <c r="C38" i="19"/>
  <c r="N38" i="19"/>
  <c r="O38" i="19"/>
  <c r="I38" i="19"/>
  <c r="M38" i="19"/>
  <c r="K38" i="19"/>
  <c r="G38" i="19"/>
  <c r="L38" i="19"/>
  <c r="Q38" i="19"/>
  <c r="P38" i="19"/>
  <c r="J38" i="19"/>
  <c r="H38" i="19"/>
  <c r="C34" i="19"/>
  <c r="N34" i="19"/>
  <c r="M34" i="19"/>
  <c r="I34" i="19"/>
  <c r="Q34" i="19"/>
  <c r="O34" i="19"/>
  <c r="H34" i="19"/>
  <c r="P34" i="19"/>
  <c r="J34" i="19"/>
  <c r="L34" i="19"/>
  <c r="G34" i="19"/>
  <c r="K34" i="19"/>
  <c r="C30" i="19"/>
  <c r="N30" i="19"/>
  <c r="Q30" i="19"/>
  <c r="I30" i="19"/>
  <c r="P30" i="19"/>
  <c r="K30" i="19"/>
  <c r="G30" i="19"/>
  <c r="L30" i="19"/>
  <c r="O30" i="19"/>
  <c r="M30" i="19"/>
  <c r="H30" i="19"/>
  <c r="J30" i="19"/>
  <c r="C26" i="19"/>
  <c r="N26" i="19"/>
  <c r="P26" i="19"/>
  <c r="I26" i="19"/>
  <c r="O26" i="19"/>
  <c r="Q26" i="19"/>
  <c r="H26" i="19"/>
  <c r="M26" i="19"/>
  <c r="J26" i="19"/>
  <c r="G26" i="19"/>
  <c r="K26" i="19"/>
  <c r="L26" i="19"/>
  <c r="C22" i="19"/>
  <c r="N22" i="19"/>
  <c r="O22" i="19"/>
  <c r="I22" i="19"/>
  <c r="M22" i="19"/>
  <c r="P22" i="19"/>
  <c r="J22" i="19"/>
  <c r="Q22" i="19"/>
  <c r="L22" i="19"/>
  <c r="G22" i="19"/>
  <c r="H22" i="19"/>
  <c r="K22" i="19"/>
  <c r="C18" i="19"/>
  <c r="N18" i="19"/>
  <c r="M18" i="19"/>
  <c r="I18" i="19"/>
  <c r="O18" i="19"/>
  <c r="G18" i="19"/>
  <c r="L18" i="19"/>
  <c r="H18" i="19"/>
  <c r="J18" i="19"/>
  <c r="Q18" i="19"/>
  <c r="P18" i="19"/>
  <c r="K18" i="19"/>
  <c r="C14" i="19"/>
  <c r="N14" i="19"/>
  <c r="Q14" i="19"/>
  <c r="I14" i="19"/>
  <c r="M14" i="19"/>
  <c r="J14" i="19"/>
  <c r="O14" i="19"/>
  <c r="K14" i="19"/>
  <c r="P14" i="19"/>
  <c r="L14" i="19"/>
  <c r="H14" i="19"/>
  <c r="G14" i="19"/>
  <c r="C10" i="19"/>
  <c r="N10" i="19"/>
  <c r="P10" i="19"/>
  <c r="I10" i="19"/>
  <c r="Q10" i="19"/>
  <c r="G10" i="19"/>
  <c r="L10" i="19"/>
  <c r="M10" i="19"/>
  <c r="H10" i="19"/>
  <c r="O10" i="19"/>
  <c r="J10" i="19"/>
  <c r="K10" i="19"/>
  <c r="C6" i="19"/>
  <c r="N6" i="19"/>
  <c r="O6" i="19"/>
  <c r="I6" i="19"/>
  <c r="P6" i="19"/>
  <c r="H6" i="19"/>
  <c r="Q6" i="19"/>
  <c r="J6" i="19"/>
  <c r="M6" i="19"/>
  <c r="G6" i="19"/>
  <c r="L6" i="19"/>
  <c r="K6" i="19"/>
  <c r="D98" i="19"/>
  <c r="N98" i="19"/>
  <c r="P98" i="19"/>
  <c r="Q98" i="19"/>
  <c r="H98" i="19"/>
  <c r="L98" i="19"/>
  <c r="I98" i="19"/>
  <c r="O98" i="19"/>
  <c r="K98" i="19"/>
  <c r="M98" i="19"/>
  <c r="G98" i="19"/>
  <c r="J98" i="19"/>
  <c r="D94" i="19"/>
  <c r="N94" i="19"/>
  <c r="O94" i="19"/>
  <c r="P94" i="19"/>
  <c r="Q94" i="19"/>
  <c r="H94" i="19"/>
  <c r="L94" i="19"/>
  <c r="I94" i="19"/>
  <c r="M94" i="19"/>
  <c r="K94" i="19"/>
  <c r="G94" i="19"/>
  <c r="J94" i="19"/>
  <c r="E89" i="19"/>
  <c r="O89" i="19"/>
  <c r="M89" i="19"/>
  <c r="N89" i="19"/>
  <c r="J89" i="19"/>
  <c r="G89" i="19"/>
  <c r="K89" i="19"/>
  <c r="Q89" i="19"/>
  <c r="I89" i="19"/>
  <c r="P89" i="19"/>
  <c r="H89" i="19"/>
  <c r="L89" i="19"/>
  <c r="E85" i="19"/>
  <c r="O85" i="19"/>
  <c r="Q85" i="19"/>
  <c r="M85" i="19"/>
  <c r="J85" i="19"/>
  <c r="G85" i="19"/>
  <c r="K85" i="19"/>
  <c r="P85" i="19"/>
  <c r="I85" i="19"/>
  <c r="L85" i="19"/>
  <c r="N85" i="19"/>
  <c r="H85" i="19"/>
  <c r="E81" i="19"/>
  <c r="O81" i="19"/>
  <c r="P81" i="19"/>
  <c r="Q81" i="19"/>
  <c r="J81" i="19"/>
  <c r="G81" i="19"/>
  <c r="K81" i="19"/>
  <c r="N81" i="19"/>
  <c r="I81" i="19"/>
  <c r="M81" i="19"/>
  <c r="L81" i="19"/>
  <c r="H81" i="19"/>
  <c r="E77" i="19"/>
  <c r="O77" i="19"/>
  <c r="N77" i="19"/>
  <c r="P77" i="19"/>
  <c r="Q77" i="19"/>
  <c r="J77" i="19"/>
  <c r="G77" i="19"/>
  <c r="K77" i="19"/>
  <c r="M77" i="19"/>
  <c r="I77" i="19"/>
  <c r="L77" i="19"/>
  <c r="H77" i="19"/>
  <c r="E73" i="19"/>
  <c r="O73" i="19"/>
  <c r="M73" i="19"/>
  <c r="N73" i="19"/>
  <c r="P73" i="19"/>
  <c r="J73" i="19"/>
  <c r="Q73" i="19"/>
  <c r="G73" i="19"/>
  <c r="K73" i="19"/>
  <c r="I73" i="19"/>
  <c r="L73" i="19"/>
  <c r="H73" i="19"/>
  <c r="E69" i="19"/>
  <c r="O69" i="19"/>
  <c r="Q69" i="19"/>
  <c r="M69" i="19"/>
  <c r="N69" i="19"/>
  <c r="J69" i="19"/>
  <c r="P69" i="19"/>
  <c r="G69" i="19"/>
  <c r="K69" i="19"/>
  <c r="I69" i="19"/>
  <c r="L69" i="19"/>
  <c r="H69" i="19"/>
  <c r="E65" i="19"/>
  <c r="O65" i="19"/>
  <c r="P65" i="19"/>
  <c r="Q65" i="19"/>
  <c r="M65" i="19"/>
  <c r="J65" i="19"/>
  <c r="N65" i="19"/>
  <c r="G65" i="19"/>
  <c r="K65" i="19"/>
  <c r="I65" i="19"/>
  <c r="L65" i="19"/>
  <c r="H65" i="19"/>
  <c r="E61" i="19"/>
  <c r="O61" i="19"/>
  <c r="Q61" i="19"/>
  <c r="M61" i="19"/>
  <c r="J61" i="19"/>
  <c r="G61" i="19"/>
  <c r="K61" i="19"/>
  <c r="P61" i="19"/>
  <c r="N61" i="19"/>
  <c r="I61" i="19"/>
  <c r="L61" i="19"/>
  <c r="H61" i="19"/>
  <c r="E57" i="19"/>
  <c r="O57" i="19"/>
  <c r="P57" i="19"/>
  <c r="Q57" i="19"/>
  <c r="M57" i="19"/>
  <c r="J57" i="19"/>
  <c r="N57" i="19"/>
  <c r="G57" i="19"/>
  <c r="K57" i="19"/>
  <c r="I57" i="19"/>
  <c r="L57" i="19"/>
  <c r="H57" i="19"/>
  <c r="E53" i="19"/>
  <c r="O53" i="19"/>
  <c r="N53" i="19"/>
  <c r="P53" i="19"/>
  <c r="Q53" i="19"/>
  <c r="J53" i="19"/>
  <c r="G53" i="19"/>
  <c r="K53" i="19"/>
  <c r="M53" i="19"/>
  <c r="I53" i="19"/>
  <c r="L53" i="19"/>
  <c r="H53" i="19"/>
  <c r="E49" i="19"/>
  <c r="O49" i="19"/>
  <c r="M49" i="19"/>
  <c r="N49" i="19"/>
  <c r="P49" i="19"/>
  <c r="J49" i="19"/>
  <c r="G49" i="19"/>
  <c r="K49" i="19"/>
  <c r="Q49" i="19"/>
  <c r="I49" i="19"/>
  <c r="L49" i="19"/>
  <c r="H49" i="19"/>
  <c r="D45" i="19"/>
  <c r="O45" i="19"/>
  <c r="Q45" i="19"/>
  <c r="M45" i="19"/>
  <c r="N45" i="19"/>
  <c r="P45" i="19"/>
  <c r="J45" i="19"/>
  <c r="G45" i="19"/>
  <c r="K45" i="19"/>
  <c r="I45" i="19"/>
  <c r="L45" i="19"/>
  <c r="H45" i="19"/>
  <c r="D41" i="19"/>
  <c r="O41" i="19"/>
  <c r="P41" i="19"/>
  <c r="G41" i="19"/>
  <c r="K41" i="19"/>
  <c r="M41" i="19"/>
  <c r="I41" i="19"/>
  <c r="J41" i="19"/>
  <c r="Q41" i="19"/>
  <c r="N41" i="19"/>
  <c r="H41" i="19"/>
  <c r="L41" i="19"/>
  <c r="D37" i="19"/>
  <c r="O37" i="19"/>
  <c r="N37" i="19"/>
  <c r="G37" i="19"/>
  <c r="K37" i="19"/>
  <c r="Q37" i="19"/>
  <c r="M37" i="19"/>
  <c r="L37" i="19"/>
  <c r="P37" i="19"/>
  <c r="H37" i="19"/>
  <c r="I37" i="19"/>
  <c r="J37" i="19"/>
  <c r="D33" i="19"/>
  <c r="O33" i="19"/>
  <c r="M33" i="19"/>
  <c r="G33" i="19"/>
  <c r="K33" i="19"/>
  <c r="P33" i="19"/>
  <c r="Q33" i="19"/>
  <c r="I33" i="19"/>
  <c r="J33" i="19"/>
  <c r="N33" i="19"/>
  <c r="H33" i="19"/>
  <c r="L33" i="19"/>
  <c r="D29" i="19"/>
  <c r="O29" i="19"/>
  <c r="Q29" i="19"/>
  <c r="G29" i="19"/>
  <c r="K29" i="19"/>
  <c r="N29" i="19"/>
  <c r="P29" i="19"/>
  <c r="L29" i="19"/>
  <c r="M29" i="19"/>
  <c r="H29" i="19"/>
  <c r="J29" i="19"/>
  <c r="I29" i="19"/>
  <c r="D25" i="19"/>
  <c r="O25" i="19"/>
  <c r="P25" i="19"/>
  <c r="G25" i="19"/>
  <c r="K25" i="19"/>
  <c r="M25" i="19"/>
  <c r="N25" i="19"/>
  <c r="H25" i="19"/>
  <c r="Q25" i="19"/>
  <c r="I25" i="19"/>
  <c r="J25" i="19"/>
  <c r="L25" i="19"/>
  <c r="D21" i="19"/>
  <c r="O21" i="19"/>
  <c r="N21" i="19"/>
  <c r="G21" i="19"/>
  <c r="K21" i="19"/>
  <c r="M21" i="19"/>
  <c r="J21" i="19"/>
  <c r="L21" i="19"/>
  <c r="Q21" i="19"/>
  <c r="I21" i="19"/>
  <c r="P21" i="19"/>
  <c r="H21" i="19"/>
  <c r="D17" i="19"/>
  <c r="O17" i="19"/>
  <c r="M17" i="19"/>
  <c r="G17" i="19"/>
  <c r="K17" i="19"/>
  <c r="Q17" i="19"/>
  <c r="H17" i="19"/>
  <c r="N17" i="19"/>
  <c r="P17" i="19"/>
  <c r="I17" i="19"/>
  <c r="J17" i="19"/>
  <c r="L17" i="19"/>
  <c r="D13" i="19"/>
  <c r="O13" i="19"/>
  <c r="Q13" i="19"/>
  <c r="G13" i="19"/>
  <c r="K13" i="19"/>
  <c r="P13" i="19"/>
  <c r="J13" i="19"/>
  <c r="I13" i="19"/>
  <c r="M13" i="19"/>
  <c r="L13" i="19"/>
  <c r="N13" i="19"/>
  <c r="H13" i="19"/>
  <c r="D9" i="19"/>
  <c r="O9" i="19"/>
  <c r="P9" i="19"/>
  <c r="G9" i="19"/>
  <c r="K9" i="19"/>
  <c r="N9" i="19"/>
  <c r="Q9" i="19"/>
  <c r="H9" i="19"/>
  <c r="L9" i="19"/>
  <c r="M9" i="19"/>
  <c r="J9" i="19"/>
  <c r="I9" i="19"/>
  <c r="D5" i="19"/>
  <c r="O5" i="19"/>
  <c r="N5" i="19"/>
  <c r="G5" i="19"/>
  <c r="K5" i="19"/>
  <c r="M5" i="19"/>
  <c r="I5" i="19"/>
  <c r="P5" i="19"/>
  <c r="J5" i="19"/>
  <c r="Q5" i="19"/>
  <c r="L5" i="19"/>
  <c r="H5" i="19"/>
  <c r="E97" i="19"/>
  <c r="O97" i="19"/>
  <c r="P97" i="19"/>
  <c r="Q97" i="19"/>
  <c r="M97" i="19"/>
  <c r="J97" i="19"/>
  <c r="N97" i="19"/>
  <c r="G97" i="19"/>
  <c r="K97" i="19"/>
  <c r="I97" i="19"/>
  <c r="H97" i="19"/>
  <c r="L97" i="19"/>
  <c r="E93" i="19"/>
  <c r="O93" i="19"/>
  <c r="N93" i="19"/>
  <c r="P93" i="19"/>
  <c r="J93" i="19"/>
  <c r="M93" i="19"/>
  <c r="G93" i="19"/>
  <c r="K93" i="19"/>
  <c r="I93" i="19"/>
  <c r="L93" i="19"/>
  <c r="Q93" i="19"/>
  <c r="H93" i="19"/>
  <c r="L53" i="26"/>
  <c r="I53" i="26"/>
  <c r="J53" i="26"/>
  <c r="M28" i="26"/>
  <c r="H27" i="26"/>
  <c r="L27" i="26"/>
  <c r="K52" i="26"/>
  <c r="M52" i="26"/>
  <c r="J41" i="26"/>
  <c r="G29" i="26"/>
  <c r="H29" i="26"/>
  <c r="K29" i="26"/>
  <c r="I29" i="26"/>
  <c r="J29" i="26"/>
  <c r="M29" i="26"/>
  <c r="H50" i="26"/>
  <c r="L50" i="26"/>
  <c r="K16" i="26"/>
  <c r="I50" i="26"/>
  <c r="J50" i="26"/>
  <c r="M50" i="26"/>
  <c r="J52" i="26"/>
  <c r="G53" i="26"/>
  <c r="K53" i="26"/>
  <c r="H54" i="26"/>
  <c r="L54" i="26"/>
  <c r="G52" i="26"/>
  <c r="H53" i="26"/>
  <c r="M54" i="26"/>
  <c r="G41" i="26"/>
  <c r="K41" i="26"/>
  <c r="I27" i="26"/>
  <c r="I16" i="26"/>
  <c r="G50" i="26"/>
  <c r="I52" i="26"/>
  <c r="G27" i="26"/>
  <c r="H28" i="26"/>
  <c r="K50" i="26"/>
  <c r="I41" i="26"/>
  <c r="K27" i="26"/>
  <c r="G16" i="26"/>
  <c r="J27" i="26"/>
  <c r="L29" i="26"/>
  <c r="K28" i="26"/>
  <c r="J54" i="26"/>
  <c r="G28" i="26"/>
  <c r="H16" i="26"/>
  <c r="G51" i="26"/>
  <c r="H51" i="26"/>
  <c r="L51" i="26"/>
  <c r="I51" i="26"/>
  <c r="K51" i="26"/>
  <c r="J51" i="26"/>
  <c r="M51" i="26"/>
  <c r="H55" i="26"/>
  <c r="K30" i="26"/>
  <c r="I55" i="26"/>
  <c r="M55" i="26"/>
  <c r="L30" i="26"/>
  <c r="J55" i="26"/>
  <c r="G73" i="26"/>
  <c r="H73" i="26"/>
  <c r="L73" i="26"/>
  <c r="J73" i="26"/>
  <c r="I73" i="26"/>
  <c r="K73" i="26"/>
  <c r="M73" i="26"/>
  <c r="H67" i="25"/>
  <c r="L100" i="25"/>
  <c r="L102" i="25" s="1"/>
  <c r="L103" i="25" s="1"/>
  <c r="H100" i="25"/>
  <c r="H102" i="25" s="1"/>
  <c r="H103" i="25" s="1"/>
  <c r="O51" i="25"/>
  <c r="L29" i="2"/>
  <c r="N29" i="2"/>
  <c r="K56" i="2"/>
  <c r="K57" i="2" s="1"/>
  <c r="O91" i="2"/>
  <c r="I101" i="2"/>
  <c r="L56" i="2"/>
  <c r="N116" i="2"/>
  <c r="K116" i="2"/>
  <c r="O64" i="25"/>
  <c r="O67" i="25" s="1"/>
  <c r="N75" i="25"/>
  <c r="K50" i="25"/>
  <c r="P100" i="25"/>
  <c r="P102" i="25" s="1"/>
  <c r="P103" i="25" s="1"/>
  <c r="I100" i="25"/>
  <c r="I102" i="25" s="1"/>
  <c r="I103" i="25" s="1"/>
  <c r="K62" i="25"/>
  <c r="L75" i="25"/>
  <c r="P87" i="25"/>
  <c r="J56" i="2"/>
  <c r="H29" i="2"/>
  <c r="M29" i="2"/>
  <c r="N56" i="2"/>
  <c r="I56" i="2"/>
  <c r="M56" i="2"/>
  <c r="M91" i="2"/>
  <c r="O101" i="2"/>
  <c r="O102" i="2" s="1"/>
  <c r="O37" i="25" s="1"/>
  <c r="J29" i="2"/>
  <c r="K91" i="2"/>
  <c r="J91" i="2"/>
  <c r="L101" i="2"/>
  <c r="J116" i="2"/>
  <c r="M116" i="2"/>
  <c r="M50" i="25"/>
  <c r="K64" i="25"/>
  <c r="K67" i="25" s="1"/>
  <c r="H50" i="25"/>
  <c r="J75" i="25"/>
  <c r="M64" i="25"/>
  <c r="M67" i="25" s="1"/>
  <c r="N51" i="25"/>
  <c r="N50" i="25"/>
  <c r="H75" i="25"/>
  <c r="I29" i="2"/>
  <c r="O116" i="2"/>
  <c r="I91" i="2"/>
  <c r="O56" i="2"/>
  <c r="K101" i="2"/>
  <c r="N91" i="2"/>
  <c r="N101" i="2"/>
  <c r="L116" i="2"/>
  <c r="I116" i="2"/>
  <c r="N64" i="25"/>
  <c r="N67" i="25" s="1"/>
  <c r="I50" i="25"/>
  <c r="I64" i="25"/>
  <c r="I67" i="25" s="1"/>
  <c r="J45" i="25"/>
  <c r="J51" i="25" s="1"/>
  <c r="J50" i="25"/>
  <c r="O95" i="25"/>
  <c r="O100" i="25" s="1"/>
  <c r="O102" i="25" s="1"/>
  <c r="O103" i="25" s="1"/>
  <c r="M101" i="2"/>
  <c r="L91" i="2"/>
  <c r="J101" i="2"/>
  <c r="L47" i="25"/>
  <c r="L51" i="25" s="1"/>
  <c r="L50" i="25"/>
  <c r="O50" i="25"/>
  <c r="P77" i="25"/>
  <c r="P78" i="25" s="1"/>
  <c r="M100" i="25"/>
  <c r="M102" i="25" s="1"/>
  <c r="M103" i="25" s="1"/>
  <c r="K95" i="25"/>
  <c r="K100" i="25" s="1"/>
  <c r="K102" i="25" s="1"/>
  <c r="K103" i="25" s="1"/>
  <c r="G55" i="26"/>
  <c r="B55" i="26"/>
  <c r="F75" i="25"/>
  <c r="A41" i="5"/>
  <c r="D41" i="5" s="1"/>
  <c r="A37" i="5"/>
  <c r="A25" i="5"/>
  <c r="A21" i="5"/>
  <c r="A17" i="5"/>
  <c r="A13" i="5"/>
  <c r="D13" i="5" s="1"/>
  <c r="A9" i="5"/>
  <c r="E9" i="5" s="1"/>
  <c r="A47" i="5"/>
  <c r="A43" i="5"/>
  <c r="A51" i="5"/>
  <c r="A40" i="5"/>
  <c r="B40" i="5" s="1"/>
  <c r="A32" i="5"/>
  <c r="D32" i="5" s="1"/>
  <c r="A28" i="5"/>
  <c r="A24" i="5"/>
  <c r="A20" i="5"/>
  <c r="B20" i="5" s="1"/>
  <c r="A16" i="5"/>
  <c r="A12" i="5"/>
  <c r="A8" i="5"/>
  <c r="A46" i="5"/>
  <c r="C46" i="5" s="1"/>
  <c r="A50" i="5"/>
  <c r="D5" i="26"/>
  <c r="A39" i="5"/>
  <c r="A31" i="5"/>
  <c r="E31" i="5" s="1"/>
  <c r="A27" i="5"/>
  <c r="A23" i="5"/>
  <c r="A19" i="5"/>
  <c r="A15" i="5"/>
  <c r="A11" i="5"/>
  <c r="A7" i="5"/>
  <c r="C7" i="5" s="1"/>
  <c r="A45" i="5"/>
  <c r="A49" i="5"/>
  <c r="D49" i="5" s="1"/>
  <c r="A42" i="5"/>
  <c r="A38" i="5"/>
  <c r="A34" i="5"/>
  <c r="A26" i="5"/>
  <c r="A22" i="5"/>
  <c r="A18" i="5"/>
  <c r="A14" i="5"/>
  <c r="A10" i="5"/>
  <c r="D10" i="5" s="1"/>
  <c r="A48" i="5"/>
  <c r="A44" i="5"/>
  <c r="A30" i="5"/>
  <c r="A29" i="5"/>
  <c r="C29" i="5" s="1"/>
  <c r="C3" i="19"/>
  <c r="B3" i="19"/>
  <c r="D3" i="19"/>
  <c r="E3" i="19"/>
  <c r="F3" i="19"/>
  <c r="C90" i="19"/>
  <c r="C74" i="19"/>
  <c r="C58" i="19"/>
  <c r="C37" i="19"/>
  <c r="C86" i="19"/>
  <c r="C70" i="19"/>
  <c r="C54" i="19"/>
  <c r="F29" i="19"/>
  <c r="C97" i="19"/>
  <c r="C82" i="19"/>
  <c r="C66" i="19"/>
  <c r="C50" i="19"/>
  <c r="C21" i="19"/>
  <c r="D93" i="19"/>
  <c r="C78" i="19"/>
  <c r="C62" i="19"/>
  <c r="F45" i="19"/>
  <c r="F13" i="19"/>
  <c r="F98" i="19"/>
  <c r="B97" i="19"/>
  <c r="C93" i="19"/>
  <c r="D89" i="19"/>
  <c r="D85" i="19"/>
  <c r="D81" i="19"/>
  <c r="D77" i="19"/>
  <c r="D73" i="19"/>
  <c r="D69" i="19"/>
  <c r="D65" i="19"/>
  <c r="D61" i="19"/>
  <c r="D57" i="19"/>
  <c r="D53" i="19"/>
  <c r="D49" i="19"/>
  <c r="F42" i="19"/>
  <c r="E33" i="19"/>
  <c r="F26" i="19"/>
  <c r="E17" i="19"/>
  <c r="F10" i="19"/>
  <c r="C98" i="19"/>
  <c r="F94" i="19"/>
  <c r="B93" i="19"/>
  <c r="C89" i="19"/>
  <c r="C85" i="19"/>
  <c r="C81" i="19"/>
  <c r="C77" i="19"/>
  <c r="C73" i="19"/>
  <c r="C69" i="19"/>
  <c r="C65" i="19"/>
  <c r="C61" i="19"/>
  <c r="C57" i="19"/>
  <c r="C53" i="19"/>
  <c r="C49" i="19"/>
  <c r="B41" i="19"/>
  <c r="C33" i="19"/>
  <c r="B25" i="19"/>
  <c r="C17" i="19"/>
  <c r="B9" i="19"/>
  <c r="D97" i="19"/>
  <c r="C94" i="19"/>
  <c r="F90" i="19"/>
  <c r="F86" i="19"/>
  <c r="F82" i="19"/>
  <c r="F78" i="19"/>
  <c r="F74" i="19"/>
  <c r="F70" i="19"/>
  <c r="F66" i="19"/>
  <c r="F62" i="19"/>
  <c r="F58" i="19"/>
  <c r="F54" i="19"/>
  <c r="F50" i="19"/>
  <c r="B46" i="19"/>
  <c r="E37" i="19"/>
  <c r="B30" i="19"/>
  <c r="E21" i="19"/>
  <c r="B14" i="19"/>
  <c r="F5" i="19"/>
  <c r="B42" i="19"/>
  <c r="F38" i="19"/>
  <c r="B26" i="19"/>
  <c r="F22" i="19"/>
  <c r="B10" i="19"/>
  <c r="E4" i="19"/>
  <c r="B98" i="19"/>
  <c r="R98" i="19" s="1"/>
  <c r="B94" i="19"/>
  <c r="B90" i="19"/>
  <c r="B89" i="19"/>
  <c r="R89" i="19" s="1"/>
  <c r="B86" i="19"/>
  <c r="B85" i="19"/>
  <c r="B82" i="19"/>
  <c r="B81" i="19"/>
  <c r="B78" i="19"/>
  <c r="B77" i="19"/>
  <c r="B74" i="19"/>
  <c r="B73" i="19"/>
  <c r="R73" i="19" s="1"/>
  <c r="B70" i="19"/>
  <c r="B69" i="19"/>
  <c r="B66" i="19"/>
  <c r="B65" i="19"/>
  <c r="B62" i="19"/>
  <c r="B61" i="19"/>
  <c r="B58" i="19"/>
  <c r="B57" i="19"/>
  <c r="R57" i="19" s="1"/>
  <c r="B54" i="19"/>
  <c r="B53" i="19"/>
  <c r="B50" i="19"/>
  <c r="R50" i="19" s="1"/>
  <c r="B49" i="19"/>
  <c r="C45" i="19"/>
  <c r="F41" i="19"/>
  <c r="E38" i="19"/>
  <c r="E34" i="19"/>
  <c r="B33" i="19"/>
  <c r="C29" i="19"/>
  <c r="F25" i="19"/>
  <c r="E22" i="19"/>
  <c r="E18" i="19"/>
  <c r="B17" i="19"/>
  <c r="C13" i="19"/>
  <c r="F9" i="19"/>
  <c r="E5" i="19"/>
  <c r="F97" i="19"/>
  <c r="F93" i="19"/>
  <c r="F89" i="19"/>
  <c r="F85" i="19"/>
  <c r="F81" i="19"/>
  <c r="F77" i="19"/>
  <c r="F73" i="19"/>
  <c r="F69" i="19"/>
  <c r="F65" i="19"/>
  <c r="F61" i="19"/>
  <c r="F57" i="19"/>
  <c r="F53" i="19"/>
  <c r="F49" i="19"/>
  <c r="D46" i="19"/>
  <c r="B45" i="19"/>
  <c r="E41" i="19"/>
  <c r="F37" i="19"/>
  <c r="D34" i="19"/>
  <c r="D30" i="19"/>
  <c r="B29" i="19"/>
  <c r="E25" i="19"/>
  <c r="F21" i="19"/>
  <c r="D18" i="19"/>
  <c r="D14" i="19"/>
  <c r="B13" i="19"/>
  <c r="E9" i="19"/>
  <c r="C5" i="19"/>
  <c r="F99" i="19"/>
  <c r="E95" i="19"/>
  <c r="E91" i="19"/>
  <c r="E87" i="19"/>
  <c r="E83" i="19"/>
  <c r="E79" i="19"/>
  <c r="E75" i="19"/>
  <c r="E67" i="19"/>
  <c r="E59" i="19"/>
  <c r="B88" i="19"/>
  <c r="F88" i="19"/>
  <c r="C88" i="19"/>
  <c r="B84" i="19"/>
  <c r="F84" i="19"/>
  <c r="C84" i="19"/>
  <c r="B80" i="19"/>
  <c r="F80" i="19"/>
  <c r="C80" i="19"/>
  <c r="B76" i="19"/>
  <c r="F76" i="19"/>
  <c r="C76" i="19"/>
  <c r="B72" i="19"/>
  <c r="F72" i="19"/>
  <c r="C72" i="19"/>
  <c r="B68" i="19"/>
  <c r="F68" i="19"/>
  <c r="C68" i="19"/>
  <c r="B64" i="19"/>
  <c r="F64" i="19"/>
  <c r="C64" i="19"/>
  <c r="B60" i="19"/>
  <c r="F60" i="19"/>
  <c r="C60" i="19"/>
  <c r="B56" i="19"/>
  <c r="F56" i="19"/>
  <c r="C56" i="19"/>
  <c r="B52" i="19"/>
  <c r="F52" i="19"/>
  <c r="C52" i="19"/>
  <c r="E48" i="19"/>
  <c r="F48" i="19"/>
  <c r="B48" i="19"/>
  <c r="C48" i="19"/>
  <c r="E44" i="19"/>
  <c r="D44" i="19"/>
  <c r="F44" i="19"/>
  <c r="B44" i="19"/>
  <c r="E40" i="19"/>
  <c r="C40" i="19"/>
  <c r="F40" i="19"/>
  <c r="D40" i="19"/>
  <c r="E36" i="19"/>
  <c r="B36" i="19"/>
  <c r="C36" i="19"/>
  <c r="D36" i="19"/>
  <c r="E32" i="19"/>
  <c r="F32" i="19"/>
  <c r="B32" i="19"/>
  <c r="C32" i="19"/>
  <c r="E28" i="19"/>
  <c r="C109" i="5" s="1"/>
  <c r="D28" i="19"/>
  <c r="F28" i="19"/>
  <c r="B28" i="19"/>
  <c r="E24" i="19"/>
  <c r="C24" i="19"/>
  <c r="D24" i="19"/>
  <c r="F24" i="19"/>
  <c r="B24" i="19"/>
  <c r="E20" i="19"/>
  <c r="B20" i="19"/>
  <c r="D20" i="19"/>
  <c r="C20" i="19"/>
  <c r="F20" i="19"/>
  <c r="E16" i="19"/>
  <c r="F16" i="19"/>
  <c r="B16" i="19"/>
  <c r="C16" i="19"/>
  <c r="D16" i="19"/>
  <c r="E12" i="19"/>
  <c r="D12" i="19"/>
  <c r="F12" i="19"/>
  <c r="B12" i="19"/>
  <c r="C12" i="19"/>
  <c r="E8" i="19"/>
  <c r="C8" i="19"/>
  <c r="D8" i="19"/>
  <c r="F8" i="19"/>
  <c r="B8" i="19"/>
  <c r="F4" i="19"/>
  <c r="B4" i="19"/>
  <c r="C4" i="19"/>
  <c r="B96" i="19"/>
  <c r="F96" i="19"/>
  <c r="C96" i="19"/>
  <c r="B92" i="19"/>
  <c r="F92" i="19"/>
  <c r="C92" i="19"/>
  <c r="S92" i="19" s="1"/>
  <c r="E96" i="19"/>
  <c r="E92" i="19"/>
  <c r="E88" i="19"/>
  <c r="B87" i="19"/>
  <c r="E84" i="19"/>
  <c r="E80" i="19"/>
  <c r="B79" i="19"/>
  <c r="E76" i="19"/>
  <c r="E72" i="19"/>
  <c r="B71" i="19"/>
  <c r="E68" i="19"/>
  <c r="E64" i="19"/>
  <c r="B63" i="19"/>
  <c r="E60" i="19"/>
  <c r="E56" i="19"/>
  <c r="B55" i="19"/>
  <c r="E52" i="19"/>
  <c r="B51" i="19"/>
  <c r="D48" i="19"/>
  <c r="F36" i="19"/>
  <c r="B109" i="5"/>
  <c r="B110" i="5" s="1"/>
  <c r="C67" i="19"/>
  <c r="D67" i="19"/>
  <c r="C83" i="19"/>
  <c r="D83" i="19"/>
  <c r="C75" i="19"/>
  <c r="D75" i="19"/>
  <c r="C59" i="19"/>
  <c r="D59" i="19"/>
  <c r="B47" i="19"/>
  <c r="F47" i="19"/>
  <c r="E47" i="19"/>
  <c r="C47" i="19"/>
  <c r="B35" i="19"/>
  <c r="F35" i="19"/>
  <c r="C35" i="19"/>
  <c r="D35" i="19"/>
  <c r="B27" i="19"/>
  <c r="F27" i="19"/>
  <c r="D27" i="19"/>
  <c r="E27" i="19"/>
  <c r="B19" i="19"/>
  <c r="F19" i="19"/>
  <c r="C19" i="19"/>
  <c r="D19" i="19"/>
  <c r="E19" i="19"/>
  <c r="B11" i="19"/>
  <c r="F11" i="19"/>
  <c r="D11" i="19"/>
  <c r="E11" i="19"/>
  <c r="C11" i="19"/>
  <c r="C91" i="19"/>
  <c r="D91" i="19"/>
  <c r="F91" i="19"/>
  <c r="F83" i="19"/>
  <c r="F75" i="19"/>
  <c r="F67" i="19"/>
  <c r="F59" i="19"/>
  <c r="B40" i="19"/>
  <c r="C28" i="19"/>
  <c r="C87" i="19"/>
  <c r="D87" i="19"/>
  <c r="C79" i="19"/>
  <c r="D79" i="19"/>
  <c r="C71" i="19"/>
  <c r="D71" i="19"/>
  <c r="C63" i="19"/>
  <c r="D63" i="19"/>
  <c r="C55" i="19"/>
  <c r="D55" i="19"/>
  <c r="C51" i="19"/>
  <c r="D51" i="19"/>
  <c r="B43" i="19"/>
  <c r="F43" i="19"/>
  <c r="D43" i="19"/>
  <c r="E43" i="19"/>
  <c r="B39" i="19"/>
  <c r="F39" i="19"/>
  <c r="C39" i="19"/>
  <c r="E39" i="19"/>
  <c r="D39" i="19"/>
  <c r="B31" i="19"/>
  <c r="F31" i="19"/>
  <c r="E31" i="19"/>
  <c r="C31" i="19"/>
  <c r="B23" i="19"/>
  <c r="F23" i="19"/>
  <c r="C23" i="19"/>
  <c r="D23" i="19"/>
  <c r="E23" i="19"/>
  <c r="B15" i="19"/>
  <c r="F15" i="19"/>
  <c r="E15" i="19"/>
  <c r="C15" i="19"/>
  <c r="D15" i="19"/>
  <c r="B7" i="19"/>
  <c r="F7" i="19"/>
  <c r="C7" i="19"/>
  <c r="D7" i="19"/>
  <c r="E7" i="19"/>
  <c r="C99" i="19"/>
  <c r="D99" i="19"/>
  <c r="C95" i="19"/>
  <c r="D95" i="19"/>
  <c r="B100" i="19"/>
  <c r="F100" i="19"/>
  <c r="C100" i="19"/>
  <c r="D100" i="19"/>
  <c r="F95" i="19"/>
  <c r="E99" i="19"/>
  <c r="E71" i="19"/>
  <c r="E63" i="19"/>
  <c r="E55" i="19"/>
  <c r="E51" i="19"/>
  <c r="C44" i="19"/>
  <c r="D32" i="19"/>
  <c r="C27" i="19"/>
  <c r="F6" i="19"/>
  <c r="E6" i="19"/>
  <c r="E94" i="19"/>
  <c r="E90" i="19"/>
  <c r="E86" i="19"/>
  <c r="E82" i="19"/>
  <c r="E78" i="19"/>
  <c r="E74" i="19"/>
  <c r="E54" i="19"/>
  <c r="E50" i="19"/>
  <c r="E42" i="19"/>
  <c r="D38" i="19"/>
  <c r="B34" i="19"/>
  <c r="F30" i="19"/>
  <c r="E26" i="19"/>
  <c r="D22" i="19"/>
  <c r="B18" i="19"/>
  <c r="F14" i="19"/>
  <c r="E10" i="19"/>
  <c r="D6" i="19"/>
  <c r="E98" i="19"/>
  <c r="E70" i="19"/>
  <c r="E66" i="19"/>
  <c r="E62" i="19"/>
  <c r="E58" i="19"/>
  <c r="F46" i="19"/>
  <c r="E46" i="19"/>
  <c r="E45" i="19"/>
  <c r="D42" i="19"/>
  <c r="C41" i="19"/>
  <c r="B38" i="19"/>
  <c r="B37" i="19"/>
  <c r="F34" i="19"/>
  <c r="F33" i="19"/>
  <c r="E30" i="19"/>
  <c r="E29" i="19"/>
  <c r="D26" i="19"/>
  <c r="C25" i="19"/>
  <c r="B22" i="19"/>
  <c r="B21" i="19"/>
  <c r="F18" i="19"/>
  <c r="F17" i="19"/>
  <c r="E14" i="19"/>
  <c r="E13" i="19"/>
  <c r="D10" i="19"/>
  <c r="C9" i="19"/>
  <c r="B6" i="19"/>
  <c r="B5" i="19"/>
  <c r="E67" i="2"/>
  <c r="E59" i="25" s="1"/>
  <c r="E62" i="25" s="1"/>
  <c r="F111" i="2"/>
  <c r="C61" i="2"/>
  <c r="E33" i="2"/>
  <c r="E95" i="25" s="1"/>
  <c r="F107" i="2"/>
  <c r="F83" i="2"/>
  <c r="G53" i="2"/>
  <c r="D27" i="2"/>
  <c r="F115" i="2"/>
  <c r="E107" i="2"/>
  <c r="F79" i="2"/>
  <c r="C84" i="25"/>
  <c r="D112" i="2"/>
  <c r="F99" i="2"/>
  <c r="B73" i="26"/>
  <c r="D36" i="5"/>
  <c r="C35" i="5"/>
  <c r="E33" i="5"/>
  <c r="E28" i="26"/>
  <c r="B41" i="26"/>
  <c r="B54" i="26"/>
  <c r="F16" i="26"/>
  <c r="E36" i="5"/>
  <c r="D35" i="5"/>
  <c r="B33" i="5"/>
  <c r="D28" i="26"/>
  <c r="E41" i="26"/>
  <c r="E29" i="26"/>
  <c r="B2" i="3"/>
  <c r="B36" i="5"/>
  <c r="E35" i="5"/>
  <c r="C33" i="5"/>
  <c r="F55" i="26"/>
  <c r="C28" i="26"/>
  <c r="D50" i="26"/>
  <c r="C36" i="5"/>
  <c r="B35" i="5"/>
  <c r="F35" i="5"/>
  <c r="D33" i="5"/>
  <c r="B53" i="26"/>
  <c r="F114" i="2"/>
  <c r="F110" i="2"/>
  <c r="G90" i="2"/>
  <c r="G86" i="2"/>
  <c r="G74" i="2"/>
  <c r="G71" i="2"/>
  <c r="C60" i="2"/>
  <c r="C45" i="25" s="1"/>
  <c r="F52" i="2"/>
  <c r="E32" i="2"/>
  <c r="E93" i="25" s="1"/>
  <c r="F16" i="2"/>
  <c r="F10" i="2"/>
  <c r="F63" i="25" s="1"/>
  <c r="C110" i="2"/>
  <c r="G98" i="2"/>
  <c r="G94" i="2"/>
  <c r="G48" i="25" s="1"/>
  <c r="C90" i="2"/>
  <c r="G82" i="2"/>
  <c r="G78" i="2"/>
  <c r="C74" i="2"/>
  <c r="F69" i="2"/>
  <c r="D64" i="2"/>
  <c r="C59" i="2"/>
  <c r="F51" i="2"/>
  <c r="F115" i="25" s="1"/>
  <c r="E31" i="2"/>
  <c r="C24" i="2"/>
  <c r="C109" i="25" s="1"/>
  <c r="G14" i="2"/>
  <c r="E115" i="2"/>
  <c r="E111" i="2"/>
  <c r="S109" i="2"/>
  <c r="G106" i="2"/>
  <c r="F103" i="2"/>
  <c r="C98" i="2"/>
  <c r="C94" i="2"/>
  <c r="C48" i="25" s="1"/>
  <c r="C82" i="2"/>
  <c r="C78" i="2"/>
  <c r="G72" i="2"/>
  <c r="G73" i="2"/>
  <c r="F68" i="2"/>
  <c r="F60" i="25" s="1"/>
  <c r="F62" i="25" s="1"/>
  <c r="D63" i="2"/>
  <c r="G55" i="2"/>
  <c r="E49" i="2"/>
  <c r="F35" i="2"/>
  <c r="F97" i="25" s="1"/>
  <c r="D28" i="2"/>
  <c r="G114" i="2"/>
  <c r="G110" i="2"/>
  <c r="F106" i="2"/>
  <c r="E103" i="2"/>
  <c r="F87" i="2"/>
  <c r="F75" i="2"/>
  <c r="C70" i="2"/>
  <c r="G70" i="2"/>
  <c r="C62" i="2"/>
  <c r="G62" i="2"/>
  <c r="E18" i="2"/>
  <c r="G18" i="2"/>
  <c r="E66" i="2"/>
  <c r="C83" i="25"/>
  <c r="F34" i="2"/>
  <c r="F96" i="25" s="1"/>
  <c r="G22" i="2"/>
  <c r="F18" i="2"/>
  <c r="C99" i="25"/>
  <c r="G99" i="25"/>
  <c r="F21" i="2"/>
  <c r="C21" i="2"/>
  <c r="F17" i="2"/>
  <c r="C17" i="2"/>
  <c r="G17" i="2"/>
  <c r="E17" i="2"/>
  <c r="E9" i="2"/>
  <c r="E92" i="25" s="1"/>
  <c r="F9" i="2"/>
  <c r="F92" i="25" s="1"/>
  <c r="D9" i="2"/>
  <c r="D92" i="25" s="1"/>
  <c r="D5" i="2"/>
  <c r="D43" i="25" s="1"/>
  <c r="D50" i="25" s="1"/>
  <c r="F73" i="2"/>
  <c r="F72" i="2"/>
  <c r="E71" i="2"/>
  <c r="E70" i="2"/>
  <c r="E69" i="2"/>
  <c r="D68" i="2"/>
  <c r="D60" i="25" s="1"/>
  <c r="D67" i="2"/>
  <c r="D59" i="25" s="1"/>
  <c r="C64" i="2"/>
  <c r="C63" i="2"/>
  <c r="G61" i="2"/>
  <c r="G60" i="2"/>
  <c r="G45" i="25" s="1"/>
  <c r="G59" i="2"/>
  <c r="F58" i="2"/>
  <c r="F55" i="2"/>
  <c r="F54" i="2"/>
  <c r="E53" i="2"/>
  <c r="E51" i="2"/>
  <c r="E115" i="25" s="1"/>
  <c r="D50" i="2"/>
  <c r="D49" i="2"/>
  <c r="G84" i="25"/>
  <c r="G83" i="25"/>
  <c r="F99" i="25"/>
  <c r="E35" i="2"/>
  <c r="E97" i="25" s="1"/>
  <c r="D34" i="2"/>
  <c r="D96" i="25" s="1"/>
  <c r="D33" i="2"/>
  <c r="D95" i="25" s="1"/>
  <c r="C31" i="2"/>
  <c r="C30" i="2"/>
  <c r="C28" i="2"/>
  <c r="G26" i="2"/>
  <c r="G25" i="2"/>
  <c r="G24" i="2"/>
  <c r="G109" i="25" s="1"/>
  <c r="F23" i="2"/>
  <c r="F22" i="2"/>
  <c r="D21" i="2"/>
  <c r="F19" i="2"/>
  <c r="D18" i="2"/>
  <c r="G11" i="2"/>
  <c r="G9" i="2"/>
  <c r="G92" i="25" s="1"/>
  <c r="F70" i="2"/>
  <c r="D62" i="2"/>
  <c r="D30" i="2"/>
  <c r="C26" i="2"/>
  <c r="C52" i="2"/>
  <c r="G52" i="2"/>
  <c r="C85" i="25"/>
  <c r="G85" i="25"/>
  <c r="C32" i="2"/>
  <c r="C93" i="25" s="1"/>
  <c r="G32" i="2"/>
  <c r="G93" i="25" s="1"/>
  <c r="C20" i="2"/>
  <c r="G20" i="2"/>
  <c r="C16" i="2"/>
  <c r="G16" i="2"/>
  <c r="D16" i="2"/>
  <c r="C12" i="2"/>
  <c r="C65" i="25" s="1"/>
  <c r="C67" i="25" s="1"/>
  <c r="G12" i="2"/>
  <c r="G65" i="25" s="1"/>
  <c r="D12" i="2"/>
  <c r="D65" i="25" s="1"/>
  <c r="F12" i="2"/>
  <c r="F65" i="25" s="1"/>
  <c r="F8" i="2"/>
  <c r="F44" i="25" s="1"/>
  <c r="C8" i="2"/>
  <c r="C44" i="25" s="1"/>
  <c r="G8" i="2"/>
  <c r="G44" i="25" s="1"/>
  <c r="E73" i="2"/>
  <c r="D72" i="2"/>
  <c r="D71" i="2"/>
  <c r="D70" i="2"/>
  <c r="C69" i="2"/>
  <c r="C68" i="2"/>
  <c r="C60" i="25" s="1"/>
  <c r="C67" i="2"/>
  <c r="C59" i="25" s="1"/>
  <c r="G64" i="2"/>
  <c r="G63" i="2"/>
  <c r="F62" i="2"/>
  <c r="F61" i="2"/>
  <c r="F60" i="2"/>
  <c r="F45" i="25" s="1"/>
  <c r="E59" i="2"/>
  <c r="E55" i="2"/>
  <c r="D54" i="2"/>
  <c r="D53" i="2"/>
  <c r="D52" i="2"/>
  <c r="C51" i="2"/>
  <c r="C115" i="25" s="1"/>
  <c r="C50" i="2"/>
  <c r="C49" i="2"/>
  <c r="F85" i="25"/>
  <c r="F84" i="25"/>
  <c r="F83" i="25"/>
  <c r="C35" i="2"/>
  <c r="C97" i="25" s="1"/>
  <c r="C34" i="2"/>
  <c r="C96" i="25" s="1"/>
  <c r="C33" i="2"/>
  <c r="C95" i="25" s="1"/>
  <c r="G31" i="2"/>
  <c r="G30" i="2"/>
  <c r="G28" i="2"/>
  <c r="F26" i="2"/>
  <c r="F25" i="2"/>
  <c r="E24" i="2"/>
  <c r="E109" i="25" s="1"/>
  <c r="F20" i="2"/>
  <c r="C18" i="2"/>
  <c r="C9" i="2"/>
  <c r="C92" i="25" s="1"/>
  <c r="F5" i="2"/>
  <c r="F43" i="25" s="1"/>
  <c r="C66" i="2"/>
  <c r="G66" i="2"/>
  <c r="C58" i="2"/>
  <c r="G58" i="2"/>
  <c r="E22" i="2"/>
  <c r="C22" i="2"/>
  <c r="G54" i="2"/>
  <c r="F50" i="2"/>
  <c r="A100" i="2"/>
  <c r="F100" i="2"/>
  <c r="C100" i="2"/>
  <c r="G100" i="2"/>
  <c r="D100" i="2"/>
  <c r="A96" i="2"/>
  <c r="C27" i="2"/>
  <c r="G27" i="2"/>
  <c r="C23" i="2"/>
  <c r="G23" i="2"/>
  <c r="D19" i="2"/>
  <c r="G19" i="2"/>
  <c r="D15" i="2"/>
  <c r="E15" i="2"/>
  <c r="G15" i="2"/>
  <c r="D11" i="2"/>
  <c r="E11" i="2"/>
  <c r="C7" i="2"/>
  <c r="G7" i="2"/>
  <c r="D7" i="2"/>
  <c r="F7" i="2"/>
  <c r="G5" i="2"/>
  <c r="G43" i="25" s="1"/>
  <c r="C73" i="2"/>
  <c r="C72" i="2"/>
  <c r="C71" i="2"/>
  <c r="G69" i="2"/>
  <c r="G68" i="2"/>
  <c r="G60" i="25" s="1"/>
  <c r="G67" i="2"/>
  <c r="G59" i="25" s="1"/>
  <c r="F66" i="2"/>
  <c r="F64" i="2"/>
  <c r="E63" i="2"/>
  <c r="E62" i="2"/>
  <c r="E61" i="2"/>
  <c r="D60" i="2"/>
  <c r="D45" i="25" s="1"/>
  <c r="D59" i="2"/>
  <c r="D58" i="2"/>
  <c r="C55" i="2"/>
  <c r="C54" i="2"/>
  <c r="C53" i="2"/>
  <c r="G51" i="2"/>
  <c r="G115" i="25" s="1"/>
  <c r="G50" i="2"/>
  <c r="G49" i="2"/>
  <c r="E85" i="25"/>
  <c r="E84" i="25"/>
  <c r="D83" i="25"/>
  <c r="G35" i="2"/>
  <c r="G97" i="25" s="1"/>
  <c r="G34" i="2"/>
  <c r="G96" i="25" s="1"/>
  <c r="G33" i="2"/>
  <c r="G95" i="25" s="1"/>
  <c r="F32" i="2"/>
  <c r="F93" i="25" s="1"/>
  <c r="F31" i="2"/>
  <c r="F30" i="2"/>
  <c r="E28" i="2"/>
  <c r="E27" i="2"/>
  <c r="E26" i="2"/>
  <c r="D24" i="2"/>
  <c r="D109" i="25" s="1"/>
  <c r="D23" i="2"/>
  <c r="G21" i="2"/>
  <c r="E20" i="2"/>
  <c r="C19" i="2"/>
  <c r="D17" i="2"/>
  <c r="C15" i="2"/>
  <c r="E8" i="2"/>
  <c r="E44" i="25" s="1"/>
  <c r="E50" i="25" s="1"/>
  <c r="E14" i="2"/>
  <c r="F14" i="2"/>
  <c r="D10" i="2"/>
  <c r="D63" i="25" s="1"/>
  <c r="E10" i="2"/>
  <c r="E63" i="25" s="1"/>
  <c r="D6" i="2"/>
  <c r="E6" i="2"/>
  <c r="D14" i="2"/>
  <c r="G10" i="2"/>
  <c r="G63" i="25" s="1"/>
  <c r="C6" i="2"/>
  <c r="A97" i="2"/>
  <c r="E97" i="2"/>
  <c r="T97" i="2" s="1"/>
  <c r="F97" i="2"/>
  <c r="C97" i="2"/>
  <c r="G97" i="2"/>
  <c r="A93" i="2"/>
  <c r="E93" i="2"/>
  <c r="E47" i="25" s="1"/>
  <c r="F93" i="2"/>
  <c r="F47" i="25" s="1"/>
  <c r="C93" i="2"/>
  <c r="C47" i="25" s="1"/>
  <c r="G93" i="2"/>
  <c r="G47" i="25" s="1"/>
  <c r="A89" i="2"/>
  <c r="E89" i="2"/>
  <c r="E46" i="25" s="1"/>
  <c r="F89" i="2"/>
  <c r="F46" i="25" s="1"/>
  <c r="C89" i="2"/>
  <c r="C46" i="25" s="1"/>
  <c r="G89" i="2"/>
  <c r="G46" i="25" s="1"/>
  <c r="A85" i="2"/>
  <c r="E85" i="2"/>
  <c r="F85" i="2"/>
  <c r="G85" i="2"/>
  <c r="A81" i="2"/>
  <c r="E81" i="2"/>
  <c r="F81" i="2"/>
  <c r="C81" i="2"/>
  <c r="G81" i="2"/>
  <c r="A77" i="2"/>
  <c r="E77" i="2"/>
  <c r="F77" i="2"/>
  <c r="C77" i="2"/>
  <c r="G77" i="2"/>
  <c r="A117" i="2"/>
  <c r="A113" i="2"/>
  <c r="E113" i="2"/>
  <c r="F113" i="2"/>
  <c r="A109" i="2"/>
  <c r="A105" i="2"/>
  <c r="E105" i="2"/>
  <c r="F105" i="2"/>
  <c r="C105" i="2"/>
  <c r="G105" i="2"/>
  <c r="A101" i="2"/>
  <c r="D113" i="2"/>
  <c r="D93" i="2"/>
  <c r="D47" i="25" s="1"/>
  <c r="D77" i="2"/>
  <c r="A92" i="2"/>
  <c r="F92" i="2"/>
  <c r="C92" i="2"/>
  <c r="G92" i="2"/>
  <c r="D92" i="2"/>
  <c r="A88" i="2"/>
  <c r="F88" i="2"/>
  <c r="G88" i="2"/>
  <c r="D88" i="2"/>
  <c r="A84" i="2"/>
  <c r="F84" i="2"/>
  <c r="C84" i="2"/>
  <c r="G84" i="2"/>
  <c r="D84" i="2"/>
  <c r="T84" i="2" s="1"/>
  <c r="A80" i="2"/>
  <c r="F80" i="2"/>
  <c r="C80" i="2"/>
  <c r="G80" i="2"/>
  <c r="D80" i="2"/>
  <c r="T80" i="2" s="1"/>
  <c r="A76" i="2"/>
  <c r="F76" i="2"/>
  <c r="C76" i="2"/>
  <c r="G76" i="2"/>
  <c r="D76" i="2"/>
  <c r="A116" i="2"/>
  <c r="A112" i="2"/>
  <c r="F112" i="2"/>
  <c r="C112" i="2"/>
  <c r="G112" i="2"/>
  <c r="A108" i="2"/>
  <c r="F108" i="2"/>
  <c r="C108" i="2"/>
  <c r="G108" i="2"/>
  <c r="A104" i="2"/>
  <c r="F104" i="2"/>
  <c r="C104" i="2"/>
  <c r="G104" i="2"/>
  <c r="D104" i="2"/>
  <c r="C113" i="2"/>
  <c r="D108" i="2"/>
  <c r="E92" i="2"/>
  <c r="D89" i="2"/>
  <c r="D46" i="25" s="1"/>
  <c r="E76" i="2"/>
  <c r="E99" i="2"/>
  <c r="F98" i="2"/>
  <c r="F94" i="2"/>
  <c r="F48" i="25" s="1"/>
  <c r="F90" i="2"/>
  <c r="E87" i="2"/>
  <c r="F86" i="2"/>
  <c r="E83" i="2"/>
  <c r="F82" i="2"/>
  <c r="E79" i="2"/>
  <c r="F78" i="2"/>
  <c r="E75" i="2"/>
  <c r="F74" i="2"/>
  <c r="D115" i="2"/>
  <c r="E114" i="2"/>
  <c r="D111" i="2"/>
  <c r="E110" i="2"/>
  <c r="D107" i="2"/>
  <c r="E106" i="2"/>
  <c r="D103" i="2"/>
  <c r="D99" i="2"/>
  <c r="E98" i="2"/>
  <c r="E94" i="2"/>
  <c r="E48" i="25" s="1"/>
  <c r="E90" i="2"/>
  <c r="D87" i="2"/>
  <c r="E86" i="2"/>
  <c r="D83" i="2"/>
  <c r="E82" i="2"/>
  <c r="D79" i="2"/>
  <c r="E78" i="2"/>
  <c r="D75" i="2"/>
  <c r="E74" i="2"/>
  <c r="G115" i="2"/>
  <c r="C115" i="2"/>
  <c r="D114" i="2"/>
  <c r="G111" i="2"/>
  <c r="C111" i="2"/>
  <c r="D110" i="2"/>
  <c r="G107" i="2"/>
  <c r="C107" i="2"/>
  <c r="D106" i="2"/>
  <c r="G103" i="2"/>
  <c r="C103" i="2"/>
  <c r="G99" i="2"/>
  <c r="C99" i="2"/>
  <c r="D98" i="2"/>
  <c r="D94" i="2"/>
  <c r="D48" i="25" s="1"/>
  <c r="D90" i="2"/>
  <c r="G87" i="2"/>
  <c r="D86" i="2"/>
  <c r="G83" i="2"/>
  <c r="C83" i="2"/>
  <c r="D82" i="2"/>
  <c r="G79" i="2"/>
  <c r="C79" i="2"/>
  <c r="D78" i="2"/>
  <c r="G75" i="2"/>
  <c r="C75" i="2"/>
  <c r="D74" i="2"/>
  <c r="S96" i="19" l="1"/>
  <c r="S60" i="19"/>
  <c r="S76" i="19"/>
  <c r="S56" i="19"/>
  <c r="S72" i="19"/>
  <c r="S88" i="19"/>
  <c r="S52" i="19"/>
  <c r="S68" i="19"/>
  <c r="S84" i="19"/>
  <c r="H102" i="2"/>
  <c r="H117" i="2" s="1"/>
  <c r="R43" i="19"/>
  <c r="S47" i="19"/>
  <c r="S64" i="19"/>
  <c r="S80" i="19"/>
  <c r="K102" i="2"/>
  <c r="K37" i="25" s="1"/>
  <c r="M53" i="26"/>
  <c r="M56" i="26" s="1"/>
  <c r="M41" i="26"/>
  <c r="I54" i="26"/>
  <c r="I56" i="26" s="1"/>
  <c r="I28" i="26"/>
  <c r="M27" i="26"/>
  <c r="M16" i="26"/>
  <c r="B7" i="5"/>
  <c r="R91" i="19"/>
  <c r="R46" i="19"/>
  <c r="S94" i="19"/>
  <c r="S98" i="19"/>
  <c r="S82" i="19"/>
  <c r="S70" i="19"/>
  <c r="S74" i="19"/>
  <c r="D9" i="5"/>
  <c r="E26" i="5"/>
  <c r="L41" i="26"/>
  <c r="B9" i="5"/>
  <c r="G54" i="26"/>
  <c r="G56" i="26" s="1"/>
  <c r="L52" i="26"/>
  <c r="D105" i="5"/>
  <c r="S78" i="19"/>
  <c r="S66" i="19"/>
  <c r="S54" i="19"/>
  <c r="S58" i="19"/>
  <c r="E19" i="5"/>
  <c r="L57" i="2"/>
  <c r="L116" i="25" s="1"/>
  <c r="L117" i="25" s="1"/>
  <c r="L118" i="25" s="1"/>
  <c r="S42" i="19"/>
  <c r="S43" i="19"/>
  <c r="S86" i="19"/>
  <c r="S90" i="19"/>
  <c r="S46" i="19"/>
  <c r="R42" i="19"/>
  <c r="S62" i="19"/>
  <c r="S50" i="19"/>
  <c r="G17" i="26"/>
  <c r="G18" i="26" s="1"/>
  <c r="G33" i="26" s="1"/>
  <c r="S45" i="19"/>
  <c r="E34" i="5"/>
  <c r="D37" i="5"/>
  <c r="D34" i="5"/>
  <c r="E39" i="5"/>
  <c r="N57" i="2"/>
  <c r="N110" i="25" s="1"/>
  <c r="N111" i="25" s="1"/>
  <c r="S97" i="19"/>
  <c r="O57" i="2"/>
  <c r="O20" i="25" s="1"/>
  <c r="O21" i="25" s="1"/>
  <c r="O22" i="25" s="1"/>
  <c r="J102" i="2"/>
  <c r="J37" i="25" s="1"/>
  <c r="L5" i="26"/>
  <c r="L8" i="26" s="1"/>
  <c r="L10" i="26" s="1"/>
  <c r="J68" i="25"/>
  <c r="J69" i="25" s="1"/>
  <c r="S53" i="19"/>
  <c r="B17" i="5"/>
  <c r="F22" i="5"/>
  <c r="H5" i="26"/>
  <c r="H8" i="26" s="1"/>
  <c r="H10" i="26" s="1"/>
  <c r="L42" i="26"/>
  <c r="D17" i="5"/>
  <c r="B23" i="5"/>
  <c r="H42" i="26"/>
  <c r="H57" i="2"/>
  <c r="H86" i="25" s="1"/>
  <c r="H87" i="25" s="1"/>
  <c r="M68" i="25"/>
  <c r="M69" i="25" s="1"/>
  <c r="M52" i="25"/>
  <c r="K52" i="25"/>
  <c r="I68" i="25"/>
  <c r="I69" i="25" s="1"/>
  <c r="E15" i="5"/>
  <c r="D46" i="5"/>
  <c r="C49" i="5"/>
  <c r="C10" i="5"/>
  <c r="D15" i="5"/>
  <c r="F25" i="5"/>
  <c r="D20" i="5"/>
  <c r="C31" i="5"/>
  <c r="D40" i="5"/>
  <c r="E49" i="5"/>
  <c r="K5" i="26"/>
  <c r="K8" i="26" s="1"/>
  <c r="K10" i="26" s="1"/>
  <c r="H41" i="26"/>
  <c r="E10" i="5"/>
  <c r="C20" i="5"/>
  <c r="B10" i="5"/>
  <c r="G5" i="26"/>
  <c r="L15" i="26"/>
  <c r="B31" i="5"/>
  <c r="B15" i="5"/>
  <c r="D25" i="5"/>
  <c r="C40" i="5"/>
  <c r="C9" i="5"/>
  <c r="B12" i="5"/>
  <c r="E23" i="5"/>
  <c r="F9" i="5"/>
  <c r="E20" i="5"/>
  <c r="E40" i="5"/>
  <c r="E44" i="5"/>
  <c r="E25" i="5"/>
  <c r="H15" i="26"/>
  <c r="H17" i="26" s="1"/>
  <c r="H18" i="26" s="1"/>
  <c r="N102" i="2"/>
  <c r="N37" i="25" s="1"/>
  <c r="H68" i="25"/>
  <c r="H69" i="25" s="1"/>
  <c r="N68" i="25"/>
  <c r="N69" i="25" s="1"/>
  <c r="I52" i="25"/>
  <c r="H52" i="25"/>
  <c r="O68" i="25"/>
  <c r="O69" i="25" s="1"/>
  <c r="L68" i="25"/>
  <c r="L69" i="25" s="1"/>
  <c r="J52" i="25"/>
  <c r="O52" i="25"/>
  <c r="H74" i="26"/>
  <c r="H76" i="26"/>
  <c r="M74" i="26"/>
  <c r="M76" i="26"/>
  <c r="G74" i="26"/>
  <c r="G76" i="26"/>
  <c r="K76" i="26"/>
  <c r="K74" i="26"/>
  <c r="J74" i="26"/>
  <c r="J76" i="26"/>
  <c r="K55" i="26"/>
  <c r="J42" i="26"/>
  <c r="J43" i="26" s="1"/>
  <c r="J44" i="26" s="1"/>
  <c r="J49" i="26"/>
  <c r="I76" i="26"/>
  <c r="I74" i="26"/>
  <c r="I5" i="26"/>
  <c r="I8" i="26" s="1"/>
  <c r="I10" i="26" s="1"/>
  <c r="L74" i="26"/>
  <c r="L76" i="26"/>
  <c r="G26" i="26"/>
  <c r="J56" i="26"/>
  <c r="B11" i="5"/>
  <c r="E43" i="5"/>
  <c r="D7" i="5"/>
  <c r="E28" i="5"/>
  <c r="F41" i="5"/>
  <c r="D12" i="5"/>
  <c r="I30" i="26"/>
  <c r="M49" i="26"/>
  <c r="M30" i="26"/>
  <c r="I15" i="26"/>
  <c r="I17" i="26" s="1"/>
  <c r="I18" i="26" s="1"/>
  <c r="H52" i="26"/>
  <c r="H56" i="26" s="1"/>
  <c r="J5" i="26"/>
  <c r="L28" i="26"/>
  <c r="L31" i="26" s="1"/>
  <c r="L32" i="26" s="1"/>
  <c r="J16" i="26"/>
  <c r="L55" i="26"/>
  <c r="J28" i="26"/>
  <c r="L49" i="26"/>
  <c r="G30" i="26"/>
  <c r="G31" i="26" s="1"/>
  <c r="K42" i="26"/>
  <c r="K43" i="26" s="1"/>
  <c r="K44" i="26" s="1"/>
  <c r="D29" i="5"/>
  <c r="B29" i="5"/>
  <c r="G59" i="26"/>
  <c r="I26" i="26"/>
  <c r="L16" i="26"/>
  <c r="K31" i="26"/>
  <c r="J15" i="26"/>
  <c r="K54" i="26"/>
  <c r="H30" i="26"/>
  <c r="H31" i="26" s="1"/>
  <c r="H32" i="26" s="1"/>
  <c r="H49" i="26"/>
  <c r="K15" i="26"/>
  <c r="K17" i="26" s="1"/>
  <c r="K18" i="26" s="1"/>
  <c r="G42" i="26"/>
  <c r="G43" i="26" s="1"/>
  <c r="G44" i="26" s="1"/>
  <c r="G49" i="26"/>
  <c r="M42" i="26"/>
  <c r="M15" i="26"/>
  <c r="M26" i="26"/>
  <c r="J26" i="26"/>
  <c r="I42" i="26"/>
  <c r="I43" i="26" s="1"/>
  <c r="I44" i="26" s="1"/>
  <c r="I49" i="26"/>
  <c r="J30" i="26"/>
  <c r="M5" i="26"/>
  <c r="K26" i="26"/>
  <c r="L102" i="2"/>
  <c r="L86" i="25"/>
  <c r="L87" i="25" s="1"/>
  <c r="I102" i="2"/>
  <c r="I37" i="25" s="1"/>
  <c r="M57" i="2"/>
  <c r="K68" i="25"/>
  <c r="K69" i="25" s="1"/>
  <c r="L52" i="25"/>
  <c r="M102" i="2"/>
  <c r="O117" i="2"/>
  <c r="N52" i="25"/>
  <c r="I57" i="2"/>
  <c r="J57" i="2"/>
  <c r="K86" i="25"/>
  <c r="K87" i="25" s="1"/>
  <c r="K76" i="25"/>
  <c r="K77" i="25" s="1"/>
  <c r="K78" i="25" s="1"/>
  <c r="K116" i="25"/>
  <c r="K117" i="25" s="1"/>
  <c r="K118" i="25" s="1"/>
  <c r="K110" i="25"/>
  <c r="K111" i="25" s="1"/>
  <c r="K36" i="25"/>
  <c r="K20" i="25"/>
  <c r="S57" i="19"/>
  <c r="S73" i="19"/>
  <c r="S89" i="19"/>
  <c r="S93" i="19"/>
  <c r="C19" i="5"/>
  <c r="B34" i="5"/>
  <c r="C28" i="5"/>
  <c r="B43" i="5"/>
  <c r="E7" i="5"/>
  <c r="C17" i="5"/>
  <c r="B44" i="5"/>
  <c r="D19" i="5"/>
  <c r="C34" i="5"/>
  <c r="B37" i="5"/>
  <c r="B41" i="5"/>
  <c r="E17" i="5"/>
  <c r="C12" i="5"/>
  <c r="C44" i="5"/>
  <c r="D18" i="5"/>
  <c r="C37" i="5"/>
  <c r="C41" i="5"/>
  <c r="E12" i="5"/>
  <c r="D23" i="5"/>
  <c r="D43" i="5"/>
  <c r="R55" i="2"/>
  <c r="C23" i="5"/>
  <c r="B26" i="5"/>
  <c r="D31" i="5"/>
  <c r="F49" i="5"/>
  <c r="C15" i="5"/>
  <c r="E41" i="5"/>
  <c r="B49" i="5"/>
  <c r="E29" i="5"/>
  <c r="C43" i="5"/>
  <c r="R54" i="19"/>
  <c r="C105" i="5"/>
  <c r="C56" i="2"/>
  <c r="F50" i="25"/>
  <c r="C62" i="25"/>
  <c r="C68" i="25" s="1"/>
  <c r="C69" i="25" s="1"/>
  <c r="G116" i="2"/>
  <c r="S65" i="19"/>
  <c r="R86" i="19"/>
  <c r="C116" i="2"/>
  <c r="D116" i="2"/>
  <c r="C31" i="8" s="1"/>
  <c r="F116" i="2"/>
  <c r="E116" i="2"/>
  <c r="D31" i="8" s="1"/>
  <c r="G50" i="25"/>
  <c r="D62" i="25"/>
  <c r="G62" i="25"/>
  <c r="D42" i="26"/>
  <c r="D49" i="26"/>
  <c r="D26" i="26"/>
  <c r="E51" i="25"/>
  <c r="C100" i="25"/>
  <c r="C102" i="25" s="1"/>
  <c r="C103" i="25" s="1"/>
  <c r="B105" i="5"/>
  <c r="R53" i="19"/>
  <c r="R69" i="19"/>
  <c r="R85" i="19"/>
  <c r="R70" i="19"/>
  <c r="F105" i="5"/>
  <c r="E105" i="5"/>
  <c r="D15" i="26"/>
  <c r="D53" i="26"/>
  <c r="C15" i="26"/>
  <c r="W112" i="2"/>
  <c r="E99" i="25"/>
  <c r="E100" i="25" s="1"/>
  <c r="E102" i="25" s="1"/>
  <c r="E103" i="25" s="1"/>
  <c r="F100" i="25"/>
  <c r="F102" i="25" s="1"/>
  <c r="F103" i="25" s="1"/>
  <c r="D51" i="25"/>
  <c r="D52" i="25" s="1"/>
  <c r="D54" i="25" s="1"/>
  <c r="V97" i="2"/>
  <c r="D99" i="25"/>
  <c r="D100" i="25" s="1"/>
  <c r="D102" i="25" s="1"/>
  <c r="D103" i="25" s="1"/>
  <c r="E75" i="25"/>
  <c r="E64" i="25"/>
  <c r="E67" i="25" s="1"/>
  <c r="E68" i="25" s="1"/>
  <c r="E69" i="25" s="1"/>
  <c r="F51" i="25"/>
  <c r="G100" i="25"/>
  <c r="G102" i="25" s="1"/>
  <c r="G103" i="25" s="1"/>
  <c r="D75" i="25"/>
  <c r="D64" i="25"/>
  <c r="D67" i="25" s="1"/>
  <c r="G64" i="25"/>
  <c r="G67" i="25" s="1"/>
  <c r="G75" i="25"/>
  <c r="G51" i="25"/>
  <c r="F67" i="25"/>
  <c r="F68" i="25" s="1"/>
  <c r="F69" i="25" s="1"/>
  <c r="C51" i="25"/>
  <c r="D54" i="26"/>
  <c r="D48" i="5"/>
  <c r="C27" i="26"/>
  <c r="B29" i="26"/>
  <c r="C5" i="26"/>
  <c r="C6" i="26" s="1"/>
  <c r="C9" i="26" s="1"/>
  <c r="F27" i="26"/>
  <c r="C52" i="26"/>
  <c r="C55" i="26"/>
  <c r="C41" i="26"/>
  <c r="F52" i="26"/>
  <c r="D16" i="26"/>
  <c r="F50" i="26"/>
  <c r="C30" i="26"/>
  <c r="C42" i="26"/>
  <c r="E46" i="5"/>
  <c r="C73" i="26"/>
  <c r="B74" i="26" s="1"/>
  <c r="B76" i="26"/>
  <c r="E42" i="26"/>
  <c r="E43" i="26" s="1"/>
  <c r="E44" i="26" s="1"/>
  <c r="E49" i="26"/>
  <c r="E5" i="26"/>
  <c r="E15" i="26"/>
  <c r="C24" i="5"/>
  <c r="E16" i="5"/>
  <c r="B25" i="5"/>
  <c r="F51" i="26"/>
  <c r="C50" i="5"/>
  <c r="D16" i="5"/>
  <c r="B52" i="26"/>
  <c r="B56" i="26" s="1"/>
  <c r="C8" i="5"/>
  <c r="D22" i="5"/>
  <c r="C25" i="5"/>
  <c r="E51" i="26"/>
  <c r="B28" i="5"/>
  <c r="F30" i="26"/>
  <c r="E47" i="5"/>
  <c r="D50" i="5"/>
  <c r="B5" i="26"/>
  <c r="B8" i="26" s="1"/>
  <c r="B10" i="26" s="1"/>
  <c r="B42" i="26"/>
  <c r="B43" i="26" s="1"/>
  <c r="B44" i="26" s="1"/>
  <c r="B26" i="26"/>
  <c r="B15" i="26"/>
  <c r="B49" i="26"/>
  <c r="B13" i="5"/>
  <c r="C26" i="5"/>
  <c r="E27" i="26"/>
  <c r="C30" i="5"/>
  <c r="B28" i="26"/>
  <c r="E26" i="26"/>
  <c r="B27" i="26"/>
  <c r="E52" i="26"/>
  <c r="D8" i="26"/>
  <c r="D10" i="26" s="1"/>
  <c r="E14" i="5"/>
  <c r="C50" i="26"/>
  <c r="C16" i="26"/>
  <c r="E30" i="5"/>
  <c r="F15" i="26"/>
  <c r="F17" i="26" s="1"/>
  <c r="F18" i="26" s="1"/>
  <c r="F42" i="26"/>
  <c r="F26" i="26"/>
  <c r="F49" i="26"/>
  <c r="B18" i="5"/>
  <c r="F29" i="26"/>
  <c r="F54" i="26"/>
  <c r="D28" i="5"/>
  <c r="D30" i="26"/>
  <c r="E73" i="26"/>
  <c r="E32" i="5"/>
  <c r="B32" i="5"/>
  <c r="C32" i="5"/>
  <c r="E18" i="5"/>
  <c r="C29" i="26"/>
  <c r="C54" i="26"/>
  <c r="D21" i="5"/>
  <c r="B27" i="5"/>
  <c r="F53" i="26"/>
  <c r="F28" i="26"/>
  <c r="C22" i="5"/>
  <c r="D47" i="5"/>
  <c r="E13" i="5"/>
  <c r="B22" i="5"/>
  <c r="B46" i="5"/>
  <c r="F73" i="26"/>
  <c r="F5" i="26"/>
  <c r="F8" i="26" s="1"/>
  <c r="F10" i="26" s="1"/>
  <c r="F16" i="5"/>
  <c r="C48" i="5"/>
  <c r="B51" i="5"/>
  <c r="C13" i="5"/>
  <c r="B16" i="5"/>
  <c r="D26" i="5"/>
  <c r="D41" i="26"/>
  <c r="D52" i="26"/>
  <c r="D27" i="26"/>
  <c r="D30" i="5"/>
  <c r="D73" i="26"/>
  <c r="C51" i="26"/>
  <c r="D55" i="26"/>
  <c r="E22" i="5"/>
  <c r="E11" i="5"/>
  <c r="E27" i="5"/>
  <c r="C14" i="5"/>
  <c r="E24" i="5"/>
  <c r="D27" i="5"/>
  <c r="D51" i="5"/>
  <c r="F14" i="5"/>
  <c r="B30" i="5"/>
  <c r="E37" i="5"/>
  <c r="C47" i="5"/>
  <c r="B50" i="5"/>
  <c r="E30" i="26"/>
  <c r="B30" i="26"/>
  <c r="C49" i="26"/>
  <c r="E55" i="26"/>
  <c r="E16" i="26"/>
  <c r="F41" i="26"/>
  <c r="B51" i="26"/>
  <c r="F19" i="5"/>
  <c r="E50" i="5"/>
  <c r="F8" i="5"/>
  <c r="D14" i="5"/>
  <c r="F24" i="5"/>
  <c r="E51" i="5"/>
  <c r="F21" i="5"/>
  <c r="D39" i="5"/>
  <c r="E48" i="5"/>
  <c r="C16" i="5"/>
  <c r="B19" i="5"/>
  <c r="B39" i="5"/>
  <c r="B47" i="5"/>
  <c r="B8" i="5"/>
  <c r="C21" i="5"/>
  <c r="B24" i="5"/>
  <c r="B48" i="5"/>
  <c r="E8" i="5"/>
  <c r="D11" i="5"/>
  <c r="C18" i="5"/>
  <c r="B21" i="5"/>
  <c r="D8" i="5"/>
  <c r="C11" i="5"/>
  <c r="B14" i="5"/>
  <c r="F18" i="5"/>
  <c r="E21" i="5"/>
  <c r="D24" i="5"/>
  <c r="C27" i="5"/>
  <c r="C39" i="5"/>
  <c r="D44" i="5"/>
  <c r="C51" i="5"/>
  <c r="B16" i="26"/>
  <c r="E53" i="26"/>
  <c r="E50" i="26"/>
  <c r="D51" i="26"/>
  <c r="E54" i="26"/>
  <c r="B50" i="26"/>
  <c r="C53" i="26"/>
  <c r="D29" i="26"/>
  <c r="R65" i="19"/>
  <c r="R103" i="2"/>
  <c r="R90" i="19"/>
  <c r="R83" i="2"/>
  <c r="R115" i="2"/>
  <c r="R53" i="2"/>
  <c r="R108" i="2"/>
  <c r="R112" i="2"/>
  <c r="R22" i="2"/>
  <c r="E91" i="2"/>
  <c r="W91" i="2" s="1"/>
  <c r="R71" i="2"/>
  <c r="R9" i="2"/>
  <c r="R68" i="2"/>
  <c r="R36" i="2"/>
  <c r="R64" i="2"/>
  <c r="R86" i="2"/>
  <c r="R61" i="2"/>
  <c r="R77" i="2"/>
  <c r="R15" i="2"/>
  <c r="E56" i="2"/>
  <c r="R10" i="2"/>
  <c r="R105" i="2"/>
  <c r="E29" i="2"/>
  <c r="R72" i="2"/>
  <c r="R23" i="2"/>
  <c r="R54" i="2"/>
  <c r="R48" i="2"/>
  <c r="R21" i="2"/>
  <c r="R110" i="2"/>
  <c r="R113" i="2"/>
  <c r="R80" i="2"/>
  <c r="F101" i="2"/>
  <c r="R81" i="2"/>
  <c r="R97" i="2"/>
  <c r="D91" i="2"/>
  <c r="V91" i="2" s="1"/>
  <c r="R73" i="2"/>
  <c r="R66" i="2"/>
  <c r="R49" i="2"/>
  <c r="F91" i="2"/>
  <c r="R69" i="2"/>
  <c r="R28" i="2"/>
  <c r="G91" i="2"/>
  <c r="R65" i="2"/>
  <c r="D29" i="2"/>
  <c r="R62" i="2"/>
  <c r="R98" i="2"/>
  <c r="R59" i="2"/>
  <c r="R74" i="2"/>
  <c r="R90" i="2"/>
  <c r="R114" i="2"/>
  <c r="R106" i="2"/>
  <c r="R76" i="2"/>
  <c r="R92" i="2"/>
  <c r="C101" i="2"/>
  <c r="U101" i="2" s="1"/>
  <c r="R93" i="2"/>
  <c r="G56" i="2"/>
  <c r="R94" i="2"/>
  <c r="R24" i="2"/>
  <c r="R109" i="2"/>
  <c r="R79" i="2"/>
  <c r="R75" i="2"/>
  <c r="R99" i="2"/>
  <c r="R111" i="2"/>
  <c r="E101" i="2"/>
  <c r="R84" i="2"/>
  <c r="D101" i="2"/>
  <c r="R85" i="2"/>
  <c r="G29" i="2"/>
  <c r="R27" i="2"/>
  <c r="R96" i="2"/>
  <c r="F29" i="2"/>
  <c r="R33" i="2"/>
  <c r="R50" i="2"/>
  <c r="R44" i="2"/>
  <c r="R52" i="2"/>
  <c r="R30" i="2"/>
  <c r="R45" i="2"/>
  <c r="R78" i="2"/>
  <c r="R25" i="2"/>
  <c r="R104" i="2"/>
  <c r="R35" i="2"/>
  <c r="D56" i="2"/>
  <c r="R47" i="2"/>
  <c r="R87" i="2"/>
  <c r="R95" i="2"/>
  <c r="R107" i="2"/>
  <c r="R88" i="2"/>
  <c r="G101" i="2"/>
  <c r="R89" i="2"/>
  <c r="F56" i="2"/>
  <c r="R100" i="2"/>
  <c r="R58" i="2"/>
  <c r="R34" i="2"/>
  <c r="R51" i="2"/>
  <c r="R67" i="2"/>
  <c r="R32" i="2"/>
  <c r="R26" i="2"/>
  <c r="R31" i="2"/>
  <c r="R46" i="2"/>
  <c r="R63" i="2"/>
  <c r="R37" i="2"/>
  <c r="R42" i="2"/>
  <c r="R70" i="2"/>
  <c r="R82" i="2"/>
  <c r="R60" i="2"/>
  <c r="C91" i="2"/>
  <c r="R43" i="2"/>
  <c r="V81" i="2"/>
  <c r="S98" i="2"/>
  <c r="R14" i="2"/>
  <c r="S81" i="2"/>
  <c r="R6" i="2"/>
  <c r="R17" i="2"/>
  <c r="R19" i="2"/>
  <c r="R11" i="2"/>
  <c r="R12" i="2"/>
  <c r="U109" i="2"/>
  <c r="R8" i="2"/>
  <c r="R16" i="2"/>
  <c r="R13" i="2"/>
  <c r="R7" i="2"/>
  <c r="R18" i="2"/>
  <c r="R20" i="2"/>
  <c r="F16" i="22"/>
  <c r="F12" i="5"/>
  <c r="E16" i="22"/>
  <c r="F36" i="5"/>
  <c r="F46" i="5"/>
  <c r="F7" i="5"/>
  <c r="F23" i="5"/>
  <c r="F39" i="5"/>
  <c r="F29" i="5"/>
  <c r="F26" i="5"/>
  <c r="F40" i="5"/>
  <c r="F33" i="5"/>
  <c r="F47" i="5"/>
  <c r="F50" i="5"/>
  <c r="F11" i="5"/>
  <c r="F27" i="5"/>
  <c r="F37" i="5"/>
  <c r="F34" i="5"/>
  <c r="F28" i="5"/>
  <c r="F43" i="5"/>
  <c r="F30" i="5"/>
  <c r="F51" i="5"/>
  <c r="F48" i="5"/>
  <c r="F15" i="5"/>
  <c r="F31" i="5"/>
  <c r="F17" i="5"/>
  <c r="F44" i="5"/>
  <c r="F20" i="5"/>
  <c r="F32" i="5"/>
  <c r="F13" i="5"/>
  <c r="F10" i="5"/>
  <c r="R81" i="19"/>
  <c r="S69" i="19"/>
  <c r="S85" i="19"/>
  <c r="U110" i="2"/>
  <c r="R58" i="19"/>
  <c r="R74" i="19"/>
  <c r="R82" i="19"/>
  <c r="R45" i="19"/>
  <c r="R49" i="19"/>
  <c r="S44" i="19"/>
  <c r="S77" i="19"/>
  <c r="R93" i="19"/>
  <c r="R97" i="19"/>
  <c r="R62" i="19"/>
  <c r="R94" i="19"/>
  <c r="W110" i="2"/>
  <c r="U106" i="2"/>
  <c r="S61" i="19"/>
  <c r="R78" i="19"/>
  <c r="R66" i="19"/>
  <c r="S49" i="19"/>
  <c r="S81" i="19"/>
  <c r="R77" i="19"/>
  <c r="R61" i="19"/>
  <c r="T106" i="2"/>
  <c r="R96" i="19"/>
  <c r="R64" i="19"/>
  <c r="R80" i="19"/>
  <c r="R92" i="19"/>
  <c r="R60" i="19"/>
  <c r="R76" i="19"/>
  <c r="V103" i="2"/>
  <c r="S79" i="19"/>
  <c r="S75" i="19"/>
  <c r="S67" i="19"/>
  <c r="S100" i="19"/>
  <c r="S63" i="19"/>
  <c r="S95" i="19"/>
  <c r="S51" i="19"/>
  <c r="W109" i="2"/>
  <c r="W81" i="2"/>
  <c r="W97" i="2"/>
  <c r="S112" i="2"/>
  <c r="U112" i="2"/>
  <c r="U82" i="2"/>
  <c r="U81" i="2"/>
  <c r="U76" i="2"/>
  <c r="U97" i="2"/>
  <c r="T112" i="2"/>
  <c r="R51" i="19"/>
  <c r="R71" i="19"/>
  <c r="R44" i="19"/>
  <c r="S48" i="19"/>
  <c r="R100" i="19"/>
  <c r="S99" i="19"/>
  <c r="S55" i="19"/>
  <c r="S71" i="19"/>
  <c r="S87" i="19"/>
  <c r="S91" i="19"/>
  <c r="S59" i="19"/>
  <c r="S83" i="19"/>
  <c r="R63" i="19"/>
  <c r="R48" i="19"/>
  <c r="R56" i="19"/>
  <c r="R72" i="19"/>
  <c r="R88" i="19"/>
  <c r="R67" i="19"/>
  <c r="R59" i="19"/>
  <c r="R55" i="19"/>
  <c r="R87" i="19"/>
  <c r="R52" i="19"/>
  <c r="R68" i="19"/>
  <c r="R84" i="19"/>
  <c r="R83" i="19"/>
  <c r="R75" i="19"/>
  <c r="R47" i="19"/>
  <c r="R79" i="19"/>
  <c r="R99" i="19"/>
  <c r="R95" i="19"/>
  <c r="V109" i="2"/>
  <c r="U80" i="2"/>
  <c r="U98" i="2"/>
  <c r="S97" i="2"/>
  <c r="V83" i="2"/>
  <c r="V76" i="2"/>
  <c r="U84" i="2"/>
  <c r="V92" i="2"/>
  <c r="U114" i="2"/>
  <c r="W83" i="2"/>
  <c r="W92" i="2"/>
  <c r="S114" i="2"/>
  <c r="S84" i="2"/>
  <c r="W106" i="2"/>
  <c r="W114" i="2"/>
  <c r="W103" i="2"/>
  <c r="W82" i="2"/>
  <c r="W98" i="2"/>
  <c r="T98" i="2"/>
  <c r="T114" i="2"/>
  <c r="W76" i="2"/>
  <c r="S92" i="2"/>
  <c r="T109" i="2"/>
  <c r="S106" i="2"/>
  <c r="T92" i="2"/>
  <c r="T103" i="2"/>
  <c r="S80" i="2"/>
  <c r="V106" i="2"/>
  <c r="V80" i="2"/>
  <c r="U83" i="2"/>
  <c r="S83" i="2"/>
  <c r="V110" i="2"/>
  <c r="T110" i="2"/>
  <c r="W80" i="2"/>
  <c r="V82" i="2"/>
  <c r="T82" i="2"/>
  <c r="U103" i="2"/>
  <c r="S103" i="2"/>
  <c r="T76" i="2"/>
  <c r="S110" i="2"/>
  <c r="U92" i="2"/>
  <c r="V114" i="2"/>
  <c r="T81" i="2"/>
  <c r="V112" i="2"/>
  <c r="S82" i="2"/>
  <c r="T83" i="2"/>
  <c r="V98" i="2"/>
  <c r="V84" i="2"/>
  <c r="S76" i="2"/>
  <c r="W84" i="2"/>
  <c r="K117" i="2" l="1"/>
  <c r="K119" i="2" s="1"/>
  <c r="J117" i="2"/>
  <c r="J120" i="2" s="1"/>
  <c r="H37" i="25"/>
  <c r="M17" i="26"/>
  <c r="M18" i="26" s="1"/>
  <c r="M19" i="26" s="1"/>
  <c r="M21" i="26" s="1"/>
  <c r="K38" i="25"/>
  <c r="K39" i="25" s="1"/>
  <c r="L110" i="25"/>
  <c r="L111" i="25" s="1"/>
  <c r="M43" i="26"/>
  <c r="M44" i="26" s="1"/>
  <c r="L20" i="25"/>
  <c r="K21" i="25" s="1"/>
  <c r="K22" i="25" s="1"/>
  <c r="L36" i="25"/>
  <c r="N117" i="2"/>
  <c r="N120" i="2" s="1"/>
  <c r="L76" i="25"/>
  <c r="L77" i="25" s="1"/>
  <c r="L78" i="25" s="1"/>
  <c r="O119" i="2"/>
  <c r="O110" i="25"/>
  <c r="O111" i="25" s="1"/>
  <c r="O76" i="25"/>
  <c r="O77" i="25" s="1"/>
  <c r="O78" i="25" s="1"/>
  <c r="I31" i="26"/>
  <c r="L43" i="26"/>
  <c r="L44" i="26" s="1"/>
  <c r="M31" i="26"/>
  <c r="M32" i="26" s="1"/>
  <c r="K56" i="26"/>
  <c r="K57" i="26" s="1"/>
  <c r="K58" i="26" s="1"/>
  <c r="L56" i="26"/>
  <c r="L57" i="26" s="1"/>
  <c r="G20" i="26"/>
  <c r="O36" i="25"/>
  <c r="O38" i="25" s="1"/>
  <c r="O39" i="25" s="1"/>
  <c r="O116" i="25"/>
  <c r="O117" i="25" s="1"/>
  <c r="O118" i="25" s="1"/>
  <c r="H20" i="25"/>
  <c r="H36" i="25"/>
  <c r="N76" i="25"/>
  <c r="N77" i="25" s="1"/>
  <c r="N78" i="25" s="1"/>
  <c r="L17" i="26"/>
  <c r="L18" i="26" s="1"/>
  <c r="L33" i="26" s="1"/>
  <c r="L34" i="26" s="1"/>
  <c r="L35" i="26" s="1"/>
  <c r="N116" i="25"/>
  <c r="N117" i="25" s="1"/>
  <c r="N118" i="25" s="1"/>
  <c r="O86" i="25"/>
  <c r="O87" i="25" s="1"/>
  <c r="N36" i="25"/>
  <c r="N38" i="25" s="1"/>
  <c r="N39" i="25" s="1"/>
  <c r="N86" i="25"/>
  <c r="N87" i="25" s="1"/>
  <c r="N20" i="25"/>
  <c r="N21" i="25" s="1"/>
  <c r="N22" i="25" s="1"/>
  <c r="K6" i="26"/>
  <c r="K9" i="26" s="1"/>
  <c r="M57" i="26"/>
  <c r="M58" i="26" s="1"/>
  <c r="G6" i="26"/>
  <c r="G9" i="26" s="1"/>
  <c r="H43" i="26"/>
  <c r="H44" i="26" s="1"/>
  <c r="N55" i="25"/>
  <c r="N54" i="25"/>
  <c r="J55" i="25"/>
  <c r="J54" i="25"/>
  <c r="I55" i="25"/>
  <c r="I54" i="25"/>
  <c r="K55" i="25"/>
  <c r="K54" i="25"/>
  <c r="M55" i="25"/>
  <c r="M54" i="25"/>
  <c r="L55" i="25"/>
  <c r="L54" i="25"/>
  <c r="O55" i="25"/>
  <c r="O54" i="25"/>
  <c r="H55" i="25"/>
  <c r="H54" i="25"/>
  <c r="H76" i="25"/>
  <c r="H77" i="25" s="1"/>
  <c r="H78" i="25" s="1"/>
  <c r="H116" i="25"/>
  <c r="H117" i="25" s="1"/>
  <c r="H118" i="25" s="1"/>
  <c r="H110" i="25"/>
  <c r="H111" i="25" s="1"/>
  <c r="J119" i="2"/>
  <c r="H119" i="2"/>
  <c r="O120" i="2"/>
  <c r="H120" i="2"/>
  <c r="K120" i="2"/>
  <c r="G8" i="26"/>
  <c r="G10" i="26" s="1"/>
  <c r="K32" i="26"/>
  <c r="G32" i="26"/>
  <c r="G34" i="26" s="1"/>
  <c r="G35" i="26" s="1"/>
  <c r="I32" i="26"/>
  <c r="I57" i="26"/>
  <c r="I58" i="26" s="1"/>
  <c r="G67" i="26"/>
  <c r="G68" i="26" s="1"/>
  <c r="J31" i="26"/>
  <c r="J32" i="26" s="1"/>
  <c r="H57" i="26"/>
  <c r="M67" i="26"/>
  <c r="M68" i="26" s="1"/>
  <c r="M59" i="26"/>
  <c r="H33" i="26"/>
  <c r="H34" i="26" s="1"/>
  <c r="H35" i="26" s="1"/>
  <c r="H20" i="26"/>
  <c r="H19" i="26"/>
  <c r="H21" i="26" s="1"/>
  <c r="L67" i="26"/>
  <c r="L68" i="26" s="1"/>
  <c r="L59" i="26"/>
  <c r="I33" i="26"/>
  <c r="I20" i="26"/>
  <c r="M6" i="26"/>
  <c r="M9" i="26" s="1"/>
  <c r="M8" i="26"/>
  <c r="M10" i="26" s="1"/>
  <c r="G57" i="26"/>
  <c r="J17" i="26"/>
  <c r="J18" i="26" s="1"/>
  <c r="I19" i="26" s="1"/>
  <c r="I21" i="26" s="1"/>
  <c r="J57" i="26"/>
  <c r="I67" i="26"/>
  <c r="I68" i="26" s="1"/>
  <c r="I59" i="26"/>
  <c r="G19" i="26"/>
  <c r="G21" i="26" s="1"/>
  <c r="K33" i="26"/>
  <c r="K20" i="26"/>
  <c r="H67" i="26"/>
  <c r="H68" i="26" s="1"/>
  <c r="H59" i="26"/>
  <c r="K67" i="26"/>
  <c r="K68" i="26" s="1"/>
  <c r="K59" i="26"/>
  <c r="I6" i="26"/>
  <c r="I9" i="26" s="1"/>
  <c r="J8" i="26"/>
  <c r="J10" i="26" s="1"/>
  <c r="J67" i="26"/>
  <c r="J68" i="26" s="1"/>
  <c r="J59" i="26"/>
  <c r="J36" i="25"/>
  <c r="J38" i="25" s="1"/>
  <c r="J39" i="25" s="1"/>
  <c r="J20" i="25"/>
  <c r="J21" i="25" s="1"/>
  <c r="J22" i="25" s="1"/>
  <c r="J86" i="25"/>
  <c r="J87" i="25" s="1"/>
  <c r="J116" i="25"/>
  <c r="J117" i="25" s="1"/>
  <c r="J118" i="25" s="1"/>
  <c r="J76" i="25"/>
  <c r="J77" i="25" s="1"/>
  <c r="J78" i="25" s="1"/>
  <c r="J110" i="25"/>
  <c r="J111" i="25" s="1"/>
  <c r="I86" i="25"/>
  <c r="I87" i="25" s="1"/>
  <c r="I76" i="25"/>
  <c r="I77" i="25" s="1"/>
  <c r="I78" i="25" s="1"/>
  <c r="I110" i="25"/>
  <c r="I111" i="25" s="1"/>
  <c r="I36" i="25"/>
  <c r="I38" i="25" s="1"/>
  <c r="I39" i="25" s="1"/>
  <c r="I20" i="25"/>
  <c r="I116" i="25"/>
  <c r="I117" i="25" s="1"/>
  <c r="I118" i="25" s="1"/>
  <c r="M117" i="2"/>
  <c r="M119" i="2" s="1"/>
  <c r="M37" i="25"/>
  <c r="L117" i="2"/>
  <c r="L119" i="2" s="1"/>
  <c r="L37" i="25"/>
  <c r="M116" i="25"/>
  <c r="M117" i="25" s="1"/>
  <c r="M118" i="25" s="1"/>
  <c r="M86" i="25"/>
  <c r="M87" i="25" s="1"/>
  <c r="M110" i="25"/>
  <c r="M111" i="25" s="1"/>
  <c r="M76" i="25"/>
  <c r="M77" i="25" s="1"/>
  <c r="M78" i="25" s="1"/>
  <c r="M36" i="25"/>
  <c r="M20" i="25"/>
  <c r="I117" i="2"/>
  <c r="I119" i="2" s="1"/>
  <c r="F42" i="5"/>
  <c r="F89" i="5" s="1"/>
  <c r="B59" i="26"/>
  <c r="F52" i="25"/>
  <c r="D55" i="25"/>
  <c r="G52" i="25"/>
  <c r="E52" i="25"/>
  <c r="B57" i="26"/>
  <c r="B58" i="26" s="1"/>
  <c r="F33" i="26"/>
  <c r="F20" i="26"/>
  <c r="D102" i="2"/>
  <c r="D37" i="25" s="1"/>
  <c r="D68" i="25"/>
  <c r="D69" i="25" s="1"/>
  <c r="F56" i="26"/>
  <c r="F57" i="26" s="1"/>
  <c r="F58" i="26" s="1"/>
  <c r="D17" i="26"/>
  <c r="D18" i="26" s="1"/>
  <c r="D43" i="26"/>
  <c r="D44" i="26" s="1"/>
  <c r="G68" i="25"/>
  <c r="G69" i="25" s="1"/>
  <c r="E102" i="2"/>
  <c r="E117" i="2" s="1"/>
  <c r="E120" i="2" s="1"/>
  <c r="C43" i="26"/>
  <c r="C44" i="26" s="1"/>
  <c r="C17" i="26"/>
  <c r="C18" i="26" s="1"/>
  <c r="C20" i="26" s="1"/>
  <c r="C8" i="26"/>
  <c r="C10" i="26" s="1"/>
  <c r="C31" i="26"/>
  <c r="C32" i="26" s="1"/>
  <c r="W116" i="2"/>
  <c r="P12" i="22"/>
  <c r="E31" i="26"/>
  <c r="E32" i="26" s="1"/>
  <c r="B17" i="26"/>
  <c r="B18" i="26" s="1"/>
  <c r="E17" i="26"/>
  <c r="E18" i="26" s="1"/>
  <c r="E20" i="26" s="1"/>
  <c r="C56" i="26"/>
  <c r="C57" i="26" s="1"/>
  <c r="C58" i="26" s="1"/>
  <c r="D56" i="26"/>
  <c r="D57" i="26" s="1"/>
  <c r="F31" i="26"/>
  <c r="F32" i="26" s="1"/>
  <c r="D76" i="26"/>
  <c r="D74" i="26"/>
  <c r="F76" i="26"/>
  <c r="F74" i="26"/>
  <c r="E74" i="26"/>
  <c r="E76" i="26"/>
  <c r="F19" i="26"/>
  <c r="F21" i="26" s="1"/>
  <c r="E56" i="26"/>
  <c r="E57" i="26" s="1"/>
  <c r="E6" i="26"/>
  <c r="E9" i="26" s="1"/>
  <c r="E8" i="26"/>
  <c r="E10" i="26" s="1"/>
  <c r="D31" i="26"/>
  <c r="D32" i="26" s="1"/>
  <c r="B31" i="26"/>
  <c r="B32" i="26" s="1"/>
  <c r="C74" i="26"/>
  <c r="C76" i="26"/>
  <c r="D59" i="26"/>
  <c r="B42" i="5"/>
  <c r="B89" i="5" s="1"/>
  <c r="F59" i="26"/>
  <c r="C59" i="26"/>
  <c r="F43" i="26"/>
  <c r="F44" i="26" s="1"/>
  <c r="E59" i="26"/>
  <c r="D6" i="26"/>
  <c r="D9" i="26" s="1"/>
  <c r="B6" i="26"/>
  <c r="B9" i="26" s="1"/>
  <c r="F38" i="5"/>
  <c r="T116" i="2"/>
  <c r="E57" i="2"/>
  <c r="B38" i="5"/>
  <c r="W101" i="2"/>
  <c r="F57" i="2"/>
  <c r="D57" i="2"/>
  <c r="V116" i="2"/>
  <c r="T91" i="2"/>
  <c r="E31" i="8"/>
  <c r="T101" i="2"/>
  <c r="R56" i="2"/>
  <c r="R116" i="2"/>
  <c r="B31" i="8"/>
  <c r="V101" i="2"/>
  <c r="R91" i="2"/>
  <c r="F31" i="8"/>
  <c r="C102" i="2"/>
  <c r="R101" i="2"/>
  <c r="S116" i="2"/>
  <c r="U116" i="2"/>
  <c r="O12" i="22"/>
  <c r="G102" i="2"/>
  <c r="G37" i="25" s="1"/>
  <c r="G57" i="2"/>
  <c r="F102" i="2"/>
  <c r="F37" i="25" s="1"/>
  <c r="U91" i="2"/>
  <c r="S91" i="2"/>
  <c r="S101" i="2"/>
  <c r="C38" i="5"/>
  <c r="D38" i="5"/>
  <c r="E38" i="5"/>
  <c r="M20" i="26" l="1"/>
  <c r="M33" i="26"/>
  <c r="M34" i="26" s="1"/>
  <c r="M35" i="26" s="1"/>
  <c r="H38" i="25"/>
  <c r="H39" i="25" s="1"/>
  <c r="L38" i="25"/>
  <c r="L39" i="25" s="1"/>
  <c r="N119" i="2"/>
  <c r="M21" i="25"/>
  <c r="M22" i="25" s="1"/>
  <c r="H21" i="25"/>
  <c r="H22" i="25" s="1"/>
  <c r="I60" i="26"/>
  <c r="I61" i="26" s="1"/>
  <c r="L19" i="26"/>
  <c r="L21" i="26" s="1"/>
  <c r="K60" i="26"/>
  <c r="K61" i="26" s="1"/>
  <c r="K19" i="26"/>
  <c r="K21" i="26" s="1"/>
  <c r="L20" i="26"/>
  <c r="K34" i="26"/>
  <c r="K35" i="26" s="1"/>
  <c r="M60" i="26"/>
  <c r="M61" i="26" s="1"/>
  <c r="I34" i="26"/>
  <c r="I35" i="26" s="1"/>
  <c r="F55" i="25"/>
  <c r="F54" i="25"/>
  <c r="E55" i="25"/>
  <c r="E54" i="25"/>
  <c r="G55" i="25"/>
  <c r="G54" i="25"/>
  <c r="E119" i="2"/>
  <c r="D117" i="2"/>
  <c r="D119" i="2" s="1"/>
  <c r="I120" i="2"/>
  <c r="L120" i="2"/>
  <c r="M120" i="2"/>
  <c r="F34" i="26"/>
  <c r="F35" i="26" s="1"/>
  <c r="J58" i="26"/>
  <c r="J60" i="26"/>
  <c r="J61" i="26" s="1"/>
  <c r="L60" i="26"/>
  <c r="L61" i="26" s="1"/>
  <c r="L58" i="26"/>
  <c r="G58" i="26"/>
  <c r="G60" i="26"/>
  <c r="G61" i="26" s="1"/>
  <c r="J33" i="26"/>
  <c r="J34" i="26" s="1"/>
  <c r="J35" i="26" s="1"/>
  <c r="J20" i="26"/>
  <c r="J19" i="26"/>
  <c r="J21" i="26" s="1"/>
  <c r="H60" i="26"/>
  <c r="H61" i="26" s="1"/>
  <c r="H58" i="26"/>
  <c r="L21" i="25"/>
  <c r="L22" i="25" s="1"/>
  <c r="M38" i="25"/>
  <c r="M39" i="25" s="1"/>
  <c r="I21" i="25"/>
  <c r="I22" i="25" s="1"/>
  <c r="D29" i="8"/>
  <c r="B33" i="26"/>
  <c r="B34" i="26" s="1"/>
  <c r="B35" i="26" s="1"/>
  <c r="B20" i="26"/>
  <c r="D33" i="26"/>
  <c r="D34" i="26" s="1"/>
  <c r="D35" i="26" s="1"/>
  <c r="D20" i="26"/>
  <c r="F60" i="26"/>
  <c r="F61" i="26" s="1"/>
  <c r="E19" i="26"/>
  <c r="E21" i="26" s="1"/>
  <c r="E33" i="26"/>
  <c r="E34" i="26" s="1"/>
  <c r="E35" i="26" s="1"/>
  <c r="C19" i="26"/>
  <c r="C21" i="26" s="1"/>
  <c r="C33" i="26"/>
  <c r="C34" i="26" s="1"/>
  <c r="C35" i="26" s="1"/>
  <c r="W117" i="2"/>
  <c r="D19" i="26"/>
  <c r="D21" i="26" s="1"/>
  <c r="E37" i="25"/>
  <c r="W102" i="2"/>
  <c r="B19" i="26"/>
  <c r="B21" i="26" s="1"/>
  <c r="C60" i="26"/>
  <c r="C61" i="26" s="1"/>
  <c r="E86" i="25"/>
  <c r="E87" i="25" s="1"/>
  <c r="E36" i="25"/>
  <c r="E110" i="25"/>
  <c r="E111" i="25" s="1"/>
  <c r="E116" i="25"/>
  <c r="E117" i="25" s="1"/>
  <c r="E118" i="25" s="1"/>
  <c r="E76" i="25"/>
  <c r="E77" i="25" s="1"/>
  <c r="E78" i="25" s="1"/>
  <c r="F86" i="25"/>
  <c r="F87" i="25" s="1"/>
  <c r="F36" i="25"/>
  <c r="F38" i="25" s="1"/>
  <c r="F39" i="25" s="1"/>
  <c r="F110" i="25"/>
  <c r="F111" i="25" s="1"/>
  <c r="F116" i="25"/>
  <c r="F117" i="25" s="1"/>
  <c r="F118" i="25" s="1"/>
  <c r="F76" i="25"/>
  <c r="F77" i="25" s="1"/>
  <c r="F78" i="25" s="1"/>
  <c r="G86" i="25"/>
  <c r="G87" i="25" s="1"/>
  <c r="G36" i="25"/>
  <c r="G110" i="25"/>
  <c r="G111" i="25" s="1"/>
  <c r="G116" i="25"/>
  <c r="G117" i="25" s="1"/>
  <c r="G118" i="25" s="1"/>
  <c r="G76" i="25"/>
  <c r="G77" i="25" s="1"/>
  <c r="G78" i="25" s="1"/>
  <c r="D116" i="25"/>
  <c r="D117" i="25" s="1"/>
  <c r="D118" i="25" s="1"/>
  <c r="D36" i="25"/>
  <c r="D38" i="25" s="1"/>
  <c r="D39" i="25" s="1"/>
  <c r="D76" i="25"/>
  <c r="D77" i="25" s="1"/>
  <c r="D78" i="25" s="1"/>
  <c r="D86" i="25"/>
  <c r="D87" i="25" s="1"/>
  <c r="D110" i="25"/>
  <c r="D111" i="25" s="1"/>
  <c r="B60" i="26"/>
  <c r="B61" i="26" s="1"/>
  <c r="F53" i="3"/>
  <c r="D58" i="26"/>
  <c r="D60" i="26"/>
  <c r="D61" i="26" s="1"/>
  <c r="B53" i="3"/>
  <c r="E60" i="26"/>
  <c r="E61" i="26" s="1"/>
  <c r="E58" i="26"/>
  <c r="F20" i="25"/>
  <c r="E20" i="25"/>
  <c r="G117" i="2"/>
  <c r="G120" i="2" s="1"/>
  <c r="D20" i="25"/>
  <c r="C117" i="2"/>
  <c r="C120" i="2" s="1"/>
  <c r="C37" i="25"/>
  <c r="F29" i="8"/>
  <c r="F117" i="2"/>
  <c r="F119" i="2" s="1"/>
  <c r="F27" i="8"/>
  <c r="G20" i="25"/>
  <c r="G21" i="25" s="1"/>
  <c r="G22" i="25" s="1"/>
  <c r="E29" i="8"/>
  <c r="R102" i="2"/>
  <c r="U102" i="2"/>
  <c r="B29" i="8"/>
  <c r="C29" i="8"/>
  <c r="T102" i="2"/>
  <c r="S102" i="2"/>
  <c r="V102" i="2"/>
  <c r="C53" i="3"/>
  <c r="E42" i="5"/>
  <c r="E89" i="5" s="1"/>
  <c r="D53" i="3"/>
  <c r="D42" i="5"/>
  <c r="D89" i="5" s="1"/>
  <c r="E53" i="3"/>
  <c r="C42" i="5"/>
  <c r="C89" i="5" s="1"/>
  <c r="C27" i="8"/>
  <c r="E27" i="8"/>
  <c r="D27" i="8"/>
  <c r="V117" i="2" l="1"/>
  <c r="T117" i="2"/>
  <c r="L16" i="22"/>
  <c r="G119" i="2"/>
  <c r="D120" i="2"/>
  <c r="F120" i="2"/>
  <c r="E38" i="25"/>
  <c r="E39" i="25" s="1"/>
  <c r="S117" i="2"/>
  <c r="U117" i="2"/>
  <c r="R117" i="2"/>
  <c r="D67" i="26"/>
  <c r="D68" i="26" s="1"/>
  <c r="F67" i="26"/>
  <c r="F68" i="26" s="1"/>
  <c r="E67" i="26"/>
  <c r="E68" i="26" s="1"/>
  <c r="B67" i="26"/>
  <c r="B68" i="26" s="1"/>
  <c r="F45" i="5"/>
  <c r="F88" i="5" s="1"/>
  <c r="B16" i="22"/>
  <c r="D12" i="22" s="1"/>
  <c r="B45" i="5"/>
  <c r="C67" i="26"/>
  <c r="C68" i="26" s="1"/>
  <c r="G38" i="25"/>
  <c r="G39" i="25" s="1"/>
  <c r="E21" i="25"/>
  <c r="E22" i="25" s="1"/>
  <c r="K16" i="22"/>
  <c r="F21" i="25"/>
  <c r="F22" i="25" s="1"/>
  <c r="D21" i="25"/>
  <c r="D22" i="25" s="1"/>
  <c r="D45" i="5"/>
  <c r="C45" i="5"/>
  <c r="C16" i="22"/>
  <c r="E45" i="5"/>
  <c r="E104" i="5" l="1"/>
  <c r="E88" i="5"/>
  <c r="B104" i="5"/>
  <c r="B88" i="5"/>
  <c r="C104" i="5"/>
  <c r="C88" i="5"/>
  <c r="D104" i="5"/>
  <c r="D88" i="5"/>
  <c r="R120" i="2"/>
  <c r="F128" i="5"/>
  <c r="D126" i="5" s="1"/>
  <c r="F104" i="5"/>
  <c r="W41" i="2"/>
  <c r="W45" i="2"/>
  <c r="W7" i="2"/>
  <c r="W10" i="2" l="1"/>
  <c r="W6" i="2"/>
  <c r="W44" i="2"/>
  <c r="W46" i="2"/>
  <c r="W42" i="2"/>
  <c r="W38" i="2"/>
  <c r="W40" i="2"/>
  <c r="W36" i="2"/>
  <c r="W32" i="2"/>
  <c r="W28" i="2"/>
  <c r="W8" i="2"/>
  <c r="W24" i="2"/>
  <c r="W21" i="2"/>
  <c r="W17" i="2"/>
  <c r="W13" i="2"/>
  <c r="W34" i="2"/>
  <c r="W30" i="2"/>
  <c r="W26" i="2"/>
  <c r="W22" i="2"/>
  <c r="W19" i="2"/>
  <c r="W15" i="2"/>
  <c r="U42" i="2"/>
  <c r="S42" i="2"/>
  <c r="V39" i="2"/>
  <c r="T39" i="2"/>
  <c r="U34" i="2"/>
  <c r="S34" i="2"/>
  <c r="V31" i="2"/>
  <c r="T31" i="2"/>
  <c r="U26" i="2"/>
  <c r="S26" i="2"/>
  <c r="V23" i="2"/>
  <c r="T23" i="2"/>
  <c r="V20" i="2"/>
  <c r="T20" i="2"/>
  <c r="U15" i="2"/>
  <c r="S15" i="2"/>
  <c r="U6" i="2"/>
  <c r="S6" i="2"/>
  <c r="V45" i="2"/>
  <c r="T45" i="2"/>
  <c r="U40" i="2"/>
  <c r="S40" i="2"/>
  <c r="V37" i="2"/>
  <c r="T37" i="2"/>
  <c r="U32" i="2"/>
  <c r="S32" i="2"/>
  <c r="V29" i="2"/>
  <c r="T29" i="2"/>
  <c r="U24" i="2"/>
  <c r="S24" i="2"/>
  <c r="U21" i="2"/>
  <c r="S21" i="2"/>
  <c r="U17" i="2"/>
  <c r="S17" i="2"/>
  <c r="V14" i="2"/>
  <c r="T14" i="2"/>
  <c r="U13" i="2"/>
  <c r="S13" i="2"/>
  <c r="V11" i="2"/>
  <c r="T11" i="2"/>
  <c r="W9" i="2"/>
  <c r="V8" i="2"/>
  <c r="T8" i="2"/>
  <c r="U7" i="2"/>
  <c r="S7" i="2"/>
  <c r="W47" i="2"/>
  <c r="V46" i="2"/>
  <c r="T46" i="2"/>
  <c r="U45" i="2"/>
  <c r="S45" i="2"/>
  <c r="W43" i="2"/>
  <c r="V42" i="2"/>
  <c r="T42" i="2"/>
  <c r="U41" i="2"/>
  <c r="S41" i="2"/>
  <c r="W39" i="2"/>
  <c r="V38" i="2"/>
  <c r="T38" i="2"/>
  <c r="U37" i="2"/>
  <c r="U12" i="2"/>
  <c r="S37" i="2"/>
  <c r="W35" i="2"/>
  <c r="V34" i="2"/>
  <c r="T34" i="2"/>
  <c r="U33" i="2"/>
  <c r="S33" i="2"/>
  <c r="W31" i="2"/>
  <c r="V30" i="2"/>
  <c r="T30" i="2"/>
  <c r="W27" i="2"/>
  <c r="V26" i="2"/>
  <c r="T26" i="2"/>
  <c r="U25" i="2"/>
  <c r="S25" i="2"/>
  <c r="W23" i="2"/>
  <c r="V22" i="2"/>
  <c r="T22" i="2"/>
  <c r="W20" i="2"/>
  <c r="V19" i="2"/>
  <c r="T19" i="2"/>
  <c r="U18" i="2"/>
  <c r="S18" i="2"/>
  <c r="W16" i="2"/>
  <c r="V15" i="2"/>
  <c r="T15" i="2"/>
  <c r="U14" i="2"/>
  <c r="S14" i="2"/>
  <c r="W12" i="2"/>
  <c r="U11" i="2"/>
  <c r="S11" i="2"/>
  <c r="V71" i="2"/>
  <c r="T71" i="2"/>
  <c r="U70" i="2"/>
  <c r="S70" i="2"/>
  <c r="W68" i="2"/>
  <c r="V67" i="2"/>
  <c r="T67" i="2"/>
  <c r="U66" i="2"/>
  <c r="S66" i="2"/>
  <c r="W64" i="2"/>
  <c r="V63" i="2"/>
  <c r="T63" i="2"/>
  <c r="U62" i="2"/>
  <c r="S62" i="2"/>
  <c r="W60" i="2"/>
  <c r="V59" i="2"/>
  <c r="T59" i="2"/>
  <c r="U58" i="2"/>
  <c r="S58" i="2"/>
  <c r="W56" i="2"/>
  <c r="V55" i="2"/>
  <c r="T55" i="2"/>
  <c r="U54" i="2"/>
  <c r="S54" i="2"/>
  <c r="W52" i="2"/>
  <c r="V51" i="2"/>
  <c r="T51" i="2"/>
  <c r="U50" i="2"/>
  <c r="S50" i="2"/>
  <c r="W48" i="2"/>
  <c r="U71" i="2"/>
  <c r="S71" i="2"/>
  <c r="W69" i="2"/>
  <c r="V68" i="2"/>
  <c r="T68" i="2"/>
  <c r="U67" i="2"/>
  <c r="S67" i="2"/>
  <c r="W65" i="2"/>
  <c r="V64" i="2"/>
  <c r="T64" i="2"/>
  <c r="U63" i="2"/>
  <c r="S63" i="2"/>
  <c r="W61" i="2"/>
  <c r="V60" i="2"/>
  <c r="T60" i="2"/>
  <c r="U59" i="2"/>
  <c r="S59" i="2"/>
  <c r="W57" i="2"/>
  <c r="V56" i="2"/>
  <c r="T56" i="2"/>
  <c r="U55" i="2"/>
  <c r="S55" i="2"/>
  <c r="W53" i="2"/>
  <c r="V52" i="2"/>
  <c r="T52" i="2"/>
  <c r="U51" i="2"/>
  <c r="S51" i="2"/>
  <c r="W49" i="2"/>
  <c r="V48" i="2"/>
  <c r="T48" i="2"/>
  <c r="V9" i="2"/>
  <c r="T9" i="2"/>
  <c r="V47" i="2"/>
  <c r="T47" i="2"/>
  <c r="V10" i="2"/>
  <c r="T10" i="2"/>
  <c r="U9" i="2"/>
  <c r="S9" i="2"/>
  <c r="V6" i="2"/>
  <c r="T6" i="2"/>
  <c r="U47" i="2"/>
  <c r="S47" i="2"/>
  <c r="V44" i="2"/>
  <c r="T44" i="2"/>
  <c r="U43" i="2"/>
  <c r="S43" i="2"/>
  <c r="V40" i="2"/>
  <c r="T40" i="2"/>
  <c r="U39" i="2"/>
  <c r="S39" i="2"/>
  <c r="W37" i="2"/>
  <c r="V36" i="2"/>
  <c r="T36" i="2"/>
  <c r="U35" i="2"/>
  <c r="S35" i="2"/>
  <c r="W33" i="2"/>
  <c r="V32" i="2"/>
  <c r="T32" i="2"/>
  <c r="U31" i="2"/>
  <c r="S31" i="2"/>
  <c r="W29" i="2"/>
  <c r="V28" i="2"/>
  <c r="T28" i="2"/>
  <c r="U27" i="2"/>
  <c r="S27" i="2"/>
  <c r="W25" i="2"/>
  <c r="V24" i="2"/>
  <c r="T24" i="2"/>
  <c r="U23" i="2"/>
  <c r="S23" i="2"/>
  <c r="V21" i="2"/>
  <c r="T21" i="2"/>
  <c r="U20" i="2"/>
  <c r="S20" i="2"/>
  <c r="W18" i="2"/>
  <c r="V17" i="2"/>
  <c r="T17" i="2"/>
  <c r="U16" i="2"/>
  <c r="S16" i="2"/>
  <c r="W14" i="2"/>
  <c r="V13" i="2"/>
  <c r="T13" i="2"/>
  <c r="W11" i="2"/>
  <c r="W70" i="2"/>
  <c r="V69" i="2"/>
  <c r="T69" i="2"/>
  <c r="U68" i="2"/>
  <c r="S68" i="2"/>
  <c r="W66" i="2"/>
  <c r="V65" i="2"/>
  <c r="T65" i="2"/>
  <c r="U64" i="2"/>
  <c r="S64" i="2"/>
  <c r="W62" i="2"/>
  <c r="V61" i="2"/>
  <c r="T61" i="2"/>
  <c r="U60" i="2"/>
  <c r="S60" i="2"/>
  <c r="W58" i="2"/>
  <c r="V57" i="2"/>
  <c r="T57" i="2"/>
  <c r="U56" i="2"/>
  <c r="S56" i="2"/>
  <c r="W54" i="2"/>
  <c r="V53" i="2"/>
  <c r="T53" i="2"/>
  <c r="U52" i="2"/>
  <c r="S52" i="2"/>
  <c r="W50" i="2"/>
  <c r="V49" i="2"/>
  <c r="T49" i="2"/>
  <c r="U48" i="2"/>
  <c r="S48" i="2"/>
  <c r="U8" i="2"/>
  <c r="S8" i="2"/>
  <c r="U46" i="2"/>
  <c r="S46" i="2"/>
  <c r="V43" i="2"/>
  <c r="T43" i="2"/>
  <c r="U38" i="2"/>
  <c r="S38" i="2"/>
  <c r="V35" i="2"/>
  <c r="T35" i="2"/>
  <c r="U30" i="2"/>
  <c r="S30" i="2"/>
  <c r="V27" i="2"/>
  <c r="T27" i="2"/>
  <c r="U19" i="2"/>
  <c r="S19" i="2"/>
  <c r="V16" i="2"/>
  <c r="T16" i="2"/>
  <c r="V12" i="2"/>
  <c r="S12" i="2"/>
  <c r="T12" i="2"/>
  <c r="U10" i="2"/>
  <c r="S10" i="2"/>
  <c r="V7" i="2"/>
  <c r="T7" i="2"/>
  <c r="U44" i="2"/>
  <c r="S44" i="2"/>
  <c r="V41" i="2"/>
  <c r="T41" i="2"/>
  <c r="U36" i="2"/>
  <c r="S36" i="2"/>
  <c r="V33" i="2"/>
  <c r="T33" i="2"/>
  <c r="U28" i="2"/>
  <c r="S28" i="2"/>
  <c r="V25" i="2"/>
  <c r="T25" i="2"/>
  <c r="V18" i="2"/>
  <c r="T18" i="2"/>
  <c r="W71" i="2"/>
  <c r="V70" i="2"/>
  <c r="T70" i="2"/>
  <c r="U69" i="2"/>
  <c r="S69" i="2"/>
  <c r="W67" i="2"/>
  <c r="V66" i="2"/>
  <c r="T66" i="2"/>
  <c r="U65" i="2"/>
  <c r="S65" i="2"/>
  <c r="W63" i="2"/>
  <c r="V62" i="2"/>
  <c r="T62" i="2"/>
  <c r="U61" i="2"/>
  <c r="S61" i="2"/>
  <c r="W59" i="2"/>
  <c r="V58" i="2"/>
  <c r="T58" i="2"/>
  <c r="W55" i="2"/>
  <c r="V54" i="2"/>
  <c r="T54" i="2"/>
  <c r="U53" i="2"/>
  <c r="S53" i="2"/>
  <c r="W51" i="2"/>
  <c r="V50" i="2"/>
  <c r="T50" i="2"/>
  <c r="U49" i="2"/>
  <c r="S49" i="2"/>
  <c r="U22" i="2"/>
  <c r="S22" i="2"/>
  <c r="D109" i="5"/>
  <c r="S30" i="19" l="1"/>
  <c r="R29" i="19"/>
  <c r="S26" i="19"/>
  <c r="R25" i="19"/>
  <c r="S22" i="19"/>
  <c r="R21" i="19"/>
  <c r="S18" i="19"/>
  <c r="R17" i="19"/>
  <c r="R41" i="19"/>
  <c r="S38" i="19"/>
  <c r="R37" i="19"/>
  <c r="S34" i="19"/>
  <c r="R33" i="19"/>
  <c r="S28" i="19"/>
  <c r="R27" i="19"/>
  <c r="S24" i="19"/>
  <c r="R23" i="19"/>
  <c r="S20" i="19"/>
  <c r="R19" i="19"/>
  <c r="S11" i="19"/>
  <c r="R10" i="19"/>
  <c r="S7" i="19"/>
  <c r="R6" i="19"/>
  <c r="S13" i="19"/>
  <c r="R12" i="19"/>
  <c r="S9" i="19"/>
  <c r="R8" i="19"/>
  <c r="S15" i="19"/>
  <c r="S5" i="19"/>
  <c r="S40" i="19"/>
  <c r="R39" i="19"/>
  <c r="S36" i="19"/>
  <c r="R35" i="19"/>
  <c r="S32" i="19"/>
  <c r="R5" i="19"/>
  <c r="E109" i="5"/>
  <c r="S14" i="19"/>
  <c r="R13" i="19"/>
  <c r="S10" i="19"/>
  <c r="R9" i="19"/>
  <c r="S6" i="19"/>
  <c r="S39" i="19"/>
  <c r="R38" i="19"/>
  <c r="S35" i="19"/>
  <c r="R34" i="19"/>
  <c r="S31" i="19"/>
  <c r="R30" i="19"/>
  <c r="S27" i="19"/>
  <c r="R26" i="19"/>
  <c r="S23" i="19"/>
  <c r="R22" i="19"/>
  <c r="S19" i="19"/>
  <c r="R18" i="19"/>
  <c r="R31" i="19"/>
  <c r="S16" i="19"/>
  <c r="R15" i="19"/>
  <c r="F109" i="5"/>
  <c r="R14" i="19"/>
  <c r="S12" i="19"/>
  <c r="R11" i="19"/>
  <c r="S8" i="19"/>
  <c r="R7" i="19"/>
  <c r="S41" i="19"/>
  <c r="R40" i="19"/>
  <c r="S37" i="19"/>
  <c r="R36" i="19"/>
  <c r="S33" i="19"/>
  <c r="R32" i="19"/>
  <c r="S29" i="19"/>
  <c r="R28" i="19"/>
  <c r="S25" i="19"/>
  <c r="R24" i="19"/>
  <c r="S21" i="19"/>
  <c r="R20" i="19"/>
  <c r="S17" i="19"/>
  <c r="R16" i="19"/>
  <c r="L12" i="22"/>
  <c r="L8" i="22" s="1"/>
  <c r="M12" i="22"/>
  <c r="M8" i="22" s="1"/>
  <c r="A5" i="2"/>
  <c r="C5" i="2"/>
  <c r="C43" i="25" s="1"/>
  <c r="C50" i="25" s="1"/>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142" i="2"/>
  <c r="A143" i="2"/>
  <c r="A144" i="2"/>
  <c r="A145" i="2"/>
  <c r="A146" i="2"/>
  <c r="C52" i="25" l="1"/>
  <c r="C54" i="25" s="1"/>
  <c r="C29" i="2"/>
  <c r="C57" i="2" s="1"/>
  <c r="C119" i="2" s="1"/>
  <c r="E92" i="5"/>
  <c r="D93" i="5"/>
  <c r="C94" i="5"/>
  <c r="B95" i="5"/>
  <c r="F95" i="5"/>
  <c r="E96" i="5"/>
  <c r="B92" i="5"/>
  <c r="F92" i="5"/>
  <c r="E93" i="5"/>
  <c r="D94" i="5"/>
  <c r="C95" i="5"/>
  <c r="B96" i="5"/>
  <c r="F96" i="5"/>
  <c r="C92" i="5"/>
  <c r="B93" i="5"/>
  <c r="F93" i="5"/>
  <c r="E94" i="5"/>
  <c r="D95" i="5"/>
  <c r="C96" i="5"/>
  <c r="F91" i="5"/>
  <c r="D92" i="5"/>
  <c r="C93" i="5"/>
  <c r="B94" i="5"/>
  <c r="F94" i="5"/>
  <c r="E95" i="5"/>
  <c r="D96" i="5"/>
  <c r="R5" i="2"/>
  <c r="B91" i="5"/>
  <c r="D6" i="8"/>
  <c r="C7" i="8"/>
  <c r="B8" i="8"/>
  <c r="F8" i="8"/>
  <c r="E9" i="8"/>
  <c r="D10" i="8"/>
  <c r="D7" i="8"/>
  <c r="B9" i="8"/>
  <c r="E10" i="8"/>
  <c r="B7" i="8"/>
  <c r="E8" i="8"/>
  <c r="C10" i="8"/>
  <c r="E6" i="8"/>
  <c r="C8" i="8"/>
  <c r="F9" i="8"/>
  <c r="F10" i="8"/>
  <c r="F7" i="8"/>
  <c r="D9" i="8"/>
  <c r="B6" i="8"/>
  <c r="F6" i="8"/>
  <c r="E7" i="8"/>
  <c r="D8" i="8"/>
  <c r="C9" i="8"/>
  <c r="B10" i="8"/>
  <c r="B32" i="8" s="1"/>
  <c r="C6" i="8"/>
  <c r="E5" i="8"/>
  <c r="F5" i="8"/>
  <c r="B5" i="8"/>
  <c r="C91" i="5"/>
  <c r="D91" i="5"/>
  <c r="C5" i="8"/>
  <c r="D5" i="8"/>
  <c r="V5" i="2"/>
  <c r="T5" i="2"/>
  <c r="W5" i="2"/>
  <c r="U5" i="2"/>
  <c r="S5" i="2"/>
  <c r="A52" i="5"/>
  <c r="A53" i="5"/>
  <c r="A54" i="5"/>
  <c r="A6" i="5"/>
  <c r="C55" i="25" l="1"/>
  <c r="F97" i="5"/>
  <c r="E98" i="5"/>
  <c r="E99" i="5" s="1"/>
  <c r="U29" i="2"/>
  <c r="D129" i="5"/>
  <c r="F129" i="5"/>
  <c r="D98" i="5"/>
  <c r="D99" i="5" s="1"/>
  <c r="D97" i="5"/>
  <c r="R29" i="2"/>
  <c r="C97" i="5"/>
  <c r="F101" i="5"/>
  <c r="B98" i="5"/>
  <c r="B99" i="5" s="1"/>
  <c r="B21" i="8"/>
  <c r="B30" i="8" s="1"/>
  <c r="C98" i="5"/>
  <c r="D101" i="5"/>
  <c r="E101" i="5"/>
  <c r="C101" i="5"/>
  <c r="S29" i="2"/>
  <c r="B97" i="5"/>
  <c r="F98" i="5"/>
  <c r="B15" i="8"/>
  <c r="B16" i="8"/>
  <c r="B17" i="8"/>
  <c r="C54" i="5"/>
  <c r="D54" i="5"/>
  <c r="F54" i="5"/>
  <c r="B54" i="5"/>
  <c r="E54" i="5"/>
  <c r="D53" i="5"/>
  <c r="F53" i="5"/>
  <c r="B53" i="5"/>
  <c r="E53" i="5"/>
  <c r="C53" i="5"/>
  <c r="E52" i="5"/>
  <c r="F52" i="5"/>
  <c r="D52" i="5"/>
  <c r="B52" i="5"/>
  <c r="C52" i="5"/>
  <c r="F21" i="8"/>
  <c r="F30" i="8" s="1"/>
  <c r="E21" i="8"/>
  <c r="E30" i="8" s="1"/>
  <c r="B20" i="8"/>
  <c r="D6" i="5"/>
  <c r="C6" i="5"/>
  <c r="E6" i="5"/>
  <c r="B6" i="5"/>
  <c r="B3" i="5" s="1"/>
  <c r="F6" i="5"/>
  <c r="D130" i="5" s="1"/>
  <c r="D17" i="8"/>
  <c r="D16" i="8"/>
  <c r="F15" i="8"/>
  <c r="F20" i="8"/>
  <c r="E20" i="8"/>
  <c r="E15" i="8"/>
  <c r="E16" i="8"/>
  <c r="E17" i="8"/>
  <c r="F32" i="8"/>
  <c r="F22" i="8"/>
  <c r="D21" i="8"/>
  <c r="D30" i="8" s="1"/>
  <c r="E32" i="8"/>
  <c r="E22" i="8"/>
  <c r="C21" i="8"/>
  <c r="C30" i="8" s="1"/>
  <c r="C15" i="8"/>
  <c r="C20" i="8"/>
  <c r="D32" i="8"/>
  <c r="D22" i="8"/>
  <c r="F17" i="8"/>
  <c r="F16" i="8"/>
  <c r="D15" i="8"/>
  <c r="D20" i="8"/>
  <c r="C32" i="8"/>
  <c r="C22" i="8"/>
  <c r="C16" i="8"/>
  <c r="C17" i="8"/>
  <c r="B27" i="8"/>
  <c r="H16" i="22"/>
  <c r="H12" i="22" s="1"/>
  <c r="I16" i="22"/>
  <c r="I12" i="22" s="1"/>
  <c r="D121" i="5" l="1"/>
  <c r="D100" i="5"/>
  <c r="C86" i="25"/>
  <c r="C87" i="25" s="1"/>
  <c r="C110" i="25"/>
  <c r="C111" i="25" s="1"/>
  <c r="C116" i="25"/>
  <c r="C117" i="25" s="1"/>
  <c r="C118" i="25" s="1"/>
  <c r="C76" i="25"/>
  <c r="C77" i="25" s="1"/>
  <c r="C78" i="25" s="1"/>
  <c r="U57" i="2"/>
  <c r="C20" i="25"/>
  <c r="C36" i="25"/>
  <c r="C38" i="25" s="1"/>
  <c r="C39" i="25" s="1"/>
  <c r="S57" i="2"/>
  <c r="E100" i="5"/>
  <c r="D102" i="5"/>
  <c r="D106" i="5"/>
  <c r="C106" i="5"/>
  <c r="R57" i="2"/>
  <c r="R119" i="2"/>
  <c r="F120" i="5"/>
  <c r="F100" i="5"/>
  <c r="F99" i="5"/>
  <c r="F102" i="5" s="1"/>
  <c r="C99" i="5"/>
  <c r="C102" i="5" s="1"/>
  <c r="C100" i="5"/>
  <c r="B102" i="5"/>
  <c r="E2" i="5"/>
  <c r="C2" i="5"/>
  <c r="F2" i="5"/>
  <c r="G125" i="5"/>
  <c r="D2" i="5"/>
  <c r="B18" i="8"/>
  <c r="B28" i="8"/>
  <c r="C107" i="5"/>
  <c r="C18" i="8"/>
  <c r="E3" i="5"/>
  <c r="C3" i="5"/>
  <c r="D3" i="5"/>
  <c r="E18" i="8"/>
  <c r="D23" i="8"/>
  <c r="D28" i="8"/>
  <c r="C23" i="8"/>
  <c r="C28" i="8"/>
  <c r="E28" i="8"/>
  <c r="E23" i="8"/>
  <c r="F28" i="8"/>
  <c r="F23" i="8"/>
  <c r="F18" i="8"/>
  <c r="D18" i="8"/>
  <c r="F3" i="5"/>
  <c r="E12" i="22"/>
  <c r="G8" i="22" s="1"/>
  <c r="J4" i="22" s="1"/>
  <c r="F8" i="22"/>
  <c r="I4" i="22" s="1"/>
  <c r="G105" i="5" l="1"/>
  <c r="H105" i="5" s="1"/>
  <c r="I105" i="5" s="1"/>
  <c r="J105" i="5" s="1"/>
  <c r="C21" i="25"/>
  <c r="C22" i="25" s="1"/>
  <c r="C110" i="5"/>
  <c r="C112" i="5"/>
  <c r="G18" i="5"/>
  <c r="H18" i="5" s="1"/>
  <c r="I18" i="5" s="1"/>
  <c r="J18" i="5" s="1"/>
  <c r="K18" i="5" s="1"/>
  <c r="L18" i="5" s="1"/>
  <c r="G21" i="5"/>
  <c r="H21" i="5" s="1"/>
  <c r="I21" i="5" s="1"/>
  <c r="J21" i="5" s="1"/>
  <c r="K21" i="5" s="1"/>
  <c r="L21" i="5" s="1"/>
  <c r="G8" i="5"/>
  <c r="H8" i="5" s="1"/>
  <c r="I8" i="5" s="1"/>
  <c r="J8" i="5" s="1"/>
  <c r="K8" i="5" s="1"/>
  <c r="L8" i="5" s="1"/>
  <c r="G14" i="5"/>
  <c r="H14" i="5" s="1"/>
  <c r="I14" i="5" s="1"/>
  <c r="J14" i="5" s="1"/>
  <c r="K14" i="5" s="1"/>
  <c r="L14" i="5" s="1"/>
  <c r="G22" i="5"/>
  <c r="H22" i="5" s="1"/>
  <c r="I22" i="5" s="1"/>
  <c r="J22" i="5" s="1"/>
  <c r="K22" i="5" s="1"/>
  <c r="L22" i="5" s="1"/>
  <c r="G35" i="5"/>
  <c r="H35" i="5" s="1"/>
  <c r="I35" i="5" s="1"/>
  <c r="J35" i="5" s="1"/>
  <c r="K35" i="5" s="1"/>
  <c r="L35" i="5" s="1"/>
  <c r="G24" i="5"/>
  <c r="H24" i="5" s="1"/>
  <c r="I24" i="5" s="1"/>
  <c r="J24" i="5" s="1"/>
  <c r="K24" i="5" s="1"/>
  <c r="L24" i="5" s="1"/>
  <c r="G12" i="5"/>
  <c r="H12" i="5" s="1"/>
  <c r="I12" i="5" s="1"/>
  <c r="J12" i="5" s="1"/>
  <c r="K12" i="5" s="1"/>
  <c r="L12" i="5" s="1"/>
  <c r="G25" i="5"/>
  <c r="H25" i="5" s="1"/>
  <c r="I25" i="5" s="1"/>
  <c r="J25" i="5" s="1"/>
  <c r="K25" i="5" s="1"/>
  <c r="L25" i="5" s="1"/>
  <c r="G41" i="5"/>
  <c r="H41" i="5" s="1"/>
  <c r="I41" i="5" s="1"/>
  <c r="J41" i="5" s="1"/>
  <c r="K41" i="5" s="1"/>
  <c r="L41" i="5" s="1"/>
  <c r="G10" i="5"/>
  <c r="H10" i="5" s="1"/>
  <c r="I10" i="5" s="1"/>
  <c r="J10" i="5" s="1"/>
  <c r="K10" i="5" s="1"/>
  <c r="L10" i="5" s="1"/>
  <c r="G39" i="5"/>
  <c r="H39" i="5" s="1"/>
  <c r="I39" i="5" s="1"/>
  <c r="J39" i="5" s="1"/>
  <c r="K39" i="5" s="1"/>
  <c r="L39" i="5" s="1"/>
  <c r="G23" i="5"/>
  <c r="H23" i="5" s="1"/>
  <c r="I23" i="5" s="1"/>
  <c r="J23" i="5" s="1"/>
  <c r="K23" i="5" s="1"/>
  <c r="L23" i="5" s="1"/>
  <c r="G28" i="5"/>
  <c r="H28" i="5" s="1"/>
  <c r="I28" i="5" s="1"/>
  <c r="J28" i="5" s="1"/>
  <c r="K28" i="5" s="1"/>
  <c r="L28" i="5" s="1"/>
  <c r="G34" i="5"/>
  <c r="H34" i="5" s="1"/>
  <c r="I34" i="5" s="1"/>
  <c r="J34" i="5" s="1"/>
  <c r="K34" i="5" s="1"/>
  <c r="L34" i="5" s="1"/>
  <c r="G20" i="5"/>
  <c r="H20" i="5" s="1"/>
  <c r="I20" i="5" s="1"/>
  <c r="J20" i="5" s="1"/>
  <c r="K20" i="5" s="1"/>
  <c r="L20" i="5" s="1"/>
  <c r="G33" i="5"/>
  <c r="H33" i="5" s="1"/>
  <c r="I33" i="5" s="1"/>
  <c r="J33" i="5" s="1"/>
  <c r="K33" i="5" s="1"/>
  <c r="L33" i="5" s="1"/>
  <c r="G44" i="5"/>
  <c r="H44" i="5" s="1"/>
  <c r="I44" i="5" s="1"/>
  <c r="J44" i="5" s="1"/>
  <c r="K44" i="5" s="1"/>
  <c r="L44" i="5" s="1"/>
  <c r="G7" i="5"/>
  <c r="H7" i="5" s="1"/>
  <c r="I7" i="5" s="1"/>
  <c r="J7" i="5" s="1"/>
  <c r="K7" i="5" s="1"/>
  <c r="L7" i="5" s="1"/>
  <c r="G42" i="5"/>
  <c r="H42" i="5" s="1"/>
  <c r="I42" i="5" s="1"/>
  <c r="J42" i="5" s="1"/>
  <c r="K42" i="5" s="1"/>
  <c r="L42" i="5" s="1"/>
  <c r="G38" i="5"/>
  <c r="H38" i="5" s="1"/>
  <c r="I38" i="5" s="1"/>
  <c r="J38" i="5" s="1"/>
  <c r="K38" i="5" s="1"/>
  <c r="L38" i="5" s="1"/>
  <c r="G45" i="5"/>
  <c r="H45" i="5" s="1"/>
  <c r="I45" i="5" s="1"/>
  <c r="J45" i="5" s="1"/>
  <c r="K45" i="5" s="1"/>
  <c r="L45" i="5" s="1"/>
  <c r="G15" i="5"/>
  <c r="H15" i="5" s="1"/>
  <c r="I15" i="5" s="1"/>
  <c r="J15" i="5" s="1"/>
  <c r="K15" i="5" s="1"/>
  <c r="L15" i="5" s="1"/>
  <c r="G36" i="5"/>
  <c r="H36" i="5" s="1"/>
  <c r="I36" i="5" s="1"/>
  <c r="J36" i="5" s="1"/>
  <c r="K36" i="5" s="1"/>
  <c r="L36" i="5" s="1"/>
  <c r="G32" i="5"/>
  <c r="H32" i="5" s="1"/>
  <c r="I32" i="5" s="1"/>
  <c r="J32" i="5" s="1"/>
  <c r="K32" i="5" s="1"/>
  <c r="L32" i="5" s="1"/>
  <c r="G26" i="5"/>
  <c r="H26" i="5" s="1"/>
  <c r="I26" i="5" s="1"/>
  <c r="J26" i="5" s="1"/>
  <c r="K26" i="5" s="1"/>
  <c r="L26" i="5" s="1"/>
  <c r="G13" i="5"/>
  <c r="H13" i="5" s="1"/>
  <c r="I13" i="5" s="1"/>
  <c r="J13" i="5" s="1"/>
  <c r="K13" i="5" s="1"/>
  <c r="L13" i="5" s="1"/>
  <c r="G31" i="5"/>
  <c r="H31" i="5" s="1"/>
  <c r="I31" i="5" s="1"/>
  <c r="J31" i="5" s="1"/>
  <c r="K31" i="5" s="1"/>
  <c r="L31" i="5" s="1"/>
  <c r="G29" i="5"/>
  <c r="H29" i="5" s="1"/>
  <c r="I29" i="5" s="1"/>
  <c r="J29" i="5" s="1"/>
  <c r="K29" i="5" s="1"/>
  <c r="L29" i="5" s="1"/>
  <c r="G11" i="5"/>
  <c r="H11" i="5" s="1"/>
  <c r="I11" i="5" s="1"/>
  <c r="J11" i="5" s="1"/>
  <c r="K11" i="5" s="1"/>
  <c r="L11" i="5" s="1"/>
  <c r="G17" i="5"/>
  <c r="H17" i="5" s="1"/>
  <c r="I17" i="5" s="1"/>
  <c r="J17" i="5" s="1"/>
  <c r="K17" i="5" s="1"/>
  <c r="L17" i="5" s="1"/>
  <c r="G43" i="5"/>
  <c r="H43" i="5" s="1"/>
  <c r="I43" i="5" s="1"/>
  <c r="J43" i="5" s="1"/>
  <c r="K43" i="5" s="1"/>
  <c r="L43" i="5" s="1"/>
  <c r="G30" i="5"/>
  <c r="H30" i="5" s="1"/>
  <c r="I30" i="5" s="1"/>
  <c r="J30" i="5" s="1"/>
  <c r="K30" i="5" s="1"/>
  <c r="L30" i="5" s="1"/>
  <c r="G40" i="5"/>
  <c r="H40" i="5" s="1"/>
  <c r="I40" i="5" s="1"/>
  <c r="J40" i="5" s="1"/>
  <c r="K40" i="5" s="1"/>
  <c r="L40" i="5" s="1"/>
  <c r="G37" i="5"/>
  <c r="H37" i="5" s="1"/>
  <c r="I37" i="5" s="1"/>
  <c r="J37" i="5" s="1"/>
  <c r="K37" i="5" s="1"/>
  <c r="L37" i="5" s="1"/>
  <c r="G27" i="5"/>
  <c r="H27" i="5" s="1"/>
  <c r="I27" i="5" s="1"/>
  <c r="J27" i="5" s="1"/>
  <c r="K27" i="5" s="1"/>
  <c r="L27" i="5" s="1"/>
  <c r="G6" i="5"/>
  <c r="C113" i="5"/>
  <c r="G16" i="5" l="1"/>
  <c r="H16" i="5" s="1"/>
  <c r="I16" i="5" s="1"/>
  <c r="J16" i="5" s="1"/>
  <c r="K16" i="5" s="1"/>
  <c r="L16" i="5" s="1"/>
  <c r="G9" i="5"/>
  <c r="H9" i="5" s="1"/>
  <c r="I9" i="5" s="1"/>
  <c r="J9" i="5" s="1"/>
  <c r="K9" i="5" s="1"/>
  <c r="L9" i="5" s="1"/>
  <c r="G19" i="5"/>
  <c r="H19" i="5" s="1"/>
  <c r="I19" i="5" s="1"/>
  <c r="J19" i="5" s="1"/>
  <c r="K19" i="5" s="1"/>
  <c r="L19" i="5" s="1"/>
  <c r="G2" i="5"/>
  <c r="C113" i="9"/>
  <c r="D113" i="9"/>
  <c r="D132" i="9"/>
  <c r="B126" i="9" s="1"/>
  <c r="E125" i="9"/>
  <c r="F124" i="9"/>
  <c r="G124" i="9" s="1"/>
  <c r="H124" i="9" s="1"/>
  <c r="I124" i="9" s="1"/>
  <c r="J124" i="9" s="1"/>
  <c r="B113" i="9"/>
  <c r="F111" i="9"/>
  <c r="D87" i="9"/>
  <c r="E87" i="9" s="1"/>
  <c r="F87" i="9" s="1"/>
  <c r="G87" i="9" s="1"/>
  <c r="H87" i="9" s="1"/>
  <c r="I87" i="9" s="1"/>
  <c r="J87" i="9" s="1"/>
  <c r="C87" i="9"/>
  <c r="B87" i="9"/>
  <c r="A87" i="9"/>
  <c r="D86" i="9"/>
  <c r="E86" i="9" s="1"/>
  <c r="C86" i="9"/>
  <c r="B86" i="9"/>
  <c r="A86" i="9"/>
  <c r="D85" i="9"/>
  <c r="E85" i="9" s="1"/>
  <c r="F85" i="9" s="1"/>
  <c r="G85" i="9" s="1"/>
  <c r="H85" i="9" s="1"/>
  <c r="I85" i="9" s="1"/>
  <c r="J85" i="9" s="1"/>
  <c r="C85" i="9"/>
  <c r="B85" i="9"/>
  <c r="A85" i="9"/>
  <c r="D84" i="9"/>
  <c r="E84" i="9" s="1"/>
  <c r="F84" i="9" s="1"/>
  <c r="G84" i="9" s="1"/>
  <c r="H84" i="9" s="1"/>
  <c r="I84" i="9" s="1"/>
  <c r="J84" i="9" s="1"/>
  <c r="C84" i="9"/>
  <c r="B84" i="9"/>
  <c r="A84" i="9"/>
  <c r="D83" i="9"/>
  <c r="E83" i="9" s="1"/>
  <c r="F83" i="9" s="1"/>
  <c r="G83" i="9" s="1"/>
  <c r="H83" i="9" s="1"/>
  <c r="I83" i="9" s="1"/>
  <c r="J83" i="9" s="1"/>
  <c r="C83" i="9"/>
  <c r="B83" i="9"/>
  <c r="A83" i="9"/>
  <c r="D82" i="9"/>
  <c r="E82" i="9" s="1"/>
  <c r="F82" i="9" s="1"/>
  <c r="G82" i="9" s="1"/>
  <c r="H82" i="9" s="1"/>
  <c r="I82" i="9" s="1"/>
  <c r="J82" i="9" s="1"/>
  <c r="C82" i="9"/>
  <c r="B82" i="9"/>
  <c r="A82" i="9"/>
  <c r="D81" i="9"/>
  <c r="E81" i="9" s="1"/>
  <c r="F81" i="9" s="1"/>
  <c r="G81" i="9" s="1"/>
  <c r="H81" i="9" s="1"/>
  <c r="I81" i="9" s="1"/>
  <c r="J81" i="9" s="1"/>
  <c r="C81" i="9"/>
  <c r="B81" i="9"/>
  <c r="A81" i="9"/>
  <c r="D80" i="9"/>
  <c r="E80" i="9" s="1"/>
  <c r="F80" i="9" s="1"/>
  <c r="G80" i="9" s="1"/>
  <c r="H80" i="9" s="1"/>
  <c r="I80" i="9" s="1"/>
  <c r="J80" i="9" s="1"/>
  <c r="C80" i="9"/>
  <c r="B80" i="9"/>
  <c r="A80" i="9"/>
  <c r="D79" i="9"/>
  <c r="E79" i="9" s="1"/>
  <c r="F79" i="9" s="1"/>
  <c r="G79" i="9" s="1"/>
  <c r="H79" i="9" s="1"/>
  <c r="I79" i="9" s="1"/>
  <c r="J79" i="9" s="1"/>
  <c r="C79" i="9"/>
  <c r="B79" i="9"/>
  <c r="A79" i="9"/>
  <c r="D78" i="9"/>
  <c r="E78" i="9" s="1"/>
  <c r="F78" i="9" s="1"/>
  <c r="G78" i="9" s="1"/>
  <c r="H78" i="9" s="1"/>
  <c r="I78" i="9" s="1"/>
  <c r="J78" i="9" s="1"/>
  <c r="C78" i="9"/>
  <c r="B78" i="9"/>
  <c r="A78" i="9"/>
  <c r="D77" i="9"/>
  <c r="E77" i="9" s="1"/>
  <c r="F77" i="9" s="1"/>
  <c r="G77" i="9" s="1"/>
  <c r="H77" i="9" s="1"/>
  <c r="I77" i="9" s="1"/>
  <c r="J77" i="9" s="1"/>
  <c r="C77" i="9"/>
  <c r="B77" i="9"/>
  <c r="A77" i="9"/>
  <c r="D76" i="9"/>
  <c r="E76" i="9" s="1"/>
  <c r="F76" i="9" s="1"/>
  <c r="G76" i="9" s="1"/>
  <c r="H76" i="9" s="1"/>
  <c r="I76" i="9" s="1"/>
  <c r="J76" i="9" s="1"/>
  <c r="C76" i="9"/>
  <c r="B76" i="9"/>
  <c r="A76" i="9"/>
  <c r="D75" i="9"/>
  <c r="E75" i="9" s="1"/>
  <c r="F75" i="9" s="1"/>
  <c r="G75" i="9" s="1"/>
  <c r="H75" i="9" s="1"/>
  <c r="I75" i="9" s="1"/>
  <c r="J75" i="9" s="1"/>
  <c r="C75" i="9"/>
  <c r="B75" i="9"/>
  <c r="A75" i="9"/>
  <c r="D74" i="9"/>
  <c r="E74" i="9" s="1"/>
  <c r="F74" i="9" s="1"/>
  <c r="G74" i="9" s="1"/>
  <c r="H74" i="9" s="1"/>
  <c r="I74" i="9" s="1"/>
  <c r="J74" i="9" s="1"/>
  <c r="C74" i="9"/>
  <c r="B74" i="9"/>
  <c r="A74" i="9"/>
  <c r="D73" i="9"/>
  <c r="E73" i="9" s="1"/>
  <c r="F73" i="9" s="1"/>
  <c r="G73" i="9" s="1"/>
  <c r="H73" i="9" s="1"/>
  <c r="I73" i="9" s="1"/>
  <c r="J73" i="9" s="1"/>
  <c r="C73" i="9"/>
  <c r="B73" i="9"/>
  <c r="A73" i="9"/>
  <c r="D72" i="9"/>
  <c r="E72" i="9" s="1"/>
  <c r="F72" i="9" s="1"/>
  <c r="G72" i="9" s="1"/>
  <c r="H72" i="9" s="1"/>
  <c r="I72" i="9" s="1"/>
  <c r="J72" i="9" s="1"/>
  <c r="C72" i="9"/>
  <c r="B72" i="9"/>
  <c r="A72" i="9"/>
  <c r="D71" i="9"/>
  <c r="E71" i="9" s="1"/>
  <c r="F71" i="9" s="1"/>
  <c r="G71" i="9" s="1"/>
  <c r="H71" i="9" s="1"/>
  <c r="I71" i="9" s="1"/>
  <c r="J71" i="9" s="1"/>
  <c r="C71" i="9"/>
  <c r="B71" i="9"/>
  <c r="A71" i="9"/>
  <c r="D70" i="9"/>
  <c r="E70" i="9" s="1"/>
  <c r="F70" i="9" s="1"/>
  <c r="G70" i="9" s="1"/>
  <c r="H70" i="9" s="1"/>
  <c r="I70" i="9" s="1"/>
  <c r="J70" i="9" s="1"/>
  <c r="C70" i="9"/>
  <c r="B70" i="9"/>
  <c r="A70" i="9"/>
  <c r="D69" i="9"/>
  <c r="E69" i="9" s="1"/>
  <c r="F69" i="9" s="1"/>
  <c r="G69" i="9" s="1"/>
  <c r="H69" i="9" s="1"/>
  <c r="I69" i="9" s="1"/>
  <c r="J69" i="9" s="1"/>
  <c r="C69" i="9"/>
  <c r="B69" i="9"/>
  <c r="A69" i="9"/>
  <c r="D68" i="9"/>
  <c r="E68" i="9" s="1"/>
  <c r="F68" i="9" s="1"/>
  <c r="G68" i="9" s="1"/>
  <c r="H68" i="9" s="1"/>
  <c r="I68" i="9" s="1"/>
  <c r="J68" i="9" s="1"/>
  <c r="C68" i="9"/>
  <c r="B68" i="9"/>
  <c r="A68" i="9"/>
  <c r="D67" i="9"/>
  <c r="E67" i="9" s="1"/>
  <c r="F67" i="9" s="1"/>
  <c r="G67" i="9" s="1"/>
  <c r="H67" i="9" s="1"/>
  <c r="I67" i="9" s="1"/>
  <c r="J67" i="9" s="1"/>
  <c r="C67" i="9"/>
  <c r="B67" i="9"/>
  <c r="A67" i="9"/>
  <c r="D66" i="9"/>
  <c r="E66" i="9" s="1"/>
  <c r="F66" i="9" s="1"/>
  <c r="G66" i="9" s="1"/>
  <c r="H66" i="9" s="1"/>
  <c r="I66" i="9" s="1"/>
  <c r="J66" i="9" s="1"/>
  <c r="C66" i="9"/>
  <c r="B66" i="9"/>
  <c r="A66" i="9"/>
  <c r="D65" i="9"/>
  <c r="E65" i="9" s="1"/>
  <c r="F65" i="9" s="1"/>
  <c r="G65" i="9" s="1"/>
  <c r="H65" i="9" s="1"/>
  <c r="I65" i="9" s="1"/>
  <c r="J65" i="9" s="1"/>
  <c r="C65" i="9"/>
  <c r="B65" i="9"/>
  <c r="A65" i="9"/>
  <c r="D64" i="9"/>
  <c r="E64" i="9" s="1"/>
  <c r="F64" i="9" s="1"/>
  <c r="G64" i="9" s="1"/>
  <c r="H64" i="9" s="1"/>
  <c r="I64" i="9" s="1"/>
  <c r="J64" i="9" s="1"/>
  <c r="C64" i="9"/>
  <c r="B64" i="9"/>
  <c r="A64" i="9"/>
  <c r="D63" i="9"/>
  <c r="E63" i="9" s="1"/>
  <c r="F63" i="9" s="1"/>
  <c r="G63" i="9" s="1"/>
  <c r="H63" i="9" s="1"/>
  <c r="I63" i="9" s="1"/>
  <c r="J63" i="9" s="1"/>
  <c r="C63" i="9"/>
  <c r="B63" i="9"/>
  <c r="A63" i="9"/>
  <c r="D62" i="9"/>
  <c r="E62" i="9" s="1"/>
  <c r="F62" i="9" s="1"/>
  <c r="G62" i="9" s="1"/>
  <c r="H62" i="9" s="1"/>
  <c r="I62" i="9" s="1"/>
  <c r="J62" i="9" s="1"/>
  <c r="C62" i="9"/>
  <c r="B62" i="9"/>
  <c r="A62" i="9"/>
  <c r="D61" i="9"/>
  <c r="E61" i="9" s="1"/>
  <c r="F61" i="9" s="1"/>
  <c r="G61" i="9" s="1"/>
  <c r="H61" i="9" s="1"/>
  <c r="I61" i="9" s="1"/>
  <c r="J61" i="9" s="1"/>
  <c r="C61" i="9"/>
  <c r="B61" i="9"/>
  <c r="A61" i="9"/>
  <c r="D60" i="9"/>
  <c r="E60" i="9" s="1"/>
  <c r="F60" i="9" s="1"/>
  <c r="G60" i="9" s="1"/>
  <c r="H60" i="9" s="1"/>
  <c r="I60" i="9" s="1"/>
  <c r="J60" i="9" s="1"/>
  <c r="C60" i="9"/>
  <c r="B60" i="9"/>
  <c r="A60" i="9"/>
  <c r="D59" i="9"/>
  <c r="E59" i="9" s="1"/>
  <c r="F59" i="9" s="1"/>
  <c r="G59" i="9" s="1"/>
  <c r="H59" i="9" s="1"/>
  <c r="I59" i="9" s="1"/>
  <c r="J59" i="9" s="1"/>
  <c r="C59" i="9"/>
  <c r="B59" i="9"/>
  <c r="A59" i="9"/>
  <c r="D58" i="9"/>
  <c r="E58" i="9" s="1"/>
  <c r="F58" i="9" s="1"/>
  <c r="G58" i="9" s="1"/>
  <c r="H58" i="9" s="1"/>
  <c r="I58" i="9" s="1"/>
  <c r="J58" i="9" s="1"/>
  <c r="C58" i="9"/>
  <c r="B58" i="9"/>
  <c r="A58" i="9"/>
  <c r="D57" i="9"/>
  <c r="E57" i="9" s="1"/>
  <c r="F57" i="9" s="1"/>
  <c r="G57" i="9" s="1"/>
  <c r="H57" i="9" s="1"/>
  <c r="I57" i="9" s="1"/>
  <c r="J57" i="9" s="1"/>
  <c r="C57" i="9"/>
  <c r="B57" i="9"/>
  <c r="A57" i="9"/>
  <c r="D56" i="9"/>
  <c r="E56" i="9" s="1"/>
  <c r="F56" i="9" s="1"/>
  <c r="G56" i="9" s="1"/>
  <c r="H56" i="9" s="1"/>
  <c r="I56" i="9" s="1"/>
  <c r="J56" i="9" s="1"/>
  <c r="C56" i="9"/>
  <c r="B56" i="9"/>
  <c r="A56" i="9"/>
  <c r="D55" i="9"/>
  <c r="E55" i="9" s="1"/>
  <c r="F55" i="9" s="1"/>
  <c r="G55" i="9" s="1"/>
  <c r="H55" i="9" s="1"/>
  <c r="I55" i="9" s="1"/>
  <c r="J55" i="9" s="1"/>
  <c r="C55" i="9"/>
  <c r="B55" i="9"/>
  <c r="A55" i="9"/>
  <c r="D54" i="9"/>
  <c r="E54" i="9" s="1"/>
  <c r="F54" i="9" s="1"/>
  <c r="G54" i="9" s="1"/>
  <c r="H54" i="9" s="1"/>
  <c r="I54" i="9" s="1"/>
  <c r="J54" i="9" s="1"/>
  <c r="C54" i="9"/>
  <c r="B54" i="9"/>
  <c r="A54" i="9"/>
  <c r="D53" i="9"/>
  <c r="E53" i="9" s="1"/>
  <c r="F53" i="9" s="1"/>
  <c r="G53" i="9" s="1"/>
  <c r="H53" i="9" s="1"/>
  <c r="I53" i="9" s="1"/>
  <c r="J53" i="9" s="1"/>
  <c r="C53" i="9"/>
  <c r="B53" i="9"/>
  <c r="A53" i="9"/>
  <c r="D52" i="9"/>
  <c r="E52" i="9" s="1"/>
  <c r="F52" i="9" s="1"/>
  <c r="G52" i="9" s="1"/>
  <c r="H52" i="9" s="1"/>
  <c r="I52" i="9" s="1"/>
  <c r="J52" i="9" s="1"/>
  <c r="C52" i="9"/>
  <c r="B52" i="9"/>
  <c r="A52" i="9"/>
  <c r="D51" i="9"/>
  <c r="E51" i="9" s="1"/>
  <c r="F51" i="9" s="1"/>
  <c r="G51" i="9" s="1"/>
  <c r="H51" i="9" s="1"/>
  <c r="I51" i="9" s="1"/>
  <c r="J51" i="9" s="1"/>
  <c r="C51" i="9"/>
  <c r="B51" i="9"/>
  <c r="A51" i="9"/>
  <c r="D50" i="9"/>
  <c r="E50" i="9" s="1"/>
  <c r="F50" i="9" s="1"/>
  <c r="G50" i="9" s="1"/>
  <c r="H50" i="9" s="1"/>
  <c r="I50" i="9" s="1"/>
  <c r="J50" i="9" s="1"/>
  <c r="C50" i="9"/>
  <c r="B50" i="9"/>
  <c r="A50" i="9"/>
  <c r="D49" i="9"/>
  <c r="E49" i="9" s="1"/>
  <c r="F49" i="9" s="1"/>
  <c r="G49" i="9" s="1"/>
  <c r="H49" i="9" s="1"/>
  <c r="I49" i="9" s="1"/>
  <c r="J49" i="9" s="1"/>
  <c r="C49" i="9"/>
  <c r="B49" i="9"/>
  <c r="A49" i="9"/>
  <c r="D48" i="9"/>
  <c r="E48" i="9" s="1"/>
  <c r="F48" i="9" s="1"/>
  <c r="G48" i="9" s="1"/>
  <c r="H48" i="9" s="1"/>
  <c r="I48" i="9" s="1"/>
  <c r="J48" i="9" s="1"/>
  <c r="C48" i="9"/>
  <c r="B48" i="9"/>
  <c r="A48" i="9"/>
  <c r="D47" i="9"/>
  <c r="E47" i="9" s="1"/>
  <c r="F47" i="9" s="1"/>
  <c r="G47" i="9" s="1"/>
  <c r="H47" i="9" s="1"/>
  <c r="I47" i="9" s="1"/>
  <c r="J47" i="9" s="1"/>
  <c r="C47" i="9"/>
  <c r="B47" i="9"/>
  <c r="A47" i="9"/>
  <c r="D46" i="9"/>
  <c r="E46" i="9" s="1"/>
  <c r="F46" i="9" s="1"/>
  <c r="G46" i="9" s="1"/>
  <c r="H46" i="9" s="1"/>
  <c r="I46" i="9" s="1"/>
  <c r="J46" i="9" s="1"/>
  <c r="C46" i="9"/>
  <c r="B46" i="9"/>
  <c r="A46" i="9"/>
  <c r="D45" i="9"/>
  <c r="E45" i="9" s="1"/>
  <c r="F45" i="9" s="1"/>
  <c r="G45" i="9" s="1"/>
  <c r="H45" i="9" s="1"/>
  <c r="I45" i="9" s="1"/>
  <c r="J45" i="9" s="1"/>
  <c r="C45" i="9"/>
  <c r="B45" i="9"/>
  <c r="A45" i="9"/>
  <c r="D44" i="9"/>
  <c r="E44" i="9" s="1"/>
  <c r="F44" i="9" s="1"/>
  <c r="G44" i="9" s="1"/>
  <c r="H44" i="9" s="1"/>
  <c r="I44" i="9" s="1"/>
  <c r="J44" i="9" s="1"/>
  <c r="C44" i="9"/>
  <c r="B44" i="9"/>
  <c r="A44" i="9"/>
  <c r="D43" i="9"/>
  <c r="E43" i="9" s="1"/>
  <c r="F43" i="9" s="1"/>
  <c r="G43" i="9" s="1"/>
  <c r="H43" i="9" s="1"/>
  <c r="I43" i="9" s="1"/>
  <c r="J43" i="9" s="1"/>
  <c r="C43" i="9"/>
  <c r="B43" i="9"/>
  <c r="A43" i="9"/>
  <c r="D42" i="9"/>
  <c r="E42" i="9" s="1"/>
  <c r="F42" i="9" s="1"/>
  <c r="G42" i="9" s="1"/>
  <c r="H42" i="9" s="1"/>
  <c r="I42" i="9" s="1"/>
  <c r="J42" i="9" s="1"/>
  <c r="C42" i="9"/>
  <c r="B42" i="9"/>
  <c r="A42" i="9"/>
  <c r="D41" i="9"/>
  <c r="E41" i="9" s="1"/>
  <c r="F41" i="9" s="1"/>
  <c r="C41" i="9"/>
  <c r="B41" i="9"/>
  <c r="A41" i="9"/>
  <c r="D40" i="9"/>
  <c r="E40" i="9" s="1"/>
  <c r="F40" i="9" s="1"/>
  <c r="C40" i="9"/>
  <c r="B40" i="9"/>
  <c r="A40" i="9"/>
  <c r="D39" i="9"/>
  <c r="E39" i="9" s="1"/>
  <c r="F39" i="9" s="1"/>
  <c r="G39" i="9" s="1"/>
  <c r="H39" i="9" s="1"/>
  <c r="I39" i="9" s="1"/>
  <c r="J39" i="9" s="1"/>
  <c r="C39" i="9"/>
  <c r="B39" i="9"/>
  <c r="A39" i="9"/>
  <c r="D38" i="9"/>
  <c r="E38" i="9" s="1"/>
  <c r="F38" i="9" s="1"/>
  <c r="G38" i="9" s="1"/>
  <c r="H38" i="9" s="1"/>
  <c r="I38" i="9" s="1"/>
  <c r="J38" i="9" s="1"/>
  <c r="C38" i="9"/>
  <c r="B38" i="9"/>
  <c r="A38" i="9"/>
  <c r="D37" i="9"/>
  <c r="E37" i="9" s="1"/>
  <c r="F37" i="9" s="1"/>
  <c r="G37" i="9" s="1"/>
  <c r="H37" i="9" s="1"/>
  <c r="I37" i="9" s="1"/>
  <c r="J37" i="9" s="1"/>
  <c r="C37" i="9"/>
  <c r="B37" i="9"/>
  <c r="A37" i="9"/>
  <c r="D36" i="9"/>
  <c r="E36" i="9" s="1"/>
  <c r="F36" i="9" s="1"/>
  <c r="G36" i="9" s="1"/>
  <c r="H36" i="9" s="1"/>
  <c r="I36" i="9" s="1"/>
  <c r="J36" i="9" s="1"/>
  <c r="C36" i="9"/>
  <c r="B36" i="9"/>
  <c r="A36" i="9"/>
  <c r="D35" i="9"/>
  <c r="E35" i="9" s="1"/>
  <c r="F35" i="9" s="1"/>
  <c r="G35" i="9" s="1"/>
  <c r="H35" i="9" s="1"/>
  <c r="I35" i="9" s="1"/>
  <c r="J35" i="9" s="1"/>
  <c r="C35" i="9"/>
  <c r="B35" i="9"/>
  <c r="A35" i="9"/>
  <c r="D34" i="9"/>
  <c r="E34" i="9" s="1"/>
  <c r="F34" i="9" s="1"/>
  <c r="G34" i="9" s="1"/>
  <c r="H34" i="9" s="1"/>
  <c r="I34" i="9" s="1"/>
  <c r="J34" i="9" s="1"/>
  <c r="C34" i="9"/>
  <c r="B34" i="9"/>
  <c r="A34" i="9"/>
  <c r="D33" i="9"/>
  <c r="E33" i="9" s="1"/>
  <c r="F33" i="9" s="1"/>
  <c r="G33" i="9" s="1"/>
  <c r="H33" i="9" s="1"/>
  <c r="I33" i="9" s="1"/>
  <c r="J33" i="9" s="1"/>
  <c r="C33" i="9"/>
  <c r="B33" i="9"/>
  <c r="A33" i="9"/>
  <c r="D32" i="9"/>
  <c r="E32" i="9" s="1"/>
  <c r="F32" i="9" s="1"/>
  <c r="G32" i="9" s="1"/>
  <c r="H32" i="9" s="1"/>
  <c r="I32" i="9" s="1"/>
  <c r="J32" i="9" s="1"/>
  <c r="C32" i="9"/>
  <c r="B32" i="9"/>
  <c r="A32" i="9"/>
  <c r="D31" i="9"/>
  <c r="E31" i="9" s="1"/>
  <c r="F31" i="9" s="1"/>
  <c r="G31" i="9" s="1"/>
  <c r="H31" i="9" s="1"/>
  <c r="I31" i="9" s="1"/>
  <c r="J31" i="9" s="1"/>
  <c r="C31" i="9"/>
  <c r="B31" i="9"/>
  <c r="A31" i="9"/>
  <c r="D30" i="9"/>
  <c r="E30" i="9" s="1"/>
  <c r="F30" i="9" s="1"/>
  <c r="G30" i="9" s="1"/>
  <c r="H30" i="9" s="1"/>
  <c r="I30" i="9" s="1"/>
  <c r="J30" i="9" s="1"/>
  <c r="C30" i="9"/>
  <c r="B30" i="9"/>
  <c r="A30" i="9"/>
  <c r="D29" i="9"/>
  <c r="E29" i="9" s="1"/>
  <c r="F29" i="9" s="1"/>
  <c r="G29" i="9" s="1"/>
  <c r="H29" i="9" s="1"/>
  <c r="I29" i="9" s="1"/>
  <c r="J29" i="9" s="1"/>
  <c r="C29" i="9"/>
  <c r="B29" i="9"/>
  <c r="A29" i="9"/>
  <c r="D28" i="9"/>
  <c r="E28" i="9" s="1"/>
  <c r="F28" i="9" s="1"/>
  <c r="G28" i="9" s="1"/>
  <c r="H28" i="9" s="1"/>
  <c r="I28" i="9" s="1"/>
  <c r="J28" i="9" s="1"/>
  <c r="C28" i="9"/>
  <c r="B28" i="9"/>
  <c r="A28" i="9"/>
  <c r="D27" i="9"/>
  <c r="E27" i="9" s="1"/>
  <c r="F27" i="9" s="1"/>
  <c r="G27" i="9" s="1"/>
  <c r="H27" i="9" s="1"/>
  <c r="I27" i="9" s="1"/>
  <c r="J27" i="9" s="1"/>
  <c r="C27" i="9"/>
  <c r="B27" i="9"/>
  <c r="A27" i="9"/>
  <c r="D26" i="9"/>
  <c r="E26" i="9" s="1"/>
  <c r="F26" i="9" s="1"/>
  <c r="G26" i="9" s="1"/>
  <c r="H26" i="9" s="1"/>
  <c r="I26" i="9" s="1"/>
  <c r="J26" i="9" s="1"/>
  <c r="C26" i="9"/>
  <c r="B26" i="9"/>
  <c r="A26" i="9"/>
  <c r="D25" i="9"/>
  <c r="E25" i="9" s="1"/>
  <c r="F25" i="9" s="1"/>
  <c r="G25" i="9" s="1"/>
  <c r="H25" i="9" s="1"/>
  <c r="I25" i="9" s="1"/>
  <c r="J25" i="9" s="1"/>
  <c r="C25" i="9"/>
  <c r="B25" i="9"/>
  <c r="A25" i="9"/>
  <c r="D24" i="9"/>
  <c r="E24" i="9" s="1"/>
  <c r="F24" i="9" s="1"/>
  <c r="G24" i="9" s="1"/>
  <c r="H24" i="9" s="1"/>
  <c r="I24" i="9" s="1"/>
  <c r="J24" i="9" s="1"/>
  <c r="C24" i="9"/>
  <c r="B24" i="9"/>
  <c r="A24" i="9"/>
  <c r="D23" i="9"/>
  <c r="E23" i="9" s="1"/>
  <c r="F23" i="9" s="1"/>
  <c r="G23" i="9" s="1"/>
  <c r="H23" i="9" s="1"/>
  <c r="I23" i="9" s="1"/>
  <c r="J23" i="9" s="1"/>
  <c r="C23" i="9"/>
  <c r="B23" i="9"/>
  <c r="A23" i="9"/>
  <c r="D22" i="9"/>
  <c r="E22" i="9" s="1"/>
  <c r="F22" i="9" s="1"/>
  <c r="G22" i="9" s="1"/>
  <c r="H22" i="9" s="1"/>
  <c r="I22" i="9" s="1"/>
  <c r="J22" i="9" s="1"/>
  <c r="C22" i="9"/>
  <c r="B22" i="9"/>
  <c r="A22" i="9"/>
  <c r="D21" i="9"/>
  <c r="E21" i="9" s="1"/>
  <c r="F21" i="9" s="1"/>
  <c r="G21" i="9" s="1"/>
  <c r="H21" i="9" s="1"/>
  <c r="I21" i="9" s="1"/>
  <c r="J21" i="9" s="1"/>
  <c r="C21" i="9"/>
  <c r="B21" i="9"/>
  <c r="A21" i="9"/>
  <c r="D20" i="9"/>
  <c r="E20" i="9" s="1"/>
  <c r="F20" i="9" s="1"/>
  <c r="G20" i="9" s="1"/>
  <c r="H20" i="9" s="1"/>
  <c r="I20" i="9" s="1"/>
  <c r="J20" i="9" s="1"/>
  <c r="C20" i="9"/>
  <c r="B20" i="9"/>
  <c r="A20" i="9"/>
  <c r="D19" i="9"/>
  <c r="C19" i="9"/>
  <c r="B19" i="9"/>
  <c r="A19" i="9"/>
  <c r="D18" i="9"/>
  <c r="E18" i="9" s="1"/>
  <c r="F18" i="9" s="1"/>
  <c r="G18" i="9" s="1"/>
  <c r="H18" i="9" s="1"/>
  <c r="I18" i="9" s="1"/>
  <c r="J18" i="9" s="1"/>
  <c r="C18" i="9"/>
  <c r="B18" i="9"/>
  <c r="A18" i="9"/>
  <c r="D17" i="9"/>
  <c r="E17" i="9" s="1"/>
  <c r="F17" i="9" s="1"/>
  <c r="G17" i="9" s="1"/>
  <c r="H17" i="9" s="1"/>
  <c r="I17" i="9" s="1"/>
  <c r="J17" i="9" s="1"/>
  <c r="C17" i="9"/>
  <c r="B17" i="9"/>
  <c r="A17" i="9"/>
  <c r="D16" i="9"/>
  <c r="E16" i="9" s="1"/>
  <c r="F16" i="9" s="1"/>
  <c r="G16" i="9" s="1"/>
  <c r="H16" i="9" s="1"/>
  <c r="I16" i="9" s="1"/>
  <c r="J16" i="9" s="1"/>
  <c r="C16" i="9"/>
  <c r="B16" i="9"/>
  <c r="A16" i="9"/>
  <c r="D15" i="9"/>
  <c r="E15" i="9" s="1"/>
  <c r="F15" i="9" s="1"/>
  <c r="G15" i="9" s="1"/>
  <c r="H15" i="9" s="1"/>
  <c r="I15" i="9" s="1"/>
  <c r="J15" i="9" s="1"/>
  <c r="C15" i="9"/>
  <c r="B15" i="9"/>
  <c r="A15" i="9"/>
  <c r="D14" i="9"/>
  <c r="E14" i="9" s="1"/>
  <c r="F14" i="9" s="1"/>
  <c r="G14" i="9" s="1"/>
  <c r="H14" i="9" s="1"/>
  <c r="I14" i="9" s="1"/>
  <c r="J14" i="9" s="1"/>
  <c r="C14" i="9"/>
  <c r="B14" i="9"/>
  <c r="A14" i="9"/>
  <c r="D13" i="9"/>
  <c r="E13" i="9" s="1"/>
  <c r="F13" i="9" s="1"/>
  <c r="G13" i="9" s="1"/>
  <c r="H13" i="9" s="1"/>
  <c r="I13" i="9" s="1"/>
  <c r="J13" i="9" s="1"/>
  <c r="C13" i="9"/>
  <c r="B13" i="9"/>
  <c r="A13" i="9"/>
  <c r="D12" i="9"/>
  <c r="E12" i="9" s="1"/>
  <c r="F12" i="9" s="1"/>
  <c r="G12" i="9" s="1"/>
  <c r="H12" i="9" s="1"/>
  <c r="I12" i="9" s="1"/>
  <c r="J12" i="9" s="1"/>
  <c r="C12" i="9"/>
  <c r="B12" i="9"/>
  <c r="A12" i="9"/>
  <c r="D11" i="9"/>
  <c r="E11" i="9" s="1"/>
  <c r="F11" i="9" s="1"/>
  <c r="G11" i="9" s="1"/>
  <c r="H11" i="9" s="1"/>
  <c r="I11" i="9" s="1"/>
  <c r="J11" i="9" s="1"/>
  <c r="C11" i="9"/>
  <c r="B11" i="9"/>
  <c r="A11" i="9"/>
  <c r="D10" i="9"/>
  <c r="E10" i="9" s="1"/>
  <c r="F10" i="9" s="1"/>
  <c r="G10" i="9" s="1"/>
  <c r="H10" i="9" s="1"/>
  <c r="I10" i="9" s="1"/>
  <c r="J10" i="9" s="1"/>
  <c r="C10" i="9"/>
  <c r="B10" i="9"/>
  <c r="A10" i="9"/>
  <c r="D9" i="9"/>
  <c r="E9" i="9" s="1"/>
  <c r="F9" i="9" s="1"/>
  <c r="G9" i="9" s="1"/>
  <c r="H9" i="9" s="1"/>
  <c r="I9" i="9" s="1"/>
  <c r="J9" i="9" s="1"/>
  <c r="C9" i="9"/>
  <c r="B9" i="9"/>
  <c r="A9" i="9"/>
  <c r="D8" i="9"/>
  <c r="E8" i="9" s="1"/>
  <c r="F8" i="9" s="1"/>
  <c r="G8" i="9" s="1"/>
  <c r="H8" i="9" s="1"/>
  <c r="I8" i="9" s="1"/>
  <c r="J8" i="9" s="1"/>
  <c r="C8" i="9"/>
  <c r="B8" i="9"/>
  <c r="A8" i="9"/>
  <c r="D7" i="9"/>
  <c r="E7" i="9" s="1"/>
  <c r="F7" i="9" s="1"/>
  <c r="G7" i="9" s="1"/>
  <c r="H7" i="9" s="1"/>
  <c r="I7" i="9" s="1"/>
  <c r="J7" i="9" s="1"/>
  <c r="C7" i="9"/>
  <c r="B7" i="9"/>
  <c r="A7" i="9"/>
  <c r="D6" i="9"/>
  <c r="E6" i="9" s="1"/>
  <c r="C6" i="9"/>
  <c r="B6" i="9"/>
  <c r="A6" i="9"/>
  <c r="B1" i="9"/>
  <c r="F123" i="5"/>
  <c r="B88" i="9" l="1"/>
  <c r="C114" i="9"/>
  <c r="B127" i="9"/>
  <c r="B110" i="9" s="1"/>
  <c r="C110" i="9" s="1"/>
  <c r="D110" i="9" s="1"/>
  <c r="E110" i="9" s="1"/>
  <c r="F110" i="9" s="1"/>
  <c r="G110" i="9" s="1"/>
  <c r="H110" i="9" s="1"/>
  <c r="I110" i="9" s="1"/>
  <c r="J110" i="9" s="1"/>
  <c r="D114" i="9"/>
  <c r="B114" i="9"/>
  <c r="C2" i="9"/>
  <c r="F125" i="9"/>
  <c r="G125" i="9" s="1"/>
  <c r="H125" i="9" s="1"/>
  <c r="I125" i="9" s="1"/>
  <c r="J125" i="9" s="1"/>
  <c r="B92" i="9"/>
  <c r="D92" i="9"/>
  <c r="F6" i="9"/>
  <c r="E2" i="9"/>
  <c r="D2" i="9"/>
  <c r="E134" i="9"/>
  <c r="C92" i="9"/>
  <c r="E19" i="9"/>
  <c r="E114" i="9" s="1"/>
  <c r="G40" i="9"/>
  <c r="F89" i="9"/>
  <c r="G41" i="9"/>
  <c r="B90" i="9"/>
  <c r="B3" i="9" s="1"/>
  <c r="D90" i="9"/>
  <c r="B89" i="9"/>
  <c r="D89" i="9"/>
  <c r="F86" i="9"/>
  <c r="C90" i="9"/>
  <c r="C89" i="9"/>
  <c r="E89" i="9"/>
  <c r="K105" i="5" l="1"/>
  <c r="G46" i="5"/>
  <c r="H46" i="5" s="1"/>
  <c r="I46" i="5" s="1"/>
  <c r="J46" i="5" s="1"/>
  <c r="K46" i="5" s="1"/>
  <c r="L46" i="5" s="1"/>
  <c r="G48" i="5"/>
  <c r="H48" i="5" s="1"/>
  <c r="I48" i="5" s="1"/>
  <c r="J48" i="5" s="1"/>
  <c r="K48" i="5" s="1"/>
  <c r="L48" i="5" s="1"/>
  <c r="G50" i="5"/>
  <c r="H50" i="5" s="1"/>
  <c r="I50" i="5" s="1"/>
  <c r="J50" i="5" s="1"/>
  <c r="K50" i="5" s="1"/>
  <c r="L50" i="5" s="1"/>
  <c r="G47" i="5"/>
  <c r="H47" i="5" s="1"/>
  <c r="I47" i="5" s="1"/>
  <c r="J47" i="5" s="1"/>
  <c r="K47" i="5" s="1"/>
  <c r="L47" i="5" s="1"/>
  <c r="G49" i="5"/>
  <c r="H49" i="5" s="1"/>
  <c r="I49" i="5" s="1"/>
  <c r="J49" i="5" s="1"/>
  <c r="K49" i="5" s="1"/>
  <c r="L49" i="5" s="1"/>
  <c r="G51" i="5"/>
  <c r="H51" i="5" s="1"/>
  <c r="I51" i="5" s="1"/>
  <c r="J51" i="5" s="1"/>
  <c r="K51" i="5" s="1"/>
  <c r="L51" i="5" s="1"/>
  <c r="G54" i="5"/>
  <c r="H54" i="5" s="1"/>
  <c r="I54" i="5" s="1"/>
  <c r="J54" i="5" s="1"/>
  <c r="K54" i="5" s="1"/>
  <c r="L54" i="5" s="1"/>
  <c r="G53" i="5"/>
  <c r="H53" i="5" s="1"/>
  <c r="I53" i="5" s="1"/>
  <c r="J53" i="5" s="1"/>
  <c r="K53" i="5" s="1"/>
  <c r="L53" i="5" s="1"/>
  <c r="D93" i="9"/>
  <c r="E90" i="9"/>
  <c r="E91" i="9" s="1"/>
  <c r="B93" i="9"/>
  <c r="G86" i="9"/>
  <c r="D91" i="9"/>
  <c r="D112" i="9" s="1"/>
  <c r="D3" i="9"/>
  <c r="G89" i="9"/>
  <c r="H41" i="9"/>
  <c r="H40" i="9"/>
  <c r="E92" i="9"/>
  <c r="E93" i="9" s="1"/>
  <c r="F19" i="9"/>
  <c r="F114" i="9" s="1"/>
  <c r="C91" i="9"/>
  <c r="C112" i="9" s="1"/>
  <c r="C3" i="9"/>
  <c r="B91" i="9"/>
  <c r="C93" i="9"/>
  <c r="G6" i="9"/>
  <c r="F2" i="9"/>
  <c r="L105" i="5" l="1"/>
  <c r="G89" i="5"/>
  <c r="G104" i="5" s="1"/>
  <c r="G52" i="5"/>
  <c r="H52" i="5" s="1"/>
  <c r="I52" i="5" s="1"/>
  <c r="J52" i="5" s="1"/>
  <c r="K52" i="5" s="1"/>
  <c r="L52" i="5" s="1"/>
  <c r="H6" i="5"/>
  <c r="I6" i="5" s="1"/>
  <c r="J6" i="5" s="1"/>
  <c r="K6" i="5" s="1"/>
  <c r="L6" i="5" s="1"/>
  <c r="E3" i="9"/>
  <c r="H6" i="9"/>
  <c r="G2" i="9"/>
  <c r="F92" i="9"/>
  <c r="F93" i="9" s="1"/>
  <c r="G19" i="9"/>
  <c r="G114" i="9" s="1"/>
  <c r="F90" i="9"/>
  <c r="I40" i="9"/>
  <c r="H89" i="9"/>
  <c r="I41" i="9"/>
  <c r="B112" i="9"/>
  <c r="B94" i="9"/>
  <c r="C94" i="9"/>
  <c r="D94" i="9"/>
  <c r="H86" i="9"/>
  <c r="E112" i="9"/>
  <c r="E94" i="9"/>
  <c r="G3" i="5" l="1"/>
  <c r="H89" i="5"/>
  <c r="H104" i="5" s="1"/>
  <c r="E113" i="9"/>
  <c r="G92" i="9"/>
  <c r="G93" i="9" s="1"/>
  <c r="H19" i="9"/>
  <c r="H114" i="9" s="1"/>
  <c r="G90" i="9"/>
  <c r="I86" i="9"/>
  <c r="I89" i="9"/>
  <c r="J41" i="9"/>
  <c r="J40" i="9"/>
  <c r="F91" i="9"/>
  <c r="F3" i="9"/>
  <c r="I6" i="9"/>
  <c r="H2" i="9"/>
  <c r="H3" i="5" l="1"/>
  <c r="I89" i="5"/>
  <c r="I104" i="5" s="1"/>
  <c r="J89" i="9"/>
  <c r="J6" i="9"/>
  <c r="J2" i="9" s="1"/>
  <c r="I2" i="9"/>
  <c r="F112" i="9"/>
  <c r="F94" i="9"/>
  <c r="H92" i="9"/>
  <c r="H93" i="9" s="1"/>
  <c r="I19" i="9"/>
  <c r="I114" i="9" s="1"/>
  <c r="H90" i="9"/>
  <c r="J86" i="9"/>
  <c r="G91" i="9"/>
  <c r="G3" i="9"/>
  <c r="I3" i="5" l="1"/>
  <c r="J89" i="5"/>
  <c r="J104" i="5" s="1"/>
  <c r="F113" i="9"/>
  <c r="G112" i="9"/>
  <c r="G94" i="9"/>
  <c r="I92" i="9"/>
  <c r="I93" i="9" s="1"/>
  <c r="J19" i="9"/>
  <c r="J114" i="9" s="1"/>
  <c r="I90" i="9"/>
  <c r="H91" i="9"/>
  <c r="H3" i="9"/>
  <c r="J3" i="5" l="1"/>
  <c r="L89" i="5"/>
  <c r="L104" i="5" s="1"/>
  <c r="K89" i="5"/>
  <c r="K104" i="5" s="1"/>
  <c r="G113" i="9"/>
  <c r="J92" i="9"/>
  <c r="J93" i="9" s="1"/>
  <c r="J90" i="9"/>
  <c r="H112" i="9"/>
  <c r="H94" i="9"/>
  <c r="I91" i="9"/>
  <c r="I3" i="9"/>
  <c r="K3" i="5" l="1"/>
  <c r="L3" i="5"/>
  <c r="H113" i="9"/>
  <c r="J91" i="9"/>
  <c r="J3" i="9"/>
  <c r="I112" i="9"/>
  <c r="I94" i="9"/>
  <c r="I113" i="9" l="1"/>
  <c r="J112" i="9"/>
  <c r="J94" i="9"/>
  <c r="J113" i="9" l="1"/>
  <c r="A84" i="5" l="1"/>
  <c r="A85" i="5"/>
  <c r="A86" i="5"/>
  <c r="A87" i="5"/>
  <c r="A73" i="5"/>
  <c r="A74" i="5"/>
  <c r="A75" i="5"/>
  <c r="A76" i="5"/>
  <c r="A77" i="5"/>
  <c r="A78" i="5"/>
  <c r="A79" i="5"/>
  <c r="A80" i="5"/>
  <c r="A81" i="5"/>
  <c r="A82" i="5"/>
  <c r="A83" i="5"/>
  <c r="A70" i="5"/>
  <c r="A71" i="5"/>
  <c r="A72" i="5"/>
  <c r="A63" i="5"/>
  <c r="A64" i="5"/>
  <c r="A65" i="5"/>
  <c r="A66" i="5"/>
  <c r="A67" i="5"/>
  <c r="A68" i="5"/>
  <c r="A69" i="5"/>
  <c r="A58" i="5"/>
  <c r="A59" i="5"/>
  <c r="A60" i="5"/>
  <c r="A61" i="5"/>
  <c r="A62" i="5"/>
  <c r="A55" i="5"/>
  <c r="A56" i="5"/>
  <c r="A57" i="5"/>
  <c r="H103" i="5"/>
  <c r="I115" i="5" l="1"/>
  <c r="J115" i="5" s="1"/>
  <c r="K115" i="5" s="1"/>
  <c r="L115" i="5" s="1"/>
  <c r="H116" i="5"/>
  <c r="B59" i="5"/>
  <c r="E59" i="5"/>
  <c r="F59" i="5"/>
  <c r="G59" i="5" s="1"/>
  <c r="H59" i="5" s="1"/>
  <c r="I59" i="5" s="1"/>
  <c r="J59" i="5" s="1"/>
  <c r="K59" i="5" s="1"/>
  <c r="L59" i="5" s="1"/>
  <c r="C59" i="5"/>
  <c r="D59" i="5"/>
  <c r="E67" i="5"/>
  <c r="C67" i="5"/>
  <c r="F67" i="5"/>
  <c r="G67" i="5" s="1"/>
  <c r="H67" i="5" s="1"/>
  <c r="I67" i="5" s="1"/>
  <c r="J67" i="5" s="1"/>
  <c r="K67" i="5" s="1"/>
  <c r="L67" i="5" s="1"/>
  <c r="D67" i="5"/>
  <c r="B67" i="5"/>
  <c r="F63" i="5"/>
  <c r="G63" i="5" s="1"/>
  <c r="H63" i="5" s="1"/>
  <c r="I63" i="5" s="1"/>
  <c r="J63" i="5" s="1"/>
  <c r="K63" i="5" s="1"/>
  <c r="L63" i="5" s="1"/>
  <c r="C63" i="5"/>
  <c r="B63" i="5"/>
  <c r="E63" i="5"/>
  <c r="D63" i="5"/>
  <c r="F83" i="5"/>
  <c r="G83" i="5" s="1"/>
  <c r="H83" i="5" s="1"/>
  <c r="I83" i="5" s="1"/>
  <c r="J83" i="5" s="1"/>
  <c r="K83" i="5" s="1"/>
  <c r="L83" i="5" s="1"/>
  <c r="C83" i="5"/>
  <c r="E83" i="5"/>
  <c r="D83" i="5"/>
  <c r="B83" i="5"/>
  <c r="E79" i="5"/>
  <c r="C79" i="5"/>
  <c r="B79" i="5"/>
  <c r="F79" i="5"/>
  <c r="G79" i="5" s="1"/>
  <c r="H79" i="5" s="1"/>
  <c r="I79" i="5" s="1"/>
  <c r="J79" i="5" s="1"/>
  <c r="K79" i="5" s="1"/>
  <c r="L79" i="5" s="1"/>
  <c r="D79" i="5"/>
  <c r="B75" i="5"/>
  <c r="E75" i="5"/>
  <c r="C75" i="5"/>
  <c r="D75" i="5"/>
  <c r="F75" i="5"/>
  <c r="G75" i="5" s="1"/>
  <c r="H75" i="5" s="1"/>
  <c r="I75" i="5" s="1"/>
  <c r="J75" i="5" s="1"/>
  <c r="K75" i="5" s="1"/>
  <c r="L75" i="5" s="1"/>
  <c r="C86" i="5"/>
  <c r="F86" i="5"/>
  <c r="G86" i="5" s="1"/>
  <c r="H86" i="5" s="1"/>
  <c r="I86" i="5" s="1"/>
  <c r="J86" i="5" s="1"/>
  <c r="K86" i="5" s="1"/>
  <c r="L86" i="5" s="1"/>
  <c r="D86" i="5"/>
  <c r="B86" i="5"/>
  <c r="E86" i="5"/>
  <c r="E56" i="5"/>
  <c r="F56" i="5"/>
  <c r="G56" i="5" s="1"/>
  <c r="H56" i="5" s="1"/>
  <c r="I56" i="5" s="1"/>
  <c r="J56" i="5" s="1"/>
  <c r="K56" i="5" s="1"/>
  <c r="L56" i="5" s="1"/>
  <c r="D56" i="5"/>
  <c r="B56" i="5"/>
  <c r="C56" i="5"/>
  <c r="E68" i="5"/>
  <c r="B68" i="5"/>
  <c r="D68" i="5"/>
  <c r="F68" i="5"/>
  <c r="G68" i="5" s="1"/>
  <c r="H68" i="5" s="1"/>
  <c r="I68" i="5" s="1"/>
  <c r="J68" i="5" s="1"/>
  <c r="K68" i="5" s="1"/>
  <c r="L68" i="5" s="1"/>
  <c r="C68" i="5"/>
  <c r="C70" i="5"/>
  <c r="D70" i="5"/>
  <c r="F70" i="5"/>
  <c r="G70" i="5" s="1"/>
  <c r="H70" i="5" s="1"/>
  <c r="I70" i="5" s="1"/>
  <c r="J70" i="5" s="1"/>
  <c r="K70" i="5" s="1"/>
  <c r="L70" i="5" s="1"/>
  <c r="B70" i="5"/>
  <c r="E70" i="5"/>
  <c r="E87" i="5"/>
  <c r="C87" i="5"/>
  <c r="F87" i="5"/>
  <c r="G87" i="5" s="1"/>
  <c r="H87" i="5" s="1"/>
  <c r="I87" i="5" s="1"/>
  <c r="J87" i="5" s="1"/>
  <c r="K87" i="5" s="1"/>
  <c r="L87" i="5" s="1"/>
  <c r="B87" i="5"/>
  <c r="D87" i="5"/>
  <c r="C55" i="5"/>
  <c r="B55" i="5"/>
  <c r="E55" i="5"/>
  <c r="D55" i="5"/>
  <c r="F55" i="5"/>
  <c r="G55" i="5" s="1"/>
  <c r="H55" i="5" s="1"/>
  <c r="I55" i="5" s="1"/>
  <c r="J55" i="5" s="1"/>
  <c r="K55" i="5" s="1"/>
  <c r="L55" i="5" s="1"/>
  <c r="C62" i="5"/>
  <c r="B62" i="5"/>
  <c r="D62" i="5"/>
  <c r="F62" i="5"/>
  <c r="G62" i="5" s="1"/>
  <c r="H62" i="5" s="1"/>
  <c r="I62" i="5" s="1"/>
  <c r="J62" i="5" s="1"/>
  <c r="K62" i="5" s="1"/>
  <c r="L62" i="5" s="1"/>
  <c r="E62" i="5"/>
  <c r="C66" i="5"/>
  <c r="F66" i="5"/>
  <c r="G66" i="5" s="1"/>
  <c r="H66" i="5" s="1"/>
  <c r="I66" i="5" s="1"/>
  <c r="J66" i="5" s="1"/>
  <c r="K66" i="5" s="1"/>
  <c r="L66" i="5" s="1"/>
  <c r="B66" i="5"/>
  <c r="D66" i="5"/>
  <c r="E66" i="5"/>
  <c r="E72" i="5"/>
  <c r="D72" i="5"/>
  <c r="C72" i="5"/>
  <c r="F72" i="5"/>
  <c r="G72" i="5" s="1"/>
  <c r="H72" i="5" s="1"/>
  <c r="I72" i="5" s="1"/>
  <c r="J72" i="5" s="1"/>
  <c r="K72" i="5" s="1"/>
  <c r="L72" i="5" s="1"/>
  <c r="B72" i="5"/>
  <c r="C82" i="5"/>
  <c r="F82" i="5"/>
  <c r="G82" i="5" s="1"/>
  <c r="H82" i="5" s="1"/>
  <c r="I82" i="5" s="1"/>
  <c r="J82" i="5" s="1"/>
  <c r="K82" i="5" s="1"/>
  <c r="L82" i="5" s="1"/>
  <c r="B82" i="5"/>
  <c r="D82" i="5"/>
  <c r="E82" i="5"/>
  <c r="C78" i="5"/>
  <c r="B78" i="5"/>
  <c r="D78" i="5"/>
  <c r="E78" i="5"/>
  <c r="F78" i="5"/>
  <c r="G78" i="5" s="1"/>
  <c r="H78" i="5" s="1"/>
  <c r="I78" i="5" s="1"/>
  <c r="J78" i="5" s="1"/>
  <c r="K78" i="5" s="1"/>
  <c r="L78" i="5" s="1"/>
  <c r="C74" i="5"/>
  <c r="B74" i="5"/>
  <c r="F74" i="5"/>
  <c r="G74" i="5" s="1"/>
  <c r="H74" i="5" s="1"/>
  <c r="I74" i="5" s="1"/>
  <c r="J74" i="5" s="1"/>
  <c r="K74" i="5" s="1"/>
  <c r="L74" i="5" s="1"/>
  <c r="D74" i="5"/>
  <c r="E74" i="5"/>
  <c r="D85" i="5"/>
  <c r="F85" i="5"/>
  <c r="G85" i="5" s="1"/>
  <c r="H85" i="5" s="1"/>
  <c r="I85" i="5" s="1"/>
  <c r="J85" i="5" s="1"/>
  <c r="K85" i="5" s="1"/>
  <c r="L85" i="5" s="1"/>
  <c r="B85" i="5"/>
  <c r="E85" i="5"/>
  <c r="C85" i="5"/>
  <c r="E60" i="5"/>
  <c r="F60" i="5"/>
  <c r="G60" i="5" s="1"/>
  <c r="H60" i="5" s="1"/>
  <c r="I60" i="5" s="1"/>
  <c r="J60" i="5" s="1"/>
  <c r="K60" i="5" s="1"/>
  <c r="L60" i="5" s="1"/>
  <c r="D60" i="5"/>
  <c r="C60" i="5"/>
  <c r="B60" i="5"/>
  <c r="E64" i="5"/>
  <c r="D64" i="5"/>
  <c r="B64" i="5"/>
  <c r="C64" i="5"/>
  <c r="F64" i="5"/>
  <c r="G64" i="5" s="1"/>
  <c r="H64" i="5" s="1"/>
  <c r="I64" i="5" s="1"/>
  <c r="J64" i="5" s="1"/>
  <c r="K64" i="5" s="1"/>
  <c r="L64" i="5" s="1"/>
  <c r="E80" i="5"/>
  <c r="B80" i="5"/>
  <c r="D80" i="5"/>
  <c r="F80" i="5"/>
  <c r="G80" i="5" s="1"/>
  <c r="H80" i="5" s="1"/>
  <c r="I80" i="5" s="1"/>
  <c r="J80" i="5" s="1"/>
  <c r="K80" i="5" s="1"/>
  <c r="L80" i="5" s="1"/>
  <c r="C80" i="5"/>
  <c r="E76" i="5"/>
  <c r="F76" i="5"/>
  <c r="G76" i="5" s="1"/>
  <c r="H76" i="5" s="1"/>
  <c r="I76" i="5" s="1"/>
  <c r="J76" i="5" s="1"/>
  <c r="K76" i="5" s="1"/>
  <c r="L76" i="5" s="1"/>
  <c r="D76" i="5"/>
  <c r="B76" i="5"/>
  <c r="C76" i="5"/>
  <c r="C58" i="5"/>
  <c r="D58" i="5"/>
  <c r="B58" i="5"/>
  <c r="E58" i="5"/>
  <c r="F58" i="5"/>
  <c r="G58" i="5" s="1"/>
  <c r="H58" i="5" s="1"/>
  <c r="I58" i="5" s="1"/>
  <c r="J58" i="5" s="1"/>
  <c r="K58" i="5" s="1"/>
  <c r="L58" i="5" s="1"/>
  <c r="D57" i="5"/>
  <c r="E57" i="5"/>
  <c r="F57" i="5"/>
  <c r="G57" i="5" s="1"/>
  <c r="H57" i="5" s="1"/>
  <c r="I57" i="5" s="1"/>
  <c r="J57" i="5" s="1"/>
  <c r="K57" i="5" s="1"/>
  <c r="L57" i="5" s="1"/>
  <c r="C57" i="5"/>
  <c r="B57" i="5"/>
  <c r="D61" i="5"/>
  <c r="C61" i="5"/>
  <c r="E61" i="5"/>
  <c r="B61" i="5"/>
  <c r="F61" i="5"/>
  <c r="G61" i="5" s="1"/>
  <c r="H61" i="5" s="1"/>
  <c r="I61" i="5" s="1"/>
  <c r="J61" i="5" s="1"/>
  <c r="K61" i="5" s="1"/>
  <c r="L61" i="5" s="1"/>
  <c r="D69" i="5"/>
  <c r="F69" i="5"/>
  <c r="G69" i="5" s="1"/>
  <c r="H69" i="5" s="1"/>
  <c r="I69" i="5" s="1"/>
  <c r="J69" i="5" s="1"/>
  <c r="K69" i="5" s="1"/>
  <c r="L69" i="5" s="1"/>
  <c r="B69" i="5"/>
  <c r="E69" i="5"/>
  <c r="C69" i="5"/>
  <c r="B65" i="5"/>
  <c r="D65" i="5"/>
  <c r="F65" i="5"/>
  <c r="G65" i="5" s="1"/>
  <c r="H65" i="5" s="1"/>
  <c r="I65" i="5" s="1"/>
  <c r="J65" i="5" s="1"/>
  <c r="K65" i="5" s="1"/>
  <c r="L65" i="5" s="1"/>
  <c r="E65" i="5"/>
  <c r="C65" i="5"/>
  <c r="F71" i="5"/>
  <c r="G71" i="5" s="1"/>
  <c r="H71" i="5" s="1"/>
  <c r="I71" i="5" s="1"/>
  <c r="J71" i="5" s="1"/>
  <c r="K71" i="5" s="1"/>
  <c r="L71" i="5" s="1"/>
  <c r="B71" i="5"/>
  <c r="C71" i="5"/>
  <c r="D71" i="5"/>
  <c r="E71" i="5"/>
  <c r="B81" i="5"/>
  <c r="D81" i="5"/>
  <c r="C81" i="5"/>
  <c r="E81" i="5"/>
  <c r="F81" i="5"/>
  <c r="G81" i="5" s="1"/>
  <c r="H81" i="5" s="1"/>
  <c r="I81" i="5" s="1"/>
  <c r="J81" i="5" s="1"/>
  <c r="K81" i="5" s="1"/>
  <c r="L81" i="5" s="1"/>
  <c r="D77" i="5"/>
  <c r="E77" i="5"/>
  <c r="F77" i="5"/>
  <c r="G77" i="5" s="1"/>
  <c r="H77" i="5" s="1"/>
  <c r="I77" i="5" s="1"/>
  <c r="J77" i="5" s="1"/>
  <c r="K77" i="5" s="1"/>
  <c r="L77" i="5" s="1"/>
  <c r="B77" i="5"/>
  <c r="C77" i="5"/>
  <c r="D73" i="5"/>
  <c r="C73" i="5"/>
  <c r="F73" i="5"/>
  <c r="G73" i="5" s="1"/>
  <c r="H73" i="5" s="1"/>
  <c r="I73" i="5" s="1"/>
  <c r="J73" i="5" s="1"/>
  <c r="K73" i="5" s="1"/>
  <c r="L73" i="5" s="1"/>
  <c r="E73" i="5"/>
  <c r="B73" i="5"/>
  <c r="E84" i="5"/>
  <c r="B84" i="5"/>
  <c r="D84" i="5"/>
  <c r="C84" i="5"/>
  <c r="F84" i="5"/>
  <c r="G84" i="5" s="1"/>
  <c r="H84" i="5" s="1"/>
  <c r="I84" i="5" s="1"/>
  <c r="J84" i="5" s="1"/>
  <c r="K84" i="5" s="1"/>
  <c r="L84" i="5" s="1"/>
  <c r="C104" i="9"/>
  <c r="D103" i="9"/>
  <c r="B103" i="9"/>
  <c r="C102" i="9"/>
  <c r="D101" i="9"/>
  <c r="E101" i="9" s="1"/>
  <c r="F101" i="9" s="1"/>
  <c r="G101" i="9" s="1"/>
  <c r="H101" i="9" s="1"/>
  <c r="I101" i="9" s="1"/>
  <c r="J101" i="9" s="1"/>
  <c r="B101" i="9"/>
  <c r="C100" i="9"/>
  <c r="B104" i="9"/>
  <c r="C103" i="9"/>
  <c r="D102" i="9"/>
  <c r="E102" i="9" s="1"/>
  <c r="F102" i="9" s="1"/>
  <c r="G102" i="9" s="1"/>
  <c r="H102" i="9" s="1"/>
  <c r="I102" i="9" s="1"/>
  <c r="J102" i="9" s="1"/>
  <c r="B100" i="9"/>
  <c r="C99" i="9"/>
  <c r="D104" i="9"/>
  <c r="E104" i="9" s="1"/>
  <c r="F104" i="9" s="1"/>
  <c r="G104" i="9" s="1"/>
  <c r="H104" i="9" s="1"/>
  <c r="I104" i="9" s="1"/>
  <c r="J104" i="9" s="1"/>
  <c r="B102" i="9"/>
  <c r="C101" i="9"/>
  <c r="D100" i="9"/>
  <c r="D99" i="9"/>
  <c r="D138" i="9" s="1"/>
  <c r="D139" i="9" s="1"/>
  <c r="B99" i="9"/>
  <c r="E91" i="5"/>
  <c r="I116" i="5"/>
  <c r="J116" i="5" s="1"/>
  <c r="K116" i="5" s="1"/>
  <c r="L116" i="5" s="1"/>
  <c r="E97" i="5" l="1"/>
  <c r="G91" i="5"/>
  <c r="I93" i="5"/>
  <c r="G93" i="5"/>
  <c r="L93" i="5"/>
  <c r="J93" i="5"/>
  <c r="H93" i="5"/>
  <c r="K93" i="5"/>
  <c r="K91" i="5"/>
  <c r="H91" i="5"/>
  <c r="L91" i="5"/>
  <c r="I91" i="5"/>
  <c r="J91" i="5"/>
  <c r="I92" i="5"/>
  <c r="J92" i="5"/>
  <c r="H92" i="5"/>
  <c r="L92" i="5"/>
  <c r="G92" i="5"/>
  <c r="K92" i="5"/>
  <c r="L95" i="5"/>
  <c r="H95" i="5"/>
  <c r="J95" i="5"/>
  <c r="I95" i="5"/>
  <c r="K95" i="5"/>
  <c r="G95" i="5"/>
  <c r="H94" i="5"/>
  <c r="G94" i="5"/>
  <c r="L94" i="5"/>
  <c r="K94" i="5"/>
  <c r="I94" i="5"/>
  <c r="J94" i="5"/>
  <c r="I96" i="5"/>
  <c r="J96" i="5"/>
  <c r="H96" i="5"/>
  <c r="L96" i="5"/>
  <c r="G96" i="5"/>
  <c r="G101" i="5" s="1"/>
  <c r="K96" i="5"/>
  <c r="B106" i="9"/>
  <c r="B107" i="9" s="1"/>
  <c r="B22" i="8"/>
  <c r="D106" i="9"/>
  <c r="E100" i="9"/>
  <c r="F100" i="9" s="1"/>
  <c r="G100" i="9" s="1"/>
  <c r="H100" i="9" s="1"/>
  <c r="I100" i="9" s="1"/>
  <c r="J100" i="9" s="1"/>
  <c r="C109" i="9"/>
  <c r="D105" i="9"/>
  <c r="D115" i="9" s="1"/>
  <c r="D116" i="9" s="1"/>
  <c r="D97" i="9"/>
  <c r="E103" i="9"/>
  <c r="D109" i="9"/>
  <c r="E99" i="9"/>
  <c r="C105" i="9"/>
  <c r="C115" i="9" s="1"/>
  <c r="C116" i="9" s="1"/>
  <c r="C97" i="9"/>
  <c r="C106" i="9"/>
  <c r="B105" i="9"/>
  <c r="B115" i="9" s="1"/>
  <c r="B116" i="9" s="1"/>
  <c r="B122" i="9" s="1"/>
  <c r="B97" i="9"/>
  <c r="H2" i="5"/>
  <c r="E102" i="5" l="1"/>
  <c r="E106" i="5"/>
  <c r="E107" i="5" s="1"/>
  <c r="F106" i="5"/>
  <c r="F107" i="5" s="1"/>
  <c r="F112" i="5" s="1"/>
  <c r="K101" i="5"/>
  <c r="I101" i="5"/>
  <c r="I97" i="5"/>
  <c r="G98" i="5"/>
  <c r="G100" i="5" s="1"/>
  <c r="J101" i="5"/>
  <c r="H98" i="5"/>
  <c r="H99" i="5" s="1"/>
  <c r="J97" i="5"/>
  <c r="K97" i="5"/>
  <c r="L98" i="5"/>
  <c r="L101" i="5"/>
  <c r="I98" i="5"/>
  <c r="L97" i="5"/>
  <c r="K98" i="5"/>
  <c r="H101" i="5"/>
  <c r="J98" i="5"/>
  <c r="J99" i="5" s="1"/>
  <c r="G97" i="5"/>
  <c r="H97" i="5"/>
  <c r="D107" i="5"/>
  <c r="B23" i="8"/>
  <c r="C108" i="9"/>
  <c r="C107" i="9"/>
  <c r="C122" i="9"/>
  <c r="C96" i="9"/>
  <c r="E109" i="9"/>
  <c r="F99" i="9"/>
  <c r="E97" i="9"/>
  <c r="F103" i="9"/>
  <c r="D122" i="9"/>
  <c r="D126" i="9" s="1"/>
  <c r="D96" i="9"/>
  <c r="E105" i="9"/>
  <c r="E115" i="9" s="1"/>
  <c r="E116" i="9" s="1"/>
  <c r="B108" i="9"/>
  <c r="B96" i="9"/>
  <c r="D129" i="9"/>
  <c r="D107" i="9"/>
  <c r="E107" i="9" s="1"/>
  <c r="F107" i="9" s="1"/>
  <c r="G107" i="9" s="1"/>
  <c r="H107" i="9" s="1"/>
  <c r="I107" i="9" s="1"/>
  <c r="J107" i="9" s="1"/>
  <c r="D108" i="9"/>
  <c r="E106" i="9"/>
  <c r="I2" i="5"/>
  <c r="J106" i="5" l="1"/>
  <c r="L106" i="5"/>
  <c r="G99" i="5"/>
  <c r="G102" i="5" s="1"/>
  <c r="H100" i="5"/>
  <c r="J102" i="5"/>
  <c r="H102" i="5"/>
  <c r="E110" i="5"/>
  <c r="E112" i="5"/>
  <c r="D110" i="5"/>
  <c r="D112" i="5"/>
  <c r="G106" i="5"/>
  <c r="G107" i="5" s="1"/>
  <c r="G112" i="5" s="1"/>
  <c r="L99" i="5"/>
  <c r="L102" i="5" s="1"/>
  <c r="L100" i="5"/>
  <c r="K99" i="5"/>
  <c r="K102" i="5" s="1"/>
  <c r="K100" i="5"/>
  <c r="J100" i="5"/>
  <c r="I100" i="5"/>
  <c r="I99" i="5"/>
  <c r="I102" i="5" s="1"/>
  <c r="H106" i="5"/>
  <c r="H107" i="5" s="1"/>
  <c r="H112" i="5" s="1"/>
  <c r="K106" i="5"/>
  <c r="I106" i="5"/>
  <c r="I107" i="5" s="1"/>
  <c r="I112" i="5" s="1"/>
  <c r="D113" i="5"/>
  <c r="E113" i="5"/>
  <c r="F97" i="9"/>
  <c r="G103" i="9"/>
  <c r="F109" i="9"/>
  <c r="G99" i="9"/>
  <c r="E108" i="9"/>
  <c r="F106" i="9"/>
  <c r="E122" i="9"/>
  <c r="E126" i="9" s="1"/>
  <c r="E96" i="9"/>
  <c r="F105" i="9"/>
  <c r="F115" i="9" s="1"/>
  <c r="F116" i="9" s="1"/>
  <c r="J2" i="5"/>
  <c r="F113" i="5" l="1"/>
  <c r="F110" i="5"/>
  <c r="J107" i="5"/>
  <c r="J112" i="5" s="1"/>
  <c r="F108" i="9"/>
  <c r="G106" i="9"/>
  <c r="G109" i="9"/>
  <c r="H99" i="9"/>
  <c r="G97" i="9"/>
  <c r="H103" i="9"/>
  <c r="F122" i="9"/>
  <c r="F126" i="9" s="1"/>
  <c r="F96" i="9"/>
  <c r="G105" i="9"/>
  <c r="G115" i="9" s="1"/>
  <c r="G116" i="9" s="1"/>
  <c r="G113" i="5"/>
  <c r="G117" i="5" s="1"/>
  <c r="L2" i="5"/>
  <c r="K2" i="5"/>
  <c r="K107" i="5" l="1"/>
  <c r="K112" i="5" s="1"/>
  <c r="L107" i="5"/>
  <c r="L112" i="5" s="1"/>
  <c r="H97" i="9"/>
  <c r="I103" i="9"/>
  <c r="H109" i="9"/>
  <c r="I99" i="9"/>
  <c r="G108" i="9"/>
  <c r="H106" i="9"/>
  <c r="G122" i="9"/>
  <c r="G126" i="9" s="1"/>
  <c r="G96" i="9"/>
  <c r="H105" i="9"/>
  <c r="H115" i="9" s="1"/>
  <c r="H116" i="9" s="1"/>
  <c r="H113" i="5"/>
  <c r="H117" i="5" s="1"/>
  <c r="H108" i="9" l="1"/>
  <c r="I106" i="9"/>
  <c r="I109" i="9"/>
  <c r="J99" i="9"/>
  <c r="J109" i="9" s="1"/>
  <c r="I97" i="9"/>
  <c r="J103" i="9"/>
  <c r="J97" i="9" s="1"/>
  <c r="H122" i="9"/>
  <c r="H126" i="9" s="1"/>
  <c r="H96" i="9"/>
  <c r="I105" i="9"/>
  <c r="I115" i="9" s="1"/>
  <c r="I116" i="9" s="1"/>
  <c r="I113" i="5"/>
  <c r="I117" i="5" s="1"/>
  <c r="I108" i="9" l="1"/>
  <c r="J106" i="9"/>
  <c r="J108" i="9" s="1"/>
  <c r="I122" i="9"/>
  <c r="I126" i="9" s="1"/>
  <c r="I96" i="9"/>
  <c r="J105" i="9"/>
  <c r="J115" i="9" s="1"/>
  <c r="J116" i="9" s="1"/>
  <c r="J113" i="5"/>
  <c r="J117" i="5" s="1"/>
  <c r="J122" i="9" l="1"/>
  <c r="J126" i="9" s="1"/>
  <c r="D127" i="9" s="1"/>
  <c r="D128" i="9" s="1"/>
  <c r="J96" i="9"/>
  <c r="K113" i="5"/>
  <c r="K117" i="5" s="1"/>
  <c r="F117" i="5" s="1"/>
  <c r="D131" i="9" l="1"/>
  <c r="D130" i="9"/>
  <c r="L113" i="5"/>
  <c r="L117" i="5" s="1"/>
  <c r="F118" i="5" s="1"/>
  <c r="F119" i="5" s="1"/>
  <c r="F121" i="5" l="1"/>
  <c r="D118" i="5" l="1"/>
  <c r="F12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dazhu</author>
  </authors>
  <commentList>
    <comment ref="B38" authorId="0" shapeId="0" xr:uid="{00000000-0006-0000-0300-000001000000}">
      <text>
        <r>
          <rPr>
            <b/>
            <sz val="9"/>
            <color indexed="81"/>
            <rFont val="宋体"/>
            <family val="3"/>
            <charset val="134"/>
          </rPr>
          <t xml:space="preserve">dazhu:原始数据不平，硬加上的数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Excel</author>
  </authors>
  <commentList>
    <comment ref="I3" authorId="0" shapeId="0" xr:uid="{FC002040-7BCF-4800-A08F-C0DDD3E3107A}">
      <text>
        <r>
          <rPr>
            <b/>
            <sz val="9"/>
            <color indexed="81"/>
            <rFont val="宋体"/>
            <family val="3"/>
            <charset val="134"/>
          </rPr>
          <t>含义：净资产收益率反映公司所有者权益的投资报酬率，也叫净值报酬率或权益报酬率，具有很强的综合性。是最重要的财务比率。
分析提示：杜邦分析体系可以将这一指标分解成相联系的多种因素，进一步剖析影响所有者权益报酬的各个方面。如资产周转率、销售利润率、权益乘数。另外，在使用该指标时，还应结合对</t>
        </r>
        <r>
          <rPr>
            <b/>
            <sz val="9"/>
            <color indexed="81"/>
            <rFont val="Tahoma"/>
            <family val="2"/>
          </rPr>
          <t>“</t>
        </r>
        <r>
          <rPr>
            <b/>
            <sz val="9"/>
            <color indexed="81"/>
            <rFont val="宋体"/>
            <family val="3"/>
            <charset val="134"/>
          </rPr>
          <t>应收账款</t>
        </r>
        <r>
          <rPr>
            <b/>
            <sz val="9"/>
            <color indexed="81"/>
            <rFont val="Tahoma"/>
            <family val="2"/>
          </rPr>
          <t>”</t>
        </r>
        <r>
          <rPr>
            <b/>
            <sz val="9"/>
            <color indexed="81"/>
            <rFont val="宋体"/>
            <family val="3"/>
            <charset val="134"/>
          </rPr>
          <t>、</t>
        </r>
        <r>
          <rPr>
            <b/>
            <sz val="9"/>
            <color indexed="81"/>
            <rFont val="Tahoma"/>
            <family val="2"/>
          </rPr>
          <t>“</t>
        </r>
        <r>
          <rPr>
            <b/>
            <sz val="9"/>
            <color indexed="81"/>
            <rFont val="宋体"/>
            <family val="3"/>
            <charset val="134"/>
          </rPr>
          <t>其他应收款</t>
        </r>
        <r>
          <rPr>
            <b/>
            <sz val="9"/>
            <color indexed="81"/>
            <rFont val="Tahoma"/>
            <family val="2"/>
          </rPr>
          <t xml:space="preserve">” </t>
        </r>
        <r>
          <rPr>
            <b/>
            <sz val="9"/>
            <color indexed="81"/>
            <rFont val="宋体"/>
            <family val="3"/>
            <charset val="134"/>
          </rPr>
          <t>、</t>
        </r>
        <r>
          <rPr>
            <b/>
            <sz val="9"/>
            <color indexed="81"/>
            <rFont val="Tahoma"/>
            <family val="2"/>
          </rPr>
          <t xml:space="preserve">“ </t>
        </r>
        <r>
          <rPr>
            <b/>
            <sz val="9"/>
            <color indexed="81"/>
            <rFont val="宋体"/>
            <family val="3"/>
            <charset val="134"/>
          </rPr>
          <t>待摊费用</t>
        </r>
        <r>
          <rPr>
            <b/>
            <sz val="9"/>
            <color indexed="81"/>
            <rFont val="Tahoma"/>
            <family val="2"/>
          </rPr>
          <t>”</t>
        </r>
        <r>
          <rPr>
            <b/>
            <sz val="9"/>
            <color indexed="81"/>
            <rFont val="宋体"/>
            <family val="3"/>
            <charset val="134"/>
          </rPr>
          <t>进行分析。</t>
        </r>
        <r>
          <rPr>
            <sz val="9"/>
            <color indexed="81"/>
            <rFont val="Tahoma"/>
            <family val="2"/>
          </rPr>
          <t xml:space="preserve">
</t>
        </r>
      </text>
    </comment>
    <comment ref="H16" authorId="0" shapeId="0" xr:uid="{321C1166-6EE1-4CF9-A885-39100B8F633B}">
      <text>
        <r>
          <rPr>
            <b/>
            <sz val="9"/>
            <color indexed="81"/>
            <rFont val="宋体"/>
            <family val="3"/>
            <charset val="134"/>
          </rPr>
          <t>今年</t>
        </r>
        <r>
          <rPr>
            <sz val="9"/>
            <color indexed="81"/>
            <rFont val="Tahoma"/>
            <family val="2"/>
          </rPr>
          <t xml:space="preserve">
</t>
        </r>
      </text>
    </comment>
    <comment ref="K16" authorId="0" shapeId="0" xr:uid="{A23CB6FF-377D-4725-9564-F005847E0BF6}">
      <text>
        <r>
          <rPr>
            <sz val="9"/>
            <color indexed="81"/>
            <rFont val="宋体"/>
            <family val="3"/>
            <charset val="134"/>
          </rPr>
          <t xml:space="preserve">本期
</t>
        </r>
        <r>
          <rPr>
            <sz val="9"/>
            <color indexed="81"/>
            <rFont val="Tahoma"/>
            <family val="2"/>
          </rPr>
          <t xml:space="preserve">
</t>
        </r>
      </text>
    </comment>
    <comment ref="L16" authorId="0" shapeId="0" xr:uid="{6A4E2F5A-FEA5-4AB2-B61A-CCA77CE4F65C}">
      <text>
        <r>
          <rPr>
            <b/>
            <sz val="9"/>
            <color indexed="81"/>
            <rFont val="宋体"/>
            <family val="3"/>
            <charset val="134"/>
          </rPr>
          <t>上期</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dazhu</author>
  </authors>
  <commentList>
    <comment ref="A114" authorId="0" shapeId="0" xr:uid="{00000000-0006-0000-0200-000001000000}">
      <text>
        <r>
          <rPr>
            <b/>
            <sz val="9"/>
            <color indexed="81"/>
            <rFont val="宋体"/>
            <family val="3"/>
            <charset val="134"/>
          </rPr>
          <t>dazhu:</t>
        </r>
        <r>
          <rPr>
            <sz val="9"/>
            <color indexed="81"/>
            <rFont val="宋体"/>
            <family val="3"/>
            <charset val="134"/>
          </rPr>
          <t xml:space="preserve">
研发支出按收入5%预计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4" background="1" saveData="1">
    <webPr sourceData="1" parsePre="1" consecutive="1" xl2000="1" url="http://stockdata.stock.hexun.com/2008/zcfz.aspx?stockid=000725&amp;accountdate=2018.12.31" htmlTables="1">
      <tables count="1">
        <x v="3"/>
      </tables>
    </webPr>
  </connection>
  <connection id="2" xr16:uid="{00000000-0015-0000-FFFF-FFFF01000000}" name="连接1" type="4" refreshedVersion="4" background="1" saveData="1">
    <webPr sourceData="1" parsePre="1" consecutive="1" xl2000="1" url="http://stockdata.stock.hexun.com/2008/zcfz.aspx?stockid=000725&amp;accountdate=2018.12.31" htmlTables="1">
      <tables count="1">
        <x v="3"/>
      </tables>
    </webPr>
  </connection>
  <connection id="3" xr16:uid="{00000000-0015-0000-FFFF-FFFF02000000}" name="连接10" type="4" refreshedVersion="4" background="1" saveData="1">
    <webPr sourceData="1" parsePre="1" consecutive="1" xl2000="1" url="http://app.finance.ifeng.com/data/stock/tab_lrb.php?symbol=600660&amp;day=2015-03-31&amp;go=next" htmlTables="1"/>
  </connection>
  <connection id="4" xr16:uid="{00000000-0015-0000-FFFF-FFFF03000000}" name="连接100" type="4" refreshedVersion="4" background="1">
    <webPr sourceData="1" parsePre="1" consecutive="1" xl2000="1" url="http://stockdata.stock.hexun.com/2008/xjll.aspx?stockid=002020&amp;accountdate=2016.12.31" htmlTables="1">
      <tables count="1">
        <x v="3"/>
      </tables>
    </webPr>
  </connection>
  <connection id="5" xr16:uid="{00000000-0015-0000-FFFF-FFFF04000000}" name="连接101" type="4" refreshedVersion="4" background="1">
    <webPr sourceData="1" parsePre="1" consecutive="1" xl2000="1" url="http://stockdata.stock.hexun.com/2008/xjll.aspx?stockid=002020&amp;accountdate=2017.12.31" htmlTables="1">
      <tables count="1">
        <x v="3"/>
      </tables>
    </webPr>
  </connection>
  <connection id="6" xr16:uid="{00000000-0015-0000-FFFF-FFFF05000000}" name="连接102" type="4" refreshedVersion="4" background="1">
    <webPr sourceData="1" parsePre="1" consecutive="1" xl2000="1" url="http://stockdata.stock.hexun.com/2008/xjll.aspx?stockid=002020&amp;accountdate=2018.12.31" htmlTables="1">
      <tables count="1">
        <x v="3"/>
      </tables>
    </webPr>
  </connection>
  <connection id="7" xr16:uid="{00000000-0015-0000-FFFF-FFFF06000000}" name="连接103" type="4" refreshedVersion="4" background="1">
    <webPr sourceData="1" parsePre="1" consecutive="1" xl2000="1" url="http://stockdata.stock.hexun.com/2008/zcfz.aspx?stockid=002821&amp;accountdate=2018.12.31" htmlTables="1">
      <tables count="1">
        <x v="3"/>
      </tables>
    </webPr>
  </connection>
  <connection id="8" xr16:uid="{00000000-0015-0000-FFFF-FFFF07000000}" name="连接104" type="4" refreshedVersion="4" background="1">
    <webPr sourceData="1" parsePre="1" consecutive="1" xl2000="1" url="http://stockdata.stock.hexun.com/2008/zcfz.aspx?stockid=002821&amp;accountdate=2017.12.31" htmlTables="1">
      <tables count="1">
        <x v="3"/>
      </tables>
    </webPr>
  </connection>
  <connection id="9" xr16:uid="{00000000-0015-0000-FFFF-FFFF08000000}" name="连接105" type="4" refreshedVersion="4" background="1">
    <webPr sourceData="1" parsePre="1" consecutive="1" xl2000="1" url="http://stockdata.stock.hexun.com/2008/zcfz.aspx?stockid=002821&amp;accountdate=2016.12.31" htmlTables="1">
      <tables count="1">
        <x v="3"/>
      </tables>
    </webPr>
  </connection>
  <connection id="10" xr16:uid="{00000000-0015-0000-FFFF-FFFF09000000}" name="连接106" type="4" refreshedVersion="4" background="1">
    <webPr sourceData="1" parsePre="1" consecutive="1" xl2000="1" url="http://stockdata.stock.hexun.com/2008/lr.aspx?stockid=002821&amp;accountdate=2016.12.31" htmlTables="1">
      <tables count="1">
        <x v="3"/>
      </tables>
    </webPr>
  </connection>
  <connection id="11" xr16:uid="{00000000-0015-0000-FFFF-FFFF0A000000}" name="连接107" type="4" refreshedVersion="4" background="1">
    <webPr sourceData="1" parsePre="1" consecutive="1" xl2000="1" url="http://stockdata.stock.hexun.com/2008/lr.aspx?stockid=002821&amp;accountdate=2017.12.31" htmlTables="1">
      <tables count="1">
        <x v="3"/>
      </tables>
    </webPr>
  </connection>
  <connection id="12" xr16:uid="{00000000-0015-0000-FFFF-FFFF0B000000}" name="连接108" type="4" refreshedVersion="4" background="1">
    <webPr sourceData="1" parsePre="1" consecutive="1" xl2000="1" url="http://stockdata.stock.hexun.com/2008/lr.aspx?stockid=002821&amp;accountdate=2018.12.31" htmlTables="1">
      <tables count="1">
        <x v="3"/>
      </tables>
    </webPr>
  </connection>
  <connection id="13" xr16:uid="{00000000-0015-0000-FFFF-FFFF0C000000}" name="连接109" type="4" refreshedVersion="4" background="1">
    <webPr sourceData="1" parsePre="1" consecutive="1" xl2000="1" url="http://stockdata.stock.hexun.com/2008/xjll.aspx?stockid=002821&amp;accountdate=2016.12.31" htmlTables="1">
      <tables count="1">
        <x v="3"/>
      </tables>
    </webPr>
  </connection>
  <connection id="14" xr16:uid="{00000000-0015-0000-FFFF-FFFF0D000000}" name="连接11" type="4" refreshedVersion="4" background="1" saveData="1">
    <webPr sourceData="1" parsePre="1" consecutive="1" xl2000="1" url="http://app.finance.ifeng.com/data/stock/tab_lrb.php?symbol=600660&amp;day=2014-03-31&amp;go=next" htmlTables="1"/>
  </connection>
  <connection id="15" xr16:uid="{00000000-0015-0000-FFFF-FFFF0E000000}" name="连接110" type="4" refreshedVersion="4" background="1">
    <webPr sourceData="1" parsePre="1" consecutive="1" xl2000="1" url="http://stockdata.stock.hexun.com/2008/xjll.aspx?stockid=002821&amp;accountdate=2017.12.31" htmlTables="1">
      <tables count="1">
        <x v="3"/>
      </tables>
    </webPr>
  </connection>
  <connection id="16" xr16:uid="{00000000-0015-0000-FFFF-FFFF0F000000}" name="连接111" type="4" refreshedVersion="4" background="1">
    <webPr sourceData="1" parsePre="1" consecutive="1" xl2000="1" url="http://stockdata.stock.hexun.com/2008/xjll.aspx?stockid=002821&amp;accountdate=2018.12.31" htmlTables="1">
      <tables count="1">
        <x v="3"/>
      </tables>
    </webPr>
  </connection>
  <connection id="17" xr16:uid="{00000000-0015-0000-FFFF-FFFF10000000}" name="连接112" type="4" refreshedVersion="4" background="1">
    <webPr sourceData="1" parsePre="1" consecutive="1" xl2000="1" url="http://stockdata.stock.hexun.com/2008/zcfz.aspx?stockid=000401&amp;accountdate=2018.12.31" htmlTables="1">
      <tables count="1">
        <x v="3"/>
      </tables>
    </webPr>
  </connection>
  <connection id="18" xr16:uid="{00000000-0015-0000-FFFF-FFFF11000000}" name="连接113" type="4" refreshedVersion="4" background="1">
    <webPr sourceData="1" parsePre="1" consecutive="1" xl2000="1" url="http://stockdata.stock.hexun.com/2008/zcfz.aspx?stockid=000401&amp;accountdate=2017.12.31" htmlTables="1">
      <tables count="1">
        <x v="3"/>
      </tables>
    </webPr>
  </connection>
  <connection id="19" xr16:uid="{00000000-0015-0000-FFFF-FFFF12000000}" name="连接114" type="4" refreshedVersion="4" background="1">
    <webPr sourceData="1" parsePre="1" consecutive="1" xl2000="1" url="http://stockdata.stock.hexun.com/2008/zcfz.aspx?stockid=000401&amp;accountdate=2016.12.31" htmlTables="1">
      <tables count="1">
        <x v="3"/>
      </tables>
    </webPr>
  </connection>
  <connection id="20" xr16:uid="{00000000-0015-0000-FFFF-FFFF13000000}" name="连接115" type="4" refreshedVersion="4" background="1">
    <webPr sourceData="1" parsePre="1" consecutive="1" xl2000="1" url="http://stockdata.stock.hexun.com/2008/lr.aspx?stockid=000401&amp;accountdate=2016.12.31" htmlTables="1">
      <tables count="1">
        <x v="3"/>
      </tables>
    </webPr>
  </connection>
  <connection id="21" xr16:uid="{00000000-0015-0000-FFFF-FFFF14000000}" name="连接116" type="4" refreshedVersion="4" background="1">
    <webPr sourceData="1" parsePre="1" consecutive="1" xl2000="1" url="http://stockdata.stock.hexun.com/2008/lr.aspx?stockid=000401&amp;accountdate=2017.12.31" htmlTables="1">
      <tables count="1">
        <x v="3"/>
      </tables>
    </webPr>
  </connection>
  <connection id="22" xr16:uid="{00000000-0015-0000-FFFF-FFFF15000000}" name="连接117" type="4" refreshedVersion="4" background="1">
    <webPr sourceData="1" parsePre="1" consecutive="1" xl2000="1" url="http://stockdata.stock.hexun.com/2008/lr.aspx?stockid=000401&amp;accountdate=2018.12.31" htmlTables="1">
      <tables count="1">
        <x v="3"/>
      </tables>
    </webPr>
  </connection>
  <connection id="23" xr16:uid="{00000000-0015-0000-FFFF-FFFF16000000}" name="连接118" type="4" refreshedVersion="4" background="1">
    <webPr sourceData="1" parsePre="1" consecutive="1" xl2000="1" url="http://stockdata.stock.hexun.com/2008/xjll.aspx?stockid=000401&amp;accountdate=2016.12.31" htmlTables="1">
      <tables count="1">
        <x v="3"/>
      </tables>
    </webPr>
  </connection>
  <connection id="24" xr16:uid="{00000000-0015-0000-FFFF-FFFF17000000}" name="连接119" type="4" refreshedVersion="4" background="1">
    <webPr sourceData="1" parsePre="1" consecutive="1" xl2000="1" url="http://stockdata.stock.hexun.com/2008/xjll.aspx?stockid=000401&amp;accountdate=2017.12.31" htmlTables="1">
      <tables count="1">
        <x v="3"/>
      </tables>
    </webPr>
  </connection>
  <connection id="25" xr16:uid="{A0D72625-0750-45B6-AC33-C905F5795EFE}" name="连接12" type="4" refreshedVersion="6" background="1" saveData="1">
    <webPr sourceData="1" parsePre="1" consecutive="1" xl2000="1" url="http://quotes.money.163.com/f10/lrb_600031.html?type=year" htmlTables="1">
      <tables count="1">
        <x v="4"/>
      </tables>
    </webPr>
  </connection>
  <connection id="26" xr16:uid="{00000000-0015-0000-FFFF-FFFF19000000}" name="连接120" type="4" refreshedVersion="4" background="1">
    <webPr sourceData="1" parsePre="1" consecutive="1" xl2000="1" url="http://stockdata.stock.hexun.com/2008/xjll.aspx?stockid=000401&amp;accountdate=2018.12.31" htmlTables="1">
      <tables count="1">
        <x v="3"/>
      </tables>
    </webPr>
  </connection>
  <connection id="27" xr16:uid="{00000000-0015-0000-FFFF-FFFF1A000000}" name="连接121" type="4" refreshedVersion="4" background="1">
    <webPr sourceData="1" parsePre="1" consecutive="1" xl2000="1" url="http://stockdata.stock.hexun.com/2008/zcfz.aspx?stockid=300015&amp;accountdate=2018.12.31" htmlTables="1">
      <tables count="1">
        <x v="3"/>
      </tables>
    </webPr>
  </connection>
  <connection id="28" xr16:uid="{1703CCB9-BFF8-4E7B-9D57-580BA978D280}" name="连接1210" type="4" refreshedVersion="6" background="1" saveData="1">
    <webPr sourceData="1" parsePre="1" consecutive="1" xl2000="1" url="http://quotes.money.163.com/f10/lrb_300498.html?type=year" htmlTables="1">
      <tables count="1">
        <x v="4"/>
      </tables>
    </webPr>
  </connection>
  <connection id="29" xr16:uid="{2221C0F6-7EE0-4700-8D89-52BE90334ED6}" name="连接1211" type="4" refreshedVersion="6" background="1" saveData="1">
    <webPr sourceData="1" parsePre="1" consecutive="1" xl2000="1" url="http://quotes.money.163.com/f10/lrb_688981.html?type=year" htmlTables="1">
      <tables count="1">
        <x v="4"/>
      </tables>
    </webPr>
  </connection>
  <connection id="30" xr16:uid="{B17FFEDA-6075-42A1-8133-F9726ED23468}" name="连接1212" type="4" refreshedVersion="6" background="1" saveData="1">
    <webPr sourceData="1" parsePre="1" consecutive="1" xl2000="1" url="http://quotes.money.163.com/f10/lrb_000157.html?type=year" htmlTables="1">
      <tables count="1">
        <x v="4"/>
      </tables>
    </webPr>
  </connection>
  <connection id="31" xr16:uid="{ADA9AA4E-55A8-4CE8-A4D9-CD3A02CD5141}" name="连接1213" type="4" refreshedVersion="6" background="1" saveData="1">
    <webPr sourceData="1" parsePre="1" consecutive="1" xl2000="1" url="http://quotes.money.163.com/f10/lrb_603027.html?type=year" htmlTables="1">
      <tables count="1">
        <x v="4"/>
      </tables>
    </webPr>
  </connection>
  <connection id="32" xr16:uid="{EE106D26-81F4-4352-BC28-CB96E72F48D5}" name="连接1214" type="4" refreshedVersion="6" background="1" saveData="1">
    <webPr sourceData="1" parsePre="1" consecutive="1" xl2000="1" url="http://quotes.money.163.com/f10/lrb_000002.html?type=year" htmlTables="1">
      <tables count="1">
        <x v="4"/>
      </tables>
    </webPr>
  </connection>
  <connection id="33" xr16:uid="{49F4CFFC-F4FA-481E-BE81-8E74D7E0FA45}" name="连接1215" type="4" refreshedVersion="6" background="1" saveData="1">
    <webPr sourceData="1" parsePre="1" consecutive="1" xl2000="1" url="http://quotes.money.163.com/f10/lrb_601225.html?type=year" htmlTables="1">
      <tables count="1">
        <x v="4"/>
      </tables>
    </webPr>
  </connection>
  <connection id="34" xr16:uid="{706F76DC-95C4-457A-A0DC-4879B308938A}" name="连接1216" type="4" refreshedVersion="6" background="1" saveData="1">
    <webPr sourceData="1" parsePre="1" consecutive="1" xl2000="1" url="http://quotes.money.163.com/f10/lrb_000672.html?type=year" htmlTables="1">
      <tables count="1">
        <x v="4"/>
      </tables>
    </webPr>
  </connection>
  <connection id="35" xr16:uid="{9ABBA0AE-E9A0-450B-9877-74B9AE1814C4}" name="连接1217" type="4" refreshedVersion="6" background="1" saveData="1">
    <webPr sourceData="1" parsePre="1" consecutive="1" xl2000="1" url="http://quotes.money.163.com/f10/lrb_601777.html?type=year" htmlTables="1">
      <tables count="1">
        <x v="4"/>
      </tables>
    </webPr>
  </connection>
  <connection id="36" xr16:uid="{F8796AF1-A136-4AEE-9248-EB0D5080690B}" name="连接1218" type="4" refreshedVersion="6" background="1" saveData="1">
    <webPr sourceData="1" parsePre="1" consecutive="1" xl2000="1" url="http://quotes.money.163.com/f10/lrb_600031.html?type=year" htmlTables="1">
      <tables count="1">
        <x v="4"/>
      </tables>
    </webPr>
  </connection>
  <connection id="37" xr16:uid="{00000000-0015-0000-FFFF-FFFF1B000000}" name="连接122" type="4" refreshedVersion="4" background="1">
    <webPr sourceData="1" parsePre="1" consecutive="1" xl2000="1" url="http://stockdata.stock.hexun.com/2008/zcfz.aspx?stockid=300015&amp;accountdate=2017.12.31" htmlTables="1">
      <tables count="1">
        <x v="3"/>
      </tables>
    </webPr>
  </connection>
  <connection id="38" xr16:uid="{00000000-0015-0000-FFFF-FFFF1C000000}" name="连接123" type="4" refreshedVersion="4" background="1">
    <webPr sourceData="1" parsePre="1" consecutive="1" xl2000="1" url="http://stockdata.stock.hexun.com/2008/zcfz.aspx?stockid=300015&amp;accountdate=2016.12.31" htmlTables="1">
      <tables count="1">
        <x v="3"/>
      </tables>
    </webPr>
  </connection>
  <connection id="39" xr16:uid="{00000000-0015-0000-FFFF-FFFF1D000000}" name="连接124" type="4" refreshedVersion="4" background="1">
    <webPr sourceData="1" parsePre="1" consecutive="1" xl2000="1" url="http://stockdata.stock.hexun.com/2008/lr.aspx?stockid=300015&amp;accountdate=2016.12.31" htmlTables="1">
      <tables count="1">
        <x v="3"/>
      </tables>
    </webPr>
  </connection>
  <connection id="40" xr16:uid="{00000000-0015-0000-FFFF-FFFF1E000000}" name="连接125" type="4" refreshedVersion="4" background="1">
    <webPr sourceData="1" parsePre="1" consecutive="1" xl2000="1" url="http://stockdata.stock.hexun.com/2008/lr.aspx?stockid=300015&amp;accountdate=2017.12.31" htmlTables="1">
      <tables count="1">
        <x v="3"/>
      </tables>
    </webPr>
  </connection>
  <connection id="41" xr16:uid="{00000000-0015-0000-FFFF-FFFF1F000000}" name="连接126" type="4" refreshedVersion="4" background="1">
    <webPr sourceData="1" parsePre="1" consecutive="1" xl2000="1" url="http://stockdata.stock.hexun.com/2008/lr.aspx?stockid=300015&amp;accountdate=2018.12.31" htmlTables="1">
      <tables count="1">
        <x v="3"/>
      </tables>
    </webPr>
  </connection>
  <connection id="42" xr16:uid="{00000000-0015-0000-FFFF-FFFF20000000}" name="连接127" type="4" refreshedVersion="4" background="1">
    <webPr sourceData="1" parsePre="1" consecutive="1" xl2000="1" url="http://stockdata.stock.hexun.com/2008/xjll.aspx?stockid=300015&amp;accountdate=2016.12.31" htmlTables="1">
      <tables count="1">
        <x v="3"/>
      </tables>
    </webPr>
  </connection>
  <connection id="43" xr16:uid="{00000000-0015-0000-FFFF-FFFF21000000}" name="连接128" type="4" refreshedVersion="4" background="1">
    <webPr sourceData="1" parsePre="1" consecutive="1" xl2000="1" url="http://stockdata.stock.hexun.com/2008/xjll.aspx?stockid=300015&amp;accountdate=2017.12.31" htmlTables="1">
      <tables count="1">
        <x v="3"/>
      </tables>
    </webPr>
  </connection>
  <connection id="44" xr16:uid="{00000000-0015-0000-FFFF-FFFF22000000}" name="连接129" type="4" refreshedVersion="4" background="1">
    <webPr sourceData="1" parsePre="1" consecutive="1" xl2000="1" url="http://stockdata.stock.hexun.com/2008/xjll.aspx?stockid=300015&amp;accountdate=2018.12.31" htmlTables="1">
      <tables count="1">
        <x v="3"/>
      </tables>
    </webPr>
  </connection>
  <connection id="45" xr16:uid="{00000000-0015-0000-FFFF-FFFF23000000}" name="连接13" type="4" refreshedVersion="4" background="1" saveData="1">
    <webPr sourceData="1" parsePre="1" consecutive="1" xl2000="1" url="http://stockdata.stock.hexun.com/2008/zcfz.aspx?stockid=000725&amp;accountdate=2017.12.31" htmlTables="1">
      <tables count="1">
        <x v="3"/>
      </tables>
    </webPr>
  </connection>
  <connection id="46" xr16:uid="{00000000-0015-0000-FFFF-FFFF24000000}" name="连接130" type="4" refreshedVersion="4" background="1">
    <webPr sourceData="1" parsePre="1" consecutive="1" xl2000="1" url="http://stockdata.stock.hexun.com/2008/zcfz.aspx?stockid=002120&amp;accountdate=2018.12.31" htmlTables="1">
      <tables count="1">
        <x v="3"/>
      </tables>
    </webPr>
  </connection>
  <connection id="47" xr16:uid="{00000000-0015-0000-FFFF-FFFF25000000}" name="连接131" type="4" refreshedVersion="4" background="1">
    <webPr sourceData="1" parsePre="1" consecutive="1" xl2000="1" url="http://stockdata.stock.hexun.com/2008/zcfz.aspx?stockid=002120&amp;accountdate=2017.12.31" htmlTables="1">
      <tables count="1">
        <x v="3"/>
      </tables>
    </webPr>
  </connection>
  <connection id="48" xr16:uid="{00000000-0015-0000-FFFF-FFFF26000000}" name="连接132" type="4" refreshedVersion="4" background="1">
    <webPr sourceData="1" parsePre="1" consecutive="1" xl2000="1" url="http://stockdata.stock.hexun.com/2008/zcfz.aspx?stockid=002120&amp;accountdate=2016.12.31" htmlTables="1">
      <tables count="1">
        <x v="3"/>
      </tables>
    </webPr>
  </connection>
  <connection id="49" xr16:uid="{00000000-0015-0000-FFFF-FFFF27000000}" name="连接133" type="4" refreshedVersion="4" background="1">
    <webPr sourceData="1" parsePre="1" consecutive="1" xl2000="1" url="http://stockdata.stock.hexun.com/2008/lr.aspx?stockid=002120&amp;accountdate=2016.12.31" htmlTables="1">
      <tables count="1">
        <x v="3"/>
      </tables>
    </webPr>
  </connection>
  <connection id="50" xr16:uid="{00000000-0015-0000-FFFF-FFFF28000000}" name="连接134" type="4" refreshedVersion="4" background="1">
    <webPr sourceData="1" parsePre="1" consecutive="1" xl2000="1" url="http://stockdata.stock.hexun.com/2008/lr.aspx?stockid=002120&amp;accountdate=2017.12.31" htmlTables="1">
      <tables count="1">
        <x v="3"/>
      </tables>
    </webPr>
  </connection>
  <connection id="51" xr16:uid="{00000000-0015-0000-FFFF-FFFF29000000}" name="连接135" type="4" refreshedVersion="4" background="1">
    <webPr sourceData="1" parsePre="1" consecutive="1" xl2000="1" url="http://stockdata.stock.hexun.com/2008/lr.aspx?stockid=002120&amp;accountdate=2018.12.31" htmlTables="1">
      <tables count="1">
        <x v="3"/>
      </tables>
    </webPr>
  </connection>
  <connection id="52" xr16:uid="{00000000-0015-0000-FFFF-FFFF2A000000}" name="连接136" type="4" refreshedVersion="4" background="1">
    <webPr sourceData="1" parsePre="1" consecutive="1" xl2000="1" url="http://stockdata.stock.hexun.com/2008/xjll.aspx?stockid=002120&amp;accountdate=2016.12.31" htmlTables="1">
      <tables count="1">
        <x v="3"/>
      </tables>
    </webPr>
  </connection>
  <connection id="53" xr16:uid="{00000000-0015-0000-FFFF-FFFF2B000000}" name="连接137" type="4" refreshedVersion="4" background="1">
    <webPr sourceData="1" parsePre="1" consecutive="1" xl2000="1" url="http://stockdata.stock.hexun.com/2008/xjll.aspx?stockid=002120&amp;accountdate=2017.12.31" htmlTables="1">
      <tables count="1">
        <x v="3"/>
      </tables>
    </webPr>
  </connection>
  <connection id="54" xr16:uid="{00000000-0015-0000-FFFF-FFFF2C000000}" name="连接138" type="4" refreshedVersion="4" background="1">
    <webPr sourceData="1" parsePre="1" consecutive="1" xl2000="1" url="http://stockdata.stock.hexun.com/2008/xjll.aspx?stockid=002120&amp;accountdate=2018.12.31" htmlTables="1">
      <tables count="1">
        <x v="3"/>
      </tables>
    </webPr>
  </connection>
  <connection id="55" xr16:uid="{00000000-0015-0000-FFFF-FFFF2D000000}" name="连接139" type="4" refreshedVersion="4" background="1">
    <webPr sourceData="1" parsePre="1" consecutive="1" xl2000="1" url="http://stockdata.stock.hexun.com/2008/zcfz.aspx?stockid=002798&amp;accountdate=2018.12.31" htmlTables="1">
      <tables count="1">
        <x v="3"/>
      </tables>
    </webPr>
  </connection>
  <connection id="56" xr16:uid="{219A7722-0E59-4815-95B6-0C1358040A4C}" name="连接14" type="4" refreshedVersion="6" background="1" saveData="1">
    <webPr sourceData="1" parsePre="1" consecutive="1" xl2000="1" url="http://quotes.money.163.com/f10/lrb_600031.html?type=year" htmlTables="1">
      <tables count="1">
        <x v="5"/>
      </tables>
    </webPr>
  </connection>
  <connection id="57" xr16:uid="{00000000-0015-0000-FFFF-FFFF2F000000}" name="连接140" type="4" refreshedVersion="4" background="1">
    <webPr sourceData="1" parsePre="1" consecutive="1" xl2000="1" url="http://stockdata.stock.hexun.com/2008/zcfz.aspx?stockid=002798&amp;accountdate=2017.12.31" htmlTables="1">
      <tables count="1">
        <x v="3"/>
      </tables>
    </webPr>
  </connection>
  <connection id="58" xr16:uid="{00000000-0015-0000-FFFF-FFFF30000000}" name="连接141" type="4" refreshedVersion="4" background="1">
    <webPr sourceData="1" parsePre="1" consecutive="1" xl2000="1" url="http://stockdata.stock.hexun.com/2008/zcfz.aspx?stockid=002798&amp;accountdate=2016.12.31" htmlTables="1">
      <tables count="1">
        <x v="3"/>
      </tables>
    </webPr>
  </connection>
  <connection id="59" xr16:uid="{26BDF394-D31A-4188-BAC0-23C1C9E85B47}" name="连接1410" type="4" refreshedVersion="6" background="1" saveData="1">
    <webPr sourceData="1" parsePre="1" consecutive="1" xl2000="1" url="http://quotes.money.163.com/f10/lrb_300498.html?type=year" htmlTables="1">
      <tables count="1">
        <x v="5"/>
      </tables>
    </webPr>
  </connection>
  <connection id="60" xr16:uid="{3A6A98E7-8498-4B61-9951-362D35C0365A}" name="连接1411" type="4" refreshedVersion="6" background="1" saveData="1">
    <webPr sourceData="1" parsePre="1" consecutive="1" xl2000="1" url="http://quotes.money.163.com/f10/lrb_688981.html?type=year" htmlTables="1">
      <tables count="1">
        <x v="5"/>
      </tables>
    </webPr>
  </connection>
  <connection id="61" xr16:uid="{AB4D969C-CA66-488B-95BF-750AA0399DF9}" name="连接1412" type="4" refreshedVersion="6" background="1" saveData="1">
    <webPr sourceData="1" parsePre="1" consecutive="1" xl2000="1" url="http://quotes.money.163.com/f10/lrb_000157.html?type=year" htmlTables="1">
      <tables count="1">
        <x v="5"/>
      </tables>
    </webPr>
  </connection>
  <connection id="62" xr16:uid="{D24896A5-AAFC-4F9D-9CBD-F3FF1DBA0520}" name="连接1413" type="4" refreshedVersion="6" background="1" saveData="1">
    <webPr sourceData="1" parsePre="1" consecutive="1" xl2000="1" url="http://quotes.money.163.com/f10/lrb_603027.html?type=year" htmlTables="1">
      <tables count="1">
        <x v="5"/>
      </tables>
    </webPr>
  </connection>
  <connection id="63" xr16:uid="{B895DD63-268D-44AD-83E2-A99E5412E71E}" name="连接1414" type="4" refreshedVersion="6" background="1" saveData="1">
    <webPr sourceData="1" parsePre="1" consecutive="1" xl2000="1" url="http://quotes.money.163.com/f10/lrb_000002.html?type=year" htmlTables="1">
      <tables count="1">
        <x v="5"/>
      </tables>
    </webPr>
  </connection>
  <connection id="64" xr16:uid="{CCC849BA-A016-47C4-A8E0-32DED3320DE5}" name="连接1415" type="4" refreshedVersion="6" background="1" saveData="1">
    <webPr sourceData="1" parsePre="1" consecutive="1" xl2000="1" url="http://quotes.money.163.com/f10/lrb_601225.html?type=year" htmlTables="1">
      <tables count="1">
        <x v="5"/>
      </tables>
    </webPr>
  </connection>
  <connection id="65" xr16:uid="{7DE61918-87C9-4E35-AC2E-4D68DAF37DBB}" name="连接1416" type="4" refreshedVersion="6" background="1" saveData="1">
    <webPr sourceData="1" parsePre="1" consecutive="1" xl2000="1" url="http://quotes.money.163.com/f10/lrb_000672.html?type=year" htmlTables="1">
      <tables count="1">
        <x v="5"/>
      </tables>
    </webPr>
  </connection>
  <connection id="66" xr16:uid="{9905D8C8-3F75-4039-AE23-823259B29762}" name="连接1417" type="4" refreshedVersion="6" background="1" saveData="1">
    <webPr sourceData="1" parsePre="1" consecutive="1" xl2000="1" url="http://quotes.money.163.com/f10/lrb_601777.html?type=year" htmlTables="1">
      <tables count="1">
        <x v="5"/>
      </tables>
    </webPr>
  </connection>
  <connection id="67" xr16:uid="{C8EF0A50-2445-48F5-85A6-1580A437F48F}" name="连接1418" type="4" refreshedVersion="6" background="1" saveData="1">
    <webPr sourceData="1" parsePre="1" consecutive="1" xl2000="1" url="http://quotes.money.163.com/f10/lrb_600031.html?type=year" htmlTables="1">
      <tables count="1">
        <x v="5"/>
      </tables>
    </webPr>
  </connection>
  <connection id="68" xr16:uid="{00000000-0015-0000-FFFF-FFFF31000000}" name="连接142" type="4" refreshedVersion="4" background="1">
    <webPr sourceData="1" parsePre="1" consecutive="1" xl2000="1" url="http://stockdata.stock.hexun.com/2008/lr.aspx?stockid=002798&amp;accountdate=2016.12.31" htmlTables="1">
      <tables count="1">
        <x v="3"/>
      </tables>
    </webPr>
  </connection>
  <connection id="69" xr16:uid="{00000000-0015-0000-FFFF-FFFF32000000}" name="连接143" type="4" refreshedVersion="4" background="1">
    <webPr sourceData="1" parsePre="1" consecutive="1" xl2000="1" url="http://stockdata.stock.hexun.com/2008/lr.aspx?stockid=002798&amp;accountdate=2017.12.31" htmlTables="1">
      <tables count="1">
        <x v="3"/>
      </tables>
    </webPr>
  </connection>
  <connection id="70" xr16:uid="{00000000-0015-0000-FFFF-FFFF33000000}" name="连接144" type="4" refreshedVersion="4" background="1">
    <webPr sourceData="1" parsePre="1" consecutive="1" xl2000="1" url="http://stockdata.stock.hexun.com/2008/lr.aspx?stockid=002798&amp;accountdate=2018.12.31" htmlTables="1">
      <tables count="1">
        <x v="3"/>
      </tables>
    </webPr>
  </connection>
  <connection id="71" xr16:uid="{00000000-0015-0000-FFFF-FFFF34000000}" name="连接145" type="4" refreshedVersion="4" background="1">
    <webPr sourceData="1" parsePre="1" consecutive="1" xl2000="1" url="http://stockdata.stock.hexun.com/2008/xjll.aspx?stockid=002798&amp;accountdate=2016.12.31" htmlTables="1">
      <tables count="1">
        <x v="3"/>
      </tables>
    </webPr>
  </connection>
  <connection id="72" xr16:uid="{00000000-0015-0000-FFFF-FFFF35000000}" name="连接146" type="4" refreshedVersion="4" background="1">
    <webPr sourceData="1" parsePre="1" consecutive="1" xl2000="1" url="http://stockdata.stock.hexun.com/2008/xjll.aspx?stockid=002798&amp;accountdate=2017.12.31" htmlTables="1">
      <tables count="1">
        <x v="3"/>
      </tables>
    </webPr>
  </connection>
  <connection id="73" xr16:uid="{00000000-0015-0000-FFFF-FFFF36000000}" name="连接147" type="4" refreshedVersion="4" background="1">
    <webPr sourceData="1" parsePre="1" consecutive="1" xl2000="1" url="http://stockdata.stock.hexun.com/2008/xjll.aspx?stockid=002798&amp;accountdate=2018.12.31" htmlTables="1">
      <tables count="1">
        <x v="3"/>
      </tables>
    </webPr>
  </connection>
  <connection id="74" xr16:uid="{00000000-0015-0000-FFFF-FFFF37000000}" name="连接148" type="4" refreshedVersion="4" background="1">
    <webPr sourceData="1" parsePre="1" consecutive="1" xl2000="1" url="http://stockdata.stock.hexun.com/2008/zcfz.aspx?stockid=002803&amp;accountdate=2018.12.31" htmlTables="1">
      <tables count="1">
        <x v="3"/>
      </tables>
    </webPr>
  </connection>
  <connection id="75" xr16:uid="{00000000-0015-0000-FFFF-FFFF38000000}" name="连接149" type="4" refreshedVersion="4" background="1">
    <webPr sourceData="1" parsePre="1" consecutive="1" xl2000="1" url="http://stockdata.stock.hexun.com/2008/zcfz.aspx?stockid=002803&amp;accountdate=2017.12.31" htmlTables="1">
      <tables count="1">
        <x v="3"/>
      </tables>
    </webPr>
  </connection>
  <connection id="76" xr16:uid="{560F485F-B15B-47A4-8BAD-15092654CCEF}" name="连接15" type="4" refreshedVersion="6" background="1" saveData="1">
    <webPr sourceData="1" parsePre="1" consecutive="1" xl2000="1" url="http://quotes.money.163.com/f10/xjllb_600031.html?type=year" htmlTables="1">
      <tables count="1">
        <x v="4"/>
      </tables>
    </webPr>
  </connection>
  <connection id="77" xr16:uid="{00000000-0015-0000-FFFF-FFFF3A000000}" name="连接150" type="4" refreshedVersion="4" background="1">
    <webPr sourceData="1" parsePre="1" consecutive="1" xl2000="1" url="http://stockdata.stock.hexun.com/2008/zcfz.aspx?stockid=002803&amp;accountdate=2016.12.31" htmlTables="1">
      <tables count="1">
        <x v="3"/>
      </tables>
    </webPr>
  </connection>
  <connection id="78" xr16:uid="{00000000-0015-0000-FFFF-FFFF3B000000}" name="连接151" type="4" refreshedVersion="4" background="1">
    <webPr sourceData="1" parsePre="1" consecutive="1" xl2000="1" url="http://stockdata.stock.hexun.com/2008/lr.aspx?stockid=002803&amp;accountdate=2016.12.31" htmlTables="1">
      <tables count="1">
        <x v="3"/>
      </tables>
    </webPr>
  </connection>
  <connection id="79" xr16:uid="{2F666A8A-DA5C-4467-BEE8-8881641F5E75}" name="连接1510" type="4" refreshedVersion="6" background="1" saveData="1">
    <webPr sourceData="1" parsePre="1" consecutive="1" xl2000="1" url="http://quotes.money.163.com/f10/xjllb_300498.html?type=year" htmlTables="1">
      <tables count="1">
        <x v="4"/>
      </tables>
    </webPr>
  </connection>
  <connection id="80" xr16:uid="{0B007354-4489-4483-BFCC-FAF4B5D0C1B6}" name="连接1511" type="4" refreshedVersion="6" background="1" saveData="1">
    <webPr sourceData="1" parsePre="1" consecutive="1" xl2000="1" url="http://quotes.money.163.com/f10/xjllb_688981.html?type=year" htmlTables="1">
      <tables count="1">
        <x v="4"/>
      </tables>
    </webPr>
  </connection>
  <connection id="81" xr16:uid="{8ECF713B-EA00-4691-8D55-8C7FD2F2A697}" name="连接1512" type="4" refreshedVersion="6" background="1" saveData="1">
    <webPr sourceData="1" parsePre="1" consecutive="1" xl2000="1" url="http://quotes.money.163.com/f10/xjllb_000157.html?type=year" htmlTables="1">
      <tables count="1">
        <x v="4"/>
      </tables>
    </webPr>
  </connection>
  <connection id="82" xr16:uid="{A4E8EC06-9668-4C21-BA75-73A3736B8274}" name="连接1513" type="4" refreshedVersion="6" background="1" saveData="1">
    <webPr sourceData="1" parsePre="1" consecutive="1" xl2000="1" url="http://quotes.money.163.com/f10/xjllb_603027.html?type=year" htmlTables="1">
      <tables count="1">
        <x v="4"/>
      </tables>
    </webPr>
  </connection>
  <connection id="83" xr16:uid="{363202C7-8300-4CDE-8185-17473D045F6D}" name="连接1514" type="4" refreshedVersion="6" background="1" saveData="1">
    <webPr sourceData="1" parsePre="1" consecutive="1" xl2000="1" url="http://quotes.money.163.com/f10/xjllb_000002.html?type=year" htmlTables="1">
      <tables count="1">
        <x v="4"/>
      </tables>
    </webPr>
  </connection>
  <connection id="84" xr16:uid="{A3B9EC20-8E69-4760-BDB3-4AC81D47302C}" name="连接1515" type="4" refreshedVersion="6" background="1" saveData="1">
    <webPr sourceData="1" parsePre="1" consecutive="1" xl2000="1" url="http://quotes.money.163.com/f10/xjllb_601225.html?type=year" htmlTables="1">
      <tables count="1">
        <x v="4"/>
      </tables>
    </webPr>
  </connection>
  <connection id="85" xr16:uid="{B2F7E91D-2260-413B-94DE-6567C1FEAF11}" name="连接1516" type="4" refreshedVersion="6" background="1" saveData="1">
    <webPr sourceData="1" parsePre="1" consecutive="1" xl2000="1" url="http://quotes.money.163.com/f10/xjllb_000672.html?type=year" htmlTables="1">
      <tables count="1">
        <x v="4"/>
      </tables>
    </webPr>
  </connection>
  <connection id="86" xr16:uid="{C1D82B7F-3410-446E-BAE0-8BB5019C74D3}" name="连接1517" type="4" refreshedVersion="6" background="1" saveData="1">
    <webPr sourceData="1" parsePre="1" consecutive="1" xl2000="1" url="http://quotes.money.163.com/f10/xjllb_601777.html?type=year" htmlTables="1">
      <tables count="1">
        <x v="4"/>
      </tables>
    </webPr>
  </connection>
  <connection id="87" xr16:uid="{3B7330DD-0A0A-486A-B71E-84835F6B6A8E}" name="连接1518" type="4" refreshedVersion="6" background="1" saveData="1">
    <webPr sourceData="1" parsePre="1" consecutive="1" xl2000="1" url="http://quotes.money.163.com/f10/xjllb_600031.html?type=year" htmlTables="1">
      <tables count="1">
        <x v="4"/>
      </tables>
    </webPr>
  </connection>
  <connection id="88" xr16:uid="{00000000-0015-0000-FFFF-FFFF3C000000}" name="连接152" type="4" refreshedVersion="4" background="1">
    <webPr sourceData="1" parsePre="1" consecutive="1" xl2000="1" url="http://stockdata.stock.hexun.com/2008/lr.aspx?stockid=002803&amp;accountdate=2017.12.31" htmlTables="1">
      <tables count="1">
        <x v="3"/>
      </tables>
    </webPr>
  </connection>
  <connection id="89" xr16:uid="{00000000-0015-0000-FFFF-FFFF3D000000}" name="连接153" type="4" refreshedVersion="4" background="1">
    <webPr sourceData="1" parsePre="1" consecutive="1" xl2000="1" url="http://stockdata.stock.hexun.com/2008/lr.aspx?stockid=002803&amp;accountdate=2018.12.31" htmlTables="1">
      <tables count="1">
        <x v="3"/>
      </tables>
    </webPr>
  </connection>
  <connection id="90" xr16:uid="{00000000-0015-0000-FFFF-FFFF3E000000}" name="连接154" type="4" refreshedVersion="4" background="1">
    <webPr sourceData="1" parsePre="1" consecutive="1" xl2000="1" url="http://stockdata.stock.hexun.com/2008/xjll.aspx?stockid=002803&amp;accountdate=2016.12.31" htmlTables="1">
      <tables count="1">
        <x v="3"/>
      </tables>
    </webPr>
  </connection>
  <connection id="91" xr16:uid="{00000000-0015-0000-FFFF-FFFF3F000000}" name="连接155" type="4" refreshedVersion="4" background="1">
    <webPr sourceData="1" parsePre="1" consecutive="1" xl2000="1" url="http://stockdata.stock.hexun.com/2008/xjll.aspx?stockid=002803&amp;accountdate=2017.12.31" htmlTables="1">
      <tables count="1">
        <x v="3"/>
      </tables>
    </webPr>
  </connection>
  <connection id="92" xr16:uid="{00000000-0015-0000-FFFF-FFFF40000000}" name="连接156" type="4" refreshedVersion="4" background="1">
    <webPr sourceData="1" parsePre="1" consecutive="1" xl2000="1" url="http://stockdata.stock.hexun.com/2008/xjll.aspx?stockid=002803&amp;accountdate=2018.12.31" htmlTables="1">
      <tables count="1">
        <x v="3"/>
      </tables>
    </webPr>
  </connection>
  <connection id="93" xr16:uid="{00000000-0015-0000-FFFF-FFFF41000000}" name="连接157" type="4" refreshedVersion="4" background="1">
    <webPr sourceData="1" parsePre="1" consecutive="1" xl2000="1" url="http://stockdata.stock.hexun.com/2008/zcfz.aspx?stockid=000671&amp;accountdate=2018.12.31" htmlTables="1">
      <tables count="1">
        <x v="3"/>
      </tables>
    </webPr>
  </connection>
  <connection id="94" xr16:uid="{00000000-0015-0000-FFFF-FFFF42000000}" name="连接158" type="4" refreshedVersion="4" background="1">
    <webPr sourceData="1" parsePre="1" consecutive="1" xl2000="1" url="http://stockdata.stock.hexun.com/2008/zcfz.aspx?stockid=000671&amp;accountdate=2017.12.31" htmlTables="1">
      <tables count="1">
        <x v="3"/>
      </tables>
    </webPr>
  </connection>
  <connection id="95" xr16:uid="{00000000-0015-0000-FFFF-FFFF43000000}" name="连接159" type="4" refreshedVersion="4" background="1">
    <webPr sourceData="1" parsePre="1" consecutive="1" xl2000="1" url="http://stockdata.stock.hexun.com/2008/zcfz.aspx?stockid=000671&amp;accountdate=2016.12.31" htmlTables="1">
      <tables count="1">
        <x v="3"/>
      </tables>
    </webPr>
  </connection>
  <connection id="96" xr16:uid="{6F5064B5-8103-432B-B49A-C14CDE71D2A8}" name="连接16" type="4" refreshedVersion="6" background="1" saveData="1">
    <webPr sourceData="1" parsePre="1" consecutive="1" xl2000="1" url="http://quotes.money.163.com/f10/xjllb_600031.html?type=year" htmlTables="1">
      <tables count="1">
        <x v="5"/>
      </tables>
    </webPr>
  </connection>
  <connection id="97" xr16:uid="{00000000-0015-0000-FFFF-FFFF45000000}" name="连接160" type="4" refreshedVersion="4" background="1">
    <webPr sourceData="1" parsePre="1" consecutive="1" xl2000="1" url="http://stockdata.stock.hexun.com/2008/lr.aspx?stockid=000671&amp;accountdate=2016.12.31" htmlTables="1">
      <tables count="1">
        <x v="3"/>
      </tables>
    </webPr>
  </connection>
  <connection id="98" xr16:uid="{00000000-0015-0000-FFFF-FFFF46000000}" name="连接161" type="4" refreshedVersion="4" background="1">
    <webPr sourceData="1" parsePre="1" consecutive="1" xl2000="1" url="http://stockdata.stock.hexun.com/2008/lr.aspx?stockid=000671&amp;accountdate=2017.12.31" htmlTables="1">
      <tables count="1">
        <x v="3"/>
      </tables>
    </webPr>
  </connection>
  <connection id="99" xr16:uid="{4CE8681B-6AF5-4A07-8013-CD07E7C6EF82}" name="连接1610" type="4" refreshedVersion="6" background="1" saveData="1">
    <webPr sourceData="1" parsePre="1" consecutive="1" xl2000="1" url="http://quotes.money.163.com/f10/xjllb_300498.html?type=year" htmlTables="1">
      <tables count="1">
        <x v="5"/>
      </tables>
    </webPr>
  </connection>
  <connection id="100" xr16:uid="{84A781BC-6C08-44DC-B653-91E01E849F95}" name="连接1611" type="4" refreshedVersion="6" background="1" saveData="1">
    <webPr sourceData="1" parsePre="1" consecutive="1" xl2000="1" url="http://quotes.money.163.com/f10/xjllb_688981.html?type=year" htmlTables="1">
      <tables count="1">
        <x v="5"/>
      </tables>
    </webPr>
  </connection>
  <connection id="101" xr16:uid="{E4BF3A49-3844-41ED-962B-74CC8BE30E9F}" name="连接1612" type="4" refreshedVersion="6" background="1" saveData="1">
    <webPr sourceData="1" parsePre="1" consecutive="1" xl2000="1" url="http://quotes.money.163.com/f10/xjllb_000157.html?type=year" htmlTables="1">
      <tables count="1">
        <x v="5"/>
      </tables>
    </webPr>
  </connection>
  <connection id="102" xr16:uid="{6FF3C699-4C1E-4AE7-A5E7-7ADD800CB207}" name="连接1613" type="4" refreshedVersion="6" background="1" saveData="1">
    <webPr sourceData="1" parsePre="1" consecutive="1" xl2000="1" url="http://quotes.money.163.com/f10/xjllb_603027.html?type=year" htmlTables="1">
      <tables count="1">
        <x v="5"/>
      </tables>
    </webPr>
  </connection>
  <connection id="103" xr16:uid="{A6AA063A-30DB-443B-97A5-E51086F2BBC5}" name="连接1614" type="4" refreshedVersion="6" background="1" saveData="1">
    <webPr sourceData="1" parsePre="1" consecutive="1" xl2000="1" url="http://quotes.money.163.com/f10/xjllb_000002.html?type=year" htmlTables="1">
      <tables count="1">
        <x v="5"/>
      </tables>
    </webPr>
  </connection>
  <connection id="104" xr16:uid="{54E3983D-3DC4-4077-8EF1-B143021AF541}" name="连接1615" type="4" refreshedVersion="6" background="1" saveData="1">
    <webPr sourceData="1" parsePre="1" consecutive="1" xl2000="1" url="http://quotes.money.163.com/f10/xjllb_601225.html?type=year" htmlTables="1">
      <tables count="1">
        <x v="5"/>
      </tables>
    </webPr>
  </connection>
  <connection id="105" xr16:uid="{E7D1C7D8-8E5E-4796-ACD8-49B3B5B3A4B7}" name="连接1616" type="4" refreshedVersion="6" background="1" saveData="1">
    <webPr sourceData="1" parsePre="1" consecutive="1" xl2000="1" url="http://quotes.money.163.com/f10/xjllb_000672.html?type=year" htmlTables="1">
      <tables count="1">
        <x v="5"/>
      </tables>
    </webPr>
  </connection>
  <connection id="106" xr16:uid="{ECF63397-03CC-459C-82A8-78E2AE09474D}" name="连接1617" type="4" refreshedVersion="6" background="1" saveData="1">
    <webPr sourceData="1" parsePre="1" consecutive="1" xl2000="1" url="http://quotes.money.163.com/f10/xjllb_601777.html?type=year" htmlTables="1">
      <tables count="1">
        <x v="5"/>
      </tables>
    </webPr>
  </connection>
  <connection id="107" xr16:uid="{C50D791C-B226-432F-9B5F-71EE0D468477}" name="连接1618" type="4" refreshedVersion="6" background="1" saveData="1">
    <webPr sourceData="1" parsePre="1" consecutive="1" xl2000="1" url="http://quotes.money.163.com/f10/xjllb_600031.html?type=year" htmlTables="1">
      <tables count="1">
        <x v="5"/>
      </tables>
    </webPr>
  </connection>
  <connection id="108" xr16:uid="{00000000-0015-0000-FFFF-FFFF47000000}" name="连接162" type="4" refreshedVersion="4" background="1">
    <webPr sourceData="1" parsePre="1" consecutive="1" xl2000="1" url="http://stockdata.stock.hexun.com/2008/lr.aspx?stockid=000671&amp;accountdate=2018.12.31" htmlTables="1">
      <tables count="1">
        <x v="3"/>
      </tables>
    </webPr>
  </connection>
  <connection id="109" xr16:uid="{00000000-0015-0000-FFFF-FFFF48000000}" name="连接163" type="4" refreshedVersion="4" background="1">
    <webPr sourceData="1" parsePre="1" consecutive="1" xl2000="1" url="http://stockdata.stock.hexun.com/2008/xjll.aspx?stockid=000671&amp;accountdate=2016.12.31" htmlTables="1">
      <tables count="1">
        <x v="3"/>
      </tables>
    </webPr>
  </connection>
  <connection id="110" xr16:uid="{00000000-0015-0000-FFFF-FFFF49000000}" name="连接164" type="4" refreshedVersion="4" background="1">
    <webPr sourceData="1" parsePre="1" consecutive="1" xl2000="1" url="http://stockdata.stock.hexun.com/2008/xjll.aspx?stockid=000671&amp;accountdate=2017.12.31" htmlTables="1">
      <tables count="1">
        <x v="3"/>
      </tables>
    </webPr>
  </connection>
  <connection id="111" xr16:uid="{00000000-0015-0000-FFFF-FFFF4A000000}" name="连接165" type="4" refreshedVersion="4" background="1">
    <webPr sourceData="1" parsePre="1" consecutive="1" xl2000="1" url="http://stockdata.stock.hexun.com/2008/xjll.aspx?stockid=000671&amp;accountdate=2018.12.31" htmlTables="1">
      <tables count="1">
        <x v="3"/>
      </tables>
    </webPr>
  </connection>
  <connection id="112" xr16:uid="{00000000-0015-0000-FFFF-FFFF4B000000}" name="连接166" type="4" refreshedVersion="4" background="1">
    <webPr sourceData="1" parsePre="1" consecutive="1" xl2000="1" url="http://stockdata.stock.hexun.com/2008/zcfz.aspx?stockid=000961&amp;accountdate=2018.12.31" htmlTables="1">
      <tables count="1">
        <x v="3"/>
      </tables>
    </webPr>
  </connection>
  <connection id="113" xr16:uid="{00000000-0015-0000-FFFF-FFFF4C000000}" name="连接167" type="4" refreshedVersion="4" background="1">
    <webPr sourceData="1" parsePre="1" consecutive="1" xl2000="1" url="http://stockdata.stock.hexun.com/2008/zcfz.aspx?stockid=000961&amp;accountdate=2017.12.31" htmlTables="1">
      <tables count="1">
        <x v="3"/>
      </tables>
    </webPr>
  </connection>
  <connection id="114" xr16:uid="{00000000-0015-0000-FFFF-FFFF4D000000}" name="连接168" type="4" refreshedVersion="4" background="1">
    <webPr sourceData="1" parsePre="1" consecutive="1" xl2000="1" url="http://stockdata.stock.hexun.com/2008/zcfz.aspx?stockid=000961&amp;accountdate=2016.12.31" htmlTables="1">
      <tables count="1">
        <x v="3"/>
      </tables>
    </webPr>
  </connection>
  <connection id="115" xr16:uid="{00000000-0015-0000-FFFF-FFFF4E000000}" name="连接169" type="4" refreshedVersion="4" background="1">
    <webPr sourceData="1" parsePre="1" consecutive="1" xl2000="1" url="http://stockdata.stock.hexun.com/2008/lr.aspx?stockid=000961&amp;accountdate=2016.12.31" htmlTables="1">
      <tables count="1">
        <x v="3"/>
      </tables>
    </webPr>
  </connection>
  <connection id="116" xr16:uid="{00000000-0015-0000-FFFF-FFFF4F000000}" name="连接17" type="4" refreshedVersion="4" background="1" saveData="1">
    <webPr sourceData="1" parsePre="1" consecutive="1" xl2000="1" url="http://stockdata.stock.hexun.com/2008/zcfz.aspx?stockid=000725&amp;accountdate=2016.12.31" htmlTables="1">
      <tables count="1">
        <x v="3"/>
      </tables>
    </webPr>
  </connection>
  <connection id="117" xr16:uid="{00000000-0015-0000-FFFF-FFFF50000000}" name="连接170" type="4" refreshedVersion="4" background="1">
    <webPr sourceData="1" parsePre="1" consecutive="1" xl2000="1" url="http://stockdata.stock.hexun.com/2008/lr.aspx?stockid=000961&amp;accountdate=2017.12.31" htmlTables="1">
      <tables count="1">
        <x v="3"/>
      </tables>
    </webPr>
  </connection>
  <connection id="118" xr16:uid="{00000000-0015-0000-FFFF-FFFF51000000}" name="连接171" type="4" refreshedVersion="4" background="1">
    <webPr sourceData="1" parsePre="1" consecutive="1" xl2000="1" url="http://stockdata.stock.hexun.com/2008/lr.aspx?stockid=000961&amp;accountdate=2018.12.31" htmlTables="1">
      <tables count="1">
        <x v="3"/>
      </tables>
    </webPr>
  </connection>
  <connection id="119" xr16:uid="{00000000-0015-0000-FFFF-FFFF52000000}" name="连接172" type="4" refreshedVersion="4" background="1">
    <webPr sourceData="1" parsePre="1" consecutive="1" xl2000="1" url="http://stockdata.stock.hexun.com/2008/xjll.aspx?stockid=000961&amp;accountdate=2016.12.31" htmlTables="1">
      <tables count="1">
        <x v="3"/>
      </tables>
    </webPr>
  </connection>
  <connection id="120" xr16:uid="{00000000-0015-0000-FFFF-FFFF53000000}" name="连接173" type="4" refreshedVersion="4" background="1">
    <webPr sourceData="1" parsePre="1" consecutive="1" xl2000="1" url="http://stockdata.stock.hexun.com/2008/xjll.aspx?stockid=000961&amp;accountdate=2017.12.31" htmlTables="1">
      <tables count="1">
        <x v="3"/>
      </tables>
    </webPr>
  </connection>
  <connection id="121" xr16:uid="{00000000-0015-0000-FFFF-FFFF54000000}" name="连接174" type="4" refreshedVersion="4" background="1">
    <webPr sourceData="1" parsePre="1" consecutive="1" xl2000="1" url="http://stockdata.stock.hexun.com/2008/xjll.aspx?stockid=000961&amp;accountdate=2018.12.31" htmlTables="1">
      <tables count="1">
        <x v="3"/>
      </tables>
    </webPr>
  </connection>
  <connection id="122" xr16:uid="{00000000-0015-0000-FFFF-FFFF55000000}" name="连接175" type="4" refreshedVersion="4" background="1">
    <webPr sourceData="1" parsePre="1" consecutive="1" xl2000="1" url="http://stockdata.stock.hexun.com/2008/zcfz.aspx?stockid=002916&amp;accountdate=2018.12.31" htmlTables="1">
      <tables count="1">
        <x v="3"/>
      </tables>
    </webPr>
  </connection>
  <connection id="123" xr16:uid="{00000000-0015-0000-FFFF-FFFF56000000}" name="连接176" type="4" refreshedVersion="4" background="1">
    <webPr sourceData="1" parsePre="1" consecutive="1" xl2000="1" url="http://stockdata.stock.hexun.com/2008/zcfz.aspx?stockid=002916&amp;accountdate=2017.12.31" htmlTables="1">
      <tables count="1">
        <x v="3"/>
      </tables>
    </webPr>
  </connection>
  <connection id="124" xr16:uid="{00000000-0015-0000-FFFF-FFFF57000000}" name="连接177" type="4" refreshedVersion="4" background="1">
    <webPr sourceData="1" parsePre="1" consecutive="1" xl2000="1" url="http://stockdata.stock.hexun.com/2008/zcfz.aspx?stockid=002916&amp;accountdate=2016.12.31" htmlTables="1">
      <tables count="1">
        <x v="3"/>
      </tables>
    </webPr>
  </connection>
  <connection id="125" xr16:uid="{00000000-0015-0000-FFFF-FFFF58000000}" name="连接178" type="4" refreshedVersion="4" background="1">
    <webPr sourceData="1" parsePre="1" consecutive="1" xl2000="1" url="http://stockdata.stock.hexun.com/2008/lr.aspx?stockid=002916&amp;accountdate=2016.12.31" htmlTables="1">
      <tables count="1">
        <x v="3"/>
      </tables>
    </webPr>
  </connection>
  <connection id="126" xr16:uid="{00000000-0015-0000-FFFF-FFFF59000000}" name="连接179" type="4" refreshedVersion="4" background="1">
    <webPr sourceData="1" parsePre="1" consecutive="1" xl2000="1" url="http://stockdata.stock.hexun.com/2008/lr.aspx?stockid=002916&amp;accountdate=2017.12.31" htmlTables="1">
      <tables count="1">
        <x v="3"/>
      </tables>
    </webPr>
  </connection>
  <connection id="127" xr16:uid="{00000000-0015-0000-FFFF-FFFF5A000000}" name="连接18" type="4" refreshedVersion="4" background="1" saveData="1">
    <webPr sourceData="1" parsePre="1" consecutive="1" xl2000="1" url="http://stockdata.stock.hexun.com/2008/zcfz.aspx?stockid=000725&amp;accountdate=2018.12.31" htmlTables="1">
      <tables count="1">
        <x v="3"/>
      </tables>
    </webPr>
  </connection>
  <connection id="128" xr16:uid="{00000000-0015-0000-FFFF-FFFF5B000000}" name="连接180" type="4" refreshedVersion="4" background="1">
    <webPr sourceData="1" parsePre="1" consecutive="1" xl2000="1" url="http://stockdata.stock.hexun.com/2008/lr.aspx?stockid=002916&amp;accountdate=2018.12.31" htmlTables="1">
      <tables count="1">
        <x v="3"/>
      </tables>
    </webPr>
  </connection>
  <connection id="129" xr16:uid="{00000000-0015-0000-FFFF-FFFF5C000000}" name="连接181" type="4" refreshedVersion="4" background="1">
    <webPr sourceData="1" parsePre="1" consecutive="1" xl2000="1" url="http://stockdata.stock.hexun.com/2008/xjll.aspx?stockid=002916&amp;accountdate=2016.12.31" htmlTables="1">
      <tables count="1">
        <x v="3"/>
      </tables>
    </webPr>
  </connection>
  <connection id="130" xr16:uid="{00000000-0015-0000-FFFF-FFFF5D000000}" name="连接182" type="4" refreshedVersion="4" background="1">
    <webPr sourceData="1" parsePre="1" consecutive="1" xl2000="1" url="http://stockdata.stock.hexun.com/2008/xjll.aspx?stockid=002916&amp;accountdate=2017.12.31" htmlTables="1">
      <tables count="1">
        <x v="3"/>
      </tables>
    </webPr>
  </connection>
  <connection id="131" xr16:uid="{00000000-0015-0000-FFFF-FFFF5E000000}" name="连接183" type="4" refreshedVersion="4" background="1">
    <webPr sourceData="1" parsePre="1" consecutive="1" xl2000="1" url="http://stockdata.stock.hexun.com/2008/xjll.aspx?stockid=002916&amp;accountdate=2018.12.31" htmlTables="1">
      <tables count="1">
        <x v="3"/>
      </tables>
    </webPr>
  </connection>
  <connection id="132" xr16:uid="{00000000-0015-0000-FFFF-FFFF5F000000}" name="连接184" type="4" refreshedVersion="4" background="1">
    <webPr sourceData="1" parsePre="1" consecutive="1" xl2000="1" url="http://stockdata.stock.hexun.com/2008/zcfz.aspx?stockid=300401&amp;accountdate=2018.12.31" htmlTables="1">
      <tables count="1">
        <x v="3"/>
      </tables>
    </webPr>
  </connection>
  <connection id="133" xr16:uid="{00000000-0015-0000-FFFF-FFFF60000000}" name="连接185" type="4" refreshedVersion="4" background="1">
    <webPr sourceData="1" parsePre="1" consecutive="1" xl2000="1" url="http://stockdata.stock.hexun.com/2008/zcfz.aspx?stockid=300401&amp;accountdate=2017.12.31" htmlTables="1">
      <tables count="1">
        <x v="3"/>
      </tables>
    </webPr>
  </connection>
  <connection id="134" xr16:uid="{00000000-0015-0000-FFFF-FFFF61000000}" name="连接186" type="4" refreshedVersion="4" background="1">
    <webPr sourceData="1" parsePre="1" consecutive="1" xl2000="1" url="http://stockdata.stock.hexun.com/2008/zcfz.aspx?stockid=300401&amp;accountdate=2016.12.31" htmlTables="1">
      <tables count="1">
        <x v="3"/>
      </tables>
    </webPr>
  </connection>
  <connection id="135" xr16:uid="{00000000-0015-0000-FFFF-FFFF62000000}" name="连接187" type="4" refreshedVersion="4" background="1">
    <webPr sourceData="1" parsePre="1" consecutive="1" xl2000="1" url="http://stockdata.stock.hexun.com/2008/lr.aspx?stockid=300401&amp;accountdate=2016.12.31" htmlTables="1">
      <tables count="1">
        <x v="3"/>
      </tables>
    </webPr>
  </connection>
  <connection id="136" xr16:uid="{00000000-0015-0000-FFFF-FFFF63000000}" name="连接188" type="4" refreshedVersion="4" background="1">
    <webPr sourceData="1" parsePre="1" consecutive="1" xl2000="1" url="http://stockdata.stock.hexun.com/2008/lr.aspx?stockid=300401&amp;accountdate=2017.12.31" htmlTables="1">
      <tables count="1">
        <x v="3"/>
      </tables>
    </webPr>
  </connection>
  <connection id="137" xr16:uid="{00000000-0015-0000-FFFF-FFFF64000000}" name="连接189" type="4" refreshedVersion="4" background="1">
    <webPr sourceData="1" parsePre="1" consecutive="1" xl2000="1" url="http://stockdata.stock.hexun.com/2008/lr.aspx?stockid=300401&amp;accountdate=2018.12.31" htmlTables="1">
      <tables count="1">
        <x v="3"/>
      </tables>
    </webPr>
  </connection>
  <connection id="138" xr16:uid="{00000000-0015-0000-FFFF-FFFF65000000}" name="连接19" type="4" refreshedVersion="4" background="1" saveData="1">
    <webPr sourceData="1" parsePre="1" consecutive="1" xl2000="1" url="http://stockdata.stock.hexun.com/2008/zcfz.aspx?stockid=000725&amp;accountdate=2017.12.31" htmlTables="1">
      <tables count="1">
        <x v="3"/>
      </tables>
    </webPr>
  </connection>
  <connection id="139" xr16:uid="{00000000-0015-0000-FFFF-FFFF66000000}" name="连接190" type="4" refreshedVersion="4" background="1">
    <webPr sourceData="1" parsePre="1" consecutive="1" xl2000="1" url="http://stockdata.stock.hexun.com/2008/xjll.aspx?stockid=300401&amp;accountdate=2016.12.31" htmlTables="1">
      <tables count="1">
        <x v="3"/>
      </tables>
    </webPr>
  </connection>
  <connection id="140" xr16:uid="{00000000-0015-0000-FFFF-FFFF67000000}" name="连接191" type="4" refreshedVersion="4" background="1">
    <webPr sourceData="1" parsePre="1" consecutive="1" xl2000="1" url="http://stockdata.stock.hexun.com/2008/xjll.aspx?stockid=300401&amp;accountdate=2017.12.31" htmlTables="1">
      <tables count="1">
        <x v="3"/>
      </tables>
    </webPr>
  </connection>
  <connection id="141" xr16:uid="{00000000-0015-0000-FFFF-FFFF68000000}" name="连接192" type="4" refreshedVersion="4" background="1">
    <webPr sourceData="1" parsePre="1" consecutive="1" xl2000="1" url="http://stockdata.stock.hexun.com/2008/xjll.aspx?stockid=300401&amp;accountdate=2018.12.31" htmlTables="1">
      <tables count="1">
        <x v="3"/>
      </tables>
    </webPr>
  </connection>
  <connection id="142" xr16:uid="{00000000-0015-0000-FFFF-FFFF69000000}" name="连接193" type="4" refreshedVersion="4" background="1">
    <webPr sourceData="1" parsePre="1" consecutive="1" xl2000="1" url="http://stockdata.stock.hexun.com/2008/zcfz.aspx?stockid=002458&amp;accountdate=2018.12.31" htmlTables="1">
      <tables count="1">
        <x v="3"/>
      </tables>
    </webPr>
  </connection>
  <connection id="143" xr16:uid="{00000000-0015-0000-FFFF-FFFF6A000000}" name="连接194" type="4" refreshedVersion="4" background="1">
    <webPr sourceData="1" parsePre="1" consecutive="1" xl2000="1" url="http://stockdata.stock.hexun.com/2008/zcfz.aspx?stockid=002458&amp;accountdate=2017.12.31" htmlTables="1">
      <tables count="1">
        <x v="3"/>
      </tables>
    </webPr>
  </connection>
  <connection id="144" xr16:uid="{00000000-0015-0000-FFFF-FFFF6B000000}" name="连接195" type="4" refreshedVersion="4" background="1">
    <webPr sourceData="1" parsePre="1" consecutive="1" xl2000="1" url="http://stockdata.stock.hexun.com/2008/zcfz.aspx?stockid=002458&amp;accountdate=2016.12.31" htmlTables="1">
      <tables count="1">
        <x v="3"/>
      </tables>
    </webPr>
  </connection>
  <connection id="145" xr16:uid="{00000000-0015-0000-FFFF-FFFF6C000000}" name="连接196" type="4" refreshedVersion="4" background="1">
    <webPr sourceData="1" parsePre="1" consecutive="1" xl2000="1" url="http://stockdata.stock.hexun.com/2008/lr.aspx?stockid=002458&amp;accountdate=2016.12.31" htmlTables="1">
      <tables count="1">
        <x v="3"/>
      </tables>
    </webPr>
  </connection>
  <connection id="146" xr16:uid="{00000000-0015-0000-FFFF-FFFF6D000000}" name="连接197" type="4" refreshedVersion="4" background="1">
    <webPr sourceData="1" parsePre="1" consecutive="1" xl2000="1" url="http://stockdata.stock.hexun.com/2008/lr.aspx?stockid=002458&amp;accountdate=2017.12.31" htmlTables="1">
      <tables count="1">
        <x v="3"/>
      </tables>
    </webPr>
  </connection>
  <connection id="147" xr16:uid="{00000000-0015-0000-FFFF-FFFF6E000000}" name="连接198" type="4" refreshedVersion="4" background="1">
    <webPr sourceData="1" parsePre="1" consecutive="1" xl2000="1" url="http://stockdata.stock.hexun.com/2008/lr.aspx?stockid=002458&amp;accountdate=2018.12.31" htmlTables="1">
      <tables count="1">
        <x v="3"/>
      </tables>
    </webPr>
  </connection>
  <connection id="148" xr16:uid="{00000000-0015-0000-FFFF-FFFF6F000000}" name="连接199" type="4" refreshedVersion="4" background="1">
    <webPr sourceData="1" parsePre="1" consecutive="1" xl2000="1" url="http://stockdata.stock.hexun.com/2008/xjll.aspx?stockid=002458&amp;accountdate=2016.12.31" htmlTables="1">
      <tables count="1">
        <x v="3"/>
      </tables>
    </webPr>
  </connection>
  <connection id="149" xr16:uid="{00000000-0015-0000-FFFF-FFFF70000000}" name="连接2" type="4" refreshedVersion="4" background="1">
    <webPr sourceData="1" parsePre="1" consecutive="1" xl2000="1" url="http://stockdata.stock.hexun.com/2008/zcfz.aspx?stockid=600660&amp;accountdate=2016.12.31"/>
  </connection>
  <connection id="150" xr16:uid="{00000000-0015-0000-FFFF-FFFF71000000}" name="连接20" type="4" refreshedVersion="4" background="1" saveData="1">
    <webPr sourceData="1" parsePre="1" consecutive="1" xl2000="1" url="http://stockdata.stock.hexun.com/2008/zcfz.aspx?stockid=000725&amp;accountdate=2016.12.31" htmlTables="1">
      <tables count="1">
        <x v="3"/>
      </tables>
    </webPr>
  </connection>
  <connection id="151" xr16:uid="{00000000-0015-0000-FFFF-FFFF72000000}" name="连接200" type="4" refreshedVersion="4" background="1">
    <webPr sourceData="1" parsePre="1" consecutive="1" xl2000="1" url="http://stockdata.stock.hexun.com/2008/xjll.aspx?stockid=002458&amp;accountdate=2017.12.31" htmlTables="1">
      <tables count="1">
        <x v="3"/>
      </tables>
    </webPr>
  </connection>
  <connection id="152" xr16:uid="{00000000-0015-0000-FFFF-FFFF73000000}" name="连接201" type="4" refreshedVersion="4" background="1">
    <webPr sourceData="1" parsePre="1" consecutive="1" xl2000="1" url="http://stockdata.stock.hexun.com/2008/xjll.aspx?stockid=002458&amp;accountdate=2018.12.31" htmlTables="1">
      <tables count="1">
        <x v="3"/>
      </tables>
    </webPr>
  </connection>
  <connection id="153" xr16:uid="{00000000-0015-0000-FFFF-FFFF74000000}" name="连接202" type="4" refreshedVersion="4" background="1">
    <webPr sourceData="1" parsePre="1" consecutive="1" xl2000="1" url="http://stockdata.stock.hexun.com/2008/zcfz.aspx?stockid=002757&amp;accountdate=2018.12.31" htmlTables="1">
      <tables count="1">
        <x v="3"/>
      </tables>
    </webPr>
  </connection>
  <connection id="154" xr16:uid="{00000000-0015-0000-FFFF-FFFF75000000}" name="连接203" type="4" refreshedVersion="4" background="1">
    <webPr sourceData="1" parsePre="1" consecutive="1" xl2000="1" url="http://stockdata.stock.hexun.com/2008/zcfz.aspx?stockid=002757&amp;accountdate=2017.12.31" htmlTables="1">
      <tables count="1">
        <x v="3"/>
      </tables>
    </webPr>
  </connection>
  <connection id="155" xr16:uid="{00000000-0015-0000-FFFF-FFFF76000000}" name="连接204" type="4" refreshedVersion="4" background="1">
    <webPr sourceData="1" parsePre="1" consecutive="1" xl2000="1" url="http://stockdata.stock.hexun.com/2008/zcfz.aspx?stockid=002757&amp;accountdate=2016.12.31" htmlTables="1">
      <tables count="1">
        <x v="3"/>
      </tables>
    </webPr>
  </connection>
  <connection id="156" xr16:uid="{00000000-0015-0000-FFFF-FFFF77000000}" name="连接205" type="4" refreshedVersion="4" background="1">
    <webPr sourceData="1" parsePre="1" consecutive="1" xl2000="1" url="http://stockdata.stock.hexun.com/2008/lr.aspx?stockid=002757&amp;accountdate=2016.12.31" htmlTables="1">
      <tables count="1">
        <x v="3"/>
      </tables>
    </webPr>
  </connection>
  <connection id="157" xr16:uid="{00000000-0015-0000-FFFF-FFFF78000000}" name="连接206" type="4" refreshedVersion="4" background="1">
    <webPr sourceData="1" parsePre="1" consecutive="1" xl2000="1" url="http://stockdata.stock.hexun.com/2008/lr.aspx?stockid=002757&amp;accountdate=2017.12.31" htmlTables="1">
      <tables count="1">
        <x v="3"/>
      </tables>
    </webPr>
  </connection>
  <connection id="158" xr16:uid="{00000000-0015-0000-FFFF-FFFF79000000}" name="连接207" type="4" refreshedVersion="4" background="1">
    <webPr sourceData="1" parsePre="1" consecutive="1" xl2000="1" url="http://stockdata.stock.hexun.com/2008/lr.aspx?stockid=002757&amp;accountdate=2018.12.31" htmlTables="1">
      <tables count="1">
        <x v="3"/>
      </tables>
    </webPr>
  </connection>
  <connection id="159" xr16:uid="{00000000-0015-0000-FFFF-FFFF7A000000}" name="连接208" type="4" refreshedVersion="4" background="1">
    <webPr sourceData="1" parsePre="1" consecutive="1" xl2000="1" url="http://stockdata.stock.hexun.com/2008/xjll.aspx?stockid=002757&amp;accountdate=2016.12.31" htmlTables="1">
      <tables count="1">
        <x v="3"/>
      </tables>
    </webPr>
  </connection>
  <connection id="160" xr16:uid="{00000000-0015-0000-FFFF-FFFF7B000000}" name="连接209" type="4" refreshedVersion="4" background="1">
    <webPr sourceData="1" parsePre="1" consecutive="1" xl2000="1" url="http://stockdata.stock.hexun.com/2008/xjll.aspx?stockid=002757&amp;accountdate=2017.12.31" htmlTables="1">
      <tables count="1">
        <x v="3"/>
      </tables>
    </webPr>
  </connection>
  <connection id="161" xr16:uid="{00000000-0015-0000-FFFF-FFFF7C000000}" name="连接21" type="4" refreshedVersion="4" background="1">
    <webPr sourceData="1" parsePre="1" consecutive="1" xl2000="1" url="http://stockdata.stock.hexun.com/2008/zcfz.aspx?stockid=000725&amp;accountdate=2018.12.31" htmlTables="1">
      <tables count="1">
        <x v="3"/>
      </tables>
    </webPr>
  </connection>
  <connection id="162" xr16:uid="{00000000-0015-0000-FFFF-FFFF7D000000}" name="连接210" type="4" refreshedVersion="4" background="1">
    <webPr sourceData="1" parsePre="1" consecutive="1" xl2000="1" url="http://stockdata.stock.hexun.com/2008/xjll.aspx?stockid=002757&amp;accountdate=2018.12.31" htmlTables="1">
      <tables count="1">
        <x v="3"/>
      </tables>
    </webPr>
  </connection>
  <connection id="163" xr16:uid="{00000000-0015-0000-FFFF-FFFF7E000000}" name="连接211" type="4" refreshedVersion="4" background="1">
    <webPr sourceData="1" parsePre="1" consecutive="1" xl2000="1" url="http://stockdata.stock.hexun.com/2008/zcfz.aspx?stockid=002746&amp;accountdate=2018.12.31" htmlTables="1">
      <tables count="1">
        <x v="3"/>
      </tables>
    </webPr>
  </connection>
  <connection id="164" xr16:uid="{00000000-0015-0000-FFFF-FFFF7F000000}" name="连接212" type="4" refreshedVersion="4" background="1">
    <webPr sourceData="1" parsePre="1" consecutive="1" xl2000="1" url="http://stockdata.stock.hexun.com/2008/zcfz.aspx?stockid=002746&amp;accountdate=2017.12.31" htmlTables="1">
      <tables count="1">
        <x v="3"/>
      </tables>
    </webPr>
  </connection>
  <connection id="165" xr16:uid="{00000000-0015-0000-FFFF-FFFF80000000}" name="连接213" type="4" refreshedVersion="4" background="1">
    <webPr sourceData="1" parsePre="1" consecutive="1" xl2000="1" url="http://stockdata.stock.hexun.com/2008/zcfz.aspx?stockid=002746&amp;accountdate=2016.12.31" htmlTables="1">
      <tables count="1">
        <x v="3"/>
      </tables>
    </webPr>
  </connection>
  <connection id="166" xr16:uid="{00000000-0015-0000-FFFF-FFFF81000000}" name="连接214" type="4" refreshedVersion="4" background="1">
    <webPr sourceData="1" parsePre="1" consecutive="1" xl2000="1" url="http://stockdata.stock.hexun.com/2008/lr.aspx?stockid=002746&amp;accountdate=2016.12.31" htmlTables="1">
      <tables count="1">
        <x v="3"/>
      </tables>
    </webPr>
  </connection>
  <connection id="167" xr16:uid="{00000000-0015-0000-FFFF-FFFF82000000}" name="连接215" type="4" refreshedVersion="4" background="1">
    <webPr sourceData="1" parsePre="1" consecutive="1" xl2000="1" url="http://stockdata.stock.hexun.com/2008/lr.aspx?stockid=002746&amp;accountdate=2017.12.31" htmlTables="1">
      <tables count="1">
        <x v="3"/>
      </tables>
    </webPr>
  </connection>
  <connection id="168" xr16:uid="{00000000-0015-0000-FFFF-FFFF83000000}" name="连接216" type="4" refreshedVersion="4" background="1">
    <webPr sourceData="1" parsePre="1" consecutive="1" xl2000="1" url="http://stockdata.stock.hexun.com/2008/lr.aspx?stockid=002746&amp;accountdate=2018.12.31" htmlTables="1">
      <tables count="1">
        <x v="3"/>
      </tables>
    </webPr>
  </connection>
  <connection id="169" xr16:uid="{00000000-0015-0000-FFFF-FFFF84000000}" name="连接217" type="4" refreshedVersion="4" background="1">
    <webPr sourceData="1" parsePre="1" consecutive="1" xl2000="1" url="http://stockdata.stock.hexun.com/2008/xjll.aspx?stockid=002746&amp;accountdate=2016.12.31" htmlTables="1">
      <tables count="1">
        <x v="3"/>
      </tables>
    </webPr>
  </connection>
  <connection id="170" xr16:uid="{00000000-0015-0000-FFFF-FFFF85000000}" name="连接218" type="4" refreshedVersion="4" background="1">
    <webPr sourceData="1" parsePre="1" consecutive="1" xl2000="1" url="http://stockdata.stock.hexun.com/2008/xjll.aspx?stockid=002746&amp;accountdate=2017.12.31" htmlTables="1">
      <tables count="1">
        <x v="3"/>
      </tables>
    </webPr>
  </connection>
  <connection id="171" xr16:uid="{00000000-0015-0000-FFFF-FFFF86000000}" name="连接219" type="4" refreshedVersion="4" background="1">
    <webPr sourceData="1" parsePre="1" consecutive="1" xl2000="1" url="http://stockdata.stock.hexun.com/2008/xjll.aspx?stockid=002746&amp;accountdate=2018.12.31" htmlTables="1">
      <tables count="1">
        <x v="3"/>
      </tables>
    </webPr>
  </connection>
  <connection id="172" xr16:uid="{00000000-0015-0000-FFFF-FFFF87000000}" name="连接22" type="4" refreshedVersion="4" background="1">
    <webPr sourceData="1" parsePre="1" consecutive="1" xl2000="1" url="http://stockdata.stock.hexun.com/2008/zcfz.aspx?stockid=000725&amp;accountdate=2017.12.31" htmlTables="1">
      <tables count="1">
        <x v="3"/>
      </tables>
    </webPr>
  </connection>
  <connection id="173" xr16:uid="{00000000-0015-0000-FFFF-FFFF88000000}" name="连接220" type="4" refreshedVersion="4" background="1">
    <webPr sourceData="1" parsePre="1" consecutive="1" xl2000="1" url="http://stockdata.stock.hexun.com/2008/zcfz.aspx?stockid=002099&amp;accountdate=2018.12.31" htmlTables="1">
      <tables count="1">
        <x v="3"/>
      </tables>
    </webPr>
  </connection>
  <connection id="174" xr16:uid="{00000000-0015-0000-FFFF-FFFF89000000}" name="连接221" type="4" refreshedVersion="4" background="1">
    <webPr sourceData="1" parsePre="1" consecutive="1" xl2000="1" url="http://stockdata.stock.hexun.com/2008/zcfz.aspx?stockid=002099&amp;accountdate=2017.12.31" htmlTables="1">
      <tables count="1">
        <x v="3"/>
      </tables>
    </webPr>
  </connection>
  <connection id="175" xr16:uid="{00000000-0015-0000-FFFF-FFFF8A000000}" name="连接222" type="4" refreshedVersion="4" background="1">
    <webPr sourceData="1" parsePre="1" consecutive="1" xl2000="1" url="http://stockdata.stock.hexun.com/2008/zcfz.aspx?stockid=002099&amp;accountdate=2016.12.31" htmlTables="1">
      <tables count="1">
        <x v="3"/>
      </tables>
    </webPr>
  </connection>
  <connection id="176" xr16:uid="{00000000-0015-0000-FFFF-FFFF8B000000}" name="连接223" type="4" refreshedVersion="4" background="1">
    <webPr sourceData="1" parsePre="1" consecutive="1" xl2000="1" url="http://stockdata.stock.hexun.com/2008/lr.aspx?stockid=002099&amp;accountdate=2016.12.31" htmlTables="1">
      <tables count="1">
        <x v="3"/>
      </tables>
    </webPr>
  </connection>
  <connection id="177" xr16:uid="{00000000-0015-0000-FFFF-FFFF8C000000}" name="连接224" type="4" refreshedVersion="4" background="1">
    <webPr sourceData="1" parsePre="1" consecutive="1" xl2000="1" url="http://stockdata.stock.hexun.com/2008/lr.aspx?stockid=002099&amp;accountdate=2017.12.31" htmlTables="1">
      <tables count="1">
        <x v="3"/>
      </tables>
    </webPr>
  </connection>
  <connection id="178" xr16:uid="{00000000-0015-0000-FFFF-FFFF8D000000}" name="连接225" type="4" refreshedVersion="4" background="1">
    <webPr sourceData="1" parsePre="1" consecutive="1" xl2000="1" url="http://stockdata.stock.hexun.com/2008/lr.aspx?stockid=002099&amp;accountdate=2018.12.31" htmlTables="1">
      <tables count="1">
        <x v="3"/>
      </tables>
    </webPr>
  </connection>
  <connection id="179" xr16:uid="{00000000-0015-0000-FFFF-FFFF8E000000}" name="连接226" type="4" refreshedVersion="4" background="1">
    <webPr sourceData="1" parsePre="1" consecutive="1" xl2000="1" url="http://stockdata.stock.hexun.com/2008/xjll.aspx?stockid=002099&amp;accountdate=2016.12.31" htmlTables="1">
      <tables count="1">
        <x v="3"/>
      </tables>
    </webPr>
  </connection>
  <connection id="180" xr16:uid="{00000000-0015-0000-FFFF-FFFF8F000000}" name="连接227" type="4" refreshedVersion="4" background="1">
    <webPr sourceData="1" parsePre="1" consecutive="1" xl2000="1" url="http://stockdata.stock.hexun.com/2008/xjll.aspx?stockid=002099&amp;accountdate=2017.12.31" htmlTables="1">
      <tables count="1">
        <x v="3"/>
      </tables>
    </webPr>
  </connection>
  <connection id="181" xr16:uid="{00000000-0015-0000-FFFF-FFFF90000000}" name="连接228" type="4" refreshedVersion="4" background="1">
    <webPr sourceData="1" parsePre="1" consecutive="1" xl2000="1" url="http://stockdata.stock.hexun.com/2008/xjll.aspx?stockid=002099&amp;accountdate=2018.12.31" htmlTables="1">
      <tables count="1">
        <x v="3"/>
      </tables>
    </webPr>
  </connection>
  <connection id="182" xr16:uid="{00000000-0015-0000-FFFF-FFFF91000000}" name="连接229" type="4" refreshedVersion="4" background="1">
    <webPr sourceData="1" parsePre="1" consecutive="1" xl2000="1" url="http://stockdata.stock.hexun.com/2008/zcfz.aspx?stockid=600779&amp;accountdate=2018.12.31" htmlTables="1">
      <tables count="1">
        <x v="3"/>
      </tables>
    </webPr>
  </connection>
  <connection id="183" xr16:uid="{00000000-0015-0000-FFFF-FFFF92000000}" name="连接23" type="4" refreshedVersion="4" background="1">
    <webPr sourceData="1" parsePre="1" consecutive="1" xl2000="1" url="http://stockdata.stock.hexun.com/2008/zcfz.aspx?stockid=000725&amp;accountdate=2016.12.31" htmlTables="1">
      <tables count="1">
        <x v="3"/>
      </tables>
    </webPr>
  </connection>
  <connection id="184" xr16:uid="{00000000-0015-0000-FFFF-FFFF93000000}" name="连接230" type="4" refreshedVersion="4" background="1">
    <webPr sourceData="1" parsePre="1" consecutive="1" xl2000="1" url="http://stockdata.stock.hexun.com/2008/zcfz.aspx?stockid=600779&amp;accountdate=2017.12.31" htmlTables="1">
      <tables count="1">
        <x v="3"/>
      </tables>
    </webPr>
  </connection>
  <connection id="185" xr16:uid="{00000000-0015-0000-FFFF-FFFF94000000}" name="连接231" type="4" refreshedVersion="4" background="1">
    <webPr sourceData="1" parsePre="1" consecutive="1" xl2000="1" url="http://stockdata.stock.hexun.com/2008/zcfz.aspx?stockid=600779&amp;accountdate=2016.12.31" htmlTables="1">
      <tables count="1">
        <x v="3"/>
      </tables>
    </webPr>
  </connection>
  <connection id="186" xr16:uid="{00000000-0015-0000-FFFF-FFFF95000000}" name="连接232" type="4" refreshedVersion="4" background="1">
    <webPr sourceData="1" parsePre="1" consecutive="1" xl2000="1" url="http://stockdata.stock.hexun.com/2008/lr.aspx?stockid=600779&amp;accountdate=2016.12.31" htmlTables="1">
      <tables count="1">
        <x v="3"/>
      </tables>
    </webPr>
  </connection>
  <connection id="187" xr16:uid="{00000000-0015-0000-FFFF-FFFF96000000}" name="连接233" type="4" refreshedVersion="4" background="1">
    <webPr sourceData="1" parsePre="1" consecutive="1" xl2000="1" url="http://stockdata.stock.hexun.com/2008/lr.aspx?stockid=600779&amp;accountdate=2017.12.31" htmlTables="1">
      <tables count="1">
        <x v="3"/>
      </tables>
    </webPr>
  </connection>
  <connection id="188" xr16:uid="{00000000-0015-0000-FFFF-FFFF97000000}" name="连接234" type="4" refreshedVersion="4" background="1">
    <webPr sourceData="1" parsePre="1" consecutive="1" xl2000="1" url="http://stockdata.stock.hexun.com/2008/lr.aspx?stockid=600779&amp;accountdate=2018.12.31" htmlTables="1">
      <tables count="1">
        <x v="3"/>
      </tables>
    </webPr>
  </connection>
  <connection id="189" xr16:uid="{00000000-0015-0000-FFFF-FFFF98000000}" name="连接235" type="4" refreshedVersion="4" background="1">
    <webPr sourceData="1" parsePre="1" consecutive="1" xl2000="1" url="http://stockdata.stock.hexun.com/2008/xjll.aspx?stockid=600779&amp;accountdate=2016.12.31" htmlTables="1">
      <tables count="1">
        <x v="3"/>
      </tables>
    </webPr>
  </connection>
  <connection id="190" xr16:uid="{00000000-0015-0000-FFFF-FFFF99000000}" name="连接236" type="4" refreshedVersion="4" background="1">
    <webPr sourceData="1" parsePre="1" consecutive="1" xl2000="1" url="http://stockdata.stock.hexun.com/2008/xjll.aspx?stockid=600779&amp;accountdate=2017.12.31" htmlTables="1">
      <tables count="1">
        <x v="3"/>
      </tables>
    </webPr>
  </connection>
  <connection id="191" xr16:uid="{00000000-0015-0000-FFFF-FFFF9A000000}" name="连接237" type="4" refreshedVersion="4" background="1">
    <webPr sourceData="1" parsePre="1" consecutive="1" xl2000="1" url="http://stockdata.stock.hexun.com/2008/xjll.aspx?stockid=600779&amp;accountdate=2018.12.31" htmlTables="1">
      <tables count="1">
        <x v="3"/>
      </tables>
    </webPr>
  </connection>
  <connection id="192" xr16:uid="{00000000-0015-0000-FFFF-FFFF9B000000}" name="连接238" type="4" refreshedVersion="4" background="1">
    <webPr sourceData="1" parsePre="1" consecutive="1" xl2000="1" url="http://stockdata.stock.hexun.com/2008/zcfz.aspx?stockid=600346&amp;accountdate=2018.12.31" htmlTables="1">
      <tables count="1">
        <x v="3"/>
      </tables>
    </webPr>
  </connection>
  <connection id="193" xr16:uid="{00000000-0015-0000-FFFF-FFFF9C000000}" name="连接239" type="4" refreshedVersion="4" background="1">
    <webPr sourceData="1" parsePre="1" consecutive="1" xl2000="1" url="http://stockdata.stock.hexun.com/2008/zcfz.aspx?stockid=600346&amp;accountdate=2017.12.31" htmlTables="1">
      <tables count="1">
        <x v="3"/>
      </tables>
    </webPr>
  </connection>
  <connection id="194" xr16:uid="{00000000-0015-0000-FFFF-FFFF9D000000}" name="连接24" type="4" refreshedVersion="4" background="1" saveData="1">
    <webPr sourceData="1" parsePre="1" consecutive="1" xl2000="1" url="http://stockdata.stock.hexun.com/2008/zcfz.aspx?stockid=600660&amp;accountdate=2018.12.31" htmlTables="1">
      <tables count="1">
        <x v="3"/>
      </tables>
    </webPr>
  </connection>
  <connection id="195" xr16:uid="{00000000-0015-0000-FFFF-FFFF9E000000}" name="连接240" type="4" refreshedVersion="4" background="1">
    <webPr sourceData="1" parsePre="1" consecutive="1" xl2000="1" url="http://stockdata.stock.hexun.com/2008/zcfz.aspx?stockid=600346&amp;accountdate=2016.12.31" htmlTables="1">
      <tables count="1">
        <x v="3"/>
      </tables>
    </webPr>
  </connection>
  <connection id="196" xr16:uid="{00000000-0015-0000-FFFF-FFFF9F000000}" name="连接241" type="4" refreshedVersion="4" background="1">
    <webPr sourceData="1" parsePre="1" consecutive="1" xl2000="1" url="http://stockdata.stock.hexun.com/2008/lr.aspx?stockid=600346&amp;accountdate=2016.12.31" htmlTables="1">
      <tables count="1">
        <x v="3"/>
      </tables>
    </webPr>
  </connection>
  <connection id="197" xr16:uid="{00000000-0015-0000-FFFF-FFFFA0000000}" name="连接242" type="4" refreshedVersion="4" background="1">
    <webPr sourceData="1" parsePre="1" consecutive="1" xl2000="1" url="http://stockdata.stock.hexun.com/2008/lr.aspx?stockid=600346&amp;accountdate=2017.12.31" htmlTables="1">
      <tables count="1">
        <x v="3"/>
      </tables>
    </webPr>
  </connection>
  <connection id="198" xr16:uid="{00000000-0015-0000-FFFF-FFFFA1000000}" name="连接243" type="4" refreshedVersion="4" background="1">
    <webPr sourceData="1" parsePre="1" consecutive="1" xl2000="1" url="http://stockdata.stock.hexun.com/2008/lr.aspx?stockid=600346&amp;accountdate=2018.12.31" htmlTables="1">
      <tables count="1">
        <x v="3"/>
      </tables>
    </webPr>
  </connection>
  <connection id="199" xr16:uid="{00000000-0015-0000-FFFF-FFFFA2000000}" name="连接244" type="4" refreshedVersion="4" background="1">
    <webPr sourceData="1" parsePre="1" consecutive="1" xl2000="1" url="http://stockdata.stock.hexun.com/2008/xjll.aspx?stockid=600346&amp;accountdate=2016.12.31" htmlTables="1">
      <tables count="1">
        <x v="3"/>
      </tables>
    </webPr>
  </connection>
  <connection id="200" xr16:uid="{00000000-0015-0000-FFFF-FFFFA3000000}" name="连接245" type="4" refreshedVersion="4" background="1">
    <webPr sourceData="1" parsePre="1" consecutive="1" xl2000="1" url="http://stockdata.stock.hexun.com/2008/xjll.aspx?stockid=600346&amp;accountdate=2017.12.31" htmlTables="1">
      <tables count="1">
        <x v="3"/>
      </tables>
    </webPr>
  </connection>
  <connection id="201" xr16:uid="{00000000-0015-0000-FFFF-FFFFA4000000}" name="连接246" type="4" refreshedVersion="4" background="1">
    <webPr sourceData="1" parsePre="1" consecutive="1" xl2000="1" url="http://stockdata.stock.hexun.com/2008/xjll.aspx?stockid=600346&amp;accountdate=2018.12.31" htmlTables="1">
      <tables count="1">
        <x v="3"/>
      </tables>
    </webPr>
  </connection>
  <connection id="202" xr16:uid="{00000000-0015-0000-FFFF-FFFFA5000000}" name="连接247" type="4" refreshedVersion="4" background="1">
    <webPr sourceData="1" parsePre="1" consecutive="1" xl2000="1" url="http://stockdata.stock.hexun.com/2008/zcfz.aspx?stockid=300384&amp;accountdate=2018.12.31" htmlTables="1">
      <tables count="1">
        <x v="3"/>
      </tables>
    </webPr>
  </connection>
  <connection id="203" xr16:uid="{00000000-0015-0000-FFFF-FFFFA6000000}" name="连接248" type="4" refreshedVersion="4" background="1">
    <webPr sourceData="1" parsePre="1" consecutive="1" xl2000="1" url="http://stockdata.stock.hexun.com/2008/zcfz.aspx?stockid=300384&amp;accountdate=2017.12.31" htmlTables="1">
      <tables count="1">
        <x v="3"/>
      </tables>
    </webPr>
  </connection>
  <connection id="204" xr16:uid="{00000000-0015-0000-FFFF-FFFFA7000000}" name="连接249" type="4" refreshedVersion="4" background="1">
    <webPr sourceData="1" parsePre="1" consecutive="1" xl2000="1" url="http://stockdata.stock.hexun.com/2008/zcfz.aspx?stockid=300384&amp;accountdate=2016.12.31" htmlTables="1">
      <tables count="1">
        <x v="3"/>
      </tables>
    </webPr>
  </connection>
  <connection id="205" xr16:uid="{00000000-0015-0000-FFFF-FFFFA8000000}" name="连接25" type="4" refreshedVersion="4" background="1" saveData="1">
    <webPr sourceData="1" parsePre="1" consecutive="1" xl2000="1" url="http://stockdata.stock.hexun.com/2008/zcfz.aspx?stockid=600660&amp;accountdate=2017.12.31" htmlTables="1">
      <tables count="1">
        <x v="3"/>
      </tables>
    </webPr>
  </connection>
  <connection id="206" xr16:uid="{00000000-0015-0000-FFFF-FFFFA9000000}" name="连接250" type="4" refreshedVersion="4" background="1">
    <webPr sourceData="1" parsePre="1" consecutive="1" xl2000="1" url="http://stockdata.stock.hexun.com/2008/lr.aspx?stockid=300384&amp;accountdate=2016.12.31" htmlTables="1">
      <tables count="1">
        <x v="3"/>
      </tables>
    </webPr>
  </connection>
  <connection id="207" xr16:uid="{00000000-0015-0000-FFFF-FFFFAA000000}" name="连接251" type="4" refreshedVersion="4" background="1">
    <webPr sourceData="1" parsePre="1" consecutive="1" xl2000="1" url="http://stockdata.stock.hexun.com/2008/lr.aspx?stockid=300384&amp;accountdate=2017.12.31" htmlTables="1">
      <tables count="1">
        <x v="3"/>
      </tables>
    </webPr>
  </connection>
  <connection id="208" xr16:uid="{00000000-0015-0000-FFFF-FFFFAB000000}" name="连接252" type="4" refreshedVersion="4" background="1">
    <webPr sourceData="1" parsePre="1" consecutive="1" xl2000="1" url="http://stockdata.stock.hexun.com/2008/lr.aspx?stockid=300384&amp;accountdate=2018.12.31" htmlTables="1">
      <tables count="1">
        <x v="3"/>
      </tables>
    </webPr>
  </connection>
  <connection id="209" xr16:uid="{00000000-0015-0000-FFFF-FFFFAC000000}" name="连接253" type="4" refreshedVersion="4" background="1">
    <webPr sourceData="1" parsePre="1" consecutive="1" xl2000="1" url="http://stockdata.stock.hexun.com/2008/xjll.aspx?stockid=300384&amp;accountdate=2016.12.31" htmlTables="1">
      <tables count="1">
        <x v="3"/>
      </tables>
    </webPr>
  </connection>
  <connection id="210" xr16:uid="{00000000-0015-0000-FFFF-FFFFAD000000}" name="连接254" type="4" refreshedVersion="4" background="1">
    <webPr sourceData="1" parsePre="1" consecutive="1" xl2000="1" url="http://stockdata.stock.hexun.com/2008/xjll.aspx?stockid=300384&amp;accountdate=2017.12.31" htmlTables="1">
      <tables count="1">
        <x v="3"/>
      </tables>
    </webPr>
  </connection>
  <connection id="211" xr16:uid="{00000000-0015-0000-FFFF-FFFFAE000000}" name="连接255" type="4" refreshedVersion="4" background="1">
    <webPr sourceData="1" parsePre="1" consecutive="1" xl2000="1" url="http://stockdata.stock.hexun.com/2008/xjll.aspx?stockid=300384&amp;accountdate=2018.12.31" htmlTables="1">
      <tables count="1">
        <x v="3"/>
      </tables>
    </webPr>
  </connection>
  <connection id="212" xr16:uid="{00000000-0015-0000-FFFF-FFFFAF000000}" name="连接256" type="4" refreshedVersion="4" background="1">
    <webPr sourceData="1" parsePre="1" consecutive="1" xl2000="1" url="http://stockdata.stock.hexun.com/2008/zcfz.aspx?stockid=002851&amp;accountdate=2018.12.31" htmlTables="1">
      <tables count="1">
        <x v="3"/>
      </tables>
    </webPr>
  </connection>
  <connection id="213" xr16:uid="{00000000-0015-0000-FFFF-FFFFB0000000}" name="连接257" type="4" refreshedVersion="4" background="1">
    <webPr sourceData="1" parsePre="1" consecutive="1" xl2000="1" url="http://stockdata.stock.hexun.com/2008/zcfz.aspx?stockid=002851&amp;accountdate=2017.12.31" htmlTables="1">
      <tables count="1">
        <x v="3"/>
      </tables>
    </webPr>
  </connection>
  <connection id="214" xr16:uid="{00000000-0015-0000-FFFF-FFFFB1000000}" name="连接258" type="4" refreshedVersion="4" background="1">
    <webPr sourceData="1" parsePre="1" consecutive="1" xl2000="1" url="http://stockdata.stock.hexun.com/2008/zcfz.aspx?stockid=002851&amp;accountdate=2016.12.31" htmlTables="1">
      <tables count="1">
        <x v="3"/>
      </tables>
    </webPr>
  </connection>
  <connection id="215" xr16:uid="{00000000-0015-0000-FFFF-FFFFB2000000}" name="连接259" type="4" refreshedVersion="4" background="1">
    <webPr sourceData="1" parsePre="1" consecutive="1" xl2000="1" url="http://stockdata.stock.hexun.com/2008/lr.aspx?stockid=002851&amp;accountdate=2016.12.31" htmlTables="1">
      <tables count="1">
        <x v="3"/>
      </tables>
    </webPr>
  </connection>
  <connection id="216" xr16:uid="{00000000-0015-0000-FFFF-FFFFB3000000}" name="连接26" type="4" refreshedVersion="4" background="1" saveData="1">
    <webPr sourceData="1" parsePre="1" consecutive="1" xl2000="1" url="http://stockdata.stock.hexun.com/2008/zcfz.aspx?stockid=600660&amp;accountdate=2016.12.31" htmlTables="1">
      <tables count="1">
        <x v="3"/>
      </tables>
    </webPr>
  </connection>
  <connection id="217" xr16:uid="{00000000-0015-0000-FFFF-FFFFB4000000}" name="连接260" type="4" refreshedVersion="4" background="1">
    <webPr sourceData="1" parsePre="1" consecutive="1" xl2000="1" url="http://stockdata.stock.hexun.com/2008/lr.aspx?stockid=002851&amp;accountdate=2017.12.31" htmlTables="1">
      <tables count="1">
        <x v="3"/>
      </tables>
    </webPr>
  </connection>
  <connection id="218" xr16:uid="{00000000-0015-0000-FFFF-FFFFB5000000}" name="连接261" type="4" refreshedVersion="4" background="1">
    <webPr sourceData="1" parsePre="1" consecutive="1" xl2000="1" url="http://stockdata.stock.hexun.com/2008/lr.aspx?stockid=002851&amp;accountdate=2018.12.31" htmlTables="1">
      <tables count="1">
        <x v="3"/>
      </tables>
    </webPr>
  </connection>
  <connection id="219" xr16:uid="{00000000-0015-0000-FFFF-FFFFB6000000}" name="连接262" type="4" refreshedVersion="4" background="1">
    <webPr sourceData="1" parsePre="1" consecutive="1" xl2000="1" url="http://stockdata.stock.hexun.com/2008/xjll.aspx?stockid=002851&amp;accountdate=2016.12.31" htmlTables="1">
      <tables count="1">
        <x v="3"/>
      </tables>
    </webPr>
  </connection>
  <connection id="220" xr16:uid="{00000000-0015-0000-FFFF-FFFFB7000000}" name="连接263" type="4" refreshedVersion="4" background="1">
    <webPr sourceData="1" parsePre="1" consecutive="1" xl2000="1" url="http://stockdata.stock.hexun.com/2008/xjll.aspx?stockid=002851&amp;accountdate=2017.12.31" htmlTables="1">
      <tables count="1">
        <x v="3"/>
      </tables>
    </webPr>
  </connection>
  <connection id="221" xr16:uid="{00000000-0015-0000-FFFF-FFFFB8000000}" name="连接264" type="4" refreshedVersion="4" background="1">
    <webPr sourceData="1" parsePre="1" consecutive="1" xl2000="1" url="http://stockdata.stock.hexun.com/2008/xjll.aspx?stockid=002851&amp;accountdate=2018.12.31" htmlTables="1">
      <tables count="1">
        <x v="3"/>
      </tables>
    </webPr>
  </connection>
  <connection id="222" xr16:uid="{00000000-0015-0000-FFFF-FFFFB9000000}" name="连接265" type="4" refreshedVersion="4" background="1">
    <webPr sourceData="1" parsePre="1" consecutive="1" xl2000="1" url="http://stockdata.stock.hexun.com/2008/zcfz.aspx?stockid=300570&amp;accountdate=2018.12.31" htmlTables="1">
      <tables count="1">
        <x v="3"/>
      </tables>
    </webPr>
  </connection>
  <connection id="223" xr16:uid="{00000000-0015-0000-FFFF-FFFFBA000000}" name="连接266" type="4" refreshedVersion="4" background="1">
    <webPr sourceData="1" parsePre="1" consecutive="1" xl2000="1" url="http://stockdata.stock.hexun.com/2008/zcfz.aspx?stockid=300570&amp;accountdate=2017.12.31" htmlTables="1">
      <tables count="1">
        <x v="3"/>
      </tables>
    </webPr>
  </connection>
  <connection id="224" xr16:uid="{00000000-0015-0000-FFFF-FFFFBB000000}" name="连接267" type="4" refreshedVersion="4" background="1">
    <webPr sourceData="1" parsePre="1" consecutive="1" xl2000="1" url="http://stockdata.stock.hexun.com/2008/zcfz.aspx?stockid=300570&amp;accountdate=2016.12.31" htmlTables="1">
      <tables count="1">
        <x v="3"/>
      </tables>
    </webPr>
  </connection>
  <connection id="225" xr16:uid="{00000000-0015-0000-FFFF-FFFFBC000000}" name="连接268" type="4" refreshedVersion="4" background="1">
    <webPr sourceData="1" parsePre="1" consecutive="1" xl2000="1" url="http://stockdata.stock.hexun.com/2008/lr.aspx?stockid=300570&amp;accountdate=2016.12.31" htmlTables="1">
      <tables count="1">
        <x v="3"/>
      </tables>
    </webPr>
  </connection>
  <connection id="226" xr16:uid="{00000000-0015-0000-FFFF-FFFFBD000000}" name="连接269" type="4" refreshedVersion="4" background="1">
    <webPr sourceData="1" parsePre="1" consecutive="1" xl2000="1" url="http://stockdata.stock.hexun.com/2008/lr.aspx?stockid=300570&amp;accountdate=2017.12.31" htmlTables="1">
      <tables count="1">
        <x v="3"/>
      </tables>
    </webPr>
  </connection>
  <connection id="227" xr16:uid="{00000000-0015-0000-FFFF-FFFFBE000000}" name="连接27" type="4" refreshedVersion="4" background="1" saveData="1">
    <webPr sourceData="1" parsePre="1" consecutive="1" xl2000="1" url="http://stockdata.stock.hexun.com/2008/lr.aspx?stockid=600166&amp;accountdate=2018.12.31" htmlTables="1">
      <tables count="1">
        <x v="3"/>
      </tables>
    </webPr>
  </connection>
  <connection id="228" xr16:uid="{00000000-0015-0000-FFFF-FFFFBF000000}" name="连接270" type="4" refreshedVersion="4" background="1">
    <webPr sourceData="1" parsePre="1" consecutive="1" xl2000="1" url="http://stockdata.stock.hexun.com/2008/lr.aspx?stockid=300570&amp;accountdate=2018.12.31" htmlTables="1">
      <tables count="1">
        <x v="3"/>
      </tables>
    </webPr>
  </connection>
  <connection id="229" xr16:uid="{00000000-0015-0000-FFFF-FFFFC0000000}" name="连接271" type="4" refreshedVersion="4" background="1">
    <webPr sourceData="1" parsePre="1" consecutive="1" xl2000="1" url="http://stockdata.stock.hexun.com/2008/xjll.aspx?stockid=300570&amp;accountdate=2016.12.31" htmlTables="1">
      <tables count="1">
        <x v="3"/>
      </tables>
    </webPr>
  </connection>
  <connection id="230" xr16:uid="{00000000-0015-0000-FFFF-FFFFC1000000}" name="连接272" type="4" refreshedVersion="4" background="1">
    <webPr sourceData="1" parsePre="1" consecutive="1" xl2000="1" url="http://stockdata.stock.hexun.com/2008/xjll.aspx?stockid=300570&amp;accountdate=2017.12.31" htmlTables="1">
      <tables count="1">
        <x v="3"/>
      </tables>
    </webPr>
  </connection>
  <connection id="231" xr16:uid="{00000000-0015-0000-FFFF-FFFFC2000000}" name="连接273" type="4" refreshedVersion="4" background="1">
    <webPr sourceData="1" parsePre="1" consecutive="1" xl2000="1" url="http://stockdata.stock.hexun.com/2008/xjll.aspx?stockid=300570&amp;accountdate=2018.12.31" htmlTables="1">
      <tables count="1">
        <x v="3"/>
      </tables>
    </webPr>
  </connection>
  <connection id="232" xr16:uid="{00000000-0015-0000-FFFF-FFFFC3000000}" name="连接274" type="4" refreshedVersion="4" background="1">
    <webPr sourceData="1" parsePre="1" consecutive="1" xl2000="1" url="http://stockdata.stock.hexun.com/2008/zcfz.aspx?stockid=002607&amp;accountdate=2018.12.31" htmlTables="1">
      <tables count="1">
        <x v="3"/>
      </tables>
    </webPr>
  </connection>
  <connection id="233" xr16:uid="{00000000-0015-0000-FFFF-FFFFC4000000}" name="连接275" type="4" refreshedVersion="4" background="1">
    <webPr sourceData="1" parsePre="1" consecutive="1" xl2000="1" url="http://stockdata.stock.hexun.com/2008/zcfz.aspx?stockid=002607&amp;accountdate=2017.12.31" htmlTables="1">
      <tables count="1">
        <x v="3"/>
      </tables>
    </webPr>
  </connection>
  <connection id="234" xr16:uid="{00000000-0015-0000-FFFF-FFFFC5000000}" name="连接276" type="4" refreshedVersion="4" background="1">
    <webPr sourceData="1" parsePre="1" consecutive="1" xl2000="1" url="http://stockdata.stock.hexun.com/2008/zcfz.aspx?stockid=002607&amp;accountdate=2016.12.31" htmlTables="1">
      <tables count="1">
        <x v="3"/>
      </tables>
    </webPr>
  </connection>
  <connection id="235" xr16:uid="{00000000-0015-0000-FFFF-FFFFC6000000}" name="连接277" type="4" refreshedVersion="4" background="1">
    <webPr sourceData="1" parsePre="1" consecutive="1" xl2000="1" url="http://stockdata.stock.hexun.com/2008/lr.aspx?stockid=002607&amp;accountdate=2016.12.31" htmlTables="1">
      <tables count="1">
        <x v="3"/>
      </tables>
    </webPr>
  </connection>
  <connection id="236" xr16:uid="{00000000-0015-0000-FFFF-FFFFC7000000}" name="连接278" type="4" refreshedVersion="4" background="1">
    <webPr sourceData="1" parsePre="1" consecutive="1" xl2000="1" url="http://stockdata.stock.hexun.com/2008/lr.aspx?stockid=002607&amp;accountdate=2017.12.31" htmlTables="1">
      <tables count="1">
        <x v="3"/>
      </tables>
    </webPr>
  </connection>
  <connection id="237" xr16:uid="{00000000-0015-0000-FFFF-FFFFC8000000}" name="连接279" type="4" refreshedVersion="4" background="1">
    <webPr sourceData="1" parsePre="1" consecutive="1" xl2000="1" url="http://stockdata.stock.hexun.com/2008/lr.aspx?stockid=002607&amp;accountdate=2018.12.31" htmlTables="1">
      <tables count="1">
        <x v="3"/>
      </tables>
    </webPr>
  </connection>
  <connection id="238" xr16:uid="{00000000-0015-0000-FFFF-FFFFC9000000}" name="连接28" type="4" refreshedVersion="4" background="1" saveData="1">
    <webPr sourceData="1" parsePre="1" consecutive="1" xl2000="1" url="http://stockdata.stock.hexun.com/2008/lr.aspx?stockid=600166&amp;accountdate=2018.12.31" htmlTables="1">
      <tables count="1">
        <x v="3"/>
      </tables>
    </webPr>
  </connection>
  <connection id="239" xr16:uid="{00000000-0015-0000-FFFF-FFFFCA000000}" name="连接280" type="4" refreshedVersion="4" background="1">
    <webPr sourceData="1" parsePre="1" consecutive="1" xl2000="1" url="http://stockdata.stock.hexun.com/2008/xjll.aspx?stockid=002607&amp;accountdate=2016.12.31" htmlTables="1">
      <tables count="1">
        <x v="3"/>
      </tables>
    </webPr>
  </connection>
  <connection id="240" xr16:uid="{00000000-0015-0000-FFFF-FFFFCB000000}" name="连接281" type="4" refreshedVersion="4" background="1">
    <webPr sourceData="1" parsePre="1" consecutive="1" xl2000="1" url="http://stockdata.stock.hexun.com/2008/xjll.aspx?stockid=002607&amp;accountdate=2017.12.31" htmlTables="1">
      <tables count="1">
        <x v="3"/>
      </tables>
    </webPr>
  </connection>
  <connection id="241" xr16:uid="{00000000-0015-0000-FFFF-FFFFCC000000}" name="连接282" type="4" refreshedVersion="4" background="1">
    <webPr sourceData="1" parsePre="1" consecutive="1" xl2000="1" url="http://stockdata.stock.hexun.com/2008/xjll.aspx?stockid=002607&amp;accountdate=2018.12.31" htmlTables="1">
      <tables count="1">
        <x v="3"/>
      </tables>
    </webPr>
  </connection>
  <connection id="242" xr16:uid="{00000000-0015-0000-FFFF-FFFFCD000000}" name="连接283" type="4" refreshedVersion="4" background="1">
    <webPr sourceData="1" parsePre="1" consecutive="1" xl2000="1" url="http://stockdata.stock.hexun.com/2008/zcfz.aspx?stockid=300014&amp;accountdate=2018.12.31" htmlTables="1">
      <tables count="1">
        <x v="3"/>
      </tables>
    </webPr>
  </connection>
  <connection id="243" xr16:uid="{00000000-0015-0000-FFFF-FFFFCE000000}" name="连接284" type="4" refreshedVersion="4" background="1">
    <webPr sourceData="1" parsePre="1" consecutive="1" xl2000="1" url="http://stockdata.stock.hexun.com/2008/zcfz.aspx?stockid=300014&amp;accountdate=2017.12.31" htmlTables="1">
      <tables count="1">
        <x v="3"/>
      </tables>
    </webPr>
  </connection>
  <connection id="244" xr16:uid="{00000000-0015-0000-FFFF-FFFFCF000000}" name="连接285" type="4" refreshedVersion="4" background="1">
    <webPr sourceData="1" parsePre="1" consecutive="1" xl2000="1" url="http://stockdata.stock.hexun.com/2008/zcfz.aspx?stockid=300014&amp;accountdate=2016.12.31" htmlTables="1">
      <tables count="1">
        <x v="3"/>
      </tables>
    </webPr>
  </connection>
  <connection id="245" xr16:uid="{00000000-0015-0000-FFFF-FFFFD0000000}" name="连接286" type="4" refreshedVersion="4" background="1">
    <webPr sourceData="1" parsePre="1" consecutive="1" xl2000="1" url="http://stockdata.stock.hexun.com/2008/lr.aspx?stockid=300014&amp;accountdate=2016.12.31" htmlTables="1">
      <tables count="1">
        <x v="3"/>
      </tables>
    </webPr>
  </connection>
  <connection id="246" xr16:uid="{00000000-0015-0000-FFFF-FFFFD1000000}" name="连接287" type="4" refreshedVersion="4" background="1">
    <webPr sourceData="1" parsePre="1" consecutive="1" xl2000="1" url="http://stockdata.stock.hexun.com/2008/lr.aspx?stockid=300014&amp;accountdate=2017.12.31" htmlTables="1">
      <tables count="1">
        <x v="3"/>
      </tables>
    </webPr>
  </connection>
  <connection id="247" xr16:uid="{00000000-0015-0000-FFFF-FFFFD2000000}" name="连接288" type="4" refreshedVersion="4" background="1">
    <webPr sourceData="1" parsePre="1" consecutive="1" xl2000="1" url="http://stockdata.stock.hexun.com/2008/lr.aspx?stockid=300014&amp;accountdate=2018.12.31" htmlTables="1">
      <tables count="1">
        <x v="3"/>
      </tables>
    </webPr>
  </connection>
  <connection id="248" xr16:uid="{00000000-0015-0000-FFFF-FFFFD3000000}" name="连接289" type="4" refreshedVersion="4" background="1">
    <webPr sourceData="1" parsePre="1" consecutive="1" xl2000="1" url="http://stockdata.stock.hexun.com/2008/xjll.aspx?stockid=300014&amp;accountdate=2016.12.31" htmlTables="1">
      <tables count="1">
        <x v="3"/>
      </tables>
    </webPr>
  </connection>
  <connection id="249" xr16:uid="{00000000-0015-0000-FFFF-FFFFD4000000}" name="连接29" type="4" refreshedVersion="4" background="1" saveData="1">
    <webPr sourceData="1" parsePre="1" consecutive="1" xl2000="1" url="http://stockdata.stock.hexun.com/2008/lr.aspx?stockid=600166&amp;accountdate=2017.12.31" htmlTables="1">
      <tables count="1">
        <x v="3"/>
      </tables>
    </webPr>
  </connection>
  <connection id="250" xr16:uid="{00000000-0015-0000-FFFF-FFFFD5000000}" name="连接290" type="4" refreshedVersion="4" background="1">
    <webPr sourceData="1" parsePre="1" consecutive="1" xl2000="1" url="http://stockdata.stock.hexun.com/2008/xjll.aspx?stockid=300014&amp;accountdate=2017.12.31" htmlTables="1">
      <tables count="1">
        <x v="3"/>
      </tables>
    </webPr>
  </connection>
  <connection id="251" xr16:uid="{00000000-0015-0000-FFFF-FFFFD6000000}" name="连接291" type="4" refreshedVersion="4" background="1">
    <webPr sourceData="1" parsePre="1" consecutive="1" xl2000="1" url="http://stockdata.stock.hexun.com/2008/xjll.aspx?stockid=300014&amp;accountdate=2018.12.31" htmlTables="1">
      <tables count="1">
        <x v="3"/>
      </tables>
    </webPr>
  </connection>
  <connection id="252" xr16:uid="{00000000-0015-0000-FFFF-FFFFD7000000}" name="连接292" type="4" refreshedVersion="4" background="1">
    <webPr sourceData="1" parsePre="1" consecutive="1" xl2000="1" url="http://stockdata.stock.hexun.com/2008/zcfz.aspx?stockid=300750&amp;accountdate=2018.12.31" htmlTables="1">
      <tables count="1">
        <x v="3"/>
      </tables>
    </webPr>
  </connection>
  <connection id="253" xr16:uid="{00000000-0015-0000-FFFF-FFFFD8000000}" name="连接293" type="4" refreshedVersion="4" background="1">
    <webPr sourceData="1" parsePre="1" consecutive="1" xl2000="1" url="http://stockdata.stock.hexun.com/2008/zcfz.aspx?stockid=300750&amp;accountdate=2017.12.31" htmlTables="1">
      <tables count="1">
        <x v="3"/>
      </tables>
    </webPr>
  </connection>
  <connection id="254" xr16:uid="{00000000-0015-0000-FFFF-FFFFD9000000}" name="连接294" type="4" refreshedVersion="4" background="1">
    <webPr sourceData="1" parsePre="1" consecutive="1" xl2000="1" url="http://stockdata.stock.hexun.com/2008/zcfz.aspx?stockid=300750&amp;accountdate=2016.12.31" htmlTables="1">
      <tables count="1">
        <x v="3"/>
      </tables>
    </webPr>
  </connection>
  <connection id="255" xr16:uid="{00000000-0015-0000-FFFF-FFFFDA000000}" name="连接295" type="4" refreshedVersion="4" background="1">
    <webPr sourceData="1" parsePre="1" consecutive="1" xl2000="1" url="http://stockdata.stock.hexun.com/2008/lr.aspx?stockid=300750&amp;accountdate=2016.12.31" htmlTables="1">
      <tables count="1">
        <x v="3"/>
      </tables>
    </webPr>
  </connection>
  <connection id="256" xr16:uid="{00000000-0015-0000-FFFF-FFFFDB000000}" name="连接296" type="4" refreshedVersion="4" background="1">
    <webPr sourceData="1" parsePre="1" consecutive="1" xl2000="1" url="http://stockdata.stock.hexun.com/2008/lr.aspx?stockid=300750&amp;accountdate=2017.12.31" htmlTables="1">
      <tables count="1">
        <x v="3"/>
      </tables>
    </webPr>
  </connection>
  <connection id="257" xr16:uid="{00000000-0015-0000-FFFF-FFFFDC000000}" name="连接297" type="4" refreshedVersion="4" background="1">
    <webPr sourceData="1" parsePre="1" consecutive="1" xl2000="1" url="http://stockdata.stock.hexun.com/2008/lr.aspx?stockid=300750&amp;accountdate=2018.12.31" htmlTables="1">
      <tables count="1">
        <x v="3"/>
      </tables>
    </webPr>
  </connection>
  <connection id="258" xr16:uid="{00000000-0015-0000-FFFF-FFFFDD000000}" name="连接298" type="4" refreshedVersion="4" background="1">
    <webPr sourceData="1" parsePre="1" consecutive="1" xl2000="1" url="http://stockdata.stock.hexun.com/2008/xjll.aspx?stockid=300750&amp;accountdate=2016.12.31" htmlTables="1">
      <tables count="1">
        <x v="3"/>
      </tables>
    </webPr>
  </connection>
  <connection id="259" xr16:uid="{00000000-0015-0000-FFFF-FFFFDE000000}" name="连接299" type="4" refreshedVersion="4" background="1">
    <webPr sourceData="1" parsePre="1" consecutive="1" xl2000="1" url="http://stockdata.stock.hexun.com/2008/xjll.aspx?stockid=300750&amp;accountdate=2017.12.31" htmlTables="1">
      <tables count="1">
        <x v="3"/>
      </tables>
    </webPr>
  </connection>
  <connection id="260" xr16:uid="{4D89CC9A-A271-416E-9E9F-EBC1B5CD2261}" name="连接3" type="4" refreshedVersion="6" background="1" saveData="1">
    <webPr sourceData="1" parsePre="1" consecutive="1" xl2000="1" url="http://quotes.money.163.com/f10/zcfzb_600031.html?type=year" htmlTables="1">
      <tables count="1">
        <x v="4"/>
      </tables>
    </webPr>
  </connection>
  <connection id="261" xr16:uid="{00000000-0015-0000-FFFF-FFFFE0000000}" name="连接30" type="4" refreshedVersion="4" background="1" saveData="1">
    <webPr sourceData="1" parsePre="1" consecutive="1" xl2000="1" url="http://stockdata.stock.hexun.com/2008/lr.aspx?stockid=600166&amp;accountdate=2016.12.31" htmlTables="1">
      <tables count="1">
        <x v="3"/>
      </tables>
    </webPr>
  </connection>
  <connection id="262" xr16:uid="{00000000-0015-0000-FFFF-FFFFE1000000}" name="连接300" type="4" refreshedVersion="4" background="1">
    <webPr sourceData="1" parsePre="1" consecutive="1" xl2000="1" url="http://stockdata.stock.hexun.com/2008/xjll.aspx?stockid=300750&amp;accountdate=2018.12.31" htmlTables="1">
      <tables count="1">
        <x v="3"/>
      </tables>
    </webPr>
  </connection>
  <connection id="263" xr16:uid="{00000000-0015-0000-FFFF-FFFFE2000000}" name="连接301" type="4" refreshedVersion="4" background="1">
    <webPr sourceData="1" parsePre="1" consecutive="1" xl2000="1" url="http://stockdata.stock.hexun.com/2008/zcfz.aspx?stockid=000799&amp;accountdate=2018.12.31" htmlTables="1">
      <tables count="1">
        <x v="3"/>
      </tables>
    </webPr>
  </connection>
  <connection id="264" xr16:uid="{00000000-0015-0000-FFFF-FFFFE3000000}" name="连接302" type="4" refreshedVersion="4" background="1">
    <webPr sourceData="1" parsePre="1" consecutive="1" xl2000="1" url="http://stockdata.stock.hexun.com/2008/zcfz.aspx?stockid=000799&amp;accountdate=2017.12.31" htmlTables="1">
      <tables count="1">
        <x v="3"/>
      </tables>
    </webPr>
  </connection>
  <connection id="265" xr16:uid="{00000000-0015-0000-FFFF-FFFFE4000000}" name="连接303" type="4" refreshedVersion="4" background="1">
    <webPr sourceData="1" parsePre="1" consecutive="1" xl2000="1" url="http://stockdata.stock.hexun.com/2008/zcfz.aspx?stockid=000799&amp;accountdate=2016.12.31" htmlTables="1">
      <tables count="1">
        <x v="3"/>
      </tables>
    </webPr>
  </connection>
  <connection id="266" xr16:uid="{00000000-0015-0000-FFFF-FFFFE5000000}" name="连接304" type="4" refreshedVersion="4" background="1">
    <webPr sourceData="1" parsePre="1" consecutive="1" xl2000="1" url="http://stockdata.stock.hexun.com/2008/lr.aspx?stockid=000799&amp;accountdate=2016.12.31" htmlTables="1">
      <tables count="1">
        <x v="3"/>
      </tables>
    </webPr>
  </connection>
  <connection id="267" xr16:uid="{00000000-0015-0000-FFFF-FFFFE6000000}" name="连接305" type="4" refreshedVersion="4" background="1">
    <webPr sourceData="1" parsePre="1" consecutive="1" xl2000="1" url="http://stockdata.stock.hexun.com/2008/lr.aspx?stockid=000799&amp;accountdate=2017.12.31" htmlTables="1">
      <tables count="1">
        <x v="3"/>
      </tables>
    </webPr>
  </connection>
  <connection id="268" xr16:uid="{00000000-0015-0000-FFFF-FFFFE7000000}" name="连接306" type="4" refreshedVersion="4" background="1">
    <webPr sourceData="1" parsePre="1" consecutive="1" xl2000="1" url="http://stockdata.stock.hexun.com/2008/lr.aspx?stockid=000799&amp;accountdate=2018.12.31" htmlTables="1">
      <tables count="1">
        <x v="3"/>
      </tables>
    </webPr>
  </connection>
  <connection id="269" xr16:uid="{00000000-0015-0000-FFFF-FFFFE8000000}" name="连接307" type="4" refreshedVersion="4" background="1">
    <webPr sourceData="1" parsePre="1" consecutive="1" xl2000="1" url="http://stockdata.stock.hexun.com/2008/xjll.aspx?stockid=000799&amp;accountdate=2016.12.31" htmlTables="1">
      <tables count="1">
        <x v="3"/>
      </tables>
    </webPr>
  </connection>
  <connection id="270" xr16:uid="{00000000-0015-0000-FFFF-FFFFE9000000}" name="连接308" type="4" refreshedVersion="4" background="1">
    <webPr sourceData="1" parsePre="1" consecutive="1" xl2000="1" url="http://stockdata.stock.hexun.com/2008/xjll.aspx?stockid=000799&amp;accountdate=2017.12.31" htmlTables="1">
      <tables count="1">
        <x v="3"/>
      </tables>
    </webPr>
  </connection>
  <connection id="271" xr16:uid="{00000000-0015-0000-FFFF-FFFFEA000000}" name="连接309" type="4" refreshedVersion="4" background="1">
    <webPr sourceData="1" parsePre="1" consecutive="1" xl2000="1" url="http://stockdata.stock.hexun.com/2008/xjll.aspx?stockid=000799&amp;accountdate=2018.12.31" htmlTables="1">
      <tables count="1">
        <x v="3"/>
      </tables>
    </webPr>
  </connection>
  <connection id="272" xr16:uid="{00000000-0015-0000-FFFF-FFFFEB000000}" name="连接31" type="4" refreshedVersion="4" background="1">
    <webPr sourceData="1" parsePre="1" consecutive="1" xl2000="1" url="http://stockdata.stock.hexun.com/2008/lr.aspx?stockid=600166&amp;accountdate=2016.12.31" htmlTables="1">
      <tables count="1">
        <x v="3"/>
      </tables>
    </webPr>
  </connection>
  <connection id="273" xr16:uid="{00000000-0015-0000-FFFF-FFFFEC000000}" name="连接310" type="4" refreshedVersion="4" background="1">
    <webPr sourceData="1" parsePre="1" consecutive="1" xl2000="1" url="http://stockdata.stock.hexun.com/2008/zcfz.aspx?stockid=000157&amp;accountdate=2018.12.31" htmlTables="1">
      <tables count="1">
        <x v="3"/>
      </tables>
    </webPr>
  </connection>
  <connection id="274" xr16:uid="{E8061E89-84B4-4240-82C6-D9B3B4620D34}" name="连接3100" type="4" refreshedVersion="6" background="1" saveData="1">
    <webPr sourceData="1" parsePre="1" consecutive="1" xl2000="1" url="http://quotes.money.163.com/f10/zcfzb_300498.html?type=year" htmlTables="1">
      <tables count="1">
        <x v="4"/>
      </tables>
    </webPr>
  </connection>
  <connection id="275" xr16:uid="{40F436CA-85E8-4CFE-94ED-7E8455D8DD85}" name="连接3101" type="4" refreshedVersion="6" background="1" saveData="1">
    <webPr sourceData="1" parsePre="1" consecutive="1" xl2000="1" url="http://quotes.money.163.com/f10/zcfzb_688981.html?type=year" htmlTables="1">
      <tables count="1">
        <x v="4"/>
      </tables>
    </webPr>
  </connection>
  <connection id="276" xr16:uid="{02AFA9DA-77D2-4055-B83F-DF78F3B1768F}" name="连接3102" type="4" refreshedVersion="6" background="1" saveData="1">
    <webPr sourceData="1" parsePre="1" consecutive="1" xl2000="1" url="http://quotes.money.163.com/f10/zcfzb_000157.html?type=year" htmlTables="1">
      <tables count="1">
        <x v="4"/>
      </tables>
    </webPr>
  </connection>
  <connection id="277" xr16:uid="{F2F21B03-761C-4FB1-835B-9A310986F9B5}" name="连接3103" type="4" refreshedVersion="6" background="1" saveData="1">
    <webPr sourceData="1" parsePre="1" consecutive="1" xl2000="1" url="http://quotes.money.163.com/f10/zcfzb_603027.html?type=year" htmlTables="1">
      <tables count="1">
        <x v="4"/>
      </tables>
    </webPr>
  </connection>
  <connection id="278" xr16:uid="{54DD77D0-5E74-44A4-AC6A-DCC701F9C3BB}" name="连接3104" type="4" refreshedVersion="6" background="1" saveData="1">
    <webPr sourceData="1" parsePre="1" consecutive="1" xl2000="1" url="http://quotes.money.163.com/f10/zcfzb_000002.html?type=year" htmlTables="1">
      <tables count="1">
        <x v="4"/>
      </tables>
    </webPr>
  </connection>
  <connection id="279" xr16:uid="{EFCD22BA-7785-46D1-AA8C-0A8F4EA04959}" name="连接3105" type="4" refreshedVersion="6" background="1" saveData="1">
    <webPr sourceData="1" parsePre="1" consecutive="1" xl2000="1" url="http://quotes.money.163.com/f10/zcfzb_601225.html?type=year" htmlTables="1">
      <tables count="1">
        <x v="4"/>
      </tables>
    </webPr>
  </connection>
  <connection id="280" xr16:uid="{60A138AB-08FE-4E0F-A0EF-B1CB2E020205}" name="连接3106" type="4" refreshedVersion="6" background="1" saveData="1">
    <webPr sourceData="1" parsePre="1" consecutive="1" xl2000="1" url="http://quotes.money.163.com/f10/zcfzb_000672.html?type=year" htmlTables="1">
      <tables count="1">
        <x v="4"/>
      </tables>
    </webPr>
  </connection>
  <connection id="281" xr16:uid="{D811B282-9C0A-4849-A6F0-A2264132B971}" name="连接3107" type="4" refreshedVersion="6" background="1" saveData="1">
    <webPr sourceData="1" parsePre="1" consecutive="1" xl2000="1" url="http://quotes.money.163.com/f10/zcfzb_601777.html?type=year" htmlTables="1">
      <tables count="1">
        <x v="4"/>
      </tables>
    </webPr>
  </connection>
  <connection id="282" xr16:uid="{1A66A5F1-83A3-4C4A-931E-E34AE2259359}" name="连接3108" type="4" refreshedVersion="6" background="1" saveData="1">
    <webPr sourceData="1" parsePre="1" consecutive="1" xl2000="1" url="http://quotes.money.163.com/f10/zcfzb_600031.html?type=year" htmlTables="1">
      <tables count="1">
        <x v="4"/>
      </tables>
    </webPr>
  </connection>
  <connection id="283" xr16:uid="{00000000-0015-0000-FFFF-FFFFED000000}" name="连接311" type="4" refreshedVersion="4" background="1">
    <webPr sourceData="1" parsePre="1" consecutive="1" xl2000="1" url="http://stockdata.stock.hexun.com/2008/zcfz.aspx?stockid=000157&amp;accountdate=2017.12.31" htmlTables="1">
      <tables count="1">
        <x v="3"/>
      </tables>
    </webPr>
  </connection>
  <connection id="284" xr16:uid="{00000000-0015-0000-FFFF-FFFFEE000000}" name="连接312" type="4" refreshedVersion="4" background="1">
    <webPr sourceData="1" parsePre="1" consecutive="1" xl2000="1" url="http://stockdata.stock.hexun.com/2008/zcfz.aspx?stockid=000157&amp;accountdate=2016.12.31" htmlTables="1">
      <tables count="1">
        <x v="3"/>
      </tables>
    </webPr>
  </connection>
  <connection id="285" xr16:uid="{00000000-0015-0000-FFFF-FFFFEF000000}" name="连接313" type="4" refreshedVersion="4" background="1">
    <webPr sourceData="1" parsePre="1" consecutive="1" xl2000="1" url="http://stockdata.stock.hexun.com/2008/lr.aspx?stockid=000157&amp;accountdate=2016.12.31" htmlTables="1">
      <tables count="1">
        <x v="3"/>
      </tables>
    </webPr>
  </connection>
  <connection id="286" xr16:uid="{00000000-0015-0000-FFFF-FFFFF0000000}" name="连接314" type="4" refreshedVersion="4" background="1">
    <webPr sourceData="1" parsePre="1" consecutive="1" xl2000="1" url="http://stockdata.stock.hexun.com/2008/lr.aspx?stockid=000157&amp;accountdate=2017.12.31" htmlTables="1">
      <tables count="1">
        <x v="3"/>
      </tables>
    </webPr>
  </connection>
  <connection id="287" xr16:uid="{00000000-0015-0000-FFFF-FFFFF1000000}" name="连接315" type="4" refreshedVersion="4" background="1">
    <webPr sourceData="1" parsePre="1" consecutive="1" xl2000="1" url="http://stockdata.stock.hexun.com/2008/lr.aspx?stockid=000157&amp;accountdate=2018.12.31" htmlTables="1">
      <tables count="1">
        <x v="3"/>
      </tables>
    </webPr>
  </connection>
  <connection id="288" xr16:uid="{00000000-0015-0000-FFFF-FFFFF2000000}" name="连接316" type="4" refreshedVersion="4" background="1">
    <webPr sourceData="1" parsePre="1" consecutive="1" xl2000="1" url="http://stockdata.stock.hexun.com/2008/xjll.aspx?stockid=000157&amp;accountdate=2016.12.31" htmlTables="1">
      <tables count="1">
        <x v="3"/>
      </tables>
    </webPr>
  </connection>
  <connection id="289" xr16:uid="{00000000-0015-0000-FFFF-FFFFF3000000}" name="连接317" type="4" refreshedVersion="4" background="1">
    <webPr sourceData="1" parsePre="1" consecutive="1" xl2000="1" url="http://stockdata.stock.hexun.com/2008/xjll.aspx?stockid=000157&amp;accountdate=2017.12.31" htmlTables="1">
      <tables count="1">
        <x v="3"/>
      </tables>
    </webPr>
  </connection>
  <connection id="290" xr16:uid="{00000000-0015-0000-FFFF-FFFFF4000000}" name="连接318" type="4" refreshedVersion="4" background="1">
    <webPr sourceData="1" parsePre="1" consecutive="1" xl2000="1" url="http://stockdata.stock.hexun.com/2008/xjll.aspx?stockid=000157&amp;accountdate=2018.12.31" htmlTables="1">
      <tables count="1">
        <x v="3"/>
      </tables>
    </webPr>
  </connection>
  <connection id="291" xr16:uid="{00000000-0015-0000-FFFF-FFFFF5000000}" name="连接319" type="4" refreshedVersion="4" background="1">
    <webPr sourceData="1" parsePre="1" consecutive="1" xl2000="1" url="http://stockdata.stock.hexun.com/2008/zcfz.aspx?stockid=300572&amp;accountdate=2018.12.31" htmlTables="1">
      <tables count="1">
        <x v="3"/>
      </tables>
    </webPr>
  </connection>
  <connection id="292" xr16:uid="{00000000-0015-0000-FFFF-FFFFF6000000}" name="连接32" type="4" refreshedVersion="4" background="1">
    <webPr sourceData="1" parsePre="1" consecutive="1" xl2000="1" url="http://stockdata.stock.hexun.com/2008/lr.aspx?stockid=600166&amp;accountdate=2017.12.31" htmlTables="1">
      <tables count="1">
        <x v="3"/>
      </tables>
    </webPr>
  </connection>
  <connection id="293" xr16:uid="{00000000-0015-0000-FFFF-FFFFF7000000}" name="连接320" type="4" refreshedVersion="4" background="1">
    <webPr sourceData="1" parsePre="1" consecutive="1" xl2000="1" url="http://stockdata.stock.hexun.com/2008/zcfz.aspx?stockid=300572&amp;accountdate=2017.12.31" htmlTables="1">
      <tables count="1">
        <x v="3"/>
      </tables>
    </webPr>
  </connection>
  <connection id="294" xr16:uid="{00000000-0015-0000-FFFF-FFFFF8000000}" name="连接321" type="4" refreshedVersion="4" background="1">
    <webPr sourceData="1" parsePre="1" consecutive="1" xl2000="1" url="http://stockdata.stock.hexun.com/2008/zcfz.aspx?stockid=300572&amp;accountdate=2016.12.31" htmlTables="1">
      <tables count="1">
        <x v="3"/>
      </tables>
    </webPr>
  </connection>
  <connection id="295" xr16:uid="{00000000-0015-0000-FFFF-FFFFF9000000}" name="连接322" type="4" refreshedVersion="4" background="1">
    <webPr sourceData="1" parsePre="1" consecutive="1" xl2000="1" url="http://stockdata.stock.hexun.com/2008/lr.aspx?stockid=300572&amp;accountdate=2016.12.31" htmlTables="1">
      <tables count="1">
        <x v="3"/>
      </tables>
    </webPr>
  </connection>
  <connection id="296" xr16:uid="{00000000-0015-0000-FFFF-FFFFFA000000}" name="连接323" type="4" refreshedVersion="4" background="1">
    <webPr sourceData="1" parsePre="1" consecutive="1" xl2000="1" url="http://stockdata.stock.hexun.com/2008/lr.aspx?stockid=300572&amp;accountdate=2017.12.31" htmlTables="1">
      <tables count="1">
        <x v="3"/>
      </tables>
    </webPr>
  </connection>
  <connection id="297" xr16:uid="{00000000-0015-0000-FFFF-FFFFFB000000}" name="连接324" type="4" refreshedVersion="4" background="1">
    <webPr sourceData="1" parsePre="1" consecutive="1" xl2000="1" url="http://stockdata.stock.hexun.com/2008/lr.aspx?stockid=300572&amp;accountdate=2018.12.31" htmlTables="1">
      <tables count="1">
        <x v="3"/>
      </tables>
    </webPr>
  </connection>
  <connection id="298" xr16:uid="{00000000-0015-0000-FFFF-FFFFFC000000}" name="连接325" type="4" refreshedVersion="4" background="1">
    <webPr sourceData="1" parsePre="1" consecutive="1" xl2000="1" url="http://stockdata.stock.hexun.com/2008/xjll.aspx?stockid=300572&amp;accountdate=2016.12.31" htmlTables="1">
      <tables count="1">
        <x v="3"/>
      </tables>
    </webPr>
  </connection>
  <connection id="299" xr16:uid="{00000000-0015-0000-FFFF-FFFFFD000000}" name="连接326" type="4" refreshedVersion="4" background="1">
    <webPr sourceData="1" parsePre="1" consecutive="1" xl2000="1" url="http://stockdata.stock.hexun.com/2008/xjll.aspx?stockid=300572&amp;accountdate=2017.12.31" htmlTables="1">
      <tables count="1">
        <x v="3"/>
      </tables>
    </webPr>
  </connection>
  <connection id="300" xr16:uid="{00000000-0015-0000-FFFF-FFFFFE000000}" name="连接327" type="4" refreshedVersion="4" background="1">
    <webPr sourceData="1" parsePre="1" consecutive="1" xl2000="1" url="http://stockdata.stock.hexun.com/2008/xjll.aspx?stockid=300572&amp;accountdate=2018.12.31" htmlTables="1">
      <tables count="1">
        <x v="3"/>
      </tables>
    </webPr>
  </connection>
  <connection id="301" xr16:uid="{00000000-0015-0000-FFFF-FFFFFF000000}" name="连接328" type="4" refreshedVersion="4" background="1">
    <webPr sourceData="1" parsePre="1" consecutive="1" xl2000="1" url="http://stockdata.stock.hexun.com/2008/zcfz.aspx?stockid=000048&amp;accountdate=2018.12.31" htmlTables="1">
      <tables count="1">
        <x v="3"/>
      </tables>
    </webPr>
  </connection>
  <connection id="302" xr16:uid="{00000000-0015-0000-FFFF-FFFF00010000}" name="连接329" type="4" refreshedVersion="4" background="1">
    <webPr sourceData="1" parsePre="1" consecutive="1" xl2000="1" url="http://stockdata.stock.hexun.com/2008/zcfz.aspx?stockid=000048&amp;accountdate=2017.12.31" htmlTables="1">
      <tables count="1">
        <x v="3"/>
      </tables>
    </webPr>
  </connection>
  <connection id="303" xr16:uid="{00000000-0015-0000-FFFF-FFFF01010000}" name="连接33" type="4" refreshedVersion="4" background="1">
    <webPr sourceData="1" parsePre="1" consecutive="1" xl2000="1" url="http://stockdata.stock.hexun.com/2008/lr.aspx?stockid=600166&amp;accountdate=2018.12.31" htmlTables="1">
      <tables count="1">
        <x v="3"/>
      </tables>
    </webPr>
  </connection>
  <connection id="304" xr16:uid="{00000000-0015-0000-FFFF-FFFF02010000}" name="连接330" type="4" refreshedVersion="4" background="1">
    <webPr sourceData="1" parsePre="1" consecutive="1" xl2000="1" url="http://stockdata.stock.hexun.com/2008/zcfz.aspx?stockid=000048&amp;accountdate=2016.12.31" htmlTables="1">
      <tables count="1">
        <x v="3"/>
      </tables>
    </webPr>
  </connection>
  <connection id="305" xr16:uid="{00000000-0015-0000-FFFF-FFFF03010000}" name="连接331" type="4" refreshedVersion="4" background="1">
    <webPr sourceData="1" parsePre="1" consecutive="1" xl2000="1" url="http://stockdata.stock.hexun.com/2008/lr.aspx?stockid=000048&amp;accountdate=2016.12.31" htmlTables="1">
      <tables count="1">
        <x v="3"/>
      </tables>
    </webPr>
  </connection>
  <connection id="306" xr16:uid="{00000000-0015-0000-FFFF-FFFF04010000}" name="连接332" type="4" refreshedVersion="4" background="1">
    <webPr sourceData="1" parsePre="1" consecutive="1" xl2000="1" url="http://stockdata.stock.hexun.com/2008/lr.aspx?stockid=000048&amp;accountdate=2017.12.31" htmlTables="1">
      <tables count="1">
        <x v="3"/>
      </tables>
    </webPr>
  </connection>
  <connection id="307" xr16:uid="{00000000-0015-0000-FFFF-FFFF05010000}" name="连接333" type="4" refreshedVersion="4" background="1">
    <webPr sourceData="1" parsePre="1" consecutive="1" xl2000="1" url="http://stockdata.stock.hexun.com/2008/lr.aspx?stockid=000048&amp;accountdate=2018.12.31" htmlTables="1">
      <tables count="1">
        <x v="3"/>
      </tables>
    </webPr>
  </connection>
  <connection id="308" xr16:uid="{00000000-0015-0000-FFFF-FFFF06010000}" name="连接334" type="4" refreshedVersion="4" background="1">
    <webPr sourceData="1" parsePre="1" consecutive="1" xl2000="1" url="http://stockdata.stock.hexun.com/2008/xjll.aspx?stockid=000048&amp;accountdate=2016.12.31" htmlTables="1">
      <tables count="1">
        <x v="3"/>
      </tables>
    </webPr>
  </connection>
  <connection id="309" xr16:uid="{00000000-0015-0000-FFFF-FFFF07010000}" name="连接335" type="4" refreshedVersion="4" background="1">
    <webPr sourceData="1" parsePre="1" consecutive="1" xl2000="1" url="http://stockdata.stock.hexun.com/2008/xjll.aspx?stockid=000048&amp;accountdate=2017.12.31" htmlTables="1">
      <tables count="1">
        <x v="3"/>
      </tables>
    </webPr>
  </connection>
  <connection id="310" xr16:uid="{00000000-0015-0000-FFFF-FFFF08010000}" name="连接336" type="4" refreshedVersion="4" background="1">
    <webPr sourceData="1" parsePre="1" consecutive="1" xl2000="1" url="http://stockdata.stock.hexun.com/2008/xjll.aspx?stockid=000048&amp;accountdate=2018.12.31" htmlTables="1">
      <tables count="1">
        <x v="3"/>
      </tables>
    </webPr>
  </connection>
  <connection id="311" xr16:uid="{00000000-0015-0000-FFFF-FFFF09010000}" name="连接337" type="4" refreshedVersion="4" background="1">
    <webPr sourceData="1" parsePre="1" consecutive="1" xl2000="1" url="http://stockdata.stock.hexun.com/2008/zcfz.aspx?stockid=600507&amp;accountdate=2018.12.31" htmlTables="1">
      <tables count="1">
        <x v="3"/>
      </tables>
    </webPr>
  </connection>
  <connection id="312" xr16:uid="{00000000-0015-0000-FFFF-FFFF0A010000}" name="连接338" type="4" refreshedVersion="4" background="1">
    <webPr sourceData="1" parsePre="1" consecutive="1" xl2000="1" url="http://stockdata.stock.hexun.com/2008/zcfz.aspx?stockid=600507&amp;accountdate=2017.12.31" htmlTables="1">
      <tables count="1">
        <x v="3"/>
      </tables>
    </webPr>
  </connection>
  <connection id="313" xr16:uid="{00000000-0015-0000-FFFF-FFFF0B010000}" name="连接339" type="4" refreshedVersion="4" background="1">
    <webPr sourceData="1" parsePre="1" consecutive="1" xl2000="1" url="http://stockdata.stock.hexun.com/2008/zcfz.aspx?stockid=600507&amp;accountdate=2016.12.31" htmlTables="1">
      <tables count="1">
        <x v="3"/>
      </tables>
    </webPr>
  </connection>
  <connection id="314" xr16:uid="{00000000-0015-0000-FFFF-FFFF0C010000}" name="连接34" type="4" refreshedVersion="4" background="1">
    <webPr sourceData="1" parsePre="1" consecutive="1" xl2000="1" url="http://stockdata.stock.hexun.com/2008/zcfz.aspx?stockid=000725&amp;accountdate=2018.12.31" htmlTables="1">
      <tables count="1">
        <x v="3"/>
      </tables>
    </webPr>
  </connection>
  <connection id="315" xr16:uid="{00000000-0015-0000-FFFF-FFFF0D010000}" name="连接340" type="4" refreshedVersion="4" background="1">
    <webPr sourceData="1" parsePre="1" consecutive="1" xl2000="1" url="http://stockdata.stock.hexun.com/2008/lr.aspx?stockid=600507&amp;accountdate=2016.12.31" htmlTables="1">
      <tables count="1">
        <x v="3"/>
      </tables>
    </webPr>
  </connection>
  <connection id="316" xr16:uid="{00000000-0015-0000-FFFF-FFFF0E010000}" name="连接341" type="4" refreshedVersion="4" background="1">
    <webPr sourceData="1" parsePre="1" consecutive="1" xl2000="1" url="http://stockdata.stock.hexun.com/2008/lr.aspx?stockid=600507&amp;accountdate=2017.12.31" htmlTables="1">
      <tables count="1">
        <x v="3"/>
      </tables>
    </webPr>
  </connection>
  <connection id="317" xr16:uid="{00000000-0015-0000-FFFF-FFFF0F010000}" name="连接342" type="4" refreshedVersion="4" background="1">
    <webPr sourceData="1" parsePre="1" consecutive="1" xl2000="1" url="http://stockdata.stock.hexun.com/2008/lr.aspx?stockid=600507&amp;accountdate=2018.12.31" htmlTables="1">
      <tables count="1">
        <x v="3"/>
      </tables>
    </webPr>
  </connection>
  <connection id="318" xr16:uid="{00000000-0015-0000-FFFF-FFFF10010000}" name="连接343" type="4" refreshedVersion="4" background="1">
    <webPr sourceData="1" parsePre="1" consecutive="1" xl2000="1" url="http://stockdata.stock.hexun.com/2008/xjll.aspx?stockid=600507&amp;accountdate=2016.12.31" htmlTables="1">
      <tables count="1">
        <x v="3"/>
      </tables>
    </webPr>
  </connection>
  <connection id="319" xr16:uid="{00000000-0015-0000-FFFF-FFFF11010000}" name="连接344" type="4" refreshedVersion="4" background="1">
    <webPr sourceData="1" parsePre="1" consecutive="1" xl2000="1" url="http://stockdata.stock.hexun.com/2008/xjll.aspx?stockid=600507&amp;accountdate=2017.12.31" htmlTables="1">
      <tables count="1">
        <x v="3"/>
      </tables>
    </webPr>
  </connection>
  <connection id="320" xr16:uid="{00000000-0015-0000-FFFF-FFFF12010000}" name="连接345" type="4" refreshedVersion="4" background="1">
    <webPr sourceData="1" parsePre="1" consecutive="1" xl2000="1" url="http://stockdata.stock.hexun.com/2008/xjll.aspx?stockid=600507&amp;accountdate=2018.12.31" htmlTables="1">
      <tables count="1">
        <x v="3"/>
      </tables>
    </webPr>
  </connection>
  <connection id="321" xr16:uid="{00000000-0015-0000-FFFF-FFFF13010000}" name="连接346" type="4" refreshedVersion="4" background="1">
    <webPr sourceData="1" parsePre="1" consecutive="1" xl2000="1" url="http://stockdata.stock.hexun.com/2008/zcfz.aspx?stockid=600368&amp;accountdate=2018.12.31" htmlTables="1">
      <tables count="1">
        <x v="3"/>
      </tables>
    </webPr>
  </connection>
  <connection id="322" xr16:uid="{00000000-0015-0000-FFFF-FFFF14010000}" name="连接347" type="4" refreshedVersion="4" background="1">
    <webPr sourceData="1" parsePre="1" consecutive="1" xl2000="1" url="http://stockdata.stock.hexun.com/2008/zcfz.aspx?stockid=600368&amp;accountdate=2017.12.31" htmlTables="1">
      <tables count="1">
        <x v="3"/>
      </tables>
    </webPr>
  </connection>
  <connection id="323" xr16:uid="{00000000-0015-0000-FFFF-FFFF15010000}" name="连接348" type="4" refreshedVersion="4" background="1">
    <webPr sourceData="1" parsePre="1" consecutive="1" xl2000="1" url="http://stockdata.stock.hexun.com/2008/zcfz.aspx?stockid=600368&amp;accountdate=2016.12.31" htmlTables="1">
      <tables count="1">
        <x v="3"/>
      </tables>
    </webPr>
  </connection>
  <connection id="324" xr16:uid="{00000000-0015-0000-FFFF-FFFF16010000}" name="连接349" type="4" refreshedVersion="4" background="1">
    <webPr sourceData="1" parsePre="1" consecutive="1" xl2000="1" url="http://stockdata.stock.hexun.com/2008/lr.aspx?stockid=600368&amp;accountdate=2016.12.31" htmlTables="1">
      <tables count="1">
        <x v="3"/>
      </tables>
    </webPr>
  </connection>
  <connection id="325" xr16:uid="{00000000-0015-0000-FFFF-FFFF17010000}" name="连接35" type="4" refreshedVersion="4" background="1">
    <webPr sourceData="1" parsePre="1" consecutive="1" xl2000="1" url="http://stockdata.stock.hexun.com/2008/zcfz.aspx?stockid=000725&amp;accountdate=2017.12.31" htmlTables="1">
      <tables count="1">
        <x v="3"/>
      </tables>
    </webPr>
  </connection>
  <connection id="326" xr16:uid="{00000000-0015-0000-FFFF-FFFF18010000}" name="连接350" type="4" refreshedVersion="4" background="1">
    <webPr sourceData="1" parsePre="1" consecutive="1" xl2000="1" url="http://stockdata.stock.hexun.com/2008/lr.aspx?stockid=600368&amp;accountdate=2017.12.31" htmlTables="1">
      <tables count="1">
        <x v="3"/>
      </tables>
    </webPr>
  </connection>
  <connection id="327" xr16:uid="{00000000-0015-0000-FFFF-FFFF19010000}" name="连接351" type="4" refreshedVersion="4" background="1">
    <webPr sourceData="1" parsePre="1" consecutive="1" xl2000="1" url="http://stockdata.stock.hexun.com/2008/lr.aspx?stockid=600368&amp;accountdate=2018.12.31" htmlTables="1">
      <tables count="1">
        <x v="3"/>
      </tables>
    </webPr>
  </connection>
  <connection id="328" xr16:uid="{00000000-0015-0000-FFFF-FFFF1A010000}" name="连接352" type="4" refreshedVersion="4" background="1">
    <webPr sourceData="1" parsePre="1" consecutive="1" xl2000="1" url="http://stockdata.stock.hexun.com/2008/xjll.aspx?stockid=600368&amp;accountdate=2016.12.31" htmlTables="1">
      <tables count="1">
        <x v="3"/>
      </tables>
    </webPr>
  </connection>
  <connection id="329" xr16:uid="{00000000-0015-0000-FFFF-FFFF1B010000}" name="连接353" type="4" refreshedVersion="4" background="1">
    <webPr sourceData="1" parsePre="1" consecutive="1" xl2000="1" url="http://stockdata.stock.hexun.com/2008/xjll.aspx?stockid=600368&amp;accountdate=2017.12.31" htmlTables="1">
      <tables count="1">
        <x v="3"/>
      </tables>
    </webPr>
  </connection>
  <connection id="330" xr16:uid="{00000000-0015-0000-FFFF-FFFF1C010000}" name="连接354" type="4" refreshedVersion="4" background="1">
    <webPr sourceData="1" parsePre="1" consecutive="1" xl2000="1" url="http://stockdata.stock.hexun.com/2008/xjll.aspx?stockid=600368&amp;accountdate=2018.12.31" htmlTables="1">
      <tables count="1">
        <x v="3"/>
      </tables>
    </webPr>
  </connection>
  <connection id="331" xr16:uid="{00000000-0015-0000-FFFF-FFFF1D010000}" name="连接355" type="4" refreshedVersion="4" background="1">
    <webPr sourceData="1" parsePre="1" consecutive="1" xl2000="1" url="http://stockdata.stock.hexun.com/2008/zcfz.aspx?stockid=600547&amp;accountdate=2018.12.31" htmlTables="1">
      <tables count="1">
        <x v="3"/>
      </tables>
    </webPr>
  </connection>
  <connection id="332" xr16:uid="{00000000-0015-0000-FFFF-FFFF1E010000}" name="连接356" type="4" refreshedVersion="4" background="1">
    <webPr sourceData="1" parsePre="1" consecutive="1" xl2000="1" url="http://stockdata.stock.hexun.com/2008/zcfz.aspx?stockid=600547&amp;accountdate=2017.12.31" htmlTables="1">
      <tables count="1">
        <x v="3"/>
      </tables>
    </webPr>
  </connection>
  <connection id="333" xr16:uid="{00000000-0015-0000-FFFF-FFFF1F010000}" name="连接357" type="4" refreshedVersion="4" background="1">
    <webPr sourceData="1" parsePre="1" consecutive="1" xl2000="1" url="http://stockdata.stock.hexun.com/2008/zcfz.aspx?stockid=600547&amp;accountdate=2016.12.31" htmlTables="1">
      <tables count="1">
        <x v="3"/>
      </tables>
    </webPr>
  </connection>
  <connection id="334" xr16:uid="{00000000-0015-0000-FFFF-FFFF20010000}" name="连接358" type="4" refreshedVersion="4" background="1">
    <webPr sourceData="1" parsePre="1" consecutive="1" xl2000="1" url="http://stockdata.stock.hexun.com/2008/lr.aspx?stockid=600547&amp;accountdate=2016.12.31" htmlTables="1">
      <tables count="1">
        <x v="3"/>
      </tables>
    </webPr>
  </connection>
  <connection id="335" xr16:uid="{00000000-0015-0000-FFFF-FFFF21010000}" name="连接359" type="4" refreshedVersion="4" background="1">
    <webPr sourceData="1" parsePre="1" consecutive="1" xl2000="1" url="http://stockdata.stock.hexun.com/2008/lr.aspx?stockid=600547&amp;accountdate=2017.12.31" htmlTables="1">
      <tables count="1">
        <x v="3"/>
      </tables>
    </webPr>
  </connection>
  <connection id="336" xr16:uid="{00000000-0015-0000-FFFF-FFFF22010000}" name="连接36" type="4" refreshedVersion="4" background="1">
    <webPr sourceData="1" parsePre="1" consecutive="1" xl2000="1" url="http://stockdata.stock.hexun.com/2008/zcfz.aspx?stockid=000725&amp;accountdate=2016.12.31" htmlTables="1">
      <tables count="1">
        <x v="3"/>
      </tables>
    </webPr>
  </connection>
  <connection id="337" xr16:uid="{00000000-0015-0000-FFFF-FFFF23010000}" name="连接360" type="4" refreshedVersion="4" background="1">
    <webPr sourceData="1" parsePre="1" consecutive="1" xl2000="1" url="http://stockdata.stock.hexun.com/2008/lr.aspx?stockid=600547&amp;accountdate=2018.12.31" htmlTables="1">
      <tables count="1">
        <x v="3"/>
      </tables>
    </webPr>
  </connection>
  <connection id="338" xr16:uid="{00000000-0015-0000-FFFF-FFFF24010000}" name="连接361" type="4" refreshedVersion="4" background="1">
    <webPr sourceData="1" parsePre="1" consecutive="1" xl2000="1" url="http://stockdata.stock.hexun.com/2008/xjll.aspx?stockid=600547&amp;accountdate=2016.12.31" htmlTables="1">
      <tables count="1">
        <x v="3"/>
      </tables>
    </webPr>
  </connection>
  <connection id="339" xr16:uid="{00000000-0015-0000-FFFF-FFFF25010000}" name="连接362" type="4" refreshedVersion="4" background="1">
    <webPr sourceData="1" parsePre="1" consecutive="1" xl2000="1" url="http://stockdata.stock.hexun.com/2008/xjll.aspx?stockid=600547&amp;accountdate=2017.12.31" htmlTables="1">
      <tables count="1">
        <x v="3"/>
      </tables>
    </webPr>
  </connection>
  <connection id="340" xr16:uid="{00000000-0015-0000-FFFF-FFFF26010000}" name="连接363" type="4" refreshedVersion="4" background="1">
    <webPr sourceData="1" parsePre="1" consecutive="1" xl2000="1" url="http://stockdata.stock.hexun.com/2008/xjll.aspx?stockid=600547&amp;accountdate=2018.12.31" htmlTables="1">
      <tables count="1">
        <x v="3"/>
      </tables>
    </webPr>
  </connection>
  <connection id="341" xr16:uid="{00000000-0015-0000-FFFF-FFFF27010000}" name="连接364" type="4" refreshedVersion="4" background="1">
    <webPr sourceData="1" parsePre="1" consecutive="1" xl2000="1" url="http://stockdata.stock.hexun.com/2008/zcfz.aspx?stockid=603737&amp;accountdate=2018.12.31" htmlTables="1">
      <tables count="1">
        <x v="3"/>
      </tables>
    </webPr>
  </connection>
  <connection id="342" xr16:uid="{00000000-0015-0000-FFFF-FFFF28010000}" name="连接365" type="4" refreshedVersion="4" background="1">
    <webPr sourceData="1" parsePre="1" consecutive="1" xl2000="1" url="http://stockdata.stock.hexun.com/2008/zcfz.aspx?stockid=603737&amp;accountdate=2017.12.31" htmlTables="1">
      <tables count="1">
        <x v="3"/>
      </tables>
    </webPr>
  </connection>
  <connection id="343" xr16:uid="{00000000-0015-0000-FFFF-FFFF29010000}" name="连接366" type="4" refreshedVersion="4" background="1">
    <webPr sourceData="1" parsePre="1" consecutive="1" xl2000="1" url="http://stockdata.stock.hexun.com/2008/zcfz.aspx?stockid=603737&amp;accountdate=2016.12.31" htmlTables="1">
      <tables count="1">
        <x v="3"/>
      </tables>
    </webPr>
  </connection>
  <connection id="344" xr16:uid="{00000000-0015-0000-FFFF-FFFF2A010000}" name="连接367" type="4" refreshedVersion="4" background="1">
    <webPr sourceData="1" parsePre="1" consecutive="1" xl2000="1" url="http://stockdata.stock.hexun.com/2008/lr.aspx?stockid=603737&amp;accountdate=2016.12.31" htmlTables="1">
      <tables count="1">
        <x v="3"/>
      </tables>
    </webPr>
  </connection>
  <connection id="345" xr16:uid="{00000000-0015-0000-FFFF-FFFF2B010000}" name="连接368" type="4" refreshedVersion="4" background="1">
    <webPr sourceData="1" parsePre="1" consecutive="1" xl2000="1" url="http://stockdata.stock.hexun.com/2008/lr.aspx?stockid=603737&amp;accountdate=2017.12.31" htmlTables="1">
      <tables count="1">
        <x v="3"/>
      </tables>
    </webPr>
  </connection>
  <connection id="346" xr16:uid="{00000000-0015-0000-FFFF-FFFF2C010000}" name="连接369" type="4" refreshedVersion="4" background="1">
    <webPr sourceData="1" parsePre="1" consecutive="1" xl2000="1" url="http://stockdata.stock.hexun.com/2008/lr.aspx?stockid=603737&amp;accountdate=2018.12.31" htmlTables="1">
      <tables count="1">
        <x v="3"/>
      </tables>
    </webPr>
  </connection>
  <connection id="347" xr16:uid="{00000000-0015-0000-FFFF-FFFF2D010000}" name="连接37" type="4" refreshedVersion="4" background="1" saveData="1">
    <webPr sourceData="1" parsePre="1" consecutive="1" xl2000="1" url="http://stockdata.stock.hexun.com/2008/lr.aspx?stockid=000725&amp;accountdate=2016.12.31" htmlTables="1">
      <tables count="1">
        <x v="3"/>
      </tables>
    </webPr>
  </connection>
  <connection id="348" xr16:uid="{00000000-0015-0000-FFFF-FFFF2E010000}" name="连接370" type="4" refreshedVersion="4" background="1">
    <webPr sourceData="1" parsePre="1" consecutive="1" xl2000="1" url="http://stockdata.stock.hexun.com/2008/xjll.aspx?stockid=603737&amp;accountdate=2016.12.31" htmlTables="1">
      <tables count="1">
        <x v="3"/>
      </tables>
    </webPr>
  </connection>
  <connection id="349" xr16:uid="{00000000-0015-0000-FFFF-FFFF2F010000}" name="连接371" type="4" refreshedVersion="4" background="1">
    <webPr sourceData="1" parsePre="1" consecutive="1" xl2000="1" url="http://stockdata.stock.hexun.com/2008/xjll.aspx?stockid=603737&amp;accountdate=2017.12.31" htmlTables="1">
      <tables count="1">
        <x v="3"/>
      </tables>
    </webPr>
  </connection>
  <connection id="350" xr16:uid="{00000000-0015-0000-FFFF-FFFF30010000}" name="连接372" type="4" refreshedVersion="4" background="1">
    <webPr sourceData="1" parsePre="1" consecutive="1" xl2000="1" url="http://stockdata.stock.hexun.com/2008/xjll.aspx?stockid=603737&amp;accountdate=2018.12.31" htmlTables="1">
      <tables count="1">
        <x v="3"/>
      </tables>
    </webPr>
  </connection>
  <connection id="351" xr16:uid="{00000000-0015-0000-FFFF-FFFF31010000}" name="连接373" type="4" refreshedVersion="4" background="1">
    <webPr sourceData="1" parsePre="1" consecutive="1" xl2000="1" url="http://stockdata.stock.hexun.com/2008/zcfz.aspx?stockid=600585&amp;accountdate=2018.12.31" htmlTables="1">
      <tables count="1">
        <x v="3"/>
      </tables>
    </webPr>
  </connection>
  <connection id="352" xr16:uid="{00000000-0015-0000-FFFF-FFFF32010000}" name="连接374" type="4" refreshedVersion="4" background="1">
    <webPr sourceData="1" parsePre="1" consecutive="1" xl2000="1" url="http://stockdata.stock.hexun.com/2008/zcfz.aspx?stockid=600585&amp;accountdate=2017.12.31" htmlTables="1">
      <tables count="1">
        <x v="3"/>
      </tables>
    </webPr>
  </connection>
  <connection id="353" xr16:uid="{00000000-0015-0000-FFFF-FFFF33010000}" name="连接375" type="4" refreshedVersion="4" background="1">
    <webPr sourceData="1" parsePre="1" consecutive="1" xl2000="1" url="http://stockdata.stock.hexun.com/2008/zcfz.aspx?stockid=600585&amp;accountdate=2016.12.31" htmlTables="1">
      <tables count="1">
        <x v="3"/>
      </tables>
    </webPr>
  </connection>
  <connection id="354" xr16:uid="{00000000-0015-0000-FFFF-FFFF34010000}" name="连接376" type="4" refreshedVersion="4" background="1">
    <webPr sourceData="1" parsePre="1" consecutive="1" xl2000="1" url="http://stockdata.stock.hexun.com/2008/lr.aspx?stockid=600585&amp;accountdate=2016.12.31" htmlTables="1">
      <tables count="1">
        <x v="3"/>
      </tables>
    </webPr>
  </connection>
  <connection id="355" xr16:uid="{00000000-0015-0000-FFFF-FFFF35010000}" name="连接377" type="4" refreshedVersion="4" background="1">
    <webPr sourceData="1" parsePre="1" consecutive="1" xl2000="1" url="http://stockdata.stock.hexun.com/2008/lr.aspx?stockid=600585&amp;accountdate=2017.12.31" htmlTables="1">
      <tables count="1">
        <x v="3"/>
      </tables>
    </webPr>
  </connection>
  <connection id="356" xr16:uid="{00000000-0015-0000-FFFF-FFFF36010000}" name="连接378" type="4" refreshedVersion="4" background="1">
    <webPr sourceData="1" parsePre="1" consecutive="1" xl2000="1" url="http://stockdata.stock.hexun.com/2008/lr.aspx?stockid=600585&amp;accountdate=2018.12.31" htmlTables="1">
      <tables count="1">
        <x v="3"/>
      </tables>
    </webPr>
  </connection>
  <connection id="357" xr16:uid="{00000000-0015-0000-FFFF-FFFF37010000}" name="连接379" type="4" refreshedVersion="4" background="1">
    <webPr sourceData="1" parsePre="1" consecutive="1" xl2000="1" url="http://stockdata.stock.hexun.com/2008/xjll.aspx?stockid=600585&amp;accountdate=2016.12.31" htmlTables="1">
      <tables count="1">
        <x v="3"/>
      </tables>
    </webPr>
  </connection>
  <connection id="358" xr16:uid="{00000000-0015-0000-FFFF-FFFF38010000}" name="连接38" type="4" refreshedVersion="4" background="1" saveData="1">
    <webPr sourceData="1" parsePre="1" consecutive="1" xl2000="1" url="http://stockdata.stock.hexun.com/2008/lr.aspx?stockid=000725&amp;accountdate=2017.12.31" htmlTables="1">
      <tables count="1">
        <x v="3"/>
      </tables>
    </webPr>
  </connection>
  <connection id="359" xr16:uid="{00000000-0015-0000-FFFF-FFFF39010000}" name="连接380" type="4" refreshedVersion="4" background="1">
    <webPr sourceData="1" parsePre="1" consecutive="1" xl2000="1" url="http://stockdata.stock.hexun.com/2008/xjll.aspx?stockid=600585&amp;accountdate=2017.12.31" htmlTables="1">
      <tables count="1">
        <x v="3"/>
      </tables>
    </webPr>
  </connection>
  <connection id="360" xr16:uid="{00000000-0015-0000-FFFF-FFFF3A010000}" name="连接381" type="4" refreshedVersion="4" background="1">
    <webPr sourceData="1" parsePre="1" consecutive="1" xl2000="1" url="http://stockdata.stock.hexun.com/2008/xjll.aspx?stockid=600585&amp;accountdate=2018.12.31" htmlTables="1">
      <tables count="1">
        <x v="3"/>
      </tables>
    </webPr>
  </connection>
  <connection id="361" xr16:uid="{00000000-0015-0000-FFFF-FFFF3B010000}" name="连接382" type="4" refreshedVersion="4" background="1">
    <webPr sourceData="1" parsePre="1" consecutive="1" xl2000="1" url="http://stockdata.stock.hexun.com/2008/zcfz.aspx?stockid=600208&amp;accountdate=2018.12.31" htmlTables="1">
      <tables count="1">
        <x v="3"/>
      </tables>
    </webPr>
  </connection>
  <connection id="362" xr16:uid="{00000000-0015-0000-FFFF-FFFF3C010000}" name="连接383" type="4" refreshedVersion="4" background="1">
    <webPr sourceData="1" parsePre="1" consecutive="1" xl2000="1" url="http://stockdata.stock.hexun.com/2008/zcfz.aspx?stockid=600208&amp;accountdate=2017.12.31" htmlTables="1">
      <tables count="1">
        <x v="3"/>
      </tables>
    </webPr>
  </connection>
  <connection id="363" xr16:uid="{00000000-0015-0000-FFFF-FFFF3D010000}" name="连接384" type="4" refreshedVersion="4" background="1">
    <webPr sourceData="1" parsePre="1" consecutive="1" xl2000="1" url="http://stockdata.stock.hexun.com/2008/zcfz.aspx?stockid=600208&amp;accountdate=2016.12.31" htmlTables="1">
      <tables count="1">
        <x v="3"/>
      </tables>
    </webPr>
  </connection>
  <connection id="364" xr16:uid="{00000000-0015-0000-FFFF-FFFF3E010000}" name="连接385" type="4" refreshedVersion="4" background="1">
    <webPr sourceData="1" parsePre="1" consecutive="1" xl2000="1" url="http://stockdata.stock.hexun.com/2008/lr.aspx?stockid=600208&amp;accountdate=2016.12.31" htmlTables="1">
      <tables count="1">
        <x v="3"/>
      </tables>
    </webPr>
  </connection>
  <connection id="365" xr16:uid="{00000000-0015-0000-FFFF-FFFF3F010000}" name="连接386" type="4" refreshedVersion="4" background="1">
    <webPr sourceData="1" parsePre="1" consecutive="1" xl2000="1" url="http://stockdata.stock.hexun.com/2008/lr.aspx?stockid=600208&amp;accountdate=2017.12.31" htmlTables="1">
      <tables count="1">
        <x v="3"/>
      </tables>
    </webPr>
  </connection>
  <connection id="366" xr16:uid="{00000000-0015-0000-FFFF-FFFF40010000}" name="连接387" type="4" refreshedVersion="4" background="1">
    <webPr sourceData="1" parsePre="1" consecutive="1" xl2000="1" url="http://stockdata.stock.hexun.com/2008/lr.aspx?stockid=600208&amp;accountdate=2018.12.31" htmlTables="1">
      <tables count="1">
        <x v="3"/>
      </tables>
    </webPr>
  </connection>
  <connection id="367" xr16:uid="{00000000-0015-0000-FFFF-FFFF41010000}" name="连接388" type="4" refreshedVersion="4" background="1">
    <webPr sourceData="1" parsePre="1" consecutive="1" xl2000="1" url="http://stockdata.stock.hexun.com/2008/xjll.aspx?stockid=600208&amp;accountdate=2016.12.31" htmlTables="1">
      <tables count="1">
        <x v="3"/>
      </tables>
    </webPr>
  </connection>
  <connection id="368" xr16:uid="{00000000-0015-0000-FFFF-FFFF42010000}" name="连接389" type="4" refreshedVersion="4" background="1">
    <webPr sourceData="1" parsePre="1" consecutive="1" xl2000="1" url="http://stockdata.stock.hexun.com/2008/xjll.aspx?stockid=600208&amp;accountdate=2017.12.31" htmlTables="1">
      <tables count="1">
        <x v="3"/>
      </tables>
    </webPr>
  </connection>
  <connection id="369" xr16:uid="{00000000-0015-0000-FFFF-FFFF43010000}" name="连接39" type="4" refreshedVersion="4" background="1" saveData="1">
    <webPr sourceData="1" parsePre="1" consecutive="1" xl2000="1" url="http://stockdata.stock.hexun.com/2008/lr.aspx?stockid=000725&amp;accountdate=2018.12.31" htmlTables="1">
      <tables count="1">
        <x v="3"/>
      </tables>
    </webPr>
  </connection>
  <connection id="370" xr16:uid="{00000000-0015-0000-FFFF-FFFF44010000}" name="连接390" type="4" refreshedVersion="4" background="1">
    <webPr sourceData="1" parsePre="1" consecutive="1" xl2000="1" url="http://stockdata.stock.hexun.com/2008/xjll.aspx?stockid=600208&amp;accountdate=2018.12.31" htmlTables="1">
      <tables count="1">
        <x v="3"/>
      </tables>
    </webPr>
  </connection>
  <connection id="371" xr16:uid="{00000000-0015-0000-FFFF-FFFF45010000}" name="连接391" type="4" refreshedVersion="4" background="1">
    <webPr sourceData="1" parsePre="1" consecutive="1" xl2000="1" url="http://stockdata.stock.hexun.com/2008/zcfz.aspx?stockid=600519&amp;accountdate=2018.12.31" htmlTables="1">
      <tables count="1">
        <x v="3"/>
      </tables>
    </webPr>
  </connection>
  <connection id="372" xr16:uid="{00000000-0015-0000-FFFF-FFFF46010000}" name="连接392" type="4" refreshedVersion="4" background="1">
    <webPr sourceData="1" parsePre="1" consecutive="1" xl2000="1" url="http://stockdata.stock.hexun.com/2008/zcfz.aspx?stockid=600519&amp;accountdate=2017.12.31" htmlTables="1">
      <tables count="1">
        <x v="3"/>
      </tables>
    </webPr>
  </connection>
  <connection id="373" xr16:uid="{00000000-0015-0000-FFFF-FFFF47010000}" name="连接393" type="4" refreshedVersion="4" background="1">
    <webPr sourceData="1" parsePre="1" consecutive="1" xl2000="1" url="http://stockdata.stock.hexun.com/2008/zcfz.aspx?stockid=600519&amp;accountdate=2016.12.31" htmlTables="1">
      <tables count="1">
        <x v="3"/>
      </tables>
    </webPr>
  </connection>
  <connection id="374" xr16:uid="{00000000-0015-0000-FFFF-FFFF48010000}" name="连接394" type="4" refreshedVersion="4" background="1">
    <webPr sourceData="1" parsePre="1" consecutive="1" xl2000="1" url="http://stockdata.stock.hexun.com/2008/lr.aspx?stockid=600519&amp;accountdate=2016.12.31" htmlTables="1">
      <tables count="1">
        <x v="3"/>
      </tables>
    </webPr>
  </connection>
  <connection id="375" xr16:uid="{00000000-0015-0000-FFFF-FFFF49010000}" name="连接395" type="4" refreshedVersion="4" background="1">
    <webPr sourceData="1" parsePre="1" consecutive="1" xl2000="1" url="http://stockdata.stock.hexun.com/2008/lr.aspx?stockid=600519&amp;accountdate=2017.12.31" htmlTables="1">
      <tables count="1">
        <x v="3"/>
      </tables>
    </webPr>
  </connection>
  <connection id="376" xr16:uid="{00000000-0015-0000-FFFF-FFFF4A010000}" name="连接396" type="4" refreshedVersion="4" background="1">
    <webPr sourceData="1" parsePre="1" consecutive="1" xl2000="1" url="http://stockdata.stock.hexun.com/2008/lr.aspx?stockid=600519&amp;accountdate=2018.12.31" htmlTables="1">
      <tables count="1">
        <x v="3"/>
      </tables>
    </webPr>
  </connection>
  <connection id="377" xr16:uid="{00000000-0015-0000-FFFF-FFFF4B010000}" name="连接397" type="4" refreshedVersion="4" background="1">
    <webPr sourceData="1" parsePre="1" consecutive="1" xl2000="1" url="http://stockdata.stock.hexun.com/2008/xjll.aspx?stockid=600519&amp;accountdate=2016.12.31" htmlTables="1">
      <tables count="1">
        <x v="3"/>
      </tables>
    </webPr>
  </connection>
  <connection id="378" xr16:uid="{00000000-0015-0000-FFFF-FFFF4C010000}" name="连接398" type="4" refreshedVersion="4" background="1">
    <webPr sourceData="1" parsePre="1" consecutive="1" xl2000="1" url="http://stockdata.stock.hexun.com/2008/xjll.aspx?stockid=600519&amp;accountdate=2017.12.31" htmlTables="1">
      <tables count="1">
        <x v="3"/>
      </tables>
    </webPr>
  </connection>
  <connection id="379" xr16:uid="{00000000-0015-0000-FFFF-FFFF4D010000}" name="连接399" type="4" refreshedVersion="4" background="1">
    <webPr sourceData="1" parsePre="1" consecutive="1" xl2000="1" url="http://stockdata.stock.hexun.com/2008/xjll.aspx?stockid=600519&amp;accountdate=2018.12.31" htmlTables="1">
      <tables count="1">
        <x v="3"/>
      </tables>
    </webPr>
  </connection>
  <connection id="380" xr16:uid="{49FA2B58-EF06-42F5-BD9F-DE8606344384}" name="连接4" type="4" refreshedVersion="6" background="1" saveData="1">
    <webPr sourceData="1" parsePre="1" consecutive="1" xl2000="1" url="http://quotes.money.163.com/f10/zcfzb_600031.html?type=year" htmlTables="1">
      <tables count="1">
        <x v="5"/>
      </tables>
    </webPr>
  </connection>
  <connection id="381" xr16:uid="{00000000-0015-0000-FFFF-FFFF4F010000}" name="连接40" type="4" refreshedVersion="4" background="1">
    <webPr sourceData="1" parsePre="1" consecutive="1" xl2000="1" url="http://stockdata.stock.hexun.com/2008/zcfz.aspx?stockid=000725&amp;accountdate=2018.12.31" htmlTables="1">
      <tables count="1">
        <x v="3"/>
      </tables>
    </webPr>
  </connection>
  <connection id="382" xr16:uid="{63B0C0C0-E39E-4AD9-AF80-36F43587FE42}" name="连接400" type="4" refreshedVersion="6" background="1" saveData="1">
    <webPr sourceData="1" parsePre="1" consecutive="1" xl2000="1" url="http://stockdata.stock.hexun.com/2009_fhzzgb_600846.shtml" htmlTables="1">
      <tables count="1">
        <x v="3"/>
      </tables>
    </webPr>
  </connection>
  <connection id="383" xr16:uid="{CFCDFE64-5FF8-48B4-BAEE-0E2B3B60E855}" name="连接401" type="4" refreshedVersion="6" background="1" saveData="1">
    <webPr sourceData="1" parsePre="1" consecutive="1" xl2000="1" url="http://stockdata.stock.hexun.com/2009_fhzzgb_000651.shtml" htmlTables="1">
      <tables count="1">
        <x v="3"/>
      </tables>
    </webPr>
  </connection>
  <connection id="384" xr16:uid="{866C16CD-C688-4CE5-B343-23C80F935F83}" name="连接402" type="4" refreshedVersion="6" background="1" saveData="1">
    <webPr sourceData="1" parsePre="1" consecutive="1" xl2000="1" url="http://stockdata.stock.hexun.com/2009_fhzzgb_300132.shtml" htmlTables="1">
      <tables count="1">
        <x v="3"/>
      </tables>
    </webPr>
  </connection>
  <connection id="385" xr16:uid="{6A2B483C-596C-4DFC-BD73-48F1F5EE2A94}" name="连接403" type="4" refreshedVersion="6" background="1" saveData="1">
    <webPr sourceData="1" parsePre="1" consecutive="1" xl2000="1" url="http://stockdata.stock.hexun.com/2009_fhzzgb_600436.shtml" htmlTables="1">
      <tables count="1">
        <x v="3"/>
      </tables>
    </webPr>
  </connection>
  <connection id="386" xr16:uid="{41439F78-8BB3-40F6-A055-7DDBA1F86B2F}" name="连接404" type="4" refreshedVersion="6" background="1" saveData="1">
    <webPr sourceData="1" parsePre="1" consecutive="1" xl2000="1" url="http://stockdata.stock.hexun.com/2009_fhzzgb_000725.shtml" htmlTables="1">
      <tables count="1">
        <x v="3"/>
      </tables>
    </webPr>
  </connection>
  <connection id="387" xr16:uid="{75C7C6DB-8452-48DB-97E5-67745C6C4A97}" name="连接405" type="4" refreshedVersion="6" background="1" saveData="1">
    <webPr sourceData="1" parsePre="1" consecutive="1" xl2000="1" url="http://stockdata.stock.hexun.com/2009_fhzzgb_000725.shtml" htmlTables="1">
      <tables count="1">
        <x v="3"/>
      </tables>
    </webPr>
  </connection>
  <connection id="388" xr16:uid="{244DC861-71CD-441A-8296-BCACA9ADCCF5}" name="连接406" type="4" refreshedVersion="6" background="1" saveData="1">
    <webPr sourceData="1" parsePre="1" consecutive="1" xl2000="1" url="http://stockdata.stock.hexun.com/2009_fhzzgb_300498.shtml" htmlTables="1">
      <tables count="1">
        <x v="3"/>
      </tables>
    </webPr>
  </connection>
  <connection id="389" xr16:uid="{00E60FDB-79C3-4627-AE9D-EBA13CB94656}" name="连接407" type="4" refreshedVersion="6" background="1" saveData="1">
    <webPr sourceData="1" parsePre="1" consecutive="1" xl2000="1" url="http://stockdata.stock.hexun.com/2009_fhzzgb_600352.shtml" htmlTables="1">
      <tables count="1">
        <x v="3"/>
      </tables>
    </webPr>
  </connection>
  <connection id="390" xr16:uid="{DD4ACF9E-3266-4F4D-895A-D079DC228977}" name="连接408" type="4" refreshedVersion="6" background="1" saveData="1">
    <webPr sourceData="1" parsePre="1" consecutive="1" xl2000="1" url="http://stockdata.stock.hexun.com/2009_fhzzgb_688981.shtml" htmlTables="1">
      <tables count="1">
        <x v="3"/>
      </tables>
    </webPr>
  </connection>
  <connection id="391" xr16:uid="{A1B729F1-CF8B-493D-9878-80C53F679F2D}" name="连接4081" type="4" refreshedVersion="6" background="1" saveData="1">
    <webPr sourceData="1" parsePre="1" consecutive="1" xl2000="1" url="http://quotes.money.163.com/f10/zcfzb_002737.html?type=year" htmlTables="1">
      <tables count="1">
        <x v="4"/>
      </tables>
    </webPr>
  </connection>
  <connection id="392" xr16:uid="{BC6CA4E1-426A-4307-9A3C-85648977069B}" name="连接409" type="4" refreshedVersion="6" background="1" saveData="1">
    <webPr sourceData="1" parsePre="1" consecutive="1" xl2000="1" url="http://stockdata.stock.hexun.com/2009_fhzzgb_603027.shtml" htmlTables="1">
      <tables count="1">
        <x v="3"/>
      </tables>
    </webPr>
  </connection>
  <connection id="393" xr16:uid="{8BBD6719-8667-4CE5-BAB1-41B8339A4227}" name="连接4091" type="4" refreshedVersion="6" background="1" saveData="1">
    <webPr sourceData="1" parsePre="1" consecutive="1" xl2000="1" url="http://quotes.money.163.com/f10/zcfzb_002737.html?type=year" htmlTables="1">
      <tables count="1">
        <x v="5"/>
      </tables>
    </webPr>
  </connection>
  <connection id="394" xr16:uid="{338162C3-6611-4C20-917C-384A6C6E4B81}" name="连接4092" type="4" refreshedVersion="6" background="1" saveData="1">
    <webPr sourceData="1" parsePre="1" consecutive="1" xl2000="1" url="http://quotes.money.163.com/f10/zcfzb_600352.html?type=year" htmlTables="1">
      <tables count="1">
        <x v="4"/>
      </tables>
    </webPr>
  </connection>
  <connection id="395" xr16:uid="{2E213FDF-4E27-463D-83B6-046D7ACD8033}" name="连接4093" type="4" refreshedVersion="6" background="1" saveData="1">
    <webPr sourceData="1" parsePre="1" consecutive="1" xl2000="1" url="http://quotes.money.163.com/f10/zcfzb_002230.html?type=year" htmlTables="1">
      <tables count="1">
        <x v="4"/>
      </tables>
    </webPr>
  </connection>
  <connection id="396" xr16:uid="{00000000-0015-0000-FFFF-FFFF50010000}" name="连接41" type="4" refreshedVersion="4" background="1">
    <webPr sourceData="1" parsePre="1" consecutive="1" xl2000="1" url="http://stockdata.stock.hexun.com/2008/zcfz.aspx?stockid=000725&amp;accountdate=2017.12.31" htmlTables="1">
      <tables count="1">
        <x v="3"/>
      </tables>
    </webPr>
  </connection>
  <connection id="397" xr16:uid="{08199AF2-732D-43E3-A70E-3F28340E37B3}" name="连接410" type="4" refreshedVersion="6" background="1" saveData="1">
    <webPr sourceData="1" parsePre="1" consecutive="1" xl2000="1" url="http://stockdata.stock.hexun.com/2009_fhzzgb_600409.shtml" htmlTables="1">
      <tables count="1">
        <x v="3"/>
      </tables>
    </webPr>
  </connection>
  <connection id="398" xr16:uid="{0432EACD-51AD-4C38-B13B-0223CBDE7B17}" name="连接411" type="4" refreshedVersion="6" background="1" saveData="1">
    <webPr sourceData="1" parsePre="1" consecutive="1" xl2000="1" url="http://quotes.money.163.com/f10/zcfzb_300498.html?type=year" htmlTables="1">
      <tables count="1">
        <x v="5"/>
      </tables>
    </webPr>
  </connection>
  <connection id="399" xr16:uid="{8C497B5B-02EC-4DBE-967E-384EA3AE6A03}" name="连接412" type="4" refreshedVersion="6" background="1" saveData="1">
    <webPr sourceData="1" parsePre="1" consecutive="1" xl2000="1" url="http://stockdata.stock.hexun.com/2009_fhzzgb_300767.shtml" htmlTables="1">
      <tables count="1">
        <x v="3"/>
      </tables>
    </webPr>
  </connection>
  <connection id="400" xr16:uid="{B8F2DC5C-AB18-4F2D-9914-212BC81F2CB1}" name="连接413" type="4" refreshedVersion="6" background="1" saveData="1">
    <webPr sourceData="1" parsePre="1" consecutive="1" xl2000="1" url="http://quotes.money.163.com/f10/zcfzb_688981.html?type=year" htmlTables="1">
      <tables count="1">
        <x v="5"/>
      </tables>
    </webPr>
  </connection>
  <connection id="401" xr16:uid="{90A23B34-23B1-45E4-A3B2-F9ECFF1ED5AE}" name="连接4131" type="4" refreshedVersion="6" background="1" saveData="1">
    <webPr sourceData="1" parsePre="1" consecutive="1" xl2000="1" url="http://quotes.money.163.com/f10/lrb_002737.html?type=year" htmlTables="1">
      <tables count="1">
        <x v="4"/>
      </tables>
    </webPr>
  </connection>
  <connection id="402" xr16:uid="{5D64C04F-E0BB-4567-B8E0-D1AE636E4696}" name="连接414" type="4" refreshedVersion="6" background="1" saveData="1">
    <webPr sourceData="1" parsePre="1" consecutive="1" xl2000="1" url="http://stockdata.stock.hexun.com/2009_fhzzgb_300498.shtml" htmlTables="1">
      <tables count="1">
        <x v="3"/>
      </tables>
    </webPr>
  </connection>
  <connection id="403" xr16:uid="{1BB5E28C-E23D-48AD-B840-80F93E632ABF}" name="连接415" type="4" refreshedVersion="6" background="1" saveData="1">
    <webPr sourceData="1" parsePre="1" consecutive="1" xl2000="1" url="http://quotes.money.163.com/f10/zcfzb_603027.html?type=year" htmlTables="1">
      <tables count="1">
        <x v="5"/>
      </tables>
    </webPr>
  </connection>
  <connection id="404" xr16:uid="{1DBE5F5C-1324-4995-A946-D2EA64E6CCF1}" name="连接4151" type="4" refreshedVersion="6" background="1" saveData="1">
    <webPr sourceData="1" parsePre="1" consecutive="1" xl2000="1" url="http://quotes.money.163.com/f10/lrb_002737.html?type=year" htmlTables="1">
      <tables count="1">
        <x v="5"/>
      </tables>
    </webPr>
  </connection>
  <connection id="405" xr16:uid="{3B16C2DE-85E5-44C7-A635-0D0117A5F18E}" name="连接4152" type="4" refreshedVersion="6" background="1" saveData="1">
    <webPr sourceData="1" parsePre="1" consecutive="1" xl2000="1" url="http://quotes.money.163.com/f10/zcfzb_600352.html?type=year" htmlTables="1">
      <tables count="1">
        <x v="5"/>
      </tables>
    </webPr>
  </connection>
  <connection id="406" xr16:uid="{B711FC89-A3C1-4416-8642-2883349D9F70}" name="连接4153" type="4" refreshedVersion="6" background="1" saveData="1">
    <webPr sourceData="1" parsePre="1" consecutive="1" xl2000="1" url="http://quotes.money.163.com/f10/zcfzb_002230.html?type=year" htmlTables="1">
      <tables count="1">
        <x v="5"/>
      </tables>
    </webPr>
  </connection>
  <connection id="407" xr16:uid="{D0D194C9-A4CD-456F-A658-EB6EAB8B5FD9}" name="连接416" type="4" refreshedVersion="6" background="1" saveData="1">
    <webPr sourceData="1" parsePre="1" consecutive="1" xl2000="1" url="http://stockdata.stock.hexun.com/2009_fhzzgb_600660.shtml" htmlTables="1">
      <tables count="1">
        <x v="3"/>
      </tables>
    </webPr>
  </connection>
  <connection id="408" xr16:uid="{9FD0CD2F-8437-4257-BA20-5E384945A11D}" name="连接417" type="4" refreshedVersion="6" background="1" saveData="1">
    <webPr sourceData="1" parsePre="1" consecutive="1" xl2000="1" url="http://quotes.money.163.com/f10/zcfzb_000002.html?type=year" htmlTables="1">
      <tables count="1">
        <x v="5"/>
      </tables>
    </webPr>
  </connection>
  <connection id="409" xr16:uid="{4302634E-84DD-437B-8588-6244C36AF022}" name="连接4171" type="4" refreshedVersion="6" background="1" saveData="1">
    <webPr sourceData="1" parsePre="1" consecutive="1" xl2000="1" url="http://quotes.money.163.com/f10/xjllb_002737.html?type=year" htmlTables="1">
      <tables count="1">
        <x v="4"/>
      </tables>
    </webPr>
  </connection>
  <connection id="410" xr16:uid="{35696035-41CB-4A6C-9275-469BDEB66F79}" name="连接4172" type="4" refreshedVersion="6" background="1" saveData="1">
    <webPr sourceData="1" parsePre="1" consecutive="1" xl2000="1" url="http://quotes.money.163.com/f10/lrb_600352.html?type=year" htmlTables="1">
      <tables count="1">
        <x v="4"/>
      </tables>
    </webPr>
  </connection>
  <connection id="411" xr16:uid="{8CFC6070-AB38-4126-946E-6D30D9A44682}" name="连接4173" type="4" refreshedVersion="6" background="1" saveData="1">
    <webPr sourceData="1" parsePre="1" consecutive="1" xl2000="1" url="http://quotes.money.163.com/f10/lrb_002230.html?type=year" htmlTables="1">
      <tables count="1">
        <x v="4"/>
      </tables>
    </webPr>
  </connection>
  <connection id="412" xr16:uid="{5980FC94-6E39-42D9-AC9C-E6623B8098D8}" name="连接4174" type="4" refreshedVersion="6" background="1" saveData="1">
    <webPr sourceData="1" parsePre="1" consecutive="1" xl2000="1" url="http://quotes.money.163.com/f10/zcfzb_600050.html?type=year" htmlTables="1">
      <tables count="1">
        <x v="4"/>
      </tables>
    </webPr>
  </connection>
  <connection id="413" xr16:uid="{66C1FC8B-ECAC-415A-930E-8BB656BF7313}" name="连接418" type="4" refreshedVersion="6" background="1" saveData="1">
    <webPr sourceData="1" parsePre="1" consecutive="1" xl2000="1" url="http://stockdata.stock.hexun.com/2009_fhzzgb_600585.shtml" htmlTables="1">
      <tables count="1">
        <x v="3"/>
      </tables>
    </webPr>
  </connection>
  <connection id="414" xr16:uid="{288D04A2-DF0F-4EE0-A146-FF3F8234C69B}" name="连接419" type="4" refreshedVersion="6" background="1" saveData="1">
    <webPr sourceData="1" parsePre="1" consecutive="1" xl2000="1" url="http://stockdata.stock.hexun.com/2009_fhzzgb_000002.shtml" htmlTables="1">
      <tables count="1">
        <x v="3"/>
      </tables>
    </webPr>
  </connection>
  <connection id="415" xr16:uid="{85E7E34C-03E1-476E-BF23-13C689D430A0}" name="连接4191" type="4" refreshedVersion="6" background="1" saveData="1">
    <webPr sourceData="1" parsePre="1" consecutive="1" xl2000="1" url="http://quotes.money.163.com/f10/xjllb_002737.html?type=year" htmlTables="1">
      <tables count="1">
        <x v="5"/>
      </tables>
    </webPr>
  </connection>
  <connection id="416" xr16:uid="{1916A5AF-6E30-4136-85CA-C66BADBEB882}" name="连接4192" type="4" refreshedVersion="6" background="1" saveData="1">
    <webPr sourceData="1" parsePre="1" consecutive="1" xl2000="1" url="http://quotes.money.163.com/f10/lrb_600352.html?type=year" htmlTables="1">
      <tables count="1">
        <x v="5"/>
      </tables>
    </webPr>
  </connection>
  <connection id="417" xr16:uid="{AE7A9E4F-D6D4-46B0-A35E-47942D0BEC9B}" name="连接4193" type="4" refreshedVersion="6" background="1" saveData="1">
    <webPr sourceData="1" parsePre="1" consecutive="1" xl2000="1" url="http://quotes.money.163.com/f10/lrb_002230.html?type=year" htmlTables="1">
      <tables count="1">
        <x v="5"/>
      </tables>
    </webPr>
  </connection>
  <connection id="418" xr16:uid="{8F2C71BD-CB59-4EAA-A689-88F9ABA8AF7B}" name="连接4194" type="4" refreshedVersion="6" background="1" saveData="1">
    <webPr sourceData="1" parsePre="1" consecutive="1" xl2000="1" url="http://quotes.money.163.com/f10/zcfzb_600050.html?type=year" htmlTables="1">
      <tables count="1">
        <x v="5"/>
      </tables>
    </webPr>
  </connection>
  <connection id="419" xr16:uid="{00000000-0015-0000-FFFF-FFFF51010000}" name="连接42" type="4" refreshedVersion="4" background="1">
    <webPr sourceData="1" parsePre="1" consecutive="1" xl2000="1" url="http://stockdata.stock.hexun.com/2008/zcfz.aspx?stockid=000725&amp;accountdate=2016.12.31" htmlTables="1">
      <tables count="1">
        <x v="3"/>
      </tables>
    </webPr>
  </connection>
  <connection id="420" xr16:uid="{18CCE98D-5797-48A2-BF72-DE67879FB9B1}" name="连接420" type="4" refreshedVersion="6" background="1" saveData="1">
    <webPr sourceData="1" parsePre="1" consecutive="1" xl2000="1" url="http://stockdata.stock.hexun.com/2009_fhzzgb_002737.shtml" htmlTables="1">
      <tables count="1">
        <x v="3"/>
      </tables>
    </webPr>
  </connection>
  <connection id="421" xr16:uid="{F5CCBD3C-6405-4435-AFE4-9B6557518A95}" name="连接421" type="4" refreshedVersion="6" background="1" saveData="1">
    <webPr sourceData="1" parsePre="1" consecutive="1" xl2000="1" url="http://stockdata.stock.hexun.com/2009_fhzzgb_000002.shtml" htmlTables="1">
      <tables count="1">
        <x v="3"/>
      </tables>
    </webPr>
  </connection>
  <connection id="422" xr16:uid="{6075152A-3A9A-464B-94C0-8C7FE5047470}" name="连接422" type="4" refreshedVersion="6" background="1" saveData="1">
    <webPr sourceData="1" parsePre="1" consecutive="1" xl2000="1" url="http://stockdata.stock.hexun.com/2009_fhzzgb_300782.shtml" htmlTables="1">
      <tables count="1">
        <x v="3"/>
      </tables>
    </webPr>
  </connection>
  <connection id="423" xr16:uid="{9A92542E-54F2-48A2-9BA4-79374C1F15E3}" name="连接423" type="4" refreshedVersion="6" background="1" saveData="1">
    <webPr sourceData="1" parsePre="1" consecutive="1" xl2000="1" url="http://quotes.money.163.com/f10/zcfzb_601225.html?type=year" htmlTables="1">
      <tables count="1">
        <x v="5"/>
      </tables>
    </webPr>
  </connection>
  <connection id="424" xr16:uid="{11CF7048-EFAA-49AD-8E86-FD2AE7996C77}" name="连接4231" type="4" refreshedVersion="6" background="1" saveData="1">
    <webPr sourceData="1" parsePre="1" consecutive="1" xl2000="1" url="http://quotes.money.163.com/f10/zcfzb_600801.html?type=year" htmlTables="1">
      <tables count="1">
        <x v="4"/>
      </tables>
    </webPr>
  </connection>
  <connection id="425" xr16:uid="{5DC84369-F46C-4D46-A684-28BB6B0AB751}" name="连接4232" type="4" refreshedVersion="6" background="1" saveData="1">
    <webPr sourceData="1" parsePre="1" consecutive="1" xl2000="1" url="http://quotes.money.163.com/f10/xjllb_600352.html?type=year" htmlTables="1">
      <tables count="1">
        <x v="4"/>
      </tables>
    </webPr>
  </connection>
  <connection id="426" xr16:uid="{2BA3944C-FBA4-46CB-BA28-A033EDA54B41}" name="连接4233" type="4" refreshedVersion="6" background="1" saveData="1">
    <webPr sourceData="1" parsePre="1" consecutive="1" xl2000="1" url="http://quotes.money.163.com/f10/xjllb_002230.html?type=year" htmlTables="1">
      <tables count="1">
        <x v="4"/>
      </tables>
    </webPr>
  </connection>
  <connection id="427" xr16:uid="{18703CCE-3746-4A6E-AB4F-142B99A8FF61}" name="连接4234" type="4" refreshedVersion="6" background="1" saveData="1">
    <webPr sourceData="1" parsePre="1" consecutive="1" xl2000="1" url="http://quotes.money.163.com/f10/lrb_600050.html?type=year" htmlTables="1">
      <tables count="1">
        <x v="4"/>
      </tables>
    </webPr>
  </connection>
  <connection id="428" xr16:uid="{26ADDD14-E01F-42A4-B03D-E47BF516A179}" name="连接4235" type="4" refreshedVersion="6" background="1" saveData="1">
    <webPr sourceData="1" parsePre="1" consecutive="1" xl2000="1" url="http://quotes.money.163.com/f10/zcfzb_000651.html?type=year" htmlTables="1">
      <tables count="1">
        <x v="4"/>
      </tables>
    </webPr>
  </connection>
  <connection id="429" xr16:uid="{FBCA457A-1575-4DFE-9032-3F6EF1B8AF47}" name="连接424" type="4" refreshedVersion="6" background="1" saveData="1">
    <webPr sourceData="1" parsePre="1" consecutive="1" xl2000="1" url="http://stockdata.stock.hexun.com/2009_fhzzgb_601225.shtml" htmlTables="1">
      <tables count="1">
        <x v="3"/>
      </tables>
    </webPr>
  </connection>
  <connection id="430" xr16:uid="{4288F823-5FF3-49A9-94AA-A4E01E6C7493}" name="连接4241" type="4" refreshedVersion="6" background="1" saveData="1">
    <webPr sourceData="1" parsePre="1" consecutive="1" xl2000="1" url="http://quotes.money.163.com/f10/zcfzb_600801.html?type=year" htmlTables="1">
      <tables count="1">
        <x v="5"/>
      </tables>
    </webPr>
  </connection>
  <connection id="431" xr16:uid="{C790FF65-9985-477C-B201-D7FAE9CCFA2C}" name="连接4242" type="4" refreshedVersion="6" background="1" saveData="1">
    <webPr sourceData="1" parsePre="1" consecutive="1" xl2000="1" url="http://quotes.money.163.com/f10/xjllb_600352.html?type=year" htmlTables="1">
      <tables count="1">
        <x v="5"/>
      </tables>
    </webPr>
  </connection>
  <connection id="432" xr16:uid="{E4911C66-4D2C-40A3-BF62-1DEB343E1C09}" name="连接4243" type="4" refreshedVersion="6" background="1" saveData="1">
    <webPr sourceData="1" parsePre="1" consecutive="1" xl2000="1" url="http://quotes.money.163.com/f10/xjllb_002230.html?type=year" htmlTables="1">
      <tables count="1">
        <x v="5"/>
      </tables>
    </webPr>
  </connection>
  <connection id="433" xr16:uid="{C65A68E1-26C3-41A1-A416-0E56DE98034F}" name="连接4244" type="4" refreshedVersion="6" background="1" saveData="1">
    <webPr sourceData="1" parsePre="1" consecutive="1" xl2000="1" url="http://quotes.money.163.com/f10/lrb_600050.html?type=year" htmlTables="1">
      <tables count="1">
        <x v="5"/>
      </tables>
    </webPr>
  </connection>
  <connection id="434" xr16:uid="{49C46D95-D809-4ABB-A5BE-A09DD4337BB1}" name="连接4245" type="4" refreshedVersion="6" background="1" saveData="1">
    <webPr sourceData="1" parsePre="1" consecutive="1" xl2000="1" url="http://quotes.money.163.com/f10/zcfzb_000651.html?type=year" htmlTables="1">
      <tables count="1">
        <x v="5"/>
      </tables>
    </webPr>
  </connection>
  <connection id="435" xr16:uid="{9D67F80E-A476-47DE-BAE2-394BEFF26C7A}" name="连接425" type="4" refreshedVersion="6" background="1" saveData="1">
    <webPr sourceData="1" parsePre="1" consecutive="1" xl2000="1" url="http://stockdata.stock.hexun.com/2009_fhzzgb_600352.shtml" htmlTables="1">
      <tables count="1">
        <x v="3"/>
      </tables>
    </webPr>
  </connection>
  <connection id="436" xr16:uid="{767A491A-7D8A-4F0A-88EF-E88BC64DB1DB}" name="连接4251" type="4" refreshedVersion="6" background="1" saveData="1">
    <webPr sourceData="1" parsePre="1" consecutive="1" xl2000="1" url="http://quotes.money.163.com/f10/lrb_600801.html?type=year" htmlTables="1">
      <tables count="1">
        <x v="4"/>
      </tables>
    </webPr>
  </connection>
  <connection id="437" xr16:uid="{723A021C-5DF2-4CAD-9B48-95F6AA990A34}" name="连接426" type="4" refreshedVersion="6" background="1" saveData="1">
    <webPr sourceData="1" parsePre="1" consecutive="1" xl2000="1" url="http://stockdata.stock.hexun.com/2009_fhzzgb_603609.shtml" htmlTables="1">
      <tables count="1">
        <x v="3"/>
      </tables>
    </webPr>
  </connection>
  <connection id="438" xr16:uid="{6A516175-8884-4EBD-813D-0516620134D7}" name="连接427" type="4" refreshedVersion="6" background="1" saveData="1">
    <webPr sourceData="1" parsePre="1" consecutive="1" xl2000="1" url="http://stockdata.stock.hexun.com/2009_fhzzgb_300016.shtml" htmlTables="1">
      <tables count="1">
        <x v="3"/>
      </tables>
    </webPr>
  </connection>
  <connection id="439" xr16:uid="{2A76EB7D-AEA3-496B-8D0E-68D9CD8D0D97}" name="连接428" type="4" refreshedVersion="6" background="1" saveData="1">
    <webPr sourceData="1" parsePre="1" consecutive="1" xl2000="1" url="http://quotes.money.163.com/f10/zcfzb_000157.html?type=year" htmlTables="1">
      <tables count="1">
        <x v="5"/>
      </tables>
    </webPr>
  </connection>
  <connection id="440" xr16:uid="{D7F33C4A-5EAC-4CFB-91F5-7C7ADAD5C9D5}" name="连接4281" type="4" refreshedVersion="6" background="1" saveData="1">
    <webPr sourceData="1" parsePre="1" consecutive="1" xl2000="1" url="http://quotes.money.163.com/f10/lrb_600801.html?type=year" htmlTables="1">
      <tables count="1">
        <x v="5"/>
      </tables>
    </webPr>
  </connection>
  <connection id="441" xr16:uid="{7BE7E72D-2BC5-4B3E-8768-F48BC675A165}" name="连接429" type="4" refreshedVersion="6" background="1" saveData="1">
    <webPr sourceData="1" parsePre="1" consecutive="1" xl2000="1" url="http://stockdata.stock.hexun.com/2009_fhzzgb_002230.shtml" htmlTables="1">
      <tables count="1">
        <x v="3"/>
      </tables>
    </webPr>
  </connection>
  <connection id="442" xr16:uid="{99543795-494F-4630-9000-99990CE6FD73}" name="连接4291" type="4" refreshedVersion="6" background="1" saveData="1">
    <webPr sourceData="1" parsePre="1" consecutive="1" xl2000="1" url="http://quotes.money.163.com/f10/xjllb_600801.html?type=year" htmlTables="1">
      <tables count="1">
        <x v="4"/>
      </tables>
    </webPr>
  </connection>
  <connection id="443" xr16:uid="{00000000-0015-0000-FFFF-FFFF52010000}" name="连接43" type="4" refreshedVersion="4" background="1" saveData="1">
    <webPr sourceData="1" parsePre="1" consecutive="1" xl2000="1" url="http://stockdata.stock.hexun.com/2008/lr.aspx?stockid=000725&amp;accountdate=2016.12.31" htmlTables="1">
      <tables count="1">
        <x v="3"/>
      </tables>
    </webPr>
  </connection>
  <connection id="444" xr16:uid="{45D377CF-68AC-4820-BC8D-C81A34FB730B}" name="连接430" type="4" refreshedVersion="6" background="1" saveData="1">
    <webPr sourceData="1" parsePre="1" consecutive="1" xl2000="1" url="http://stockdata.stock.hexun.com/2009_fhzzgb_002411.shtml" htmlTables="1">
      <tables count="1">
        <x v="3"/>
      </tables>
    </webPr>
  </connection>
  <connection id="445" xr16:uid="{F89D02CD-F4EF-4C24-B409-5DE6DC313D33}" name="连接431" type="4" refreshedVersion="6" background="1" saveData="1">
    <webPr sourceData="1" parsePre="1" consecutive="1" xl2000="1" url="http://quotes.money.163.com/f10/zcfzb_601777.html?type=year" htmlTables="1">
      <tables count="1">
        <x v="5"/>
      </tables>
    </webPr>
  </connection>
  <connection id="446" xr16:uid="{E4BDDBA3-2743-4A80-AB8F-AB8ED5FD3EBE}" name="连接4311" type="4" refreshedVersion="6" background="1" saveData="1">
    <webPr sourceData="1" parsePre="1" consecutive="1" xl2000="1" url="http://quotes.money.163.com/f10/xjllb_600801.html?type=year" htmlTables="1">
      <tables count="1">
        <x v="5"/>
      </tables>
    </webPr>
  </connection>
  <connection id="447" xr16:uid="{6766F67C-6336-40DB-9CB9-0976D7C89DBD}" name="连接4312" type="4" refreshedVersion="6" background="1" saveData="1">
    <webPr sourceData="1" parsePre="1" consecutive="1" xl2000="1" url="http://quotes.money.163.com/f10/zcfzb_002236.html?type=year" htmlTables="1">
      <tables count="1">
        <x v="4"/>
      </tables>
    </webPr>
  </connection>
  <connection id="448" xr16:uid="{48509EBE-E657-415A-9B9A-8510F6EE3410}" name="连接4313" type="4" refreshedVersion="6" background="1" saveData="1">
    <webPr sourceData="1" parsePre="1" consecutive="1" xl2000="1" url="http://quotes.money.163.com/f10/lrb_000651.html?type=year" htmlTables="1">
      <tables count="1">
        <x v="4"/>
      </tables>
    </webPr>
  </connection>
  <connection id="449" xr16:uid="{A26E3423-7093-4F6D-801B-0FBF885368F9}" name="连接4314" type="4" refreshedVersion="6" background="1" saveData="1">
    <webPr sourceData="1" parsePre="1" consecutive="1" xl2000="1" url="http://quotes.money.163.com/f10/zcfzb_601766.html?type=year" htmlTables="1">
      <tables count="1">
        <x v="4"/>
      </tables>
    </webPr>
  </connection>
  <connection id="450" xr16:uid="{E880BB25-1E9A-4920-BDC5-866819DE4E5C}" name="连接4315" type="4" refreshedVersion="6" background="1" saveData="1">
    <webPr sourceData="1" parsePre="1" consecutive="1" xl2000="1" url="http://quotes.money.163.com/f10/zcfzb_000338.html?type=year" htmlTables="1">
      <tables count="1">
        <x v="4"/>
      </tables>
    </webPr>
  </connection>
  <connection id="451" xr16:uid="{DF6F25A2-7DD2-4AE3-A3AB-89E752C723DD}" name="连接432" type="4" refreshedVersion="6" background="1" saveData="1">
    <webPr sourceData="1" parsePre="1" consecutive="1" xl2000="1" url="http://stockdata.stock.hexun.com/2009_fhzzgb_600801.shtml" htmlTables="1">
      <tables count="1">
        <x v="3"/>
      </tables>
    </webPr>
  </connection>
  <connection id="452" xr16:uid="{2EC526AB-0075-4F72-96A0-F0B50555A637}" name="连接433" type="4" refreshedVersion="6" background="1" saveData="1">
    <webPr sourceData="1" parsePre="1" consecutive="1" xl2000="1" url="http://stockdata.stock.hexun.com/2009_fhzzgb_600398.shtml" htmlTables="1">
      <tables count="1">
        <x v="3"/>
      </tables>
    </webPr>
  </connection>
  <connection id="453" xr16:uid="{18264E62-9633-4DC3-BEF7-99E9E712EBA7}" name="连接4341" type="4" refreshedVersion="6" background="1" saveData="1">
    <webPr sourceData="1" parsePre="1" consecutive="1" xl2000="1" url="http://quotes.money.163.com/f10/zcfzb_600585.html?type=year" htmlTables="1">
      <tables count="1">
        <x v="4"/>
      </tables>
    </webPr>
  </connection>
  <connection id="454" xr16:uid="{71DC0369-9306-4BA2-A2E8-DAECEAF3A641}" name="连接4342" type="4" refreshedVersion="6" background="1" saveData="1">
    <webPr sourceData="1" parsePre="1" consecutive="1" xl2000="1" url="http://quotes.money.163.com/f10/zcfzb_002236.html?type=year" htmlTables="1">
      <tables count="1">
        <x v="5"/>
      </tables>
    </webPr>
  </connection>
  <connection id="455" xr16:uid="{C2E898BB-7B06-4194-99B4-524EE2F9ABE7}" name="连接4343" type="4" refreshedVersion="6" background="1" saveData="1">
    <webPr sourceData="1" parsePre="1" consecutive="1" xl2000="1" url="http://quotes.money.163.com/f10/lrb_000651.html?type=year" htmlTables="1">
      <tables count="1">
        <x v="5"/>
      </tables>
    </webPr>
  </connection>
  <connection id="456" xr16:uid="{2AF092EE-B079-43AB-BD6E-9F05A4E86E14}" name="连接4344" type="4" refreshedVersion="6" background="1" saveData="1">
    <webPr sourceData="1" parsePre="1" consecutive="1" xl2000="1" url="http://quotes.money.163.com/f10/zcfzb_601766.html?type=year" htmlTables="1">
      <tables count="1">
        <x v="5"/>
      </tables>
    </webPr>
  </connection>
  <connection id="457" xr16:uid="{C6282D1B-5E0E-428D-B2C1-FBB0A6A02B95}" name="连接4345" type="4" refreshedVersion="6" background="1" saveData="1">
    <webPr sourceData="1" parsePre="1" consecutive="1" xl2000="1" url="http://quotes.money.163.com/f10/zcfzb_000338.html?type=year" htmlTables="1">
      <tables count="1">
        <x v="5"/>
      </tables>
    </webPr>
  </connection>
  <connection id="458" xr16:uid="{F3C6DB97-A6C9-49D0-9DDE-372EB209E311}" name="连接4346" type="4" refreshedVersion="6" background="1" saveData="1">
    <webPr sourceData="1" parsePre="1" consecutive="1" xl2000="1" url="http://quotes.money.163.com/f10/zcfzb_603737.html?type=year" htmlTables="1">
      <tables count="1">
        <x v="4"/>
      </tables>
    </webPr>
  </connection>
  <connection id="459" xr16:uid="{65792D7D-7421-465C-B170-6B3D0A1953C8}" name="连接4351" type="4" refreshedVersion="6" background="1" saveData="1">
    <webPr sourceData="1" parsePre="1" consecutive="1" xl2000="1" url="http://quotes.money.163.com/f10/zcfzb_600585.html?type=year" htmlTables="1">
      <tables count="1">
        <x v="5"/>
      </tables>
    </webPr>
  </connection>
  <connection id="460" xr16:uid="{DB3619EB-EE44-43EC-9400-43CFBA1264F1}" name="连接4352" type="4" refreshedVersion="6" background="1" saveData="1">
    <webPr sourceData="1" parsePre="1" consecutive="1" xl2000="1" url="http://quotes.money.163.com/f10/lrb_002236.html?type=year" htmlTables="1">
      <tables count="1">
        <x v="4"/>
      </tables>
    </webPr>
  </connection>
  <connection id="461" xr16:uid="{B36EEFA9-C8BE-487F-B627-DB6846A20F78}" name="连接4353" type="4" refreshedVersion="6" background="1" saveData="1">
    <webPr sourceData="1" parsePre="1" consecutive="1" xl2000="1" url="http://quotes.money.163.com/f10/xjllb_000651.html?type=year" htmlTables="1">
      <tables count="1">
        <x v="4"/>
      </tables>
    </webPr>
  </connection>
  <connection id="462" xr16:uid="{0AAE82A0-61A3-4CFE-ACC1-B15B5FEFFECF}" name="连接4354" type="4" refreshedVersion="6" background="1" saveData="1">
    <webPr sourceData="1" parsePre="1" consecutive="1" xl2000="1" url="http://quotes.money.163.com/f10/lrb_601766.html?type=year" htmlTables="1">
      <tables count="1">
        <x v="4"/>
      </tables>
    </webPr>
  </connection>
  <connection id="463" xr16:uid="{1274D28D-2512-4180-BFB6-99720A0D235D}" name="连接4355" type="4" refreshedVersion="6" background="1" saveData="1">
    <webPr sourceData="1" parsePre="1" consecutive="1" xl2000="1" url="http://quotes.money.163.com/f10/lrb_000338.html?type=year" htmlTables="1">
      <tables count="1">
        <x v="4"/>
      </tables>
    </webPr>
  </connection>
  <connection id="464" xr16:uid="{44162B55-4F38-4261-B1CA-FB673B3FBC5A}" name="连接4356" type="4" refreshedVersion="6" background="1" saveData="1">
    <webPr sourceData="1" parsePre="1" consecutive="1" xl2000="1" url="http://quotes.money.163.com/f10/zcfzb_603737.html?type=year" htmlTables="1">
      <tables count="1">
        <x v="5"/>
      </tables>
    </webPr>
  </connection>
  <connection id="465" xr16:uid="{624A98BB-B9CE-45FA-8F3D-5377C04D6C91}" name="连接436" type="4" refreshedVersion="6" background="1" saveData="1">
    <webPr sourceData="1" parsePre="1" consecutive="1" xl2000="1" url="http://stockdata.stock.hexun.com/2009_fhzzgb_300498.shtml" htmlTables="1">
      <tables count="1">
        <x v="3"/>
      </tables>
    </webPr>
  </connection>
  <connection id="466" xr16:uid="{2EFF93C7-C223-4884-8502-B412D2411C71}" name="连接4371" type="4" refreshedVersion="6" background="1" saveData="1">
    <webPr sourceData="1" parsePre="1" consecutive="1" xl2000="1" url="http://quotes.money.163.com/f10/zcfzb_300498.html?type=year" htmlTables="1">
      <tables count="1">
        <x v="4"/>
      </tables>
    </webPr>
  </connection>
  <connection id="467" xr16:uid="{1D306372-C7BE-439F-AE81-4094AB0D457B}" name="连接4372" type="4" refreshedVersion="6" background="1" saveData="1">
    <webPr sourceData="1" parsePre="1" consecutive="1" xl2000="1" url="http://quotes.money.163.com/f10/lrb_600585.html?type=year" htmlTables="1">
      <tables count="1">
        <x v="4"/>
      </tables>
    </webPr>
  </connection>
  <connection id="468" xr16:uid="{0245FBD8-71B9-4AA7-9A95-65D3F73CD82A}" name="连接4373" type="4" refreshedVersion="6" background="1" saveData="1">
    <webPr sourceData="1" parsePre="1" consecutive="1" xl2000="1" url="http://quotes.money.163.com/f10/lrb_002236.html?type=year" htmlTables="1">
      <tables count="1">
        <x v="5"/>
      </tables>
    </webPr>
  </connection>
  <connection id="469" xr16:uid="{6432E7F1-7B4C-488F-816D-AB09D0057D7E}" name="连接4374" type="4" refreshedVersion="6" background="1" saveData="1">
    <webPr sourceData="1" parsePre="1" consecutive="1" xl2000="1" url="http://quotes.money.163.com/f10/xjllb_000651.html?type=year" htmlTables="1">
      <tables count="1">
        <x v="5"/>
      </tables>
    </webPr>
  </connection>
  <connection id="470" xr16:uid="{0D51B0EF-D712-451B-ADB9-A422391AA753}" name="连接4375" type="4" refreshedVersion="6" background="1" saveData="1">
    <webPr sourceData="1" parsePre="1" consecutive="1" xl2000="1" url="http://quotes.money.163.com/f10/lrb_601766.html?type=year" htmlTables="1">
      <tables count="1">
        <x v="5"/>
      </tables>
    </webPr>
  </connection>
  <connection id="471" xr16:uid="{3220DDCE-5AAB-4D11-B01E-64B7CD9B8838}" name="连接4376" type="4" refreshedVersion="6" background="1" saveData="1">
    <webPr sourceData="1" parsePre="1" consecutive="1" xl2000="1" url="http://quotes.money.163.com/f10/lrb_000338.html?type=year" htmlTables="1">
      <tables count="1">
        <x v="5"/>
      </tables>
    </webPr>
  </connection>
  <connection id="472" xr16:uid="{4E8CA3CD-C6C6-4BBF-BFC7-40B6127F5F74}" name="连接4377" type="4" refreshedVersion="6" background="1" saveData="1">
    <webPr sourceData="1" parsePre="1" consecutive="1" xl2000="1" url="http://quotes.money.163.com/f10/lrb_603737.html?type=year" htmlTables="1">
      <tables count="1">
        <x v="4"/>
      </tables>
    </webPr>
  </connection>
  <connection id="473" xr16:uid="{28C7D2DA-871A-46B6-A38C-DA1299871456}" name="连接438" type="4" refreshedVersion="6" background="1" saveData="1">
    <webPr sourceData="1" parsePre="1" consecutive="1" xl2000="1" url="http://stockdata.stock.hexun.com/2009_fhzzgb_002413.shtml" htmlTables="1">
      <tables count="1">
        <x v="3"/>
      </tables>
    </webPr>
  </connection>
  <connection id="474" xr16:uid="{FCC9A87C-D2FE-4541-BB24-CF8E5EE1A024}" name="连接439" type="4" refreshedVersion="6" background="1" saveData="1">
    <webPr sourceData="1" parsePre="1" consecutive="1" xl2000="1" url="http://stockdata.stock.hexun.com/2009_fhzzgb_000651.shtml" htmlTables="1">
      <tables count="1">
        <x v="3"/>
      </tables>
    </webPr>
  </connection>
  <connection id="475" xr16:uid="{83EF9DA0-99BC-4E01-A6F5-842FA2F7B60C}" name="连接4391" type="4" refreshedVersion="6" background="1" saveData="1">
    <webPr sourceData="1" parsePre="1" consecutive="1" xl2000="1" url="http://quotes.money.163.com/f10/zcfzb_300498.html?type=year" htmlTables="1">
      <tables count="1">
        <x v="5"/>
      </tables>
    </webPr>
  </connection>
  <connection id="476" xr16:uid="{141213A9-AF2C-4DC1-AC2A-41B23CA1ABE9}" name="连接4392" type="4" refreshedVersion="6" background="1" saveData="1">
    <webPr sourceData="1" parsePre="1" consecutive="1" xl2000="1" url="http://quotes.money.163.com/f10/lrb_600585.html?type=year" htmlTables="1">
      <tables count="1">
        <x v="5"/>
      </tables>
    </webPr>
  </connection>
  <connection id="477" xr16:uid="{66254E56-2337-46FA-A0D7-10C93439D596}" name="连接4393" type="4" refreshedVersion="6" background="1" saveData="1">
    <webPr sourceData="1" parsePre="1" consecutive="1" xl2000="1" url="http://quotes.money.163.com/f10/xjllb_002236.html?type=year" htmlTables="1">
      <tables count="1">
        <x v="4"/>
      </tables>
    </webPr>
  </connection>
  <connection id="478" xr16:uid="{00000000-0015-0000-FFFF-FFFF53010000}" name="连接44" type="4" refreshedVersion="4" background="1" saveData="1">
    <webPr sourceData="1" parsePre="1" consecutive="1" xl2000="1" url="http://stockdata.stock.hexun.com/2008/lr.aspx?stockid=000725&amp;accountdate=2017.12.31" htmlTables="1">
      <tables count="1">
        <x v="3"/>
      </tables>
    </webPr>
  </connection>
  <connection id="479" xr16:uid="{A738E492-01AF-49D2-B553-C65424265975}" name="连接440" type="4" refreshedVersion="6" background="1" saveData="1">
    <webPr sourceData="1" parsePre="1" consecutive="1" xl2000="1" url="http://stockdata.stock.hexun.com/2009_fhzzgb_600230.shtml" htmlTables="1">
      <tables count="1">
        <x v="3"/>
      </tables>
    </webPr>
  </connection>
  <connection id="480" xr16:uid="{86B745BC-EDF8-432F-816E-434E9B458BB6}" name="连接4411" type="4" refreshedVersion="6" background="1" saveData="1">
    <webPr sourceData="1" parsePre="1" consecutive="1" xl2000="1" url="http://quotes.money.163.com/f10/lrb_300498.html?type=year" htmlTables="1">
      <tables count="1">
        <x v="4"/>
      </tables>
    </webPr>
  </connection>
  <connection id="481" xr16:uid="{18BF1559-3A07-494E-81F0-C40DAF00FC53}" name="连接4412" type="4" refreshedVersion="6" background="1" saveData="1">
    <webPr sourceData="1" parsePre="1" consecutive="1" xl2000="1" url="http://quotes.money.163.com/f10/xjllb_600585.html?type=year" htmlTables="1">
      <tables count="1">
        <x v="4"/>
      </tables>
    </webPr>
  </connection>
  <connection id="482" xr16:uid="{44E2C20F-92E5-4006-929B-6444B5A7C642}" name="连接4413" type="4" refreshedVersion="6" background="1" saveData="1">
    <webPr sourceData="1" parsePre="1" consecutive="1" xl2000="1" url="http://quotes.money.163.com/f10/xjllb_002236.html?type=year" htmlTables="1">
      <tables count="1">
        <x v="5"/>
      </tables>
    </webPr>
  </connection>
  <connection id="483" xr16:uid="{C56C7657-6BAD-424A-993E-A6753C225EBE}" name="连接4414" type="4" refreshedVersion="6" background="1" saveData="1">
    <webPr sourceData="1" parsePre="1" consecutive="1" xl2000="1" url="http://quotes.money.163.com/f10/zcfzb_300132.html?type=year" htmlTables="1">
      <tables count="1">
        <x v="4"/>
      </tables>
    </webPr>
  </connection>
  <connection id="484" xr16:uid="{005A0326-5603-44ED-9EC0-19FE18764DAF}" name="连接4415" type="4" refreshedVersion="6" background="1" saveData="1">
    <webPr sourceData="1" parsePre="1" consecutive="1" xl2000="1" url="http://quotes.money.163.com/f10/xjllb_601766.html?type=year" htmlTables="1">
      <tables count="1">
        <x v="4"/>
      </tables>
    </webPr>
  </connection>
  <connection id="485" xr16:uid="{61CD13F6-0EA6-4981-B42E-3E6091D16A95}" name="连接4416" type="4" refreshedVersion="6" background="1" saveData="1">
    <webPr sourceData="1" parsePre="1" consecutive="1" xl2000="1" url="http://quotes.money.163.com/f10/xjllb_000338.html?type=year" htmlTables="1">
      <tables count="1">
        <x v="4"/>
      </tables>
    </webPr>
  </connection>
  <connection id="486" xr16:uid="{607236BC-C1EF-42C3-A728-74022116B549}" name="连接4417" type="4" refreshedVersion="6" background="1" saveData="1">
    <webPr sourceData="1" parsePre="1" consecutive="1" xl2000="1" url="http://quotes.money.163.com/f10/lrb_603737.html?type=year" htmlTables="1">
      <tables count="1">
        <x v="5"/>
      </tables>
    </webPr>
  </connection>
  <connection id="487" xr16:uid="{8DD769F9-33D8-4EDB-A587-CB7991F80E34}" name="连接4421" type="4" refreshedVersion="6" background="1" saveData="1">
    <webPr sourceData="1" parsePre="1" consecutive="1" xl2000="1" url="http://quotes.money.163.com/f10/lrb_300498.html?type=year" htmlTables="1">
      <tables count="1">
        <x v="5"/>
      </tables>
    </webPr>
  </connection>
  <connection id="488" xr16:uid="{D6A452CA-B020-402C-8320-2D8E1F6C6FDF}" name="连接4422" type="4" refreshedVersion="6" background="1" saveData="1">
    <webPr sourceData="1" parsePre="1" consecutive="1" xl2000="1" url="http://quotes.money.163.com/f10/xjllb_600585.html?type=year" htmlTables="1">
      <tables count="1">
        <x v="5"/>
      </tables>
    </webPr>
  </connection>
  <connection id="489" xr16:uid="{52FA62FB-D8AF-498A-987D-F079DE1B0F5E}" name="连接4423" type="4" refreshedVersion="6" background="1" saveData="1">
    <webPr sourceData="1" parsePre="1" consecutive="1" xl2000="1" url="http://quotes.money.163.com/f10/xjllb_600050.html?type=year" htmlTables="1">
      <tables count="1">
        <x v="4"/>
      </tables>
    </webPr>
  </connection>
  <connection id="490" xr16:uid="{3C5F60BD-000D-4809-97F5-3E42692771CD}" name="连接4424" type="4" refreshedVersion="6" background="1" saveData="1">
    <webPr sourceData="1" parsePre="1" consecutive="1" xl2000="1" url="http://quotes.money.163.com/f10/zcfzb_300132.html?type=year" htmlTables="1">
      <tables count="1">
        <x v="5"/>
      </tables>
    </webPr>
  </connection>
  <connection id="491" xr16:uid="{8BF30FAF-7BC6-4CA3-9A7F-F34487CD4E7F}" name="连接4425" type="4" refreshedVersion="6" background="1" saveData="1">
    <webPr sourceData="1" parsePre="1" consecutive="1" xl2000="1" url="http://quotes.money.163.com/f10/xjllb_601766.html?type=year" htmlTables="1">
      <tables count="1">
        <x v="5"/>
      </tables>
    </webPr>
  </connection>
  <connection id="492" xr16:uid="{B51AD11D-FAAE-4986-A056-7FBA2987651C}" name="连接4426" type="4" refreshedVersion="6" background="1" saveData="1">
    <webPr sourceData="1" parsePre="1" consecutive="1" xl2000="1" url="http://quotes.money.163.com/f10/xjllb_000338.html?type=year" htmlTables="1">
      <tables count="1">
        <x v="5"/>
      </tables>
    </webPr>
  </connection>
  <connection id="493" xr16:uid="{F10C8120-C543-4B3B-AD0F-425422CDC811}" name="连接4427" type="4" refreshedVersion="6" background="1" saveData="1">
    <webPr sourceData="1" parsePre="1" consecutive="1" xl2000="1" url="http://quotes.money.163.com/f10/xjllb_603737.html?type=year" htmlTables="1">
      <tables count="1">
        <x v="4"/>
      </tables>
    </webPr>
  </connection>
  <connection id="494" xr16:uid="{B19D3FC1-4A6D-424A-ACB0-EE620ED51FF4}" name="连接443" type="4" refreshedVersion="6" background="1" saveData="1">
    <webPr sourceData="1" parsePre="1" consecutive="1" xl2000="1" url="http://stockdata.stock.hexun.com/2009_fhzzgb_600585.shtml" htmlTables="1">
      <tables count="1">
        <x v="3"/>
      </tables>
    </webPr>
  </connection>
  <connection id="495" xr16:uid="{8BB51224-5644-49B4-97C5-50D9A0FC1D3E}" name="连接4431" type="4" refreshedVersion="6" background="1" saveData="1">
    <webPr sourceData="1" parsePre="1" consecutive="1" xl2000="1" url="http://quotes.money.163.com/f10/xjllb_300498.html?type=year" htmlTables="1">
      <tables count="1">
        <x v="4"/>
      </tables>
    </webPr>
  </connection>
  <connection id="496" xr16:uid="{5D9210F4-EFA8-4921-82DD-9A4D909D8226}" name="连接444" type="4" refreshedVersion="6" background="1" saveData="1">
    <webPr sourceData="1" parsePre="1" consecutive="1" xl2000="1" url="http://stockdata.stock.hexun.com/2009_fhzzgb_601766.shtml" htmlTables="1">
      <tables count="1">
        <x v="3"/>
      </tables>
    </webPr>
  </connection>
  <connection id="497" xr16:uid="{B4FD1109-ACC3-437F-A21F-51DA40A06F7E}" name="连接4441" type="4" refreshedVersion="6" background="1" saveData="1">
    <webPr sourceData="1" parsePre="1" consecutive="1" xl2000="1" url="http://quotes.money.163.com/f10/xjllb_300498.html?type=year" htmlTables="1">
      <tables count="1">
        <x v="5"/>
      </tables>
    </webPr>
  </connection>
  <connection id="498" xr16:uid="{4C84149E-64F9-4D98-B6E9-77DD4A7EFBB3}" name="连接4442" type="4" refreshedVersion="6" background="1" saveData="1">
    <webPr sourceData="1" parsePre="1" consecutive="1" xl2000="1" url="http://quotes.money.163.com/f10/zcfzb_600507.html?type=year" htmlTables="1">
      <tables count="1">
        <x v="4"/>
      </tables>
    </webPr>
  </connection>
  <connection id="499" xr16:uid="{0C11FAC5-9BF5-4FAA-B91E-8CB79E6374FC}" name="连接4443" type="4" refreshedVersion="6" background="1" saveData="1">
    <webPr sourceData="1" parsePre="1" consecutive="1" xl2000="1" url="http://quotes.money.163.com/f10/xjllb_600050.html?type=year" htmlTables="1">
      <tables count="1">
        <x v="5"/>
      </tables>
    </webPr>
  </connection>
  <connection id="500" xr16:uid="{D568CF66-7BBB-48CB-A17C-CA7C491ECCAE}" name="连接4444" type="4" refreshedVersion="6" background="1" saveData="1">
    <webPr sourceData="1" parsePre="1" consecutive="1" xl2000="1" url="http://quotes.money.163.com/f10/lrb_300132.html?type=year" htmlTables="1">
      <tables count="1">
        <x v="4"/>
      </tables>
    </webPr>
  </connection>
  <connection id="501" xr16:uid="{B9D03CA5-8025-4E5A-8E86-DB05497916DF}" name="连接445" type="4" refreshedVersion="6" background="1" saveData="1">
    <webPr sourceData="1" parsePre="1" consecutive="1" xl2000="1" url="http://stockdata.stock.hexun.com/2009_fhzzgb_600050.shtml" htmlTables="1">
      <tables count="1">
        <x v="3"/>
      </tables>
    </webPr>
  </connection>
  <connection id="502" xr16:uid="{8B2BDAE8-B0D5-4F4C-83EA-B116569BE543}" name="连接4451" type="4" refreshedVersion="6" background="1" saveData="1">
    <webPr sourceData="1" parsePre="1" consecutive="1" xl2000="1" url="http://quotes.money.163.com/f10/zcfzb_300498.html?type=year" htmlTables="1">
      <tables count="1">
        <x v="4"/>
      </tables>
    </webPr>
  </connection>
  <connection id="503" xr16:uid="{94E04C1B-41B3-483D-9999-86E35AFBF3DF}" name="连接4452" type="4" refreshedVersion="6" background="1" saveData="1">
    <webPr sourceData="1" parsePre="1" consecutive="1" xl2000="1" url="http://quotes.money.163.com/f10/zcfzb_600507.html?type=year" htmlTables="1">
      <tables count="1">
        <x v="5"/>
      </tables>
    </webPr>
  </connection>
  <connection id="504" xr16:uid="{27BAE8C1-5AA9-411B-AB86-6FD7E41F5AC2}" name="连接446" type="4" refreshedVersion="6" background="1" saveData="1">
    <webPr sourceData="1" parsePre="1" consecutive="1" xl2000="1" url="http://stockdata.stock.hexun.com/2009_fhzzgb_002415.shtml" htmlTables="1">
      <tables count="1">
        <x v="3"/>
      </tables>
    </webPr>
  </connection>
  <connection id="505" xr16:uid="{ABF2C580-A430-4A1C-A93E-BF5B8121A1C5}" name="连接447" type="4" refreshedVersion="6" background="1" saveData="1">
    <webPr sourceData="1" parsePre="1" consecutive="1" xl2000="1" url="http://stockdata.stock.hexun.com/2009_fhzzgb_000963.shtml" htmlTables="1">
      <tables count="1">
        <x v="3"/>
      </tables>
    </webPr>
  </connection>
  <connection id="506" xr16:uid="{2D9BEE10-1C45-465E-84B3-5018D47AB399}" name="连接448" type="4" refreshedVersion="6" background="1" saveData="1">
    <webPr sourceData="1" parsePre="1" consecutive="1" xl2000="1" url="http://quotes.money.163.com/f10/zcfzb_000672.html?type=year" htmlTables="1">
      <tables count="1">
        <x v="5"/>
      </tables>
    </webPr>
  </connection>
  <connection id="507" xr16:uid="{8C71BCA3-1784-4D27-93C8-19B28E340AB4}" name="连接4481" type="4" refreshedVersion="6" background="1" saveData="1">
    <webPr sourceData="1" parsePre="1" consecutive="1" xl2000="1" url="http://quotes.money.163.com/f10/zcfzb_300498.html?type=year" htmlTables="1">
      <tables count="1">
        <x v="5"/>
      </tables>
    </webPr>
  </connection>
  <connection id="508" xr16:uid="{DF4A3447-5C5D-4C4E-A288-3BB8C0DFDC08}" name="连接4482" type="4" refreshedVersion="6" background="1" saveData="1">
    <webPr sourceData="1" parsePre="1" consecutive="1" xl2000="1" url="http://quotes.money.163.com/f10/lrb_600507.html?type=year" htmlTables="1">
      <tables count="1">
        <x v="4"/>
      </tables>
    </webPr>
  </connection>
  <connection id="509" xr16:uid="{1F84F07B-D7CE-4389-8205-AB5854063448}" name="连接4483" type="4" refreshedVersion="6" background="1" saveData="1">
    <webPr sourceData="1" parsePre="1" consecutive="1" xl2000="1" url="http://quotes.money.163.com/f10/zcfzb_601168.html?type=year" htmlTables="1">
      <tables count="1">
        <x v="4"/>
      </tables>
    </webPr>
  </connection>
  <connection id="510" xr16:uid="{4CEF9470-0607-4DD5-B00B-6FBA1FF90B9B}" name="连接4484" type="4" refreshedVersion="6" background="1" saveData="1">
    <webPr sourceData="1" parsePre="1" consecutive="1" xl2000="1" url="http://quotes.money.163.com/f10/lrb_300132.html?type=year" htmlTables="1">
      <tables count="1">
        <x v="5"/>
      </tables>
    </webPr>
  </connection>
  <connection id="511" xr16:uid="{005C4E37-A03C-4664-B27A-4CB6FA25035A}" name="连接449" type="4" refreshedVersion="6" background="1" saveData="1">
    <webPr sourceData="1" parsePre="1" consecutive="1" xl2000="1" url="http://stockdata.stock.hexun.com/2009_fhzzgb_000338.shtml" htmlTables="1">
      <tables count="1">
        <x v="3"/>
      </tables>
    </webPr>
  </connection>
  <connection id="512" xr16:uid="{C55F83FB-725D-4E7B-9093-1FC8A49DE420}" name="连接4491" type="4" refreshedVersion="6" background="1" saveData="1">
    <webPr sourceData="1" parsePre="1" consecutive="1" xl2000="1" url="http://quotes.money.163.com/f10/lrb_300498.html?type=year" htmlTables="1">
      <tables count="1">
        <x v="4"/>
      </tables>
    </webPr>
  </connection>
  <connection id="513" xr16:uid="{55F30593-D089-4DC4-8BD3-B22EEED11709}" name="连接4492" type="4" refreshedVersion="6" background="1" saveData="1">
    <webPr sourceData="1" parsePre="1" consecutive="1" xl2000="1" url="http://quotes.money.163.com/f10/lrb_600507.html?type=year" htmlTables="1">
      <tables count="1">
        <x v="5"/>
      </tables>
    </webPr>
  </connection>
  <connection id="514" xr16:uid="{515650CA-87D3-4255-81D8-F6A92FB8C0F3}" name="连接4493" type="4" refreshedVersion="6" background="1" saveData="1">
    <webPr sourceData="1" parsePre="1" consecutive="1" xl2000="1" url="http://quotes.money.163.com/f10/zcfzb_601168.html?type=year" htmlTables="1">
      <tables count="1">
        <x v="5"/>
      </tables>
    </webPr>
  </connection>
  <connection id="515" xr16:uid="{C3BBA844-1F5B-4C7A-8E13-26459DAE1388}" name="连接4494" type="4" refreshedVersion="6" background="1" saveData="1">
    <webPr sourceData="1" parsePre="1" consecutive="1" xl2000="1" url="http://quotes.money.163.com/f10/xjllb_300132.html?type=year" htmlTables="1">
      <tables count="1">
        <x v="4"/>
      </tables>
    </webPr>
  </connection>
  <connection id="516" xr16:uid="{00000000-0015-0000-FFFF-FFFF54010000}" name="连接45" type="4" refreshedVersion="4" background="1" saveData="1">
    <webPr sourceData="1" parsePre="1" consecutive="1" xl2000="1" url="http://stockdata.stock.hexun.com/2008/lr.aspx?stockid=000725&amp;accountdate=2018.12.31" htmlTables="1">
      <tables count="1">
        <x v="3"/>
      </tables>
    </webPr>
  </connection>
  <connection id="517" xr16:uid="{13B7D596-E627-40CA-A0E3-14F23923C97C}" name="连接4501" type="4" refreshedVersion="6" background="1" saveData="1">
    <webPr sourceData="1" parsePre="1" consecutive="1" xl2000="1" url="http://quotes.money.163.com/f10/lrb_300498.html?type=year" htmlTables="1">
      <tables count="1">
        <x v="5"/>
      </tables>
    </webPr>
  </connection>
  <connection id="518" xr16:uid="{97B86EF0-4032-4EDE-9FA3-52EF8B05C63D}" name="连接4502" type="4" refreshedVersion="6" background="1" saveData="1">
    <webPr sourceData="1" parsePre="1" consecutive="1" xl2000="1" url="http://quotes.money.163.com/f10/xjllb_600507.html?type=year" htmlTables="1">
      <tables count="1">
        <x v="4"/>
      </tables>
    </webPr>
  </connection>
  <connection id="519" xr16:uid="{B14F54DA-9329-4710-B987-420EADF45E0B}" name="连接4503" type="4" refreshedVersion="6" background="1" saveData="1">
    <webPr sourceData="1" parsePre="1" consecutive="1" xl2000="1" url="http://quotes.money.163.com/f10/lrb_601168.html?type=year" htmlTables="1">
      <tables count="1">
        <x v="4"/>
      </tables>
    </webPr>
  </connection>
  <connection id="520" xr16:uid="{C2472212-3568-4027-8465-74F7AE6FD916}" name="连接4504" type="4" refreshedVersion="6" background="1" saveData="1">
    <webPr sourceData="1" parsePre="1" consecutive="1" xl2000="1" url="http://quotes.money.163.com/f10/xjllb_300132.html?type=year" htmlTables="1">
      <tables count="1">
        <x v="5"/>
      </tables>
    </webPr>
  </connection>
  <connection id="521" xr16:uid="{0E7B1081-41F6-491A-9766-EE17A89067BC}" name="连接4505" type="4" refreshedVersion="6" background="1" saveData="1">
    <webPr sourceData="1" parsePre="1" consecutive="1" xl2000="1" url="http://quotes.money.163.com/f10/zcfzb_002230.html?type=year" htmlTables="1">
      <tables count="1">
        <x v="4"/>
      </tables>
    </webPr>
  </connection>
  <connection id="522" xr16:uid="{44138A32-058C-43F6-9C02-64B18A3E4716}" name="连接4506" type="4" refreshedVersion="6" background="1" saveData="1">
    <webPr sourceData="1" parsePre="1" consecutive="1" xl2000="1" url="http://quotes.money.163.com/f10/xjllb_603737.html?type=year" htmlTables="1">
      <tables count="1">
        <x v="5"/>
      </tables>
    </webPr>
  </connection>
  <connection id="523" xr16:uid="{1CC48B63-ADC3-4358-97D1-EB1379A43710}" name="连接451" type="4" refreshedVersion="6" background="1" saveData="1">
    <webPr sourceData="1" parsePre="1" consecutive="1" xl2000="1" url="http://stockdata.stock.hexun.com/2009_fhzzgb_300132.shtml" htmlTables="1">
      <tables count="1">
        <x v="3"/>
      </tables>
    </webPr>
  </connection>
  <connection id="524" xr16:uid="{4C020221-4A54-4901-9397-A17B4F76C5ED}" name="连接4511" type="4" refreshedVersion="6" background="1" saveData="1">
    <webPr sourceData="1" parsePre="1" consecutive="1" xl2000="1" url="http://quotes.money.163.com/f10/xjllb_300498.html?type=year" htmlTables="1">
      <tables count="1">
        <x v="4"/>
      </tables>
    </webPr>
  </connection>
  <connection id="525" xr16:uid="{E1AD9E43-C030-4B41-AA9B-B6C118B81411}" name="连接4512" type="4" refreshedVersion="6" background="1" saveData="1">
    <webPr sourceData="1" parsePre="1" consecutive="1" xl2000="1" url="http://quotes.money.163.com/f10/xjllb_600507.html?type=year" htmlTables="1">
      <tables count="1">
        <x v="5"/>
      </tables>
    </webPr>
  </connection>
  <connection id="526" xr16:uid="{028B1C7C-3C26-4CA3-AF10-2A25D7679620}" name="连接4513" type="4" refreshedVersion="6" background="1" saveData="1">
    <webPr sourceData="1" parsePre="1" consecutive="1" xl2000="1" url="http://quotes.money.163.com/f10/lrb_601168.html?type=year" htmlTables="1">
      <tables count="1">
        <x v="5"/>
      </tables>
    </webPr>
  </connection>
  <connection id="527" xr16:uid="{408454B7-29F8-4DC9-8BF6-7040ED03B06F}" name="连接452" type="4" refreshedVersion="6" background="1" saveData="1">
    <webPr sourceData="1" parsePre="1" consecutive="1" xl2000="1" url="http://stockdata.stock.hexun.com/2009_fhzzgb_600507.shtml" htmlTables="1">
      <tables count="1">
        <x v="3"/>
      </tables>
    </webPr>
  </connection>
  <connection id="528" xr16:uid="{F37F818A-F4F0-4D2F-944B-BDC2D3F57ECC}" name="连接4521" type="4" refreshedVersion="6" background="1" saveData="1">
    <webPr sourceData="1" parsePre="1" consecutive="1" xl2000="1" url="http://quotes.money.163.com/f10/xjllb_300498.html?type=year" htmlTables="1">
      <tables count="1">
        <x v="5"/>
      </tables>
    </webPr>
  </connection>
  <connection id="529" xr16:uid="{DE004773-1D7C-40EA-8856-648BDC9A30B1}" name="连接453" type="4" refreshedVersion="6" background="1" saveData="1">
    <webPr sourceData="1" parsePre="1" consecutive="1" xl2000="1" url="http://stockdata.stock.hexun.com/2009_fhzzgb_300498.shtml" htmlTables="1">
      <tables count="1">
        <x v="3"/>
      </tables>
    </webPr>
  </connection>
  <connection id="530" xr16:uid="{D986AA40-3C77-4F7D-984D-6F518DFEF172}" name="连接454" type="4" refreshedVersion="6" background="1" saveData="1">
    <webPr sourceData="1" parsePre="1" consecutive="1" xl2000="1" url="http://stockdata.stock.hexun.com/2009_fhzzgb_601318.shtml" htmlTables="1">
      <tables count="1">
        <x v="3"/>
      </tables>
    </webPr>
  </connection>
  <connection id="531" xr16:uid="{42FF1D99-C340-4A78-8F71-96622DE42031}" name="连接455" type="4" refreshedVersion="6" background="1" saveData="1">
    <webPr sourceData="1" parsePre="1" consecutive="1" xl2000="1" url="http://stockdata.stock.hexun.com/2009_fhzzgb_002423.shtml" htmlTables="1">
      <tables count="1">
        <x v="3"/>
      </tables>
    </webPr>
  </connection>
  <connection id="532" xr16:uid="{BA195A96-E74E-47FF-9336-10C3194F8ACF}" name="连接456" type="4" refreshedVersion="6" background="1" saveData="1">
    <webPr sourceData="1" parsePre="1" consecutive="1" xl2000="1" url="http://stockdata.stock.hexun.com/2009_fhzzgb_603737.shtml" htmlTables="1">
      <tables count="1">
        <x v="3"/>
      </tables>
    </webPr>
  </connection>
  <connection id="533" xr16:uid="{47C11B97-F8DC-446D-B15B-9BC040DAE5D8}" name="连接4561" type="4" refreshedVersion="6" background="1" saveData="1">
    <webPr sourceData="1" parsePre="1" consecutive="1" xl2000="1" url="http://quotes.money.163.com/f10/zcfzb_600352.html?type=year" htmlTables="1">
      <tables count="1">
        <x v="4"/>
      </tables>
    </webPr>
  </connection>
  <connection id="534" xr16:uid="{63D878E9-7502-45AE-87F4-1A5C4D8EDA4C}" name="连接4562" type="4" refreshedVersion="6" background="1" saveData="1">
    <webPr sourceData="1" parsePre="1" consecutive="1" xl2000="1" url="http://quotes.money.163.com/f10/zcfzb_600801.html?type=year" htmlTables="1">
      <tables count="1">
        <x v="4"/>
      </tables>
    </webPr>
  </connection>
  <connection id="535" xr16:uid="{58FC394C-E04F-4AF2-9B85-D6DD0E1C19B7}" name="连接4563" type="4" refreshedVersion="6" background="1" saveData="1">
    <webPr sourceData="1" parsePre="1" consecutive="1" xl2000="1" url="http://quotes.money.163.com/f10/xjllb_601168.html?type=year" htmlTables="1">
      <tables count="1">
        <x v="4"/>
      </tables>
    </webPr>
  </connection>
  <connection id="536" xr16:uid="{6D170F18-0A80-4F3C-8376-BE26EBD4FF23}" name="连接4564" type="4" refreshedVersion="6" background="1" saveData="1">
    <webPr sourceData="1" parsePre="1" consecutive="1" xl2000="1" url="http://quotes.money.163.com/f10/zcfzb_600177.html?type=year" htmlTables="1">
      <tables count="1">
        <x v="4"/>
      </tables>
    </webPr>
  </connection>
  <connection id="537" xr16:uid="{1C20E12F-F68F-4ABC-94D7-C5250F2C1543}" name="连接4565" type="4" refreshedVersion="6" background="1" saveData="1">
    <webPr sourceData="1" parsePre="1" consecutive="1" xl2000="1" url="http://quotes.money.163.com/f10/zcfzb_002230.html?type=year" htmlTables="1">
      <tables count="1">
        <x v="5"/>
      </tables>
    </webPr>
  </connection>
  <connection id="538" xr16:uid="{B70106BB-ED14-44DB-B0B9-C4F5EAF3571C}" name="连接457" type="4" refreshedVersion="6" background="1" saveData="1">
    <webPr sourceData="1" parsePre="1" consecutive="1" xl2000="1" url="http://quotes.money.163.com/f10/zcfzb_600031.html?type=year" htmlTables="1">
      <tables count="1">
        <x v="5"/>
      </tables>
    </webPr>
  </connection>
  <connection id="539" xr16:uid="{97BD251F-641C-4CEC-B4C3-5F16E05B51D8}" name="连接4571" type="4" refreshedVersion="6" background="1" saveData="1">
    <webPr sourceData="1" parsePre="1" consecutive="1" xl2000="1" url="http://quotes.money.163.com/f10/zcfzb_600352.html?type=year" htmlTables="1">
      <tables count="1">
        <x v="5"/>
      </tables>
    </webPr>
  </connection>
  <connection id="540" xr16:uid="{619A293B-5672-400F-9025-FE97EB894BF5}" name="连接4572" type="4" refreshedVersion="6" background="1" saveData="1">
    <webPr sourceData="1" parsePre="1" consecutive="1" xl2000="1" url="http://quotes.money.163.com/f10/zcfzb_600801.html?type=year" htmlTables="1">
      <tables count="1">
        <x v="5"/>
      </tables>
    </webPr>
  </connection>
  <connection id="541" xr16:uid="{68ACC33E-2DE1-492A-8449-649CB73F8618}" name="连接4573" type="4" refreshedVersion="6" background="1" saveData="1">
    <webPr sourceData="1" parsePre="1" consecutive="1" xl2000="1" url="http://quotes.money.163.com/f10/xjllb_601168.html?type=year" htmlTables="1">
      <tables count="1">
        <x v="5"/>
      </tables>
    </webPr>
  </connection>
  <connection id="542" xr16:uid="{20A63C73-4720-41F4-9964-25A4FF2D1FD9}" name="连接4574" type="4" refreshedVersion="6" background="1" saveData="1">
    <webPr sourceData="1" parsePre="1" consecutive="1" xl2000="1" url="http://quotes.money.163.com/f10/zcfzb_600177.html?type=year" htmlTables="1">
      <tables count="1">
        <x v="5"/>
      </tables>
    </webPr>
  </connection>
  <connection id="543" xr16:uid="{8F983578-46BC-40AF-9F78-2B00E4AA8E73}" name="连接4575" type="4" refreshedVersion="6" background="1" saveData="1">
    <webPr sourceData="1" parsePre="1" consecutive="1" xl2000="1" url="http://quotes.money.163.com/f10/lrb_002230.html?type=year" htmlTables="1">
      <tables count="1">
        <x v="4"/>
      </tables>
    </webPr>
  </connection>
  <connection id="544" xr16:uid="{50FFB3CA-16E2-40A3-8B54-9A3A4591AFA6}" name="连接458" type="4" refreshedVersion="6" background="1" saveData="1">
    <webPr sourceData="1" parsePre="1" consecutive="1" xl2000="1" url="http://stockdata.stock.hexun.com/2009_fhzzgb_601168.shtml" htmlTables="1">
      <tables count="1">
        <x v="3"/>
      </tables>
    </webPr>
  </connection>
  <connection id="545" xr16:uid="{139F4648-230C-40CF-805E-BC6FFE2962B7}" name="连接4581" type="4" refreshedVersion="6" background="1" saveData="1">
    <webPr sourceData="1" parsePre="1" consecutive="1" xl2000="1" url="http://quotes.money.163.com/f10/lrb_600352.html?type=year" htmlTables="1">
      <tables count="1">
        <x v="4"/>
      </tables>
    </webPr>
  </connection>
  <connection id="546" xr16:uid="{1C57C6C6-2505-41C9-A217-4F05A7DC8148}" name="连接4582" type="4" refreshedVersion="6" background="1" saveData="1">
    <webPr sourceData="1" parsePre="1" consecutive="1" xl2000="1" url="http://quotes.money.163.com/f10/lrb_600801.html?type=year" htmlTables="1">
      <tables count="1">
        <x v="4"/>
      </tables>
    </webPr>
  </connection>
  <connection id="547" xr16:uid="{0B60E207-89A6-4BCA-850A-9DCD01E9F1F5}" name="连接459" type="4" refreshedVersion="6" background="1" saveData="1">
    <webPr sourceData="1" parsePre="1" consecutive="1" xl2000="1" url="http://stockdata.stock.hexun.com/2009_fhzzgb_600031.shtml" htmlTables="1">
      <tables count="1">
        <x v="3"/>
      </tables>
    </webPr>
  </connection>
  <connection id="548" xr16:uid="{6718C87E-07C8-4A60-8EFB-78A1E2AFE417}" name="连接4591" type="4" refreshedVersion="6" background="1" saveData="1">
    <webPr sourceData="1" parsePre="1" consecutive="1" xl2000="1" url="http://quotes.money.163.com/f10/lrb_600352.html?type=year" htmlTables="1">
      <tables count="1">
        <x v="5"/>
      </tables>
    </webPr>
  </connection>
  <connection id="549" xr16:uid="{CC4522C7-D827-4792-817B-3EC408188BDD}" name="连接4592" type="4" refreshedVersion="6" background="1" saveData="1">
    <webPr sourceData="1" parsePre="1" consecutive="1" xl2000="1" url="http://quotes.money.163.com/f10/lrb_600801.html?type=year" htmlTables="1">
      <tables count="1">
        <x v="5"/>
      </tables>
    </webPr>
  </connection>
  <connection id="550" xr16:uid="{4645D872-5441-4C34-ACF0-55C7BED2F590}" name="连接4593" type="4" refreshedVersion="6" background="1" saveData="1">
    <webPr sourceData="1" parsePre="1" consecutive="1" xl2000="1" url="http://quotes.money.163.com/f10/zcfzb_000338.html?type=year" htmlTables="1">
      <tables count="1">
        <x v="4"/>
      </tables>
    </webPr>
  </connection>
  <connection id="551" xr16:uid="{EBBD89D2-FBD2-4B1C-971F-5BF3A256BE88}" name="连接4594" type="4" refreshedVersion="6" background="1" saveData="1">
    <webPr sourceData="1" parsePre="1" consecutive="1" xl2000="1" url="http://quotes.money.163.com/f10/lrb_002230.html?type=year" htmlTables="1">
      <tables count="1">
        <x v="5"/>
      </tables>
    </webPr>
  </connection>
  <connection id="552" xr16:uid="{00000000-0015-0000-FFFF-FFFF55010000}" name="连接46" type="4" refreshedVersion="4" background="1">
    <webPr sourceData="1" parsePre="1" consecutive="1" xl2000="1" url="http://stockdata.stock.hexun.com/2008/zcfz.aspx?stockid=000725&amp;accountdate=2018.12.31" htmlTables="1">
      <tables count="1">
        <x v="3"/>
      </tables>
    </webPr>
  </connection>
  <connection id="553" xr16:uid="{1B7CB330-F776-4786-8DFF-5AC999C33325}" name="连接4601" type="4" refreshedVersion="6" background="1" saveData="1">
    <webPr sourceData="1" parsePre="1" consecutive="1" xl2000="1" url="http://quotes.money.163.com/f10/xjllb_600352.html?type=year" htmlTables="1">
      <tables count="1">
        <x v="4"/>
      </tables>
    </webPr>
  </connection>
  <connection id="554" xr16:uid="{0ACF44BC-9533-42B4-B5C5-565225C67D4F}" name="连接4602" type="4" refreshedVersion="6" background="1" saveData="1">
    <webPr sourceData="1" parsePre="1" consecutive="1" xl2000="1" url="http://quotes.money.163.com/f10/xjllb_600801.html?type=year" htmlTables="1">
      <tables count="1">
        <x v="4"/>
      </tables>
    </webPr>
  </connection>
  <connection id="555" xr16:uid="{9B90FB3F-F3AC-4EF7-8AFD-8F9841A45C41}" name="连接4603" type="4" refreshedVersion="6" background="1" saveData="1">
    <webPr sourceData="1" parsePre="1" consecutive="1" xl2000="1" url="http://quotes.money.163.com/f10/zcfzb_000338.html?type=year" htmlTables="1">
      <tables count="1">
        <x v="5"/>
      </tables>
    </webPr>
  </connection>
  <connection id="556" xr16:uid="{F619B66C-7CB8-41B4-AE2B-69142323FE25}" name="连接4604" type="4" refreshedVersion="6" background="1" saveData="1">
    <webPr sourceData="1" parsePre="1" consecutive="1" xl2000="1" url="http://quotes.money.163.com/f10/xjllb_002230.html?type=year" htmlTables="1">
      <tables count="1">
        <x v="4"/>
      </tables>
    </webPr>
  </connection>
  <connection id="557" xr16:uid="{63DB41DF-FC01-4EB9-8002-D86E033D8EE4}" name="连接461" type="4" refreshedVersion="6" background="1" saveData="1">
    <webPr sourceData="1" parsePre="1" consecutive="1" xl2000="1" url="http://stockdata.stock.hexun.com/2009_fhzzgb_000672.shtml" htmlTables="1">
      <tables count="1">
        <x v="3"/>
      </tables>
    </webPr>
  </connection>
  <connection id="558" xr16:uid="{BD33A923-B062-457E-9C87-4F90A6757D6F}" name="连接4621" type="4" refreshedVersion="6" background="1" saveData="1">
    <webPr sourceData="1" parsePre="1" consecutive="1" xl2000="1" url="http://quotes.money.163.com/f10/xjllb_600352.html?type=year" htmlTables="1">
      <tables count="1">
        <x v="5"/>
      </tables>
    </webPr>
  </connection>
  <connection id="559" xr16:uid="{B126840C-4157-4CBF-B9A8-BC89025EE49C}" name="连接4622" type="4" refreshedVersion="6" background="1" saveData="1">
    <webPr sourceData="1" parsePre="1" consecutive="1" xl2000="1" url="http://quotes.money.163.com/f10/xjllb_600801.html?type=year" htmlTables="1">
      <tables count="1">
        <x v="5"/>
      </tables>
    </webPr>
  </connection>
  <connection id="560" xr16:uid="{A6595798-DDB8-4861-85E1-49F9F83BC255}" name="连接4623" type="4" refreshedVersion="6" background="1" saveData="1">
    <webPr sourceData="1" parsePre="1" consecutive="1" xl2000="1" url="http://quotes.money.163.com/f10/lrb_000338.html?type=year" htmlTables="1">
      <tables count="1">
        <x v="4"/>
      </tables>
    </webPr>
  </connection>
  <connection id="561" xr16:uid="{8BD281C7-A409-418F-92B8-DDB15975639B}" name="连接4624" type="4" refreshedVersion="6" background="1" saveData="1">
    <webPr sourceData="1" parsePre="1" consecutive="1" xl2000="1" url="http://quotes.money.163.com/f10/xjllb_002230.html?type=year" htmlTables="1">
      <tables count="1">
        <x v="5"/>
      </tables>
    </webPr>
  </connection>
  <connection id="562" xr16:uid="{C493FB3D-848C-4E97-A3F4-4383DE0E429B}" name="连接463" type="4" refreshedVersion="6" background="1" saveData="1">
    <webPr sourceData="1" parsePre="1" consecutive="1" xl2000="1" url="http://stockdata.stock.hexun.com/2009_fhzzgb_000858.shtml" htmlTables="1">
      <tables count="1">
        <x v="3"/>
      </tables>
    </webPr>
  </connection>
  <connection id="563" xr16:uid="{B7F3A530-05BB-4B61-B440-1D2C588266EE}" name="连接464" type="4" refreshedVersion="6" background="1" saveData="1">
    <webPr sourceData="1" parsePre="1" consecutive="1" xl2000="1" url="http://stockdata.stock.hexun.com/2009_fhzzgb_600801.shtml" htmlTables="1">
      <tables count="1">
        <x v="3"/>
      </tables>
    </webPr>
  </connection>
  <connection id="564" xr16:uid="{7EF19976-7A8D-401A-9123-BDBFC6FD1278}" name="连接4641" type="4" refreshedVersion="6" background="1" saveData="1">
    <webPr sourceData="1" parsePre="1" consecutive="1" xl2000="1" url="http://quotes.money.163.com/f10/zcfzb_600352.html?type=year" htmlTables="1">
      <tables count="1">
        <x v="4"/>
      </tables>
    </webPr>
  </connection>
  <connection id="565" xr16:uid="{BE4A3A28-2EE1-4C9A-8597-8B56C21D64F4}" name="连接465" type="4" refreshedVersion="6" background="1" saveData="1">
    <webPr sourceData="1" parsePre="1" consecutive="1" xl2000="1" url="http://stockdata.stock.hexun.com/2009_fhzzgb_002230.shtml" htmlTables="1">
      <tables count="1">
        <x v="3"/>
      </tables>
    </webPr>
  </connection>
  <connection id="566" xr16:uid="{6F618055-6E38-4991-95EB-2F6899F52B3D}" name="连接4651" type="4" refreshedVersion="6" background="1" saveData="1">
    <webPr sourceData="1" parsePre="1" consecutive="1" xl2000="1" url="http://quotes.money.163.com/f10/zcfzb_600352.html?type=year" htmlTables="1">
      <tables count="1">
        <x v="5"/>
      </tables>
    </webPr>
  </connection>
  <connection id="567" xr16:uid="{A79D0C97-3883-4FA3-A423-076B04CA962C}" name="连接4652" type="4" refreshedVersion="6" background="1" saveData="1">
    <webPr sourceData="1" parsePre="1" consecutive="1" xl2000="1" url="http://quotes.money.163.com/f10/zcfzb_600585.html?type=year" htmlTables="1">
      <tables count="1">
        <x v="4"/>
      </tables>
    </webPr>
  </connection>
  <connection id="568" xr16:uid="{64E823DB-ECB5-4AC8-A20D-4BA63A05AEE7}" name="连接4653" type="4" refreshedVersion="6" background="1" saveData="1">
    <webPr sourceData="1" parsePre="1" consecutive="1" xl2000="1" url="http://quotes.money.163.com/f10/lrb_000338.html?type=year" htmlTables="1">
      <tables count="1">
        <x v="5"/>
      </tables>
    </webPr>
  </connection>
  <connection id="569" xr16:uid="{656FDABA-07A1-49A7-B617-8E191A79E31A}" name="连接4661" type="4" refreshedVersion="6" background="1" saveData="1">
    <webPr sourceData="1" parsePre="1" consecutive="1" xl2000="1" url="http://quotes.money.163.com/f10/lrb_600352.html?type=year" htmlTables="1">
      <tables count="1">
        <x v="4"/>
      </tables>
    </webPr>
  </connection>
  <connection id="570" xr16:uid="{C78410A8-676D-4981-9D89-4BA443FE9434}" name="连接4662" type="4" refreshedVersion="6" background="1" saveData="1">
    <webPr sourceData="1" parsePre="1" consecutive="1" xl2000="1" url="http://quotes.money.163.com/f10/zcfzb_600585.html?type=year" htmlTables="1">
      <tables count="1">
        <x v="5"/>
      </tables>
    </webPr>
  </connection>
  <connection id="571" xr16:uid="{7CD057E7-9DCF-4469-BC43-444FF0466956}" name="连接4663" type="4" refreshedVersion="6" background="1" saveData="1">
    <webPr sourceData="1" parsePre="1" consecutive="1" xl2000="1" url="http://quotes.money.163.com/f10/xjllb_000338.html?type=year" htmlTables="1">
      <tables count="1">
        <x v="4"/>
      </tables>
    </webPr>
  </connection>
  <connection id="572" xr16:uid="{64119DC4-61E8-42B4-B623-CC4C5AF82BAD}" name="连接4664" type="4" refreshedVersion="6" background="1" saveData="1">
    <webPr sourceData="1" parsePre="1" consecutive="1" xl2000="1" url="http://quotes.money.163.com/f10/zcfzb_000002.html?type=year" htmlTables="1">
      <tables count="1">
        <x v="4"/>
      </tables>
    </webPr>
  </connection>
  <connection id="573" xr16:uid="{16C63790-A961-47DA-9A14-FEFD0F4EF22C}" name="连接4671" type="4" refreshedVersion="6" background="1" saveData="1">
    <webPr sourceData="1" parsePre="1" consecutive="1" xl2000="1" url="http://quotes.money.163.com/f10/lrb_600352.html?type=year" htmlTables="1">
      <tables count="1">
        <x v="5"/>
      </tables>
    </webPr>
  </connection>
  <connection id="574" xr16:uid="{92447D1F-0492-4640-A15F-70BF933F0802}" name="连接4672" type="4" refreshedVersion="6" background="1" saveData="1">
    <webPr sourceData="1" parsePre="1" consecutive="1" xl2000="1" url="http://quotes.money.163.com/f10/lrb_600585.html?type=year" htmlTables="1">
      <tables count="1">
        <x v="4"/>
      </tables>
    </webPr>
  </connection>
  <connection id="575" xr16:uid="{EF384D57-1095-4BA5-9F7D-98AE93A0EBCA}" name="连接4673" type="4" refreshedVersion="6" background="1" saveData="1">
    <webPr sourceData="1" parsePre="1" consecutive="1" xl2000="1" url="http://quotes.money.163.com/f10/xjllb_000338.html?type=year" htmlTables="1">
      <tables count="1">
        <x v="5"/>
      </tables>
    </webPr>
  </connection>
  <connection id="576" xr16:uid="{94B78BA5-0405-43F7-82CD-66494F530EA6}" name="连接4674" type="4" refreshedVersion="6" background="1" saveData="1">
    <webPr sourceData="1" parsePre="1" consecutive="1" xl2000="1" url="http://quotes.money.163.com/f10/zcfzb_000002.html?type=year" htmlTables="1">
      <tables count="1">
        <x v="5"/>
      </tables>
    </webPr>
  </connection>
  <connection id="577" xr16:uid="{B63462E8-E8A4-40A8-B455-969AC397BDC4}" name="连接468" type="4" refreshedVersion="6" background="1" saveData="1">
    <webPr sourceData="1" parsePre="1" consecutive="1" xl2000="1" url="http://stockdata.stock.hexun.com/2009_fhzzgb_600585.shtml" htmlTables="1">
      <tables count="1">
        <x v="3"/>
      </tables>
    </webPr>
  </connection>
  <connection id="578" xr16:uid="{89242A22-4376-4CF8-A17E-6A0680C360BA}" name="连接4691" type="4" refreshedVersion="6" background="1" saveData="1">
    <webPr sourceData="1" parsePre="1" consecutive="1" xl2000="1" url="http://quotes.money.163.com/f10/xjllb_600352.html?type=year" htmlTables="1">
      <tables count="1">
        <x v="4"/>
      </tables>
    </webPr>
  </connection>
  <connection id="579" xr16:uid="{D3D18149-19A9-43AF-AB93-0ACD05EBD011}" name="连接4692" type="4" refreshedVersion="6" background="1" saveData="1">
    <webPr sourceData="1" parsePre="1" consecutive="1" xl2000="1" url="http://quotes.money.163.com/f10/lrb_600585.html?type=year" htmlTables="1">
      <tables count="1">
        <x v="5"/>
      </tables>
    </webPr>
  </connection>
  <connection id="580" xr16:uid="{1CF46C6E-C08D-4635-A0DA-B76A76A73444}" name="连接4693" type="4" refreshedVersion="6" background="1" saveData="1">
    <webPr sourceData="1" parsePre="1" consecutive="1" xl2000="1" url="http://quotes.money.163.com/f10/lrb_600177.html?type=year" htmlTables="1">
      <tables count="1">
        <x v="4"/>
      </tables>
    </webPr>
  </connection>
  <connection id="581" xr16:uid="{4BC07D0C-172D-4903-85A3-456B98E0D523}" name="连接4694" type="4" refreshedVersion="6" background="1" saveData="1">
    <webPr sourceData="1" parsePre="1" consecutive="1" xl2000="1" url="http://quotes.money.163.com/f10/lrb_000002.html?type=year" htmlTables="1">
      <tables count="1">
        <x v="4"/>
      </tables>
    </webPr>
  </connection>
  <connection id="582" xr16:uid="{00000000-0015-0000-FFFF-FFFF56010000}" name="连接47" type="4" refreshedVersion="4" background="1">
    <webPr sourceData="1" parsePre="1" consecutive="1" xl2000="1" url="http://stockdata.stock.hexun.com/2008/zcfz.aspx?stockid=000725&amp;accountdate=2017.12.31" htmlTables="1">
      <tables count="1">
        <x v="3"/>
      </tables>
    </webPr>
  </connection>
  <connection id="583" xr16:uid="{F8ED994A-9B3E-4DC4-BA5F-D9EBFC82D41E}" name="连接4701" type="4" refreshedVersion="6" background="1" saveData="1">
    <webPr sourceData="1" parsePre="1" consecutive="1" xl2000="1" url="http://quotes.money.163.com/f10/xjllb_600352.html?type=year" htmlTables="1">
      <tables count="1">
        <x v="5"/>
      </tables>
    </webPr>
  </connection>
  <connection id="584" xr16:uid="{F6CF5157-9736-4AD6-A5D5-01388E72E36B}" name="连接4702" type="4" refreshedVersion="6" background="1" saveData="1">
    <webPr sourceData="1" parsePre="1" consecutive="1" xl2000="1" url="http://quotes.money.163.com/f10/xjllb_600585.html?type=year" htmlTables="1">
      <tables count="1">
        <x v="4"/>
      </tables>
    </webPr>
  </connection>
  <connection id="585" xr16:uid="{B176A513-A3D8-4A1F-A294-2370A0138E7B}" name="连接4703" type="4" refreshedVersion="6" background="1" saveData="1">
    <webPr sourceData="1" parsePre="1" consecutive="1" xl2000="1" url="http://quotes.money.163.com/f10/lrb_600177.html?type=year" htmlTables="1">
      <tables count="1">
        <x v="5"/>
      </tables>
    </webPr>
  </connection>
  <connection id="586" xr16:uid="{AF179962-6565-484F-9595-5AF63B65E645}" name="连接4704" type="4" refreshedVersion="6" background="1" saveData="1">
    <webPr sourceData="1" parsePre="1" consecutive="1" xl2000="1" url="http://quotes.money.163.com/f10/lrb_000002.html?type=year" htmlTables="1">
      <tables count="1">
        <x v="5"/>
      </tables>
    </webPr>
  </connection>
  <connection id="587" xr16:uid="{81E8F890-8006-4D8A-B348-38A2438F5702}" name="连接471" type="4" refreshedVersion="6" background="1" saveData="1">
    <webPr sourceData="1" parsePre="1" consecutive="1" xl2000="1" url="http://stockdata.stock.hexun.com/2009_fhzzgb_600519.shtml" htmlTables="1">
      <tables count="1">
        <x v="3"/>
      </tables>
    </webPr>
  </connection>
  <connection id="588" xr16:uid="{2E8F01CD-B0DF-4D7C-B552-ACA96C784411}" name="连接4721" type="4" refreshedVersion="6" background="1" saveData="1">
    <webPr sourceData="1" parsePre="1" consecutive="1" xl2000="1" url="http://quotes.money.163.com/f10/zcfzb_600585.html?type=year" htmlTables="1">
      <tables count="1">
        <x v="4"/>
      </tables>
    </webPr>
  </connection>
  <connection id="589" xr16:uid="{454508C6-8CF6-4E7D-8CF4-0829DF52F0B3}" name="连接4722" type="4" refreshedVersion="6" background="1" saveData="1">
    <webPr sourceData="1" parsePre="1" consecutive="1" xl2000="1" url="http://quotes.money.163.com/f10/xjllb_600177.html?type=year" htmlTables="1">
      <tables count="1">
        <x v="4"/>
      </tables>
    </webPr>
  </connection>
  <connection id="590" xr16:uid="{DB398A0B-859C-41F8-884F-AE0E20A27FF5}" name="连接4723" type="4" refreshedVersion="6" background="1" saveData="1">
    <webPr sourceData="1" parsePre="1" consecutive="1" xl2000="1" url="http://quotes.money.163.com/f10/xjllb_000002.html?type=year" htmlTables="1">
      <tables count="1">
        <x v="4"/>
      </tables>
    </webPr>
  </connection>
  <connection id="591" xr16:uid="{997641AF-FFEF-4885-9219-4531D0F24E7A}" name="连接4731" type="4" refreshedVersion="6" background="1" saveData="1">
    <webPr sourceData="1" parsePre="1" consecutive="1" xl2000="1" url="http://quotes.money.163.com/f10/zcfzb_600585.html?type=year" htmlTables="1">
      <tables count="1">
        <x v="5"/>
      </tables>
    </webPr>
  </connection>
  <connection id="592" xr16:uid="{168FCAFD-5F90-43AD-ACFA-12FA88D03EAE}" name="连接4732" type="4" refreshedVersion="6" background="1" saveData="1">
    <webPr sourceData="1" parsePre="1" consecutive="1" xl2000="1" url="http://quotes.money.163.com/f10/xjllb_600177.html?type=year" htmlTables="1">
      <tables count="1">
        <x v="5"/>
      </tables>
    </webPr>
  </connection>
  <connection id="593" xr16:uid="{443601EF-C7D4-453B-8C96-AB6092194FE7}" name="连接4733" type="4" refreshedVersion="6" background="1" saveData="1">
    <webPr sourceData="1" parsePre="1" consecutive="1" xl2000="1" url="http://quotes.money.163.com/f10/xjllb_000002.html?type=year" htmlTables="1">
      <tables count="1">
        <x v="5"/>
      </tables>
    </webPr>
  </connection>
  <connection id="594" xr16:uid="{9EB74F53-945C-4806-B91E-7473E61DF43D}" name="连接474" type="4" refreshedVersion="6" background="1" saveData="1">
    <webPr sourceData="1" parsePre="1" consecutive="1" xl2000="1" url="http://stockdata.stock.hexun.com/2009_fhzzgb_600177.shtml" htmlTables="1">
      <tables count="1">
        <x v="3"/>
      </tables>
    </webPr>
  </connection>
  <connection id="595" xr16:uid="{4ADFE97F-345A-4152-9C53-16FC13F5B6DD}" name="连接4741" type="4" refreshedVersion="6" background="1" saveData="1">
    <webPr sourceData="1" parsePre="1" consecutive="1" xl2000="1" url="http://quotes.money.163.com/f10/lrb_600585.html?type=year" htmlTables="1">
      <tables count="1">
        <x v="4"/>
      </tables>
    </webPr>
  </connection>
  <connection id="596" xr16:uid="{81E59039-5FDA-43F0-8C47-2DCDB4FE2835}" name="连接475" type="4" refreshedVersion="6" background="1" saveData="1">
    <webPr sourceData="1" parsePre="1" consecutive="1" xl2000="1" url="http://stockdata.stock.hexun.com/2009_fhzzgb_000672.shtml" htmlTables="1">
      <tables count="1">
        <x v="3"/>
      </tables>
    </webPr>
  </connection>
  <connection id="597" xr16:uid="{6563989D-1DE5-4981-963E-D0E40ED3DBBE}" name="连接476" type="4" refreshedVersion="6" background="1" saveData="1">
    <webPr sourceData="1" parsePre="1" consecutive="1" xl2000="1" url="http://stockdata.stock.hexun.com/2009_fhzzgb_000002.shtml" htmlTables="1">
      <tables count="1">
        <x v="3"/>
      </tables>
    </webPr>
  </connection>
  <connection id="598" xr16:uid="{C4E777D0-13CF-47A1-BECB-BDDA6B730745}" name="连接4761" type="4" refreshedVersion="6" background="1" saveData="1">
    <webPr sourceData="1" parsePre="1" consecutive="1" xl2000="1" url="http://quotes.money.163.com/f10/lrb_600585.html?type=year" htmlTables="1">
      <tables count="1">
        <x v="5"/>
      </tables>
    </webPr>
  </connection>
  <connection id="599" xr16:uid="{4513B981-D523-45D4-8BEC-DFEF75FEF553}" name="连接4762" type="4" refreshedVersion="6" background="1" saveData="1">
    <webPr sourceData="1" parsePre="1" consecutive="1" xl2000="1" url="http://quotes.money.163.com/f10/zcfzb_002124.html?type=year" htmlTables="1">
      <tables count="1">
        <x v="4"/>
      </tables>
    </webPr>
  </connection>
  <connection id="600" xr16:uid="{4D335804-646E-4A55-8A92-7D76ADBDFC6C}" name="连接4771" type="4" refreshedVersion="6" background="1" saveData="1">
    <webPr sourceData="1" parsePre="1" consecutive="1" xl2000="1" url="http://quotes.money.163.com/f10/xjllb_600585.html?type=year" htmlTables="1">
      <tables count="1">
        <x v="4"/>
      </tables>
    </webPr>
  </connection>
  <connection id="601" xr16:uid="{1A92409F-EA3D-478C-80C0-4E656A612486}" name="连接4772" type="4" refreshedVersion="6" background="1" saveData="1">
    <webPr sourceData="1" parsePre="1" consecutive="1" xl2000="1" url="http://quotes.money.163.com/f10/zcfzb_002124.html?type=year" htmlTables="1">
      <tables count="1">
        <x v="5"/>
      </tables>
    </webPr>
  </connection>
  <connection id="602" xr16:uid="{73F79A87-059A-4A89-A2AB-814FC2213F25}" name="连接4773" type="4" refreshedVersion="6" background="1" saveData="1">
    <webPr sourceData="1" parsePre="1" consecutive="1" xl2000="1" url="http://quotes.money.163.com/f10/zcfzb_000002.html?type=year" htmlTables="1">
      <tables count="1">
        <x v="4"/>
      </tables>
    </webPr>
  </connection>
  <connection id="603" xr16:uid="{5E8B105F-58BA-4747-89B4-9B878014173C}" name="连接4781" type="4" refreshedVersion="6" background="1" saveData="1">
    <webPr sourceData="1" parsePre="1" consecutive="1" xl2000="1" url="http://quotes.money.163.com/f10/xjllb_600585.html?type=year" htmlTables="1">
      <tables count="1">
        <x v="5"/>
      </tables>
    </webPr>
  </connection>
  <connection id="604" xr16:uid="{C6296722-C619-4166-A21A-060C248B4705}" name="连接4782" type="4" refreshedVersion="6" background="1" saveData="1">
    <webPr sourceData="1" parsePre="1" consecutive="1" xl2000="1" url="http://quotes.money.163.com/f10/lrb_002124.html?type=year" htmlTables="1">
      <tables count="1">
        <x v="4"/>
      </tables>
    </webPr>
  </connection>
  <connection id="605" xr16:uid="{475095B1-B580-4701-B7AC-36AF4D80C9AC}" name="连接4783" type="4" refreshedVersion="6" background="1" saveData="1">
    <webPr sourceData="1" parsePre="1" consecutive="1" xl2000="1" url="http://quotes.money.163.com/f10/zcfzb_000002.html?type=year" htmlTables="1">
      <tables count="1">
        <x v="5"/>
      </tables>
    </webPr>
  </connection>
  <connection id="606" xr16:uid="{E423645C-8EB4-4CC2-9DD2-E7A165251BD8}" name="连接479" type="4" refreshedVersion="6" background="1" saveData="1">
    <webPr sourceData="1" parsePre="1" consecutive="1" xl2000="1" url="http://stockdata.stock.hexun.com/2009_fhzzgb_000528.shtml" htmlTables="1">
      <tables count="1">
        <x v="3"/>
      </tables>
    </webPr>
  </connection>
  <connection id="607" xr16:uid="{00000000-0015-0000-FFFF-FFFF57010000}" name="连接48" type="4" refreshedVersion="4" background="1">
    <webPr sourceData="1" parsePre="1" consecutive="1" xl2000="1" url="http://stockdata.stock.hexun.com/2008/zcfz.aspx?stockid=000725&amp;accountdate=2016.12.31" htmlTables="1">
      <tables count="1">
        <x v="3"/>
      </tables>
    </webPr>
  </connection>
  <connection id="608" xr16:uid="{A9DAC29B-0534-4DC4-8F62-FAE4F38F9AE8}" name="连接4801" type="4" refreshedVersion="6" background="1" saveData="1">
    <webPr sourceData="1" parsePre="1" consecutive="1" xl2000="1" url="http://quotes.money.163.com/f10/xjllb_600585.html?type=year" htmlTables="1">
      <tables count="1">
        <x v="5"/>
      </tables>
    </webPr>
  </connection>
  <connection id="609" xr16:uid="{3DFBF07A-C843-4C99-9380-C881EE5C4409}" name="连接4802" type="4" refreshedVersion="6" background="1" saveData="1">
    <webPr sourceData="1" parsePre="1" consecutive="1" xl2000="1" url="http://quotes.money.163.com/f10/lrb_002124.html?type=year" htmlTables="1">
      <tables count="1">
        <x v="5"/>
      </tables>
    </webPr>
  </connection>
  <connection id="610" xr16:uid="{CDAFC971-007E-4BB2-8019-EF30B29DE73D}" name="连接4803" type="4" refreshedVersion="6" background="1" saveData="1">
    <webPr sourceData="1" parsePre="1" consecutive="1" xl2000="1" url="http://quotes.money.163.com/f10/lrb_000002.html?type=year" htmlTables="1">
      <tables count="1">
        <x v="4"/>
      </tables>
    </webPr>
  </connection>
  <connection id="611" xr16:uid="{4711581C-07D0-4622-8FCE-66DCA8C00167}" name="连接481" type="4" refreshedVersion="6" background="1" saveData="1">
    <webPr sourceData="1" parsePre="1" consecutive="1" xl2000="1" url="http://stockdata.stock.hexun.com/2009_fhzzgb_600585.shtml" htmlTables="1">
      <tables count="1">
        <x v="3"/>
      </tables>
    </webPr>
  </connection>
  <connection id="612" xr16:uid="{58134FBA-5EE5-4724-89A2-722F822DDF92}" name="连接4821" type="4" refreshedVersion="6" background="1" saveData="1">
    <webPr sourceData="1" parsePre="1" consecutive="1" xl2000="1" url="http://quotes.money.163.com/f10/zcfzb_601318.html?type=year" htmlTables="1">
      <tables count="1">
        <x v="4"/>
      </tables>
    </webPr>
  </connection>
  <connection id="613" xr16:uid="{7CA5C10F-FED6-4078-B39F-B24ECC422886}" name="连接4822" type="4" refreshedVersion="6" background="1" saveData="1">
    <webPr sourceData="1" parsePre="1" consecutive="1" xl2000="1" url="http://quotes.money.163.com/f10/xjllb_002124.html?type=year" htmlTables="1">
      <tables count="1">
        <x v="4"/>
      </tables>
    </webPr>
  </connection>
  <connection id="614" xr16:uid="{282DF520-2397-4670-BF27-5CB38693166B}" name="连接4823" type="4" refreshedVersion="6" background="1" saveData="1">
    <webPr sourceData="1" parsePre="1" consecutive="1" xl2000="1" url="http://quotes.money.163.com/f10/lrb_000002.html?type=year" htmlTables="1">
      <tables count="1">
        <x v="5"/>
      </tables>
    </webPr>
  </connection>
  <connection id="615" xr16:uid="{4706B1C2-9763-4AEF-96A4-3C942B55E6D2}" name="连接4831" type="4" refreshedVersion="6" background="1" saveData="1">
    <webPr sourceData="1" parsePre="1" consecutive="1" xl2000="1" url="http://quotes.money.163.com/f10/zcfzb_601318.html?type=year" htmlTables="1">
      <tables count="1">
        <x v="5"/>
      </tables>
    </webPr>
  </connection>
  <connection id="616" xr16:uid="{320448A2-BC69-4D83-BAFF-84985C4E5F25}" name="连接4832" type="4" refreshedVersion="6" background="1" saveData="1">
    <webPr sourceData="1" parsePre="1" consecutive="1" xl2000="1" url="http://quotes.money.163.com/f10/xjllb_002124.html?type=year" htmlTables="1">
      <tables count="1">
        <x v="5"/>
      </tables>
    </webPr>
  </connection>
  <connection id="617" xr16:uid="{9DAC9106-C9A6-4A1C-8CCC-70525F860A24}" name="连接4833" type="4" refreshedVersion="6" background="1" saveData="1">
    <webPr sourceData="1" parsePre="1" consecutive="1" xl2000="1" url="http://quotes.money.163.com/f10/xjllb_000002.html?type=year" htmlTables="1">
      <tables count="1">
        <x v="4"/>
      </tables>
    </webPr>
  </connection>
  <connection id="618" xr16:uid="{1C22E953-4442-4CA2-83F4-FC76A9877440}" name="连接484" type="4" refreshedVersion="6" background="1" saveData="1">
    <webPr sourceData="1" parsePre="1" consecutive="1" xl2000="1" url="http://stockdata.stock.hexun.com/2009_fhzzgb_002124.shtml" htmlTables="1">
      <tables count="1">
        <x v="3"/>
      </tables>
    </webPr>
  </connection>
  <connection id="619" xr16:uid="{D8660455-FA5B-4707-99C7-2125E051D84A}" name="连接4841" type="4" refreshedVersion="6" background="1" saveData="1">
    <webPr sourceData="1" parsePre="1" consecutive="1" xl2000="1" url="http://quotes.money.163.com/f10/lrb_601318.html?type=year" htmlTables="1">
      <tables count="1">
        <x v="4"/>
      </tables>
    </webPr>
  </connection>
  <connection id="620" xr16:uid="{CC400F75-20D5-42D6-9B76-822A19363188}" name="连接4851" type="4" refreshedVersion="6" background="1" saveData="1">
    <webPr sourceData="1" parsePre="1" consecutive="1" xl2000="1" url="http://quotes.money.163.com/f10/lrb_601318.html?type=year" htmlTables="1">
      <tables count="1">
        <x v="5"/>
      </tables>
    </webPr>
  </connection>
  <connection id="621" xr16:uid="{968E96CC-D0F9-4330-900D-C77FAB543166}" name="连接4852" type="4" refreshedVersion="6" background="1" saveData="1">
    <webPr sourceData="1" parsePre="1" consecutive="1" xl2000="1" url="http://quotes.money.163.com/f10/zcfzb_002734.html?type=year" htmlTables="1">
      <tables count="1">
        <x v="4"/>
      </tables>
    </webPr>
  </connection>
  <connection id="622" xr16:uid="{55EC09E9-661B-43CD-ACBC-5EA0BE5BC8B8}" name="连接4853" type="4" refreshedVersion="6" background="1" saveData="1">
    <webPr sourceData="1" parsePre="1" consecutive="1" xl2000="1" url="http://quotes.money.163.com/f10/xjllb_000002.html?type=year" htmlTables="1">
      <tables count="1">
        <x v="5"/>
      </tables>
    </webPr>
  </connection>
  <connection id="623" xr16:uid="{17364D78-59C1-401B-94DF-C8EB395B22FC}" name="连接486" type="4" refreshedVersion="6" background="1" saveData="1">
    <webPr sourceData="1" parsePre="1" consecutive="1" xl2000="1" url="http://stockdata.stock.hexun.com/2009_fhzzgb_600031.shtml" htmlTables="1">
      <tables count="1">
        <x v="3"/>
      </tables>
    </webPr>
  </connection>
  <connection id="624" xr16:uid="{0B62C1F9-F10B-4AE5-A99B-FA9DB445BEAF}" name="连接487" type="4" refreshedVersion="6" background="1" saveData="1">
    <webPr sourceData="1" parsePre="1" consecutive="1" xl2000="1" url="http://stockdata.stock.hexun.com/2009_fhzzgb_000002.shtml" htmlTables="1">
      <tables count="1">
        <x v="3"/>
      </tables>
    </webPr>
  </connection>
  <connection id="625" xr16:uid="{40CDCF0E-A921-49FA-8C33-FD209D56F7A7}" name="连接4871" type="4" refreshedVersion="6" background="1" saveData="1">
    <webPr sourceData="1" parsePre="1" consecutive="1" xl2000="1" url="http://quotes.money.163.com/f10/xjllb_601318.html?type=year" htmlTables="1">
      <tables count="1">
        <x v="4"/>
      </tables>
    </webPr>
  </connection>
  <connection id="626" xr16:uid="{AEE990B7-2641-4D00-BE2C-12755C7C92AB}" name="连接4872" type="4" refreshedVersion="6" background="1" saveData="1">
    <webPr sourceData="1" parsePre="1" consecutive="1" xl2000="1" url="http://quotes.money.163.com/f10/zcfzb_002734.html?type=year" htmlTables="1">
      <tables count="1">
        <x v="5"/>
      </tables>
    </webPr>
  </connection>
  <connection id="627" xr16:uid="{14CB19CF-F097-42E5-B9A8-B1FA642EA558}" name="连接4881" type="4" refreshedVersion="6" background="1" saveData="1">
    <webPr sourceData="1" parsePre="1" consecutive="1" xl2000="1" url="http://quotes.money.163.com/f10/xjllb_601318.html?type=year" htmlTables="1">
      <tables count="1">
        <x v="5"/>
      </tables>
    </webPr>
  </connection>
  <connection id="628" xr16:uid="{58D7913B-B275-4337-9C24-9DE3C7D96817}" name="连接4882" type="4" refreshedVersion="6" background="1" saveData="1">
    <webPr sourceData="1" parsePre="1" consecutive="1" xl2000="1" url="http://quotes.money.163.com/f10/lrb_002734.html?type=year" htmlTables="1">
      <tables count="1">
        <x v="4"/>
      </tables>
    </webPr>
  </connection>
  <connection id="629" xr16:uid="{25259BE3-E581-48E3-B9AB-B6910C0AF023}" name="连接489" type="4" refreshedVersion="6" background="1" saveData="1">
    <webPr sourceData="1" parsePre="1" consecutive="1" xl2000="1" url="http://stockdata.stock.hexun.com/2009_fhzzgb_601318.shtml" htmlTables="1">
      <tables count="1">
        <x v="3"/>
      </tables>
    </webPr>
  </connection>
  <connection id="630" xr16:uid="{00000000-0015-0000-FFFF-FFFF58010000}" name="连接49" type="4" refreshedVersion="4" background="1">
    <webPr sourceData="1" parsePre="1" consecutive="1" xl2000="1" url="http://stockdata.stock.hexun.com/2008/lr.aspx?stockid=000725&amp;accountdate=2016.12.31" htmlTables="1">
      <tables count="1">
        <x v="3"/>
      </tables>
    </webPr>
  </connection>
  <connection id="631" xr16:uid="{6B958839-F1D3-4608-B5A1-F8F3C985E11F}" name="连接4901" type="4" refreshedVersion="6" background="1" saveData="1">
    <webPr sourceData="1" parsePre="1" consecutive="1" xl2000="1" url="http://quotes.money.163.com/f10/zcfzb_000581.html?type=year" htmlTables="1">
      <tables count="1">
        <x v="4"/>
      </tables>
    </webPr>
  </connection>
  <connection id="632" xr16:uid="{59E53388-7851-4139-80D1-05876DB45B9C}" name="连接4902" type="4" refreshedVersion="6" background="1" saveData="1">
    <webPr sourceData="1" parsePre="1" consecutive="1" xl2000="1" url="http://quotes.money.163.com/f10/lrb_002734.html?type=year" htmlTables="1">
      <tables count="1">
        <x v="5"/>
      </tables>
    </webPr>
  </connection>
  <connection id="633" xr16:uid="{9B5CF67B-5123-4783-AE71-03DB982D4CF9}" name="连接4911" type="4" refreshedVersion="6" background="1" saveData="1">
    <webPr sourceData="1" parsePre="1" consecutive="1" xl2000="1" url="http://quotes.money.163.com/f10/zcfzb_000581.html?type=year" htmlTables="1">
      <tables count="1">
        <x v="5"/>
      </tables>
    </webPr>
  </connection>
  <connection id="634" xr16:uid="{7F3FD2E2-71E4-42BF-9C3C-E7577DF79C06}" name="连接4912" type="4" refreshedVersion="6" background="1" saveData="1">
    <webPr sourceData="1" parsePre="1" consecutive="1" xl2000="1" url="http://quotes.money.163.com/f10/xjllb_002734.html?type=year" htmlTables="1">
      <tables count="1">
        <x v="4"/>
      </tables>
    </webPr>
  </connection>
  <connection id="635" xr16:uid="{F12EE2A0-E92C-4FB2-B007-C73E1D10FBA2}" name="连接4921" type="4" refreshedVersion="6" background="1" saveData="1">
    <webPr sourceData="1" parsePre="1" consecutive="1" xl2000="1" url="http://quotes.money.163.com/f10/lrb_000581.html?type=year" htmlTables="1">
      <tables count="1">
        <x v="4"/>
      </tables>
    </webPr>
  </connection>
  <connection id="636" xr16:uid="{79DFEDE4-1913-4E09-B707-642174E6EDA9}" name="连接4922" type="4" refreshedVersion="6" background="1" saveData="1">
    <webPr sourceData="1" parsePre="1" consecutive="1" xl2000="1" url="http://quotes.money.163.com/f10/xjllb_002734.html?type=year" htmlTables="1">
      <tables count="1">
        <x v="5"/>
      </tables>
    </webPr>
  </connection>
  <connection id="637" xr16:uid="{26492653-3F04-45C5-881B-0F25A970BF71}" name="连接493" type="4" refreshedVersion="6" background="1" saveData="1">
    <webPr sourceData="1" parsePre="1" consecutive="1" xl2000="1" url="http://stockdata.stock.hexun.com/2009_fhzzgb_300012.shtml" htmlTables="1">
      <tables count="1">
        <x v="3"/>
      </tables>
    </webPr>
  </connection>
  <connection id="638" xr16:uid="{969440D1-F43F-4959-97B9-76662731957E}" name="连接494" type="4" refreshedVersion="6" background="1" saveData="1">
    <webPr sourceData="1" parsePre="1" consecutive="1" xl2000="1" url="http://stockdata.stock.hexun.com/2009_fhzzgb_002734.shtml" htmlTables="1">
      <tables count="1">
        <x v="3"/>
      </tables>
    </webPr>
  </connection>
  <connection id="639" xr16:uid="{D7D43F99-767E-4F25-AB6F-C1E0066F00F3}" name="连接4941" type="4" refreshedVersion="6" background="1" saveData="1">
    <webPr sourceData="1" parsePre="1" consecutive="1" xl2000="1" url="http://quotes.money.163.com/f10/lrb_000581.html?type=year" htmlTables="1">
      <tables count="1">
        <x v="5"/>
      </tables>
    </webPr>
  </connection>
  <connection id="640" xr16:uid="{B85392F6-F051-464A-8FD8-238AD7404FEC}" name="连接4951" type="4" refreshedVersion="6" background="1" saveData="1">
    <webPr sourceData="1" parsePre="1" consecutive="1" xl2000="1" url="http://quotes.money.163.com/f10/xjllb_000581.html?type=year" htmlTables="1">
      <tables count="1">
        <x v="4"/>
      </tables>
    </webPr>
  </connection>
  <connection id="641" xr16:uid="{C2DB582A-EE38-4190-B60A-E42F91432A1B}" name="连接4952" type="4" refreshedVersion="6" background="1" saveData="1">
    <webPr sourceData="1" parsePre="1" consecutive="1" xl2000="1" url="http://quotes.money.163.com/f10/zcfzb_603639.html?type=year" htmlTables="1">
      <tables count="1">
        <x v="4"/>
      </tables>
    </webPr>
  </connection>
  <connection id="642" xr16:uid="{22DF9CBD-7325-47C2-875D-F4B55458683A}" name="连接4961" type="4" refreshedVersion="6" background="1" saveData="1">
    <webPr sourceData="1" parsePre="1" consecutive="1" xl2000="1" url="http://quotes.money.163.com/f10/xjllb_000581.html?type=year" htmlTables="1">
      <tables count="1">
        <x v="5"/>
      </tables>
    </webPr>
  </connection>
  <connection id="643" xr16:uid="{6532C27C-5085-41F3-897C-26EA14AF7E63}" name="连接4962" type="4" refreshedVersion="6" background="1" saveData="1">
    <webPr sourceData="1" parsePre="1" consecutive="1" xl2000="1" url="http://quotes.money.163.com/f10/zcfzb_603639.html?type=year" htmlTables="1">
      <tables count="1">
        <x v="5"/>
      </tables>
    </webPr>
  </connection>
  <connection id="644" xr16:uid="{752FDC4F-D0EB-4D63-8905-43537CB21F63}" name="连接497" type="4" refreshedVersion="6" background="1" saveData="1">
    <webPr sourceData="1" parsePre="1" consecutive="1" xl2000="1" url="http://stockdata.stock.hexun.com/2009_fhzzgb_000581.shtml" htmlTables="1">
      <tables count="1">
        <x v="3"/>
      </tables>
    </webPr>
  </connection>
  <connection id="645" xr16:uid="{80755FB9-5921-49B4-8E0F-7BD2F4CFC2FC}" name="连接4981" type="4" refreshedVersion="6" background="1" saveData="1">
    <webPr sourceData="1" parsePre="1" consecutive="1" xl2000="1" url="http://quotes.money.163.com/f10/zcfzb_000963.html?type=year" htmlTables="1">
      <tables count="1">
        <x v="4"/>
      </tables>
    </webPr>
  </connection>
  <connection id="646" xr16:uid="{2760D28E-D6A6-4231-87D2-B5E895C99F99}" name="连接4982" type="4" refreshedVersion="6" background="1" saveData="1">
    <webPr sourceData="1" parsePre="1" consecutive="1" xl2000="1" url="http://quotes.money.163.com/f10/lrb_603639.html?type=year" htmlTables="1">
      <tables count="1">
        <x v="4"/>
      </tables>
    </webPr>
  </connection>
  <connection id="647" xr16:uid="{D7C07318-83FE-4D1E-847F-BEDF01C4B71B}" name="连接4991" type="4" refreshedVersion="6" background="1" saveData="1">
    <webPr sourceData="1" parsePre="1" consecutive="1" xl2000="1" url="http://quotes.money.163.com/f10/zcfzb_000963.html?type=year" htmlTables="1">
      <tables count="1">
        <x v="5"/>
      </tables>
    </webPr>
  </connection>
  <connection id="648" xr16:uid="{9D8E095F-7CAA-4611-B9E8-AA1757B5CDF4}" name="连接4992" type="4" refreshedVersion="6" background="1" saveData="1">
    <webPr sourceData="1" parsePre="1" consecutive="1" xl2000="1" url="http://quotes.money.163.com/f10/lrb_603639.html?type=year" htmlTables="1">
      <tables count="1">
        <x v="5"/>
      </tables>
    </webPr>
  </connection>
  <connection id="649" xr16:uid="{00000000-0015-0000-FFFF-FFFF59010000}" name="连接5" type="4" refreshedVersion="4" background="1" saveData="1">
    <webPr sourceData="1" parsePre="1" consecutive="1" xl2000="1" url="http://app.finance.ifeng.com/data/stock/tab_lrb.php?symbol=002038&amp;day=2014-03-31&amp;go=next" htmlTables="1"/>
  </connection>
  <connection id="650" xr16:uid="{00000000-0015-0000-FFFF-FFFF5A010000}" name="连接50" type="4" refreshedVersion="4" background="1">
    <webPr sourceData="1" parsePre="1" consecutive="1" xl2000="1" url="http://stockdata.stock.hexun.com/2008/lr.aspx?stockid=000725&amp;accountdate=2017.12.31" htmlTables="1">
      <tables count="1">
        <x v="3"/>
      </tables>
    </webPr>
  </connection>
  <connection id="651" xr16:uid="{CEC31E30-EDB8-4531-A1EF-4EABFC975C17}" name="连接500" type="4" refreshedVersion="6" background="1" saveData="1">
    <webPr sourceData="1" parsePre="1" consecutive="1" xl2000="1" url="http://stockdata.stock.hexun.com/2009_fhzzgb_000157.shtml" htmlTables="1">
      <tables count="1">
        <x v="3"/>
      </tables>
    </webPr>
  </connection>
  <connection id="652" xr16:uid="{E6C26F5A-1873-4F99-BDB2-C71DD43C853B}" name="连接5011" type="4" refreshedVersion="6" background="1" saveData="1">
    <webPr sourceData="1" parsePre="1" consecutive="1" xl2000="1" url="http://quotes.money.163.com/f10/lrb_000963.html?type=year" htmlTables="1">
      <tables count="1">
        <x v="4"/>
      </tables>
    </webPr>
  </connection>
  <connection id="653" xr16:uid="{1E2158B4-5E23-4FA9-B843-20F27B67E128}" name="连接5012" type="4" refreshedVersion="6" background="1" saveData="1">
    <webPr sourceData="1" parsePre="1" consecutive="1" xl2000="1" url="http://quotes.money.163.com/f10/xjllb_603639.html?type=year" htmlTables="1">
      <tables count="1">
        <x v="4"/>
      </tables>
    </webPr>
  </connection>
  <connection id="654" xr16:uid="{332A77B3-62B9-4463-A8EB-DDA990F16CD1}" name="连接5021" type="4" refreshedVersion="6" background="1" saveData="1">
    <webPr sourceData="1" parsePre="1" consecutive="1" xl2000="1" url="http://quotes.money.163.com/f10/lrb_000963.html?type=year" htmlTables="1">
      <tables count="1">
        <x v="5"/>
      </tables>
    </webPr>
  </connection>
  <connection id="655" xr16:uid="{7AC90F52-38D0-4F85-8930-8C129821D060}" name="连接5022" type="4" refreshedVersion="6" background="1" saveData="1">
    <webPr sourceData="1" parsePre="1" consecutive="1" xl2000="1" url="http://quotes.money.163.com/f10/xjllb_603639.html?type=year" htmlTables="1">
      <tables count="1">
        <x v="5"/>
      </tables>
    </webPr>
  </connection>
  <connection id="656" xr16:uid="{258C09AE-6A55-46CC-BA7D-B5F681EDA9AE}" name="连接503" type="4" refreshedVersion="6" background="1" saveData="1">
    <webPr sourceData="1" parsePre="1" consecutive="1" xl2000="1" url="http://stockdata.stock.hexun.com/2009_fhzzgb_603639.shtml" htmlTables="1">
      <tables count="1">
        <x v="3"/>
      </tables>
    </webPr>
  </connection>
  <connection id="657" xr16:uid="{AC123502-9C56-460C-B5AC-61ACC9AF7F76}" name="连接5031" type="4" refreshedVersion="6" background="1" saveData="1">
    <webPr sourceData="1" parsePre="1" consecutive="1" xl2000="1" url="http://quotes.money.163.com/f10/xjllb_000963.html?type=year" htmlTables="1">
      <tables count="1">
        <x v="4"/>
      </tables>
    </webPr>
  </connection>
  <connection id="658" xr16:uid="{B868B173-BDDA-4021-8FCC-7AFB430E1830}" name="连接5041" type="4" refreshedVersion="6" background="1" saveData="1">
    <webPr sourceData="1" parsePre="1" consecutive="1" xl2000="1" url="http://quotes.money.163.com/f10/xjllb_000963.html?type=year" htmlTables="1">
      <tables count="1">
        <x v="5"/>
      </tables>
    </webPr>
  </connection>
  <connection id="659" xr16:uid="{1857A0E9-8A13-44BD-AAB9-9B236407335A}" name="连接5042" type="4" refreshedVersion="6" background="1" saveData="1">
    <webPr sourceData="1" parsePre="1" consecutive="1" xl2000="1" url="http://quotes.money.163.com/f10/zcfzb_601390.html?type=year" htmlTables="1">
      <tables count="1">
        <x v="4"/>
      </tables>
    </webPr>
  </connection>
  <connection id="660" xr16:uid="{64AD77FB-DABD-40E3-8A1F-0DEA55661181}" name="连接505" type="4" refreshedVersion="6" background="1" saveData="1">
    <webPr sourceData="1" parsePre="1" consecutive="1" xl2000="1" url="http://stockdata.stock.hexun.com/2009_fhzzgb_000963.shtml" htmlTables="1">
      <tables count="1">
        <x v="3"/>
      </tables>
    </webPr>
  </connection>
  <connection id="661" xr16:uid="{12F8A197-5CF0-4509-885F-16963380CB29}" name="连接5061" type="4" refreshedVersion="6" background="1" saveData="1">
    <webPr sourceData="1" parsePre="1" consecutive="1" xl2000="1" url="http://quotes.money.163.com/f10/zcfzb_300417.html?type=year" htmlTables="1">
      <tables count="1">
        <x v="4"/>
      </tables>
    </webPr>
  </connection>
  <connection id="662" xr16:uid="{9E02D9B3-4CE8-4BCA-8A5D-245A86380E71}" name="连接5062" type="4" refreshedVersion="6" background="1" saveData="1">
    <webPr sourceData="1" parsePre="1" consecutive="1" xl2000="1" url="http://quotes.money.163.com/f10/zcfzb_601390.html?type=year" htmlTables="1">
      <tables count="1">
        <x v="5"/>
      </tables>
    </webPr>
  </connection>
  <connection id="663" xr16:uid="{AE12DC0B-CA9D-46F5-9ABA-400D7894F9DC}" name="连接507" type="4" refreshedVersion="6" background="1" saveData="1">
    <webPr sourceData="1" parsePre="1" consecutive="1" xl2000="1" url="http://stockdata.stock.hexun.com/2009_fhzzgb_000725.shtml" htmlTables="1">
      <tables count="1">
        <x v="3"/>
      </tables>
    </webPr>
  </connection>
  <connection id="664" xr16:uid="{FF1847AA-7942-46BB-BA79-1C6B071D6577}" name="连接5081" type="4" refreshedVersion="6" background="1" saveData="1">
    <webPr sourceData="1" parsePre="1" consecutive="1" xl2000="1" url="http://quotes.money.163.com/f10/zcfzb_300417.html?type=year" htmlTables="1">
      <tables count="1">
        <x v="5"/>
      </tables>
    </webPr>
  </connection>
  <connection id="665" xr16:uid="{11A7390F-7AF4-4330-BEF0-0FEEA4332B63}" name="连接5082" type="4" refreshedVersion="6" background="1" saveData="1">
    <webPr sourceData="1" parsePre="1" consecutive="1" xl2000="1" url="http://quotes.money.163.com/f10/lrb_601390.html?type=year" htmlTables="1">
      <tables count="1">
        <x v="4"/>
      </tables>
    </webPr>
  </connection>
  <connection id="666" xr16:uid="{0ADA17D9-30CA-43C2-AADC-B38D116D3BB8}" name="连接5091" type="4" refreshedVersion="6" background="1" saveData="1">
    <webPr sourceData="1" parsePre="1" consecutive="1" xl2000="1" url="http://quotes.money.163.com/f10/lrb_300417.html?type=year" htmlTables="1">
      <tables count="1">
        <x v="4"/>
      </tables>
    </webPr>
  </connection>
  <connection id="667" xr16:uid="{B1A5B6A4-E10C-418A-9CB4-C91E26C9C507}" name="连接5092" type="4" refreshedVersion="6" background="1" saveData="1">
    <webPr sourceData="1" parsePre="1" consecutive="1" xl2000="1" url="http://quotes.money.163.com/f10/lrb_601390.html?type=year" htmlTables="1">
      <tables count="1">
        <x v="5"/>
      </tables>
    </webPr>
  </connection>
  <connection id="668" xr16:uid="{00000000-0015-0000-FFFF-FFFF5B010000}" name="连接51" type="4" refreshedVersion="4" background="1">
    <webPr sourceData="1" parsePre="1" consecutive="1" xl2000="1" url="http://stockdata.stock.hexun.com/2008/lr.aspx?stockid=000725&amp;accountdate=2018.12.31" htmlTables="1">
      <tables count="1">
        <x v="3"/>
      </tables>
    </webPr>
  </connection>
  <connection id="669" xr16:uid="{A4216415-7B5F-44B0-9EA0-E159AF09C313}" name="连接5101" type="4" refreshedVersion="6" background="1" saveData="1">
    <webPr sourceData="1" parsePre="1" consecutive="1" xl2000="1" url="http://quotes.money.163.com/f10/lrb_300417.html?type=year" htmlTables="1">
      <tables count="1">
        <x v="5"/>
      </tables>
    </webPr>
  </connection>
  <connection id="670" xr16:uid="{0C83BA7F-F196-4005-AEFD-3C605F06377D}" name="连接5102" type="4" refreshedVersion="6" background="1" saveData="1">
    <webPr sourceData="1" parsePre="1" consecutive="1" xl2000="1" url="http://quotes.money.163.com/f10/xjllb_601390.html?type=year" htmlTables="1">
      <tables count="1">
        <x v="4"/>
      </tables>
    </webPr>
  </connection>
  <connection id="671" xr16:uid="{3D09BC53-C73D-4D33-8C4E-6CAFE8EA6E0B}" name="连接5111" type="4" refreshedVersion="6" background="1" saveData="1">
    <webPr sourceData="1" parsePre="1" consecutive="1" xl2000="1" url="http://quotes.money.163.com/f10/xjllb_300417.html?type=year" htmlTables="1">
      <tables count="1">
        <x v="4"/>
      </tables>
    </webPr>
  </connection>
  <connection id="672" xr16:uid="{B772BC25-9C20-4CB4-A833-103AE124FECC}" name="连接5112" type="4" refreshedVersion="6" background="1" saveData="1">
    <webPr sourceData="1" parsePre="1" consecutive="1" xl2000="1" url="http://quotes.money.163.com/f10/xjllb_601390.html?type=year" htmlTables="1">
      <tables count="1">
        <x v="5"/>
      </tables>
    </webPr>
  </connection>
  <connection id="673" xr16:uid="{61500A5C-BA5D-4D40-914B-4C3D409BFC23}" name="连接512" type="4" refreshedVersion="6" background="1" saveData="1">
    <webPr sourceData="1" parsePre="1" consecutive="1" xl2000="1" url="http://stockdata.stock.hexun.com/2009_fhzzgb_601390.shtml" htmlTables="1">
      <tables count="1">
        <x v="3"/>
      </tables>
    </webPr>
  </connection>
  <connection id="674" xr16:uid="{9B9B1714-1AE1-487D-81E5-99D1B821601A}" name="连接5121" type="4" refreshedVersion="6" background="1" saveData="1">
    <webPr sourceData="1" parsePre="1" consecutive="1" xl2000="1" url="http://quotes.money.163.com/f10/xjllb_300417.html?type=year" htmlTables="1">
      <tables count="1">
        <x v="5"/>
      </tables>
    </webPr>
  </connection>
  <connection id="675" xr16:uid="{E94C0B18-EE8B-47C6-99EA-79A8E2805B0D}" name="连接513" type="4" refreshedVersion="6" background="1" saveData="1">
    <webPr sourceData="1" parsePre="1" consecutive="1" xl2000="1" url="http://stockdata.stock.hexun.com/2009_fhzzgb_300417.shtml" htmlTables="1">
      <tables count="1">
        <x v="3"/>
      </tables>
    </webPr>
  </connection>
  <connection id="676" xr16:uid="{A811CE71-41DF-4E09-883B-A715C08E43E2}" name="连接514" type="4" refreshedVersion="6" background="1" saveData="1">
    <webPr sourceData="1" parsePre="1" consecutive="1" xl2000="1" url="http://stockdata.stock.hexun.com/2009_fhzzgb_600309.shtml" htmlTables="1">
      <tables count="1">
        <x v="3"/>
      </tables>
    </webPr>
  </connection>
  <connection id="677" xr16:uid="{EA8C33B5-6612-4873-B1AB-E52954CC45F3}" name="连接5151" type="4" refreshedVersion="6" background="1" saveData="1">
    <webPr sourceData="1" parsePre="1" consecutive="1" xl2000="1" url="http://quotes.money.163.com/f10/zcfzb_300417.html?type=year" htmlTables="1">
      <tables count="1">
        <x v="4"/>
      </tables>
    </webPr>
  </connection>
  <connection id="678" xr16:uid="{C1C002A9-1264-44F3-A5B1-9068348CE0AE}" name="连接5152" type="4" refreshedVersion="6" background="1" saveData="1">
    <webPr sourceData="1" parsePre="1" consecutive="1" xl2000="1" url="http://quotes.money.163.com/f10/zcfzb_601668.html?type=year" htmlTables="1">
      <tables count="1">
        <x v="4"/>
      </tables>
    </webPr>
  </connection>
  <connection id="679" xr16:uid="{0B31EF82-E56C-43A2-8732-32FA0659E0FC}" name="连接5161" type="4" refreshedVersion="6" background="1" saveData="1">
    <webPr sourceData="1" parsePre="1" consecutive="1" xl2000="1" url="http://quotes.money.163.com/f10/zcfzb_300417.html?type=year" htmlTables="1">
      <tables count="1">
        <x v="5"/>
      </tables>
    </webPr>
  </connection>
  <connection id="680" xr16:uid="{EB6A3D5F-709F-49CE-BDB3-97B13CA27F96}" name="连接5162" type="4" refreshedVersion="6" background="1" saveData="1">
    <webPr sourceData="1" parsePre="1" consecutive="1" xl2000="1" url="http://quotes.money.163.com/f10/zcfzb_601668.html?type=year" htmlTables="1">
      <tables count="1">
        <x v="5"/>
      </tables>
    </webPr>
  </connection>
  <connection id="681" xr16:uid="{DB441199-4150-44F6-94C6-8BDC8A388A74}" name="连接5171" type="4" refreshedVersion="6" background="1" saveData="1">
    <webPr sourceData="1" parsePre="1" consecutive="1" xl2000="1" url="http://quotes.money.163.com/f10/lrb_300417.html?type=year" htmlTables="1">
      <tables count="1">
        <x v="4"/>
      </tables>
    </webPr>
  </connection>
  <connection id="682" xr16:uid="{D4BAF9DE-42E2-4F4C-867B-996967788C50}" name="连接5172" type="4" refreshedVersion="6" background="1" saveData="1">
    <webPr sourceData="1" parsePre="1" consecutive="1" xl2000="1" url="http://quotes.money.163.com/f10/lrb_601668.html?type=year" htmlTables="1">
      <tables count="1">
        <x v="4"/>
      </tables>
    </webPr>
  </connection>
  <connection id="683" xr16:uid="{D1A9C121-19DE-448E-A6E1-6A1C438BF224}" name="连接5181" type="4" refreshedVersion="6" background="1" saveData="1">
    <webPr sourceData="1" parsePre="1" consecutive="1" xl2000="1" url="http://quotes.money.163.com/f10/lrb_300417.html?type=year" htmlTables="1">
      <tables count="1">
        <x v="5"/>
      </tables>
    </webPr>
  </connection>
  <connection id="684" xr16:uid="{7F8ACC61-CF68-47F0-B5A0-0E33ACC6E539}" name="连接5182" type="4" refreshedVersion="6" background="1" saveData="1">
    <webPr sourceData="1" parsePre="1" consecutive="1" xl2000="1" url="http://quotes.money.163.com/f10/lrb_601668.html?type=year" htmlTables="1">
      <tables count="1">
        <x v="5"/>
      </tables>
    </webPr>
  </connection>
  <connection id="685" xr16:uid="{49360676-11CA-49B0-BEAE-214D73C1656F}" name="连接5191" type="4" refreshedVersion="6" background="1" saveData="1">
    <webPr sourceData="1" parsePre="1" consecutive="1" xl2000="1" url="http://quotes.money.163.com/f10/xjllb_300417.html?type=year" htmlTables="1">
      <tables count="1">
        <x v="4"/>
      </tables>
    </webPr>
  </connection>
  <connection id="686" xr16:uid="{D84B2B7D-6C72-4179-9C0E-B0B8E75E60AD}" name="连接5192" type="4" refreshedVersion="6" background="1" saveData="1">
    <webPr sourceData="1" parsePre="1" consecutive="1" xl2000="1" url="http://quotes.money.163.com/f10/xjllb_601668.html?type=year" htmlTables="1">
      <tables count="1">
        <x v="4"/>
      </tables>
    </webPr>
  </connection>
  <connection id="687" xr16:uid="{00000000-0015-0000-FFFF-FFFF5C010000}" name="连接52" type="4" refreshedVersion="4" background="1">
    <webPr sourceData="1" parsePre="1" consecutive="1" xl2000="1" url="http://stockdata.stock.hexun.com/2008/zcfz.aspx?stockid=000725&amp;accountdate=2018.12.31" htmlTables="1">
      <tables count="1">
        <x v="3"/>
      </tables>
    </webPr>
  </connection>
  <connection id="688" xr16:uid="{6C3DD11A-FDF0-4D24-A811-FCA180583BDE}" name="连接5201" type="4" refreshedVersion="6" background="1" saveData="1">
    <webPr sourceData="1" parsePre="1" consecutive="1" xl2000="1" url="http://quotes.money.163.com/f10/xjllb_300417.html?type=year" htmlTables="1">
      <tables count="1">
        <x v="5"/>
      </tables>
    </webPr>
  </connection>
  <connection id="689" xr16:uid="{A85971FC-A590-42E0-B8AD-6EE12D0D9066}" name="连接5202" type="4" refreshedVersion="6" background="1" saveData="1">
    <webPr sourceData="1" parsePre="1" consecutive="1" xl2000="1" url="http://quotes.money.163.com/f10/xjllb_601668.html?type=year" htmlTables="1">
      <tables count="1">
        <x v="5"/>
      </tables>
    </webPr>
  </connection>
  <connection id="690" xr16:uid="{FFA8530E-2470-4ABD-B333-5FA17A2E4A43}" name="连接521" type="4" refreshedVersion="6" background="1" saveData="1">
    <webPr sourceData="1" parsePre="1" consecutive="1" xl2000="1" url="http://stockdata.stock.hexun.com/2009_fhzzgb_000423.shtml" htmlTables="1">
      <tables count="1">
        <x v="3"/>
      </tables>
    </webPr>
  </connection>
  <connection id="691" xr16:uid="{3CC4E544-B73F-4E7E-9026-BA16205357F7}" name="连接522" type="4" refreshedVersion="6" background="1" saveData="1">
    <webPr sourceData="1" parsePre="1" consecutive="1" xl2000="1" url="http://stockdata.stock.hexun.com/2009_fhzzgb_300417.shtml" htmlTables="1">
      <tables count="1">
        <x v="3"/>
      </tables>
    </webPr>
  </connection>
  <connection id="692" xr16:uid="{8D4AC30E-0D4A-4928-BB43-E7802AEF6407}" name="连接523" type="4" refreshedVersion="6" background="1" saveData="1">
    <webPr sourceData="1" parsePre="1" consecutive="1" xl2000="1" url="http://stockdata.stock.hexun.com/2009_fhzzgb_601668.shtml" htmlTables="1">
      <tables count="1">
        <x v="3"/>
      </tables>
    </webPr>
  </connection>
  <connection id="693" xr16:uid="{7C236363-A629-4D9E-B6D5-AEE29A18BD05}" name="连接5231" type="4" refreshedVersion="6" background="1" saveData="1">
    <webPr sourceData="1" parsePre="1" consecutive="1" xl2000="1" url="http://quotes.money.163.com/f10/zcfzb_000002.html?type=year" htmlTables="1">
      <tables count="1">
        <x v="4"/>
      </tables>
    </webPr>
  </connection>
  <connection id="694" xr16:uid="{1E96A5FF-DE15-4B2A-A73F-57541FD64371}" name="连接5241" type="4" refreshedVersion="6" background="1" saveData="1">
    <webPr sourceData="1" parsePre="1" consecutive="1" xl2000="1" url="http://quotes.money.163.com/f10/zcfzb_000002.html?type=year" htmlTables="1">
      <tables count="1">
        <x v="5"/>
      </tables>
    </webPr>
  </connection>
  <connection id="695" xr16:uid="{A959A91E-8B4B-47E7-A51B-19DF1C24A2F6}" name="连接5242" type="4" refreshedVersion="6" background="1" saveData="1">
    <webPr sourceData="1" parsePre="1" consecutive="1" xl2000="1" url="http://quotes.money.163.com/f10/zcfzb_600050.html?type=year" htmlTables="1">
      <tables count="1">
        <x v="4"/>
      </tables>
    </webPr>
  </connection>
  <connection id="696" xr16:uid="{220F3117-EE1C-4CD2-B233-2F3F31E07EBF}" name="连接5251" type="4" refreshedVersion="6" background="1" saveData="1">
    <webPr sourceData="1" parsePre="1" consecutive="1" xl2000="1" url="http://quotes.money.163.com/f10/lrb_000002.html?type=year" htmlTables="1">
      <tables count="1">
        <x v="4"/>
      </tables>
    </webPr>
  </connection>
  <connection id="697" xr16:uid="{A4CCA1E7-E743-4E61-9C1F-F59594C869A2}" name="连接5252" type="4" refreshedVersion="6" background="1" saveData="1">
    <webPr sourceData="1" parsePre="1" consecutive="1" xl2000="1" url="http://quotes.money.163.com/f10/zcfzb_600050.html?type=year" htmlTables="1">
      <tables count="1">
        <x v="5"/>
      </tables>
    </webPr>
  </connection>
  <connection id="698" xr16:uid="{5D7AF770-41E6-472E-AD39-83DB97443E53}" name="连接5261" type="4" refreshedVersion="6" background="1" saveData="1">
    <webPr sourceData="1" parsePre="1" consecutive="1" xl2000="1" url="http://quotes.money.163.com/f10/lrb_000002.html?type=year" htmlTables="1">
      <tables count="1">
        <x v="5"/>
      </tables>
    </webPr>
  </connection>
  <connection id="699" xr16:uid="{49603BAD-5682-44C0-8359-973125757040}" name="连接5262" type="4" refreshedVersion="6" background="1" saveData="1">
    <webPr sourceData="1" parsePre="1" consecutive="1" xl2000="1" url="http://quotes.money.163.com/f10/lrb_600050.html?type=year" htmlTables="1">
      <tables count="1">
        <x v="4"/>
      </tables>
    </webPr>
  </connection>
  <connection id="700" xr16:uid="{D2C88499-B30B-4D1F-A276-8AE975CFD7B8}" name="连接5271" type="4" refreshedVersion="6" background="1" saveData="1">
    <webPr sourceData="1" parsePre="1" consecutive="1" xl2000="1" url="http://quotes.money.163.com/f10/xjllb_000002.html?type=year" htmlTables="1">
      <tables count="1">
        <x v="4"/>
      </tables>
    </webPr>
  </connection>
  <connection id="701" xr16:uid="{DD1B20E6-9655-4B1A-A043-3B22F8397028}" name="连接5272" type="4" refreshedVersion="6" background="1" saveData="1">
    <webPr sourceData="1" parsePre="1" consecutive="1" xl2000="1" url="http://quotes.money.163.com/f10/lrb_600050.html?type=year" htmlTables="1">
      <tables count="1">
        <x v="5"/>
      </tables>
    </webPr>
  </connection>
  <connection id="702" xr16:uid="{5D399140-C135-4B5D-8E76-5785ADAB2344}" name="连接528" type="4" refreshedVersion="6" background="1" saveData="1">
    <webPr sourceData="1" parsePre="1" consecutive="1" xl2000="1" url="http://stockdata.stock.hexun.com/2009_fhzzgb_002422.shtml" htmlTables="1">
      <tables count="1">
        <x v="3"/>
      </tables>
    </webPr>
  </connection>
  <connection id="703" xr16:uid="{396D0C9A-0896-4E20-B48B-888BA606E79C}" name="连接5291" type="4" refreshedVersion="6" background="1" saveData="1">
    <webPr sourceData="1" parsePre="1" consecutive="1" xl2000="1" url="http://quotes.money.163.com/f10/xjllb_000002.html?type=year" htmlTables="1">
      <tables count="1">
        <x v="5"/>
      </tables>
    </webPr>
  </connection>
  <connection id="704" xr16:uid="{EB1603B8-E95E-4F0C-A4B1-EF057A50E245}" name="连接5292" type="4" refreshedVersion="6" background="1" saveData="1">
    <webPr sourceData="1" parsePre="1" consecutive="1" xl2000="1" url="http://quotes.money.163.com/f10/xjllb_600050.html?type=year" htmlTables="1">
      <tables count="1">
        <x v="4"/>
      </tables>
    </webPr>
  </connection>
  <connection id="705" xr16:uid="{00000000-0015-0000-FFFF-FFFF5D010000}" name="连接53" type="4" refreshedVersion="4" background="1">
    <webPr sourceData="1" parsePre="1" consecutive="1" xl2000="1" url="http://stockdata.stock.hexun.com/2008/zcfz.aspx?stockid=000725&amp;accountdate=2017.12.31" htmlTables="1">
      <tables count="1">
        <x v="3"/>
      </tables>
    </webPr>
  </connection>
  <connection id="706" xr16:uid="{1191CA17-181D-4945-944E-4F170D29F260}" name="连接530" type="4" refreshedVersion="6" background="1" saveData="1">
    <webPr sourceData="1" parsePre="1" consecutive="1" xl2000="1" url="http://stockdata.stock.hexun.com/2009_fhzzgb_000002.shtml" htmlTables="1">
      <tables count="1">
        <x v="3"/>
      </tables>
    </webPr>
  </connection>
  <connection id="707" xr16:uid="{276E095A-0AB7-4C16-8635-830FD3AA1697}" name="连接5311" type="4" refreshedVersion="6" background="1" saveData="1">
    <webPr sourceData="1" parsePre="1" consecutive="1" xl2000="1" url="http://quotes.money.163.com/f10/zcfzb_000651.html?type=year" htmlTables="1">
      <tables count="1">
        <x v="4"/>
      </tables>
    </webPr>
  </connection>
  <connection id="708" xr16:uid="{C7C1D862-237B-4EFA-B55E-26E304039E79}" name="连接5312" type="4" refreshedVersion="6" background="1" saveData="1">
    <webPr sourceData="1" parsePre="1" consecutive="1" xl2000="1" url="http://quotes.money.163.com/f10/xjllb_600050.html?type=year" htmlTables="1">
      <tables count="1">
        <x v="5"/>
      </tables>
    </webPr>
  </connection>
  <connection id="709" xr16:uid="{BE738836-6FB3-474A-B380-056C4614B4FA}" name="连接532" type="4" refreshedVersion="6" background="1" saveData="1">
    <webPr sourceData="1" parsePre="1" consecutive="1" xl2000="1" url="http://stockdata.stock.hexun.com/2009_fhzzgb_600050.shtml" htmlTables="1">
      <tables count="1">
        <x v="3"/>
      </tables>
    </webPr>
  </connection>
  <connection id="710" xr16:uid="{25E9B9AF-3ADB-4545-994C-CAA7F24134E1}" name="连接5321" type="4" refreshedVersion="6" background="1" saveData="1">
    <webPr sourceData="1" parsePre="1" consecutive="1" xl2000="1" url="http://quotes.money.163.com/f10/zcfzb_000651.html?type=year" htmlTables="1">
      <tables count="1">
        <x v="5"/>
      </tables>
    </webPr>
  </connection>
  <connection id="711" xr16:uid="{7922ABA3-F1EB-40B5-9D99-79CD858CA85D}" name="连接5331" type="4" refreshedVersion="6" background="1" saveData="1">
    <webPr sourceData="1" parsePre="1" consecutive="1" xl2000="1" url="http://quotes.money.163.com/f10/lrb_000651.html?type=year" htmlTables="1">
      <tables count="1">
        <x v="4"/>
      </tables>
    </webPr>
  </connection>
  <connection id="712" xr16:uid="{403C1AC5-723D-42E7-B43B-3850D40EB6BC}" name="连接5341" type="4" refreshedVersion="6" background="1" saveData="1">
    <webPr sourceData="1" parsePre="1" consecutive="1" xl2000="1" url="http://quotes.money.163.com/f10/lrb_000651.html?type=year" htmlTables="1">
      <tables count="1">
        <x v="5"/>
      </tables>
    </webPr>
  </connection>
  <connection id="713" xr16:uid="{49A71D5D-B3D9-4E42-A5EA-C332781C4247}" name="连接535" type="4" refreshedVersion="6" background="1" saveData="1">
    <webPr sourceData="1" parsePre="1" consecutive="1" xl2000="1" url="http://stockdata.stock.hexun.com/2009_fhzzgb_603129.shtml" htmlTables="1">
      <tables count="1">
        <x v="3"/>
      </tables>
    </webPr>
  </connection>
  <connection id="714" xr16:uid="{1506E23B-B85D-4EF6-BBD2-89F49D3096C7}" name="连接5361" type="4" refreshedVersion="6" background="1" saveData="1">
    <webPr sourceData="1" parsePre="1" consecutive="1" xl2000="1" url="http://quotes.money.163.com/f10/xjllb_000651.html?type=year" htmlTables="1">
      <tables count="1">
        <x v="4"/>
      </tables>
    </webPr>
  </connection>
  <connection id="715" xr16:uid="{3BFD3A97-15E5-4CF7-98CC-FAA486EBBC93}" name="连接5371" type="4" refreshedVersion="6" background="1" saveData="1">
    <webPr sourceData="1" parsePre="1" consecutive="1" xl2000="1" url="http://quotes.money.163.com/f10/xjllb_000651.html?type=year" htmlTables="1">
      <tables count="1">
        <x v="5"/>
      </tables>
    </webPr>
  </connection>
  <connection id="716" xr16:uid="{F66495E4-B585-4331-991F-92A5783D4C61}" name="连接538" type="4" refreshedVersion="6" background="1" saveData="1">
    <webPr sourceData="1" parsePre="1" consecutive="1" xl2000="1" url="http://stockdata.stock.hexun.com/2009_fhzzgb_000651.shtml" htmlTables="1">
      <tables count="1">
        <x v="3"/>
      </tables>
    </webPr>
  </connection>
  <connection id="717" xr16:uid="{CDA9DA4F-890E-4C80-9858-F73409243867}" name="连接5391" type="4" refreshedVersion="6" background="1" saveData="1">
    <webPr sourceData="1" parsePre="1" consecutive="1" xl2000="1" url="http://quotes.money.163.com/f10/zcfzb_601225.html?type=year" htmlTables="1">
      <tables count="1">
        <x v="4"/>
      </tables>
    </webPr>
  </connection>
  <connection id="718" xr16:uid="{00000000-0015-0000-FFFF-FFFF5E010000}" name="连接54" type="4" refreshedVersion="4" background="1">
    <webPr sourceData="1" parsePre="1" consecutive="1" xl2000="1" url="http://stockdata.stock.hexun.com/2008/zcfz.aspx?stockid=000725&amp;accountdate=2016.12.31" htmlTables="1">
      <tables count="1">
        <x v="3"/>
      </tables>
    </webPr>
  </connection>
  <connection id="719" xr16:uid="{85277847-D6C8-44A3-A686-F670A7429EC3}" name="连接5401" type="4" refreshedVersion="6" background="1" saveData="1">
    <webPr sourceData="1" parsePre="1" consecutive="1" xl2000="1" url="http://quotes.money.163.com/f10/zcfzb_601225.html?type=year" htmlTables="1">
      <tables count="1">
        <x v="5"/>
      </tables>
    </webPr>
  </connection>
  <connection id="720" xr16:uid="{7A235E27-3B5A-4916-A965-1243760647B4}" name="连接5411" type="4" refreshedVersion="6" background="1" saveData="1">
    <webPr sourceData="1" parsePre="1" consecutive="1" xl2000="1" url="http://quotes.money.163.com/f10/lrb_601225.html?type=year" htmlTables="1">
      <tables count="1">
        <x v="4"/>
      </tables>
    </webPr>
  </connection>
  <connection id="721" xr16:uid="{DC289BBD-7968-4368-ACA5-785DF58C9B12}" name="连接542" type="4" refreshedVersion="6" background="1" saveData="1">
    <webPr sourceData="1" parsePre="1" consecutive="1" xl2000="1" url="http://stockdata.stock.hexun.com/2009_fhzzgb_002008.shtml" htmlTables="1">
      <tables count="1">
        <x v="3"/>
      </tables>
    </webPr>
  </connection>
  <connection id="722" xr16:uid="{1AF0ADF2-C12F-46BE-8F1E-9CF6F1381D8D}" name="连接5431" type="4" refreshedVersion="6" background="1" saveData="1">
    <webPr sourceData="1" parsePre="1" consecutive="1" xl2000="1" url="http://quotes.money.163.com/f10/lrb_601225.html?type=year" htmlTables="1">
      <tables count="1">
        <x v="5"/>
      </tables>
    </webPr>
  </connection>
  <connection id="723" xr16:uid="{AA456134-19F2-4F33-A953-4F8A75C7A0E2}" name="连接5441" type="4" refreshedVersion="6" background="1" saveData="1">
    <webPr sourceData="1" parsePre="1" consecutive="1" xl2000="1" url="http://quotes.money.163.com/f10/xjllb_601225.html?type=year" htmlTables="1">
      <tables count="1">
        <x v="4"/>
      </tables>
    </webPr>
  </connection>
  <connection id="724" xr16:uid="{C14F281C-2CB4-40A5-99CD-1892114D4528}" name="连接5451" type="4" refreshedVersion="6" background="1" saveData="1">
    <webPr sourceData="1" parsePre="1" consecutive="1" xl2000="1" url="http://quotes.money.163.com/f10/xjllb_601225.html?type=year" htmlTables="1">
      <tables count="1">
        <x v="5"/>
      </tables>
    </webPr>
  </connection>
  <connection id="725" xr16:uid="{F84FE5FE-FA54-4EC3-AB73-29AD29CA0339}" name="连接546" type="4" refreshedVersion="6" background="1" saveData="1">
    <webPr sourceData="1" parsePre="1" consecutive="1" xl2000="1" url="http://stockdata.stock.hexun.com/2009_fhzzgb_601225.shtml" htmlTables="1">
      <tables count="1">
        <x v="3"/>
      </tables>
    </webPr>
  </connection>
  <connection id="726" xr16:uid="{7060B9FB-6C59-4DE6-ADD5-B54482964157}" name="连接5471" type="4" refreshedVersion="6" background="1" saveData="1">
    <webPr sourceData="1" parsePre="1" consecutive="1" xl2000="1" url="http://quotes.money.163.com/f10/zcfzb_603609.html?type=year" htmlTables="1">
      <tables count="1">
        <x v="4"/>
      </tables>
    </webPr>
  </connection>
  <connection id="727" xr16:uid="{C39D799E-208C-41BC-854D-25A7BBEE5B1D}" name="连接5481" type="4" refreshedVersion="6" background="1" saveData="1">
    <webPr sourceData="1" parsePre="1" consecutive="1" xl2000="1" url="http://quotes.money.163.com/f10/zcfzb_603609.html?type=year" htmlTables="1">
      <tables count="1">
        <x v="5"/>
      </tables>
    </webPr>
  </connection>
  <connection id="728" xr16:uid="{2E6DDEBF-CF03-4193-A648-2D70CC8DAB72}" name="连接549" type="4" refreshedVersion="6" background="1" saveData="1">
    <webPr sourceData="1" parsePre="1" consecutive="1" xl2000="1" url="http://stockdata.stock.hexun.com/2009_fhzzgb_002756.shtml" htmlTables="1">
      <tables count="1">
        <x v="3"/>
      </tables>
    </webPr>
  </connection>
  <connection id="729" xr16:uid="{00000000-0015-0000-FFFF-FFFF5F010000}" name="连接55" type="4" refreshedVersion="4" background="1">
    <webPr sourceData="1" parsePre="1" consecutive="1" xl2000="1" url="http://stockdata.stock.hexun.com/2008/lr.aspx?stockid=000725&amp;accountdate=2016.12.31" htmlTables="1">
      <tables count="1">
        <x v="3"/>
      </tables>
    </webPr>
  </connection>
  <connection id="730" xr16:uid="{7DEBA9DA-DD4E-4F1D-8243-AF1B01FE3EC3}" name="连接5501" type="4" refreshedVersion="6" background="1" saveData="1">
    <webPr sourceData="1" parsePre="1" consecutive="1" xl2000="1" url="http://quotes.money.163.com/f10/lrb_603609.html?type=year" htmlTables="1">
      <tables count="1">
        <x v="4"/>
      </tables>
    </webPr>
  </connection>
  <connection id="731" xr16:uid="{FD84DB9B-8FA3-4F88-99FD-7FE15815B3BE}" name="连接5511" type="4" refreshedVersion="6" background="1" saveData="1">
    <webPr sourceData="1" parsePre="1" consecutive="1" xl2000="1" url="http://quotes.money.163.com/f10/lrb_603609.html?type=year" htmlTables="1">
      <tables count="1">
        <x v="5"/>
      </tables>
    </webPr>
  </connection>
  <connection id="732" xr16:uid="{701E2AF2-12E1-46DE-A1D8-E59FD051F7CE}" name="连接5521" type="4" refreshedVersion="6" background="1" saveData="1">
    <webPr sourceData="1" parsePre="1" consecutive="1" xl2000="1" url="http://quotes.money.163.com/f10/xjllb_603609.html?type=year" htmlTables="1">
      <tables count="1">
        <x v="4"/>
      </tables>
    </webPr>
  </connection>
  <connection id="733" xr16:uid="{D9998FEF-D2AB-4EA6-A697-5A43D45C8424}" name="连接5531" type="4" refreshedVersion="6" background="1" saveData="1">
    <webPr sourceData="1" parsePre="1" consecutive="1" xl2000="1" url="http://quotes.money.163.com/f10/xjllb_603609.html?type=year" htmlTables="1">
      <tables count="1">
        <x v="5"/>
      </tables>
    </webPr>
  </connection>
  <connection id="734" xr16:uid="{18431426-FD1D-4B4B-A999-286903AEC7D4}" name="连接554" type="4" refreshedVersion="6" background="1" saveData="1">
    <webPr sourceData="1" parsePre="1" consecutive="1" xl2000="1" url="http://stockdata.stock.hexun.com/2009_fhzzgb_603609.shtml" htmlTables="1">
      <tables count="1">
        <x v="3"/>
      </tables>
    </webPr>
  </connection>
  <connection id="735" xr16:uid="{7B179956-F952-4084-BD97-EC58070B0FA5}" name="连接5551" type="4" refreshedVersion="6" background="1" saveData="1">
    <webPr sourceData="1" parsePre="1" consecutive="1" xl2000="1" url="http://quotes.money.163.com/f10/zcfzb_300016.html?type=year" htmlTables="1">
      <tables count="1">
        <x v="4"/>
      </tables>
    </webPr>
  </connection>
  <connection id="736" xr16:uid="{961FD677-736A-4191-AC68-5AFF7420D3A8}" name="连接556" type="4" refreshedVersion="6" background="1" saveData="1">
    <webPr sourceData="1" parsePre="1" consecutive="1" xl2000="1" url="http://stockdata.stock.hexun.com/2009_fhzzgb_000333.shtml" htmlTables="1">
      <tables count="1">
        <x v="3"/>
      </tables>
    </webPr>
  </connection>
  <connection id="737" xr16:uid="{FD01CEC3-3C41-4AF4-B08E-97A1BFB367AE}" name="连接5571" type="4" refreshedVersion="6" background="1" saveData="1">
    <webPr sourceData="1" parsePre="1" consecutive="1" xl2000="1" url="http://quotes.money.163.com/f10/zcfzb_300016.html?type=year" htmlTables="1">
      <tables count="1">
        <x v="5"/>
      </tables>
    </webPr>
  </connection>
  <connection id="738" xr16:uid="{23D78EF9-50DB-43BD-A4AF-9A8FA1666CC9}" name="连接5581" type="4" refreshedVersion="6" background="1" saveData="1">
    <webPr sourceData="1" parsePre="1" consecutive="1" xl2000="1" url="http://quotes.money.163.com/f10/lrb_300016.html?type=year" htmlTables="1">
      <tables count="1">
        <x v="4"/>
      </tables>
    </webPr>
  </connection>
  <connection id="739" xr16:uid="{F455A13B-60BD-4432-8C4C-DAAED6EB604B}" name="连接5591" type="4" refreshedVersion="6" background="1" saveData="1">
    <webPr sourceData="1" parsePre="1" consecutive="1" xl2000="1" url="http://quotes.money.163.com/f10/lrb_300016.html?type=year" htmlTables="1">
      <tables count="1">
        <x v="5"/>
      </tables>
    </webPr>
  </connection>
  <connection id="740" xr16:uid="{00000000-0015-0000-FFFF-FFFF60010000}" name="连接56" type="4" refreshedVersion="4" background="1">
    <webPr sourceData="1" parsePre="1" consecutive="1" xl2000="1" url="http://stockdata.stock.hexun.com/2008/lr.aspx?stockid=000725&amp;accountdate=2017.12.31" htmlTables="1">
      <tables count="1">
        <x v="3"/>
      </tables>
    </webPr>
  </connection>
  <connection id="741" xr16:uid="{D888E4E3-9655-406A-9663-93044194C0B0}" name="连接5601" type="4" refreshedVersion="6" background="1" saveData="1">
    <webPr sourceData="1" parsePre="1" consecutive="1" xl2000="1" url="http://quotes.money.163.com/f10/xjllb_300016.html?type=year" htmlTables="1">
      <tables count="1">
        <x v="4"/>
      </tables>
    </webPr>
  </connection>
  <connection id="742" xr16:uid="{4DD2AE77-E51D-4F77-9CD9-3CE851B4DD40}" name="连接5611" type="4" refreshedVersion="6" background="1" saveData="1">
    <webPr sourceData="1" parsePre="1" consecutive="1" xl2000="1" url="http://quotes.money.163.com/f10/xjllb_300016.html?type=year" htmlTables="1">
      <tables count="1">
        <x v="5"/>
      </tables>
    </webPr>
  </connection>
  <connection id="743" xr16:uid="{8F1DF8FE-FE18-4D04-AAD8-43B31D69B55F}" name="连接562" type="4" refreshedVersion="6" background="1" saveData="1">
    <webPr sourceData="1" parsePre="1" consecutive="1" xl2000="1" url="http://stockdata.stock.hexun.com/2009_fhzzgb_300016.shtml" htmlTables="1">
      <tables count="1">
        <x v="3"/>
      </tables>
    </webPr>
  </connection>
  <connection id="744" xr16:uid="{26F420EB-BD15-4810-878C-94437EF92C89}" name="连接563" type="4" refreshedVersion="6" background="1" saveData="1">
    <webPr sourceData="1" parsePre="1" consecutive="1" xl2000="1" url="http://stockdata.stock.hexun.com/2009_fhzzgb_600690.shtml" htmlTables="1">
      <tables count="1">
        <x v="3"/>
      </tables>
    </webPr>
  </connection>
  <connection id="745" xr16:uid="{3CECA3E8-C697-4D1E-8B39-53883F61C25B}" name="连接5641" type="4" refreshedVersion="6" background="1" saveData="1">
    <webPr sourceData="1" parsePre="1" consecutive="1" xl2000="1" url="http://quotes.money.163.com/f10/zcfzb_000672.html?type=year" htmlTables="1">
      <tables count="1">
        <x v="4"/>
      </tables>
    </webPr>
  </connection>
  <connection id="746" xr16:uid="{E0002F86-B8F2-4955-871B-F419909E08B4}" name="连接5651" type="4" refreshedVersion="6" background="1" saveData="1">
    <webPr sourceData="1" parsePre="1" consecutive="1" xl2000="1" url="http://quotes.money.163.com/f10/zcfzb_000672.html?type=year" htmlTables="1">
      <tables count="1">
        <x v="5"/>
      </tables>
    </webPr>
  </connection>
  <connection id="747" xr16:uid="{699E259C-85B0-47F6-90B3-203B620FCB37}" name="连接5661" type="4" refreshedVersion="6" background="1" saveData="1">
    <webPr sourceData="1" parsePre="1" consecutive="1" xl2000="1" url="http://quotes.money.163.com/f10/lrb_000672.html?type=year" htmlTables="1">
      <tables count="1">
        <x v="4"/>
      </tables>
    </webPr>
  </connection>
  <connection id="748" xr16:uid="{CE63A31C-6B21-42C9-A841-78B2E9AD69FD}" name="连接5671" type="4" refreshedVersion="6" background="1" saveData="1">
    <webPr sourceData="1" parsePre="1" consecutive="1" xl2000="1" url="http://quotes.money.163.com/f10/lrb_000672.html?type=year" htmlTables="1">
      <tables count="1">
        <x v="5"/>
      </tables>
    </webPr>
  </connection>
  <connection id="749" xr16:uid="{52971C3B-C67F-49E6-9F68-6AA05B2D7CD8}" name="连接5681" type="4" refreshedVersion="6" background="1" saveData="1">
    <webPr sourceData="1" parsePre="1" consecutive="1" xl2000="1" url="http://quotes.money.163.com/f10/xjllb_000672.html?type=year" htmlTables="1">
      <tables count="1">
        <x v="4"/>
      </tables>
    </webPr>
  </connection>
  <connection id="750" xr16:uid="{09AC2418-2303-4DBB-B1EB-3A315832B9B9}" name="连接5691" type="4" refreshedVersion="6" background="1" saveData="1">
    <webPr sourceData="1" parsePre="1" consecutive="1" xl2000="1" url="http://quotes.money.163.com/f10/xjllb_000672.html?type=year" htmlTables="1">
      <tables count="1">
        <x v="5"/>
      </tables>
    </webPr>
  </connection>
  <connection id="751" xr16:uid="{00000000-0015-0000-FFFF-FFFF61010000}" name="连接57" type="4" refreshedVersion="4" background="1">
    <webPr sourceData="1" parsePre="1" consecutive="1" xl2000="1" url="http://stockdata.stock.hexun.com/2008/lr.aspx?stockid=000725&amp;accountdate=2018.12.31" htmlTables="1">
      <tables count="1">
        <x v="3"/>
      </tables>
    </webPr>
  </connection>
  <connection id="752" xr16:uid="{E4B97832-6A5C-4B76-8258-DCD054FAE8E3}" name="连接570" type="4" refreshedVersion="6" background="1" saveData="1">
    <webPr sourceData="1" parsePre="1" consecutive="1" xl2000="1" url="http://stockdata.stock.hexun.com/2009_fhzzgb_600679.shtml" htmlTables="1">
      <tables count="1">
        <x v="3"/>
      </tables>
    </webPr>
  </connection>
  <connection id="753" xr16:uid="{0050A12A-4CE3-4DD1-AA6A-3B790D41E859}" name="连接571" type="4" refreshedVersion="6" background="1" saveData="1">
    <webPr sourceData="1" parsePre="1" consecutive="1" xl2000="1" url="http://stockdata.stock.hexun.com/2009_fhzzgb_000672.shtml" htmlTables="1">
      <tables count="1">
        <x v="3"/>
      </tables>
    </webPr>
  </connection>
  <connection id="754" xr16:uid="{7A6941DD-25A0-4D91-9EFC-91ABCB176EBD}" name="连接5721" type="4" refreshedVersion="6" background="1" saveData="1">
    <webPr sourceData="1" parsePre="1" consecutive="1" xl2000="1" url="http://quotes.money.163.com/f10/zcfzb_002832.html?type=year" htmlTables="1">
      <tables count="1">
        <x v="4"/>
      </tables>
    </webPr>
  </connection>
  <connection id="755" xr16:uid="{43D8A601-5929-4F4E-847A-90EDBA914972}" name="连接5731" type="4" refreshedVersion="6" background="1" saveData="1">
    <webPr sourceData="1" parsePre="1" consecutive="1" xl2000="1" url="http://quotes.money.163.com/f10/zcfzb_002832.html?type=year" htmlTables="1">
      <tables count="1">
        <x v="5"/>
      </tables>
    </webPr>
  </connection>
  <connection id="756" xr16:uid="{FFB3E477-0DD1-4F73-912C-1C5A3022DE39}" name="连接5741" type="4" refreshedVersion="6" background="1" saveData="1">
    <webPr sourceData="1" parsePre="1" consecutive="1" xl2000="1" url="http://quotes.money.163.com/f10/lrb_002832.html?type=year" htmlTables="1">
      <tables count="1">
        <x v="4"/>
      </tables>
    </webPr>
  </connection>
  <connection id="757" xr16:uid="{39366414-1702-4D5A-978C-8748658820D7}" name="连接5751" type="4" refreshedVersion="6" background="1" saveData="1">
    <webPr sourceData="1" parsePre="1" consecutive="1" xl2000="1" url="http://quotes.money.163.com/f10/lrb_002832.html?type=year" htmlTables="1">
      <tables count="1">
        <x v="5"/>
      </tables>
    </webPr>
  </connection>
  <connection id="758" xr16:uid="{CFE40C70-1E31-44C3-B4CA-48F21664EC87}" name="连接5761" type="4" refreshedVersion="6" background="1" saveData="1">
    <webPr sourceData="1" parsePre="1" consecutive="1" xl2000="1" url="http://quotes.money.163.com/f10/xjllb_002832.html?type=year" htmlTables="1">
      <tables count="1">
        <x v="4"/>
      </tables>
    </webPr>
  </connection>
  <connection id="759" xr16:uid="{B2ADEF9D-DE89-4BDD-BDEF-F85013071BBE}" name="连接577" type="4" refreshedVersion="6" background="1" saveData="1">
    <webPr sourceData="1" parsePre="1" consecutive="1" xl2000="1" url="http://stockdata.stock.hexun.com/2009_fhzzgb_600633.shtml" htmlTables="1">
      <tables count="1">
        <x v="3"/>
      </tables>
    </webPr>
  </connection>
  <connection id="760" xr16:uid="{D5CA7B6F-4A02-42B7-BB5D-CE5740AD520C}" name="连接5781" type="4" refreshedVersion="6" background="1" saveData="1">
    <webPr sourceData="1" parsePre="1" consecutive="1" xl2000="1" url="http://quotes.money.163.com/f10/xjllb_002832.html?type=year" htmlTables="1">
      <tables count="1">
        <x v="5"/>
      </tables>
    </webPr>
  </connection>
  <connection id="761" xr16:uid="{CAEE6C2F-8335-4D95-9428-1D49D1E29227}" name="连接579" type="4" refreshedVersion="6" background="1" saveData="1">
    <webPr sourceData="1" parsePre="1" consecutive="1" xl2000="1" url="http://stockdata.stock.hexun.com/2009_fhzzgb_002832.shtml" htmlTables="1">
      <tables count="1">
        <x v="3"/>
      </tables>
    </webPr>
  </connection>
  <connection id="762" xr16:uid="{00000000-0015-0000-FFFF-FFFF62010000}" name="连接58" type="4" refreshedVersion="4" background="1">
    <webPr sourceData="1" parsePre="1" consecutive="1" xl2000="1" url="http://stockdata.stock.hexun.com/2008/zcfz.aspx?stockid=000581&amp;accountdate=2018.12.31" htmlTables="1">
      <tables count="1">
        <x v="3"/>
      </tables>
    </webPr>
  </connection>
  <connection id="763" xr16:uid="{49720D38-DBDE-4F3E-BEC6-33B897E42B74}" name="连接5801" type="4" refreshedVersion="6" background="1" saveData="1">
    <webPr sourceData="1" parsePre="1" consecutive="1" xl2000="1" url="http://quotes.money.163.com/f10/zcfzb_600031.html?type=year" htmlTables="1">
      <tables count="1">
        <x v="4"/>
      </tables>
    </webPr>
  </connection>
  <connection id="764" xr16:uid="{C81DE257-9846-44FD-9928-2773ED92FF54}" name="连接5811" type="4" refreshedVersion="6" background="1" saveData="1">
    <webPr sourceData="1" parsePre="1" consecutive="1" xl2000="1" url="http://quotes.money.163.com/f10/zcfzb_600031.html?type=year" htmlTables="1">
      <tables count="1">
        <x v="5"/>
      </tables>
    </webPr>
  </connection>
  <connection id="765" xr16:uid="{2C4D8DFB-923A-4B41-92C5-A75E3DC1B4BA}" name="连接5821" type="4" refreshedVersion="6" background="1" saveData="1">
    <webPr sourceData="1" parsePre="1" consecutive="1" xl2000="1" url="http://quotes.money.163.com/f10/lrb_600031.html?type=year" htmlTables="1">
      <tables count="1">
        <x v="4"/>
      </tables>
    </webPr>
  </connection>
  <connection id="766" xr16:uid="{014CA97F-9CA7-45A8-9F33-8FDB7CCEC9C0}" name="连接5831" type="4" refreshedVersion="6" background="1" saveData="1">
    <webPr sourceData="1" parsePre="1" consecutive="1" xl2000="1" url="http://quotes.money.163.com/f10/lrb_600031.html?type=year" htmlTables="1">
      <tables count="1">
        <x v="5"/>
      </tables>
    </webPr>
  </connection>
  <connection id="767" xr16:uid="{79137DF1-F09B-46B3-9CFC-D92A97009FB0}" name="连接584" type="4" refreshedVersion="6" background="1" saveData="1">
    <webPr sourceData="1" parsePre="1" consecutive="1" xl2000="1" url="http://stockdata.stock.hexun.com/2009_fhzzgb_601225.shtml" htmlTables="1">
      <tables count="1">
        <x v="3"/>
      </tables>
    </webPr>
  </connection>
  <connection id="768" xr16:uid="{30624692-7FA1-4FFC-A8EF-0C39CE1E4B4E}" name="连接5851" type="4" refreshedVersion="6" background="1" saveData="1">
    <webPr sourceData="1" parsePre="1" consecutive="1" xl2000="1" url="http://quotes.money.163.com/f10/xjllb_600031.html?type=year" htmlTables="1">
      <tables count="1">
        <x v="4"/>
      </tables>
    </webPr>
  </connection>
  <connection id="769" xr16:uid="{C555BC88-6DA2-4354-B13D-9E2797D8999F}" name="连接5861" type="4" refreshedVersion="6" background="1" saveData="1">
    <webPr sourceData="1" parsePre="1" consecutive="1" xl2000="1" url="http://quotes.money.163.com/f10/xjllb_600031.html?type=year" htmlTables="1">
      <tables count="1">
        <x v="5"/>
      </tables>
    </webPr>
  </connection>
  <connection id="770" xr16:uid="{45BE235B-3004-4E57-BE21-5F54C8F7CA4F}" name="连接587" type="4" refreshedVersion="6" background="1" saveData="1">
    <webPr sourceData="1" parsePre="1" consecutive="1" xl2000="1" url="http://stockdata.stock.hexun.com/2009_fhzzgb_600031.shtml" htmlTables="1">
      <tables count="1">
        <x v="3"/>
      </tables>
    </webPr>
  </connection>
  <connection id="771" xr16:uid="{4319518E-12F0-48D9-A147-128CB9997714}" name="连接5881" type="4" refreshedVersion="6" background="1" saveData="1">
    <webPr sourceData="1" parsePre="1" consecutive="1" xl2000="1" url="http://quotes.money.163.com/f10/zcfzb_000725.html?type=year" htmlTables="1">
      <tables count="1">
        <x v="4"/>
      </tables>
    </webPr>
  </connection>
  <connection id="772" xr16:uid="{4476A1C0-0A7C-4F20-9F72-90EFDEB549A1}" name="连接5891" type="4" refreshedVersion="6" background="1" saveData="1">
    <webPr sourceData="1" parsePre="1" consecutive="1" xl2000="1" url="http://quotes.money.163.com/f10/zcfzb_000725.html?type=year" htmlTables="1">
      <tables count="1">
        <x v="5"/>
      </tables>
    </webPr>
  </connection>
  <connection id="773" xr16:uid="{00000000-0015-0000-FFFF-FFFF63010000}" name="连接59" type="4" refreshedVersion="4" background="1">
    <webPr sourceData="1" parsePre="1" consecutive="1" xl2000="1" url="http://stockdata.stock.hexun.com/2008/zcfz.aspx?stockid=000581&amp;accountdate=2017.12.31" htmlTables="1">
      <tables count="1">
        <x v="3"/>
      </tables>
    </webPr>
  </connection>
  <connection id="774" xr16:uid="{F4198D53-37CA-4F7A-A445-76C160C1F7AB}" name="连接5901" type="4" refreshedVersion="6" background="1" saveData="1">
    <webPr sourceData="1" parsePre="1" consecutive="1" xl2000="1" url="http://quotes.money.163.com/f10/lrb_000725.html?type=year" htmlTables="1">
      <tables count="1">
        <x v="4"/>
      </tables>
    </webPr>
  </connection>
  <connection id="775" xr16:uid="{3DECA361-95C4-4B77-9146-2C69CA40AB83}" name="连接591" type="4" refreshedVersion="6" background="1" saveData="1">
    <webPr sourceData="1" parsePre="1" consecutive="1" xl2000="1" url="http://stockdata.stock.hexun.com/2009_fhzzgb_600975.shtml" htmlTables="1">
      <tables count="1">
        <x v="3"/>
      </tables>
    </webPr>
  </connection>
  <connection id="776" xr16:uid="{334BCBE2-E7F6-4263-8E5F-F64109FB2C12}" name="连接5921" type="4" refreshedVersion="6" background="1" saveData="1">
    <webPr sourceData="1" parsePre="1" consecutive="1" xl2000="1" url="http://quotes.money.163.com/f10/lrb_000725.html?type=year" htmlTables="1">
      <tables count="1">
        <x v="5"/>
      </tables>
    </webPr>
  </connection>
  <connection id="777" xr16:uid="{58D24727-27A7-44BC-BC43-470BD176CC61}" name="连接5931" type="4" refreshedVersion="6" background="1" saveData="1">
    <webPr sourceData="1" parsePre="1" consecutive="1" xl2000="1" url="http://quotes.money.163.com/f10/xjllb_000725.html?type=year" htmlTables="1">
      <tables count="1">
        <x v="4"/>
      </tables>
    </webPr>
  </connection>
  <connection id="778" xr16:uid="{7AB71970-B5CE-4369-9B4F-F9DFE4CBA6C3}" name="连接5941" type="4" refreshedVersion="6" background="1" saveData="1">
    <webPr sourceData="1" parsePre="1" consecutive="1" xl2000="1" url="http://quotes.money.163.com/f10/xjllb_000725.html?type=year" htmlTables="1">
      <tables count="1">
        <x v="5"/>
      </tables>
    </webPr>
  </connection>
  <connection id="779" xr16:uid="{60AD13BD-C041-425A-B352-9118D4657E1E}" name="连接595" type="4" refreshedVersion="6" background="1" saveData="1">
    <webPr sourceData="1" parsePre="1" consecutive="1" xl2000="1" url="http://stockdata.stock.hexun.com/2009_fhzzgb_000725.shtml" htmlTables="1">
      <tables count="1">
        <x v="3"/>
      </tables>
    </webPr>
  </connection>
  <connection id="780" xr16:uid="{799C1BA2-0F0E-464F-BEB6-0351A2085945}" name="连接5961" type="4" refreshedVersion="6" background="1" saveData="1">
    <webPr sourceData="1" parsePre="1" consecutive="1" xl2000="1" url="http://quotes.money.163.com/f10/zcfzb_600019.html?type=year" htmlTables="1">
      <tables count="1">
        <x v="4"/>
      </tables>
    </webPr>
  </connection>
  <connection id="781" xr16:uid="{8300836D-83EB-4FCD-8093-198219076641}" name="连接5971" type="4" refreshedVersion="6" background="1" saveData="1">
    <webPr sourceData="1" parsePre="1" consecutive="1" xl2000="1" url="http://quotes.money.163.com/f10/zcfzb_600019.html?type=year" htmlTables="1">
      <tables count="1">
        <x v="5"/>
      </tables>
    </webPr>
  </connection>
  <connection id="782" xr16:uid="{8F4607B0-A06D-4CB1-A66E-F32F600BB38F}" name="连接598" type="4" refreshedVersion="6" background="1" saveData="1">
    <webPr sourceData="1" parsePre="1" consecutive="1" xl2000="1" url="http://stockdata.stock.hexun.com/2009_fhzzgb_002223.shtml" htmlTables="1">
      <tables count="1">
        <x v="3"/>
      </tables>
    </webPr>
  </connection>
  <connection id="783" xr16:uid="{3A022D22-F36E-434D-9392-07045288D802}" name="连接5991" type="4" refreshedVersion="6" background="1" saveData="1">
    <webPr sourceData="1" parsePre="1" consecutive="1" xl2000="1" url="http://quotes.money.163.com/f10/lrb_600019.html?type=year" htmlTables="1">
      <tables count="1">
        <x v="4"/>
      </tables>
    </webPr>
  </connection>
  <connection id="784" xr16:uid="{00000000-0015-0000-FFFF-FFFF64010000}" name="连接6" type="4" refreshedVersion="4" background="1" saveData="1">
    <webPr sourceData="1" parsePre="1" consecutive="1" xl2000="1" url="http://app.finance.ifeng.com/data/stock/tab_zcfzb.php?symbol=600660" htmlTables="1"/>
  </connection>
  <connection id="785" xr16:uid="{00000000-0015-0000-FFFF-FFFF65010000}" name="连接60" type="4" refreshedVersion="4" background="1">
    <webPr sourceData="1" parsePre="1" consecutive="1" xl2000="1" url="http://stockdata.stock.hexun.com/2008/zcfz.aspx?stockid=000581&amp;accountdate=2016.12.31" htmlTables="1">
      <tables count="1">
        <x v="3"/>
      </tables>
    </webPr>
  </connection>
  <connection id="786" xr16:uid="{DC014388-998E-4265-BFA3-B6BA1832F634}" name="连接6001" type="4" refreshedVersion="6" background="1" saveData="1">
    <webPr sourceData="1" parsePre="1" consecutive="1" xl2000="1" url="http://quotes.money.163.com/f10/lrb_600019.html?type=year" htmlTables="1">
      <tables count="1">
        <x v="5"/>
      </tables>
    </webPr>
  </connection>
  <connection id="787" xr16:uid="{9C30F1BE-7DFC-4885-B1F7-D05FBF72C727}" name="连接6011" type="4" refreshedVersion="6" background="1" saveData="1">
    <webPr sourceData="1" parsePre="1" consecutive="1" xl2000="1" url="http://quotes.money.163.com/f10/xjllb_600019.html?type=year" htmlTables="1">
      <tables count="1">
        <x v="4"/>
      </tables>
    </webPr>
  </connection>
  <connection id="788" xr16:uid="{7E2470C8-B22F-48B5-91EE-159D32581903}" name="连接6021" type="4" refreshedVersion="6" background="1" saveData="1">
    <webPr sourceData="1" parsePre="1" consecutive="1" xl2000="1" url="http://quotes.money.163.com/f10/xjllb_600019.html?type=year" htmlTables="1">
      <tables count="1">
        <x v="5"/>
      </tables>
    </webPr>
  </connection>
  <connection id="789" xr16:uid="{87BF6994-FF0D-4012-863D-E09AD203386E}" name="连接603" type="4" refreshedVersion="6" background="1" saveData="1">
    <webPr sourceData="1" parsePre="1" consecutive="1" xl2000="1" url="http://stockdata.stock.hexun.com/2009_fhzzgb_600019.shtml" htmlTables="1">
      <tables count="1">
        <x v="3"/>
      </tables>
    </webPr>
  </connection>
  <connection id="790" xr16:uid="{808D67B4-D2CF-40DE-A7D5-40872C50BACB}" name="连接607" type="4" refreshedVersion="6" background="1" saveData="1">
    <webPr sourceData="1" parsePre="1" consecutive="1" xl2000="1" url="http://stockdata.stock.hexun.com/2009_fhzzgb_002382.shtml" htmlTables="1">
      <tables count="1">
        <x v="3"/>
      </tables>
    </webPr>
  </connection>
  <connection id="791" xr16:uid="{00000000-0015-0000-FFFF-FFFF66010000}" name="连接61" type="4" refreshedVersion="4" background="1">
    <webPr sourceData="1" parsePre="1" consecutive="1" xl2000="1" url="http://stockdata.stock.hexun.com/2008/lr.aspx?stockid=000581&amp;accountdate=2016.12.31" htmlTables="1">
      <tables count="1">
        <x v="3"/>
      </tables>
    </webPr>
  </connection>
  <connection id="792" xr16:uid="{AE5191D7-DA11-4862-AB7A-99CC295E91D7}" name="连接614" type="4" refreshedVersion="6" background="1" saveData="1">
    <webPr sourceData="1" parsePre="1" consecutive="1" xl2000="1" url="http://stockdata.stock.hexun.com/2009_fhzzgb_002432.shtml" htmlTables="1">
      <tables count="1">
        <x v="3"/>
      </tables>
    </webPr>
  </connection>
  <connection id="793" xr16:uid="{00000000-0015-0000-FFFF-FFFF67010000}" name="连接62" type="4" refreshedVersion="4" background="1">
    <webPr sourceData="1" parsePre="1" consecutive="1" xl2000="1" url="http://stockdata.stock.hexun.com/2008/lr.aspx?stockid=000581&amp;accountdate=2017.12.31" htmlTables="1">
      <tables count="1">
        <x v="3"/>
      </tables>
    </webPr>
  </connection>
  <connection id="794" xr16:uid="{3FE02E2B-104B-4439-B62E-04BE85972EB4}" name="连接621" type="4" refreshedVersion="6" background="1" saveData="1">
    <webPr sourceData="1" parsePre="1" consecutive="1" xl2000="1" url="http://stockdata.stock.hexun.com/2009_fhzzgb_002734.shtml" htmlTables="1">
      <tables count="1">
        <x v="3"/>
      </tables>
    </webPr>
  </connection>
  <connection id="795" xr16:uid="{ED0BBB8B-66E7-49F8-87B7-01D05600F70B}" name="连接628" type="4" refreshedVersion="6" background="1" saveData="1">
    <webPr sourceData="1" parsePre="1" consecutive="1" xl2000="1" url="http://stockdata.stock.hexun.com/2009_fhzzgb_002768.shtml" htmlTables="1">
      <tables count="1">
        <x v="3"/>
      </tables>
    </webPr>
  </connection>
  <connection id="796" xr16:uid="{00000000-0015-0000-FFFF-FFFF68010000}" name="连接63" type="4" refreshedVersion="4" background="1">
    <webPr sourceData="1" parsePre="1" consecutive="1" xl2000="1" url="http://stockdata.stock.hexun.com/2008/lr.aspx?stockid=000581&amp;accountdate=2018.12.31" htmlTables="1">
      <tables count="1">
        <x v="3"/>
      </tables>
    </webPr>
  </connection>
  <connection id="797" xr16:uid="{00000000-0015-0000-FFFF-FFFF69010000}" name="连接64" type="4" refreshedVersion="4" background="1">
    <webPr sourceData="1" parsePre="1" consecutive="1" xl2000="1" url="http://stockdata.stock.hexun.com/2008/xjll.aspx?stockid=000581&amp;accountdate=2016.12.31" htmlTables="1">
      <tables count="1">
        <x v="3"/>
      </tables>
    </webPr>
  </connection>
  <connection id="798" xr16:uid="{B711006B-C4D6-4181-8D29-A9A70CDD565A}" name="连接641" type="4" refreshedVersion="6" background="1" saveData="1">
    <webPr sourceData="1" parsePre="1" consecutive="1" xl2000="1" url="http://stockdata.stock.hexun.com/2009_fhzzgb_300658.shtml" htmlTables="1">
      <tables count="1">
        <x v="3"/>
      </tables>
    </webPr>
  </connection>
  <connection id="799" xr16:uid="{00000000-0015-0000-FFFF-FFFF6A010000}" name="连接65" type="4" refreshedVersion="4" background="1">
    <webPr sourceData="1" parsePre="1" consecutive="1" xl2000="1" url="http://stockdata.stock.hexun.com/2008/xjll.aspx?stockid=000581&amp;accountdate=2017.12.31" htmlTables="1">
      <tables count="1">
        <x v="3"/>
      </tables>
    </webPr>
  </connection>
  <connection id="800" xr16:uid="{00000000-0015-0000-FFFF-FFFF6B010000}" name="连接66" type="4" refreshedVersion="4" background="1">
    <webPr sourceData="1" parsePre="1" consecutive="1" xl2000="1" url="http://stockdata.stock.hexun.com/2008/xjll.aspx?stockid=000581&amp;accountdate=2018.12.31" htmlTables="1">
      <tables count="1">
        <x v="3"/>
      </tables>
    </webPr>
  </connection>
  <connection id="801" xr16:uid="{00000000-0015-0000-FFFF-FFFF6C010000}" name="连接67" type="4" refreshedVersion="4" background="1">
    <webPr sourceData="1" parsePre="1" consecutive="1" xl2000="1" url="http://stockdata.stock.hexun.com/2008/zcfz.aspx?stockid=300132&amp;accountdate=2018.12.31" htmlTables="1">
      <tables count="1">
        <x v="3"/>
      </tables>
    </webPr>
  </connection>
  <connection id="802" xr16:uid="{3F35B5B1-B87D-41E9-B8A3-F6BF9C23E552}" name="连接672" type="4" refreshedVersion="6" background="1" saveData="1">
    <webPr sourceData="1" parsePre="1" consecutive="1" xl2000="1" url="http://stockdata.stock.hexun.com/2009_fhzzgb_600143.shtml" htmlTables="1">
      <tables count="1">
        <x v="3"/>
      </tables>
    </webPr>
  </connection>
  <connection id="803" xr16:uid="{C4A2E576-E3E3-4949-8163-2ECAA90EC80A}" name="连接679" type="4" refreshedVersion="6" background="1" saveData="1">
    <webPr sourceData="1" parsePre="1" consecutive="1" xl2000="1" url="http://stockdata.stock.hexun.com/2009_fhzzgb_601225.shtml" htmlTables="1">
      <tables count="1">
        <x v="3"/>
      </tables>
    </webPr>
  </connection>
  <connection id="804" xr16:uid="{00000000-0015-0000-FFFF-FFFF6D010000}" name="连接68" type="4" refreshedVersion="4" background="1">
    <webPr sourceData="1" parsePre="1" consecutive="1" xl2000="1" url="http://stockdata.stock.hexun.com/2008/zcfz.aspx?stockid=300132&amp;accountdate=2017.12.31" htmlTables="1">
      <tables count="1">
        <x v="3"/>
      </tables>
    </webPr>
  </connection>
  <connection id="805" xr16:uid="{00000000-0015-0000-FFFF-FFFF6E010000}" name="连接69" type="4" refreshedVersion="4" background="1">
    <webPr sourceData="1" parsePre="1" consecutive="1" xl2000="1" url="http://stockdata.stock.hexun.com/2008/zcfz.aspx?stockid=300132&amp;accountdate=2016.12.31" htmlTables="1">
      <tables count="1">
        <x v="3"/>
      </tables>
    </webPr>
  </connection>
  <connection id="806" xr16:uid="{00000000-0015-0000-FFFF-FFFF6F010000}" name="连接7" type="4" refreshedVersion="4" background="1" saveData="1">
    <webPr sourceData="1" parsePre="1" consecutive="1" xl2000="1" url="http://app.finance.ifeng.com/data/stock/tab_zcfzb.php?symbol=600660&amp;day=2015-09-30&amp;go=next" htmlTables="1"/>
  </connection>
  <connection id="807" xr16:uid="{00000000-0015-0000-FFFF-FFFF70010000}" name="连接70" type="4" refreshedVersion="4" background="1">
    <webPr sourceData="1" parsePre="1" consecutive="1" xl2000="1" url="http://stockdata.stock.hexun.com/2008/lr.aspx?stockid=300132&amp;accountdate=2016.12.31" htmlTables="1">
      <tables count="1">
        <x v="3"/>
      </tables>
    </webPr>
  </connection>
  <connection id="808" xr16:uid="{00000000-0015-0000-FFFF-FFFF71010000}" name="连接71" type="4" refreshedVersion="4" background="1">
    <webPr sourceData="1" parsePre="1" consecutive="1" xl2000="1" url="http://stockdata.stock.hexun.com/2008/lr.aspx?stockid=300132&amp;accountdate=2017.12.31" htmlTables="1">
      <tables count="1">
        <x v="3"/>
      </tables>
    </webPr>
  </connection>
  <connection id="809" xr16:uid="{00000000-0015-0000-FFFF-FFFF72010000}" name="连接72" type="4" refreshedVersion="4" background="1">
    <webPr sourceData="1" parsePre="1" consecutive="1" xl2000="1" url="http://stockdata.stock.hexun.com/2008/lr.aspx?stockid=300132&amp;accountdate=2018.12.31" htmlTables="1">
      <tables count="1">
        <x v="3"/>
      </tables>
    </webPr>
  </connection>
  <connection id="810" xr16:uid="{00000000-0015-0000-FFFF-FFFF73010000}" name="连接73" type="4" refreshedVersion="4" background="1">
    <webPr sourceData="1" parsePre="1" consecutive="1" xl2000="1" url="http://stockdata.stock.hexun.com/2008/xjll.aspx?stockid=300132&amp;accountdate=2016.12.31" htmlTables="1">
      <tables count="1">
        <x v="3"/>
      </tables>
    </webPr>
  </connection>
  <connection id="811" xr16:uid="{00000000-0015-0000-FFFF-FFFF74010000}" name="连接74" type="4" refreshedVersion="4" background="1">
    <webPr sourceData="1" parsePre="1" consecutive="1" xl2000="1" url="http://stockdata.stock.hexun.com/2008/xjll.aspx?stockid=300132&amp;accountdate=2017.12.31" htmlTables="1">
      <tables count="1">
        <x v="3"/>
      </tables>
    </webPr>
  </connection>
  <connection id="812" xr16:uid="{00000000-0015-0000-FFFF-FFFF75010000}" name="连接75" type="4" refreshedVersion="4" background="1">
    <webPr sourceData="1" parsePre="1" consecutive="1" xl2000="1" url="http://stockdata.stock.hexun.com/2008/xjll.aspx?stockid=300132&amp;accountdate=2018.12.31" htmlTables="1">
      <tables count="1">
        <x v="3"/>
      </tables>
    </webPr>
  </connection>
  <connection id="813" xr16:uid="{00000000-0015-0000-FFFF-FFFF76010000}" name="连接76" type="4" refreshedVersion="4" background="1">
    <webPr sourceData="1" parsePre="1" consecutive="1" xl2000="1" url="http://stockdata.stock.hexun.com/2008/zcfz.aspx?stockid=300003&amp;accountdate=2018.12.31" htmlTables="1">
      <tables count="1">
        <x v="3"/>
      </tables>
    </webPr>
  </connection>
  <connection id="814" xr16:uid="{00000000-0015-0000-FFFF-FFFF77010000}" name="连接77" type="4" refreshedVersion="4" background="1">
    <webPr sourceData="1" parsePre="1" consecutive="1" xl2000="1" url="http://stockdata.stock.hexun.com/2008/zcfz.aspx?stockid=300003&amp;accountdate=2017.12.31" htmlTables="1">
      <tables count="1">
        <x v="3"/>
      </tables>
    </webPr>
  </connection>
  <connection id="815" xr16:uid="{00000000-0015-0000-FFFF-FFFF78010000}" name="连接78" type="4" refreshedVersion="4" background="1">
    <webPr sourceData="1" parsePre="1" consecutive="1" xl2000="1" url="http://stockdata.stock.hexun.com/2008/zcfz.aspx?stockid=300003&amp;accountdate=2016.12.31" htmlTables="1">
      <tables count="1">
        <x v="3"/>
      </tables>
    </webPr>
  </connection>
  <connection id="816" xr16:uid="{00000000-0015-0000-FFFF-FFFF79010000}" name="连接79" type="4" refreshedVersion="4" background="1">
    <webPr sourceData="1" parsePre="1" consecutive="1" xl2000="1" url="http://stockdata.stock.hexun.com/2008/lr.aspx?stockid=300003&amp;accountdate=2016.12.31" htmlTables="1">
      <tables count="1">
        <x v="3"/>
      </tables>
    </webPr>
  </connection>
  <connection id="817" xr16:uid="{00000000-0015-0000-FFFF-FFFF7A010000}" name="连接8" type="4" refreshedVersion="4" background="1" saveData="1">
    <webPr sourceData="1" parsePre="1" consecutive="1" xl2000="1" url="http://app.finance.ifeng.com/data/stock/tab_zcfzb.php?symbol=600660&amp;day=2014-12-31&amp;go=next" htmlTables="1"/>
  </connection>
  <connection id="818" xr16:uid="{00000000-0015-0000-FFFF-FFFF7B010000}" name="连接80" type="4" refreshedVersion="4" background="1">
    <webPr sourceData="1" parsePre="1" consecutive="1" xl2000="1" url="http://stockdata.stock.hexun.com/2008/lr.aspx?stockid=300003&amp;accountdate=2017.12.31" htmlTables="1">
      <tables count="1">
        <x v="3"/>
      </tables>
    </webPr>
  </connection>
  <connection id="819" xr16:uid="{00000000-0015-0000-FFFF-FFFF7C010000}" name="连接81" type="4" refreshedVersion="4" background="1">
    <webPr sourceData="1" parsePre="1" consecutive="1" xl2000="1" url="http://stockdata.stock.hexun.com/2008/lr.aspx?stockid=300003&amp;accountdate=2018.12.31" htmlTables="1">
      <tables count="1">
        <x v="3"/>
      </tables>
    </webPr>
  </connection>
  <connection id="820" xr16:uid="{00000000-0015-0000-FFFF-FFFF7D010000}" name="连接82" type="4" refreshedVersion="4" background="1">
    <webPr sourceData="1" parsePre="1" consecutive="1" xl2000="1" url="http://stockdata.stock.hexun.com/2008/xjll.aspx?stockid=300003&amp;accountdate=2016.12.31" htmlTables="1">
      <tables count="1">
        <x v="3"/>
      </tables>
    </webPr>
  </connection>
  <connection id="821" xr16:uid="{00000000-0015-0000-FFFF-FFFF7E010000}" name="连接83" type="4" refreshedVersion="4" background="1">
    <webPr sourceData="1" parsePre="1" consecutive="1" xl2000="1" url="http://stockdata.stock.hexun.com/2008/xjll.aspx?stockid=300003&amp;accountdate=2017.12.31" htmlTables="1">
      <tables count="1">
        <x v="3"/>
      </tables>
    </webPr>
  </connection>
  <connection id="822" xr16:uid="{00000000-0015-0000-FFFF-FFFF7F010000}" name="连接84" type="4" refreshedVersion="4" background="1">
    <webPr sourceData="1" parsePre="1" consecutive="1" xl2000="1" url="http://stockdata.stock.hexun.com/2008/xjll.aspx?stockid=300003&amp;accountdate=2018.12.31" htmlTables="1">
      <tables count="1">
        <x v="3"/>
      </tables>
    </webPr>
  </connection>
  <connection id="823" xr16:uid="{00000000-0015-0000-FFFF-FFFF80010000}" name="连接85" type="4" refreshedVersion="4" background="1">
    <webPr sourceData="1" parsePre="1" consecutive="1" xl2000="1" url="http://stockdata.stock.hexun.com/2008/zcfz.aspx?stockid=300602&amp;accountdate=2018.12.31" htmlTables="1">
      <tables count="1">
        <x v="3"/>
      </tables>
    </webPr>
  </connection>
  <connection id="824" xr16:uid="{00000000-0015-0000-FFFF-FFFF81010000}" name="连接86" type="4" refreshedVersion="4" background="1">
    <webPr sourceData="1" parsePre="1" consecutive="1" xl2000="1" url="http://stockdata.stock.hexun.com/2008/zcfz.aspx?stockid=300602&amp;accountdate=2017.12.31" htmlTables="1">
      <tables count="1">
        <x v="3"/>
      </tables>
    </webPr>
  </connection>
  <connection id="825" xr16:uid="{00000000-0015-0000-FFFF-FFFF82010000}" name="连接87" type="4" refreshedVersion="4" background="1">
    <webPr sourceData="1" parsePre="1" consecutive="1" xl2000="1" url="http://stockdata.stock.hexun.com/2008/zcfz.aspx?stockid=300602&amp;accountdate=2016.12.31" htmlTables="1">
      <tables count="1">
        <x v="3"/>
      </tables>
    </webPr>
  </connection>
  <connection id="826" xr16:uid="{00000000-0015-0000-FFFF-FFFF83010000}" name="连接88" type="4" refreshedVersion="4" background="1">
    <webPr sourceData="1" parsePre="1" consecutive="1" xl2000="1" url="http://stockdata.stock.hexun.com/2008/lr.aspx?stockid=300602&amp;accountdate=2016.12.31" htmlTables="1">
      <tables count="1">
        <x v="3"/>
      </tables>
    </webPr>
  </connection>
  <connection id="827" xr16:uid="{00000000-0015-0000-FFFF-FFFF84010000}" name="连接89" type="4" refreshedVersion="4" background="1">
    <webPr sourceData="1" parsePre="1" consecutive="1" xl2000="1" url="http://stockdata.stock.hexun.com/2008/lr.aspx?stockid=300602&amp;accountdate=2017.12.31" htmlTables="1">
      <tables count="1">
        <x v="3"/>
      </tables>
    </webPr>
  </connection>
  <connection id="828" xr16:uid="{00000000-0015-0000-FFFF-FFFF85010000}" name="连接9" type="4" refreshedVersion="4" background="1" saveData="1">
    <webPr sourceData="1" parsePre="1" consecutive="1" xl2000="1" url="http://app.finance.ifeng.com/data/stock/tab_lrb.php?symbol=600660" htmlTables="1"/>
  </connection>
  <connection id="829" xr16:uid="{00000000-0015-0000-FFFF-FFFF86010000}" name="连接90" type="4" refreshedVersion="4" background="1">
    <webPr sourceData="1" parsePre="1" consecutive="1" xl2000="1" url="http://stockdata.stock.hexun.com/2008/lr.aspx?stockid=300602&amp;accountdate=2018.12.31" htmlTables="1">
      <tables count="1">
        <x v="3"/>
      </tables>
    </webPr>
  </connection>
  <connection id="830" xr16:uid="{00000000-0015-0000-FFFF-FFFF87010000}" name="连接91" type="4" refreshedVersion="4" background="1">
    <webPr sourceData="1" parsePre="1" consecutive="1" xl2000="1" url="http://stockdata.stock.hexun.com/2008/xjll.aspx?stockid=300602&amp;accountdate=2016.12.31" htmlTables="1">
      <tables count="1">
        <x v="3"/>
      </tables>
    </webPr>
  </connection>
  <connection id="831" xr16:uid="{00000000-0015-0000-FFFF-FFFF88010000}" name="连接92" type="4" refreshedVersion="4" background="1">
    <webPr sourceData="1" parsePre="1" consecutive="1" xl2000="1" url="http://stockdata.stock.hexun.com/2008/xjll.aspx?stockid=300602&amp;accountdate=2017.12.31" htmlTables="1">
      <tables count="1">
        <x v="3"/>
      </tables>
    </webPr>
  </connection>
  <connection id="832" xr16:uid="{00000000-0015-0000-FFFF-FFFF89010000}" name="连接93" type="4" refreshedVersion="4" background="1">
    <webPr sourceData="1" parsePre="1" consecutive="1" xl2000="1" url="http://stockdata.stock.hexun.com/2008/xjll.aspx?stockid=300602&amp;accountdate=2018.12.31" htmlTables="1">
      <tables count="1">
        <x v="3"/>
      </tables>
    </webPr>
  </connection>
  <connection id="833" xr16:uid="{00000000-0015-0000-FFFF-FFFF8A010000}" name="连接94" type="4" refreshedVersion="4" background="1">
    <webPr sourceData="1" parsePre="1" consecutive="1" xl2000="1" url="http://stockdata.stock.hexun.com/2008/zcfz.aspx?stockid=002020&amp;accountdate=2018.12.31" htmlTables="1">
      <tables count="1">
        <x v="3"/>
      </tables>
    </webPr>
  </connection>
  <connection id="834" xr16:uid="{00000000-0015-0000-FFFF-FFFF8B010000}" name="连接95" type="4" refreshedVersion="4" background="1">
    <webPr sourceData="1" parsePre="1" consecutive="1" xl2000="1" url="http://stockdata.stock.hexun.com/2008/zcfz.aspx?stockid=002020&amp;accountdate=2017.12.31" htmlTables="1">
      <tables count="1">
        <x v="3"/>
      </tables>
    </webPr>
  </connection>
  <connection id="835" xr16:uid="{00000000-0015-0000-FFFF-FFFF8C010000}" name="连接96" type="4" refreshedVersion="4" background="1">
    <webPr sourceData="1" parsePre="1" consecutive="1" xl2000="1" url="http://stockdata.stock.hexun.com/2008/zcfz.aspx?stockid=002020&amp;accountdate=2016.12.31" htmlTables="1">
      <tables count="1">
        <x v="3"/>
      </tables>
    </webPr>
  </connection>
  <connection id="836" xr16:uid="{00000000-0015-0000-FFFF-FFFF8D010000}" name="连接97" type="4" refreshedVersion="4" background="1">
    <webPr sourceData="1" parsePre="1" consecutive="1" xl2000="1" url="http://stockdata.stock.hexun.com/2008/lr.aspx?stockid=002020&amp;accountdate=2016.12.31" htmlTables="1">
      <tables count="1">
        <x v="3"/>
      </tables>
    </webPr>
  </connection>
  <connection id="837" xr16:uid="{00000000-0015-0000-FFFF-FFFF8E010000}" name="连接98" type="4" refreshedVersion="4" background="1">
    <webPr sourceData="1" parsePre="1" consecutive="1" xl2000="1" url="http://stockdata.stock.hexun.com/2008/lr.aspx?stockid=002020&amp;accountdate=2017.12.31" htmlTables="1">
      <tables count="1">
        <x v="3"/>
      </tables>
    </webPr>
  </connection>
  <connection id="838" xr16:uid="{00000000-0015-0000-FFFF-FFFF8F010000}" name="连接99" type="4" refreshedVersion="4" background="1">
    <webPr sourceData="1" parsePre="1" consecutive="1" xl2000="1" url="http://stockdata.stock.hexun.com/2008/lr.aspx?stockid=002020&amp;accountdate=2018.12.31" htmlTables="1">
      <tables count="1">
        <x v="3"/>
      </tables>
    </webPr>
  </connection>
</connections>
</file>

<file path=xl/sharedStrings.xml><?xml version="1.0" encoding="utf-8"?>
<sst xmlns="http://schemas.openxmlformats.org/spreadsheetml/2006/main" count="8913" uniqueCount="1835">
  <si>
    <t>报表来源</t>
  </si>
  <si>
    <t>年报</t>
  </si>
  <si>
    <t>资产</t>
  </si>
  <si>
    <t>流动资产</t>
  </si>
  <si>
    <t>货币资金</t>
  </si>
  <si>
    <t>交易性金融资产</t>
  </si>
  <si>
    <t>其他货币资金</t>
  </si>
  <si>
    <t>短期投资（原值）</t>
  </si>
  <si>
    <t>短期投资跌价准备</t>
  </si>
  <si>
    <t>短期投资净额</t>
  </si>
  <si>
    <t>应收票据</t>
  </si>
  <si>
    <t>应收股利</t>
  </si>
  <si>
    <t>应收利息</t>
  </si>
  <si>
    <t>坏账准备</t>
  </si>
  <si>
    <t>应收账款净额</t>
  </si>
  <si>
    <t>其他应收款净额</t>
  </si>
  <si>
    <t>预付账款</t>
  </si>
  <si>
    <t>应收补贴款</t>
  </si>
  <si>
    <t>预缴税金</t>
  </si>
  <si>
    <t>内部应收款</t>
  </si>
  <si>
    <t>应收内部单位款</t>
  </si>
  <si>
    <t>应收关联企业款</t>
  </si>
  <si>
    <t>期货保证金</t>
  </si>
  <si>
    <t>应收席位费</t>
  </si>
  <si>
    <t>存货（原值）</t>
  </si>
  <si>
    <t>其中：消耗性生物资产</t>
  </si>
  <si>
    <t>存货跌价准备</t>
  </si>
  <si>
    <t>存货（净额）</t>
  </si>
  <si>
    <t>待摊费用</t>
  </si>
  <si>
    <t>待转其他业务支出</t>
  </si>
  <si>
    <t>工程施工</t>
  </si>
  <si>
    <t>待处理流动资产净损失</t>
  </si>
  <si>
    <t>一年内到期的长期债权投资</t>
  </si>
  <si>
    <t>一年内到期的非流动资产</t>
  </si>
  <si>
    <t>其他流动资产</t>
  </si>
  <si>
    <t>影响流动资产其他科目</t>
  </si>
  <si>
    <t>可供出售金融资产</t>
  </si>
  <si>
    <t>股权分置流通权</t>
  </si>
  <si>
    <t>持有至到期投资</t>
  </si>
  <si>
    <t>投资性房地产</t>
  </si>
  <si>
    <t>长期应收款</t>
  </si>
  <si>
    <t>其他长期投资（原值）</t>
  </si>
  <si>
    <t>长期投资（原值）</t>
  </si>
  <si>
    <t>长期投资减值准备</t>
  </si>
  <si>
    <t>长期股权投资净额</t>
  </si>
  <si>
    <t>长期债权投资净额</t>
  </si>
  <si>
    <t>其他长期投资净额</t>
  </si>
  <si>
    <t>长期投资净额</t>
  </si>
  <si>
    <t>合并价差</t>
  </si>
  <si>
    <t>股权投资差额</t>
  </si>
  <si>
    <t>固定资产</t>
  </si>
  <si>
    <t>固定资产原值</t>
  </si>
  <si>
    <t>累计折旧</t>
  </si>
  <si>
    <t>固定资产净值</t>
  </si>
  <si>
    <t>固定资产减值准备</t>
  </si>
  <si>
    <t>固定资产净额</t>
  </si>
  <si>
    <t>工程物资</t>
  </si>
  <si>
    <t>在建工程</t>
  </si>
  <si>
    <t>固定资产清理</t>
  </si>
  <si>
    <t>生产性生物资产</t>
  </si>
  <si>
    <t>油气资产</t>
  </si>
  <si>
    <t>待处理固定资产净损失</t>
  </si>
  <si>
    <t>固定资产合计</t>
  </si>
  <si>
    <t>无形资产及其他资产</t>
  </si>
  <si>
    <t>无形资产</t>
  </si>
  <si>
    <t>开发支出</t>
  </si>
  <si>
    <t>商誉</t>
  </si>
  <si>
    <t>开办费</t>
  </si>
  <si>
    <t>递延资产</t>
  </si>
  <si>
    <t>长期待摊费用</t>
  </si>
  <si>
    <t>其他长期资产</t>
  </si>
  <si>
    <t>无形资产及其他资产合计</t>
  </si>
  <si>
    <t>递延税项</t>
  </si>
  <si>
    <t>递延所得税资产</t>
  </si>
  <si>
    <t>其他非流动资产</t>
  </si>
  <si>
    <t>影响非流动资产其他科目</t>
  </si>
  <si>
    <t>短期借款</t>
  </si>
  <si>
    <t>交易性金融负债</t>
  </si>
  <si>
    <t>应付票据</t>
  </si>
  <si>
    <t>应付账款</t>
  </si>
  <si>
    <t>预收账款</t>
  </si>
  <si>
    <t>代销商品款</t>
  </si>
  <si>
    <t>应付职工薪酬</t>
  </si>
  <si>
    <t>应付福利费</t>
  </si>
  <si>
    <t>应付股利</t>
  </si>
  <si>
    <t>应交税费</t>
  </si>
  <si>
    <t>应付利息</t>
  </si>
  <si>
    <t>待扣税金</t>
  </si>
  <si>
    <t>其他应交款</t>
  </si>
  <si>
    <t>内部应付款</t>
  </si>
  <si>
    <t>应付内部单位款</t>
  </si>
  <si>
    <t>应付关联企业款</t>
  </si>
  <si>
    <t>其他应付款</t>
  </si>
  <si>
    <t>应付短期债券</t>
  </si>
  <si>
    <t>预提费用</t>
  </si>
  <si>
    <t>工程结算</t>
  </si>
  <si>
    <t>国内票证结算</t>
  </si>
  <si>
    <t>国际票证结算</t>
  </si>
  <si>
    <t>预计负债</t>
  </si>
  <si>
    <t>一年内到期的非流动负债</t>
  </si>
  <si>
    <t>一年内到期的长期负债</t>
  </si>
  <si>
    <t>其他流动负债</t>
  </si>
  <si>
    <t>职工奖励及福利基金</t>
  </si>
  <si>
    <t>影响流动负债其他科目</t>
  </si>
  <si>
    <t>长期借款</t>
  </si>
  <si>
    <t>应付债券</t>
  </si>
  <si>
    <t>长期应付款</t>
  </si>
  <si>
    <t>专项应付款</t>
  </si>
  <si>
    <t>住房周转金</t>
  </si>
  <si>
    <t>其他长期负债</t>
  </si>
  <si>
    <t>长期负债合计</t>
  </si>
  <si>
    <t>递延利息收入</t>
  </si>
  <si>
    <t>递延所得税负债</t>
  </si>
  <si>
    <t>其他非流动负</t>
  </si>
  <si>
    <t>影响非流动负债其他科目</t>
  </si>
  <si>
    <t>股东权益</t>
  </si>
  <si>
    <t>向前&lt;&lt;截止日期&gt;&gt;向后</t>
  </si>
  <si>
    <t>分类</t>
    <phoneticPr fontId="3" type="noConversion"/>
  </si>
  <si>
    <t>年份</t>
  </si>
  <si>
    <t>收入增长率</t>
    <phoneticPr fontId="3" type="noConversion"/>
  </si>
  <si>
    <t>税前经营利润率（%）</t>
  </si>
  <si>
    <t>利润表项目：</t>
  </si>
  <si>
    <t>所得税税率</t>
  </si>
  <si>
    <t>I：税前经营利润</t>
  </si>
  <si>
    <t>税后经营利润</t>
  </si>
  <si>
    <t>税前金融损益</t>
  </si>
  <si>
    <t>税后金融损益</t>
  </si>
  <si>
    <t>资产负债表假设：</t>
  </si>
  <si>
    <t>经营营运资本/销售（%）</t>
  </si>
  <si>
    <t>非流动资产／销售收入（%）</t>
    <phoneticPr fontId="3" type="noConversion"/>
  </si>
  <si>
    <t>资产负债项目：</t>
  </si>
  <si>
    <t>金融负债</t>
  </si>
  <si>
    <t>金融资产</t>
  </si>
  <si>
    <t>经营负债</t>
  </si>
  <si>
    <t>经营性非流动资产</t>
  </si>
  <si>
    <t>经营性流动资产</t>
  </si>
  <si>
    <t>净负债+股东权益</t>
  </si>
  <si>
    <t>经营性净资产</t>
    <phoneticPr fontId="3" type="noConversion"/>
  </si>
  <si>
    <t>净负债</t>
  </si>
  <si>
    <t>净负债增加</t>
  </si>
  <si>
    <t>股东权益增加</t>
  </si>
  <si>
    <t>股利支付率</t>
  </si>
  <si>
    <t>现金流量：</t>
  </si>
  <si>
    <t>实体现金流量</t>
  </si>
  <si>
    <t>估值表</t>
  </si>
  <si>
    <t>债务成本</t>
  </si>
  <si>
    <t>资本成本</t>
  </si>
  <si>
    <t>每股股利</t>
  </si>
  <si>
    <t>折现系数</t>
  </si>
  <si>
    <t>股利</t>
  </si>
  <si>
    <t>成长期现值</t>
  </si>
  <si>
    <t>后续期现值</t>
  </si>
  <si>
    <t>权益净利率</t>
  </si>
  <si>
    <t>实体价值合计：</t>
  </si>
  <si>
    <t>可持续增长率</t>
  </si>
  <si>
    <t>零增长价格</t>
  </si>
  <si>
    <t>资产负债率</t>
  </si>
  <si>
    <t>股权价值：</t>
  </si>
  <si>
    <t>股权成本</t>
  </si>
  <si>
    <t>股票价值</t>
  </si>
  <si>
    <t>股价</t>
  </si>
  <si>
    <t>流通股数</t>
  </si>
  <si>
    <t>近三年平均增长率</t>
    <phoneticPr fontId="3" type="noConversion"/>
  </si>
  <si>
    <t>加权平均资本成本</t>
  </si>
  <si>
    <t>预测期增长率</t>
  </si>
  <si>
    <t>本期市盈率</t>
  </si>
  <si>
    <t>稳定期增长率</t>
  </si>
  <si>
    <t>内在市盈率</t>
  </si>
  <si>
    <t>所得税率</t>
  </si>
  <si>
    <t>股价估值</t>
  </si>
  <si>
    <t>稀释每股收益</t>
  </si>
  <si>
    <t>本期市净率</t>
  </si>
  <si>
    <t>权益净利率</t>
    <phoneticPr fontId="3" type="noConversion"/>
  </si>
  <si>
    <t>本期市销率</t>
  </si>
  <si>
    <t>净债务价值：</t>
  </si>
  <si>
    <t>可持续增长率</t>
    <phoneticPr fontId="3" type="noConversion"/>
  </si>
  <si>
    <t>分类</t>
    <phoneticPr fontId="3" type="noConversion"/>
  </si>
  <si>
    <t>递延收益-非流动负债</t>
  </si>
  <si>
    <t>其他非流动负债</t>
  </si>
  <si>
    <t>税后净利润</t>
    <phoneticPr fontId="3" type="noConversion"/>
  </si>
  <si>
    <t>加：折旧与摊销</t>
    <phoneticPr fontId="3" type="noConversion"/>
  </si>
  <si>
    <t>减：本年净投资（营运资本增加+净投资）</t>
    <phoneticPr fontId="3" type="noConversion"/>
  </si>
  <si>
    <t>实体现金流量</t>
    <phoneticPr fontId="3" type="noConversion"/>
  </si>
  <si>
    <t>预测期1</t>
    <phoneticPr fontId="3" type="noConversion"/>
  </si>
  <si>
    <t>预测期2</t>
  </si>
  <si>
    <t>预测期3</t>
  </si>
  <si>
    <t>预测期4</t>
  </si>
  <si>
    <t>预测期5</t>
  </si>
  <si>
    <t>平稳期</t>
    <phoneticPr fontId="3" type="noConversion"/>
  </si>
  <si>
    <t>经济增加值</t>
    <phoneticPr fontId="3" type="noConversion"/>
  </si>
  <si>
    <t>资本成本（净经营资产*折现率）</t>
    <phoneticPr fontId="3" type="noConversion"/>
  </si>
  <si>
    <t>加：研发支出+利息费用</t>
    <phoneticPr fontId="3" type="noConversion"/>
  </si>
  <si>
    <t>平衡校验</t>
    <phoneticPr fontId="3" type="noConversion"/>
  </si>
  <si>
    <t>净经营资产</t>
    <phoneticPr fontId="3" type="noConversion"/>
  </si>
  <si>
    <t>净负债</t>
    <phoneticPr fontId="3" type="noConversion"/>
  </si>
  <si>
    <t>净负债+股东权益</t>
    <phoneticPr fontId="3" type="noConversion"/>
  </si>
  <si>
    <t>平衡校验</t>
    <phoneticPr fontId="3" type="noConversion"/>
  </si>
  <si>
    <t>资产</t>
    <phoneticPr fontId="3" type="noConversion"/>
  </si>
  <si>
    <t>负债</t>
    <phoneticPr fontId="3" type="noConversion"/>
  </si>
  <si>
    <t>负债加所有者权益</t>
    <phoneticPr fontId="3" type="noConversion"/>
  </si>
  <si>
    <t>向前&lt;&lt; 变动日期 &gt;&gt;向后</t>
  </si>
  <si>
    <t>偿债能力分析</t>
  </si>
  <si>
    <t>流动比率</t>
  </si>
  <si>
    <t>速动比率</t>
  </si>
  <si>
    <t>应收账款周转率</t>
  </si>
  <si>
    <t>应收账款周转天数</t>
  </si>
  <si>
    <t>长期债务与营运资金比率</t>
  </si>
  <si>
    <t>资本结构分析</t>
  </si>
  <si>
    <t>股东权益比率</t>
  </si>
  <si>
    <t>长期负债比率</t>
  </si>
  <si>
    <t>股东权益与固定资产比率</t>
  </si>
  <si>
    <t>长期资产与长期资金比率</t>
  </si>
  <si>
    <t>资本化比率</t>
  </si>
  <si>
    <t>资本固定化比率</t>
  </si>
  <si>
    <t>清算价值比率</t>
  </si>
  <si>
    <t>固定资产比重</t>
  </si>
  <si>
    <t>总资产周转率</t>
  </si>
  <si>
    <t>总资产周转天数</t>
  </si>
  <si>
    <t>流动资产周转率</t>
  </si>
  <si>
    <t>流动资产周转天数</t>
  </si>
  <si>
    <t>股东权益周转率</t>
  </si>
  <si>
    <t>获利能力分析</t>
  </si>
  <si>
    <t>总资产利润率</t>
  </si>
  <si>
    <t>主营业务利润率</t>
  </si>
  <si>
    <t>总资产报酬率</t>
  </si>
  <si>
    <t>销售毛利率</t>
  </si>
  <si>
    <t>销售净利率</t>
  </si>
  <si>
    <t>成本费用利润率</t>
  </si>
  <si>
    <t>营业利润率</t>
  </si>
  <si>
    <t>主营业务成本率</t>
  </si>
  <si>
    <t>股本报酬率</t>
  </si>
  <si>
    <t>非主营比重</t>
  </si>
  <si>
    <t>主营利润比重</t>
  </si>
  <si>
    <t>三项费用比重</t>
  </si>
  <si>
    <t>发展能力分析</t>
  </si>
  <si>
    <t>每股收益增长率</t>
  </si>
  <si>
    <t>每股股利增长率</t>
  </si>
  <si>
    <t>每股经营现金流量增长率</t>
  </si>
  <si>
    <t>主营业务收入增长率</t>
  </si>
  <si>
    <t>主营利润增长率</t>
  </si>
  <si>
    <t>净利润增长率</t>
  </si>
  <si>
    <t>净资产增长率</t>
  </si>
  <si>
    <t>总资产增长率</t>
  </si>
  <si>
    <t>固定资产增长率</t>
  </si>
  <si>
    <t>每股资本公积</t>
  </si>
  <si>
    <t>每股未分配利润</t>
  </si>
  <si>
    <t>现金流量分析</t>
  </si>
  <si>
    <t>销售收现比率</t>
  </si>
  <si>
    <t>购货付现比率</t>
  </si>
  <si>
    <t>经营现金净流量对销售收入的比率</t>
  </si>
  <si>
    <t>资产的经营现金流量回报率</t>
  </si>
  <si>
    <t>经营现金净流量对净利润的比率</t>
  </si>
  <si>
    <t>经营现金净流量对负债比率</t>
  </si>
  <si>
    <t>现金流量比率</t>
  </si>
  <si>
    <t>投资收益分析</t>
  </si>
  <si>
    <t>股息发放率</t>
  </si>
  <si>
    <t>普通股获利率</t>
  </si>
  <si>
    <t>本利比</t>
  </si>
  <si>
    <t>市盈率</t>
  </si>
  <si>
    <t>市净率</t>
  </si>
  <si>
    <t>投资收益率</t>
  </si>
  <si>
    <t>会计年度</t>
  </si>
  <si>
    <t>应收账款</t>
  </si>
  <si>
    <t>预付款项</t>
  </si>
  <si>
    <t>其他应收款</t>
  </si>
  <si>
    <t>存货</t>
  </si>
  <si>
    <t>长期股权投资</t>
  </si>
  <si>
    <t>预收款项</t>
  </si>
  <si>
    <t>股东权益核对</t>
    <phoneticPr fontId="3" type="noConversion"/>
  </si>
  <si>
    <t>资产核对</t>
    <phoneticPr fontId="3" type="noConversion"/>
  </si>
  <si>
    <t>负债核对</t>
    <phoneticPr fontId="3" type="noConversion"/>
  </si>
  <si>
    <t>衍生金融资产</t>
  </si>
  <si>
    <t>合同负债</t>
  </si>
  <si>
    <t>金融负债</t>
    <phoneticPr fontId="3" type="noConversion"/>
  </si>
  <si>
    <t>递延收益</t>
  </si>
  <si>
    <t>衍生金融负债</t>
  </si>
  <si>
    <t>长期应付职工薪酬</t>
  </si>
  <si>
    <t>报告年度</t>
  </si>
  <si>
    <t>一、经营活动产生的现金流量</t>
  </si>
  <si>
    <t>二、投资活动产生的现金流量</t>
  </si>
  <si>
    <t>三、筹资活动产生的现金流量</t>
  </si>
  <si>
    <t>五、现金及现金等价物净增加额</t>
  </si>
  <si>
    <t>2、不涉及现金收支的重大投资和筹资活动</t>
  </si>
  <si>
    <t>差额</t>
    <phoneticPr fontId="3" type="noConversion"/>
  </si>
  <si>
    <t>代码</t>
  </si>
  <si>
    <t>名称</t>
  </si>
  <si>
    <t>涨幅%</t>
  </si>
  <si>
    <t>量比</t>
  </si>
  <si>
    <t>现价</t>
  </si>
  <si>
    <t>华新水泥</t>
  </si>
  <si>
    <t>万 科Ａ</t>
  </si>
  <si>
    <t>华东医药</t>
  </si>
  <si>
    <t>北陆药业</t>
  </si>
  <si>
    <t>估值</t>
    <phoneticPr fontId="3" type="noConversion"/>
  </si>
  <si>
    <t>同比变化1</t>
    <phoneticPr fontId="3" type="noConversion"/>
  </si>
  <si>
    <t>同比变化2</t>
    <phoneticPr fontId="3" type="noConversion"/>
  </si>
  <si>
    <t>净资产报酬率（ROE）</t>
    <phoneticPr fontId="3" type="noConversion"/>
  </si>
  <si>
    <t>产权比率（负债/权益）</t>
    <phoneticPr fontId="3" type="noConversion"/>
  </si>
  <si>
    <t>权益乘数（总资产/净资产）</t>
    <phoneticPr fontId="3" type="noConversion"/>
  </si>
  <si>
    <t>经营效率分析（营运能力）</t>
    <phoneticPr fontId="3" type="noConversion"/>
  </si>
  <si>
    <t>杜邦指标分析体系</t>
    <phoneticPr fontId="19" type="noConversion"/>
  </si>
  <si>
    <t>净资产收益率</t>
  </si>
  <si>
    <t>资产净利率</t>
  </si>
  <si>
    <t>平均权益乘数</t>
  </si>
  <si>
    <t>平均总资产</t>
  </si>
  <si>
    <t>平均股东权益</t>
  </si>
  <si>
    <t>营业收入</t>
  </si>
  <si>
    <t>净利润（万元）</t>
    <phoneticPr fontId="3" type="noConversion"/>
  </si>
  <si>
    <t>现金流量比率（经营活动现金净流量/流动负债）</t>
    <phoneticPr fontId="3" type="noConversion"/>
  </si>
  <si>
    <t>利息保障倍数【(利润总额+利息费用）/利息费用】</t>
    <phoneticPr fontId="3" type="noConversion"/>
  </si>
  <si>
    <t>变化比率1</t>
    <phoneticPr fontId="3" type="noConversion"/>
  </si>
  <si>
    <t>变化比率2</t>
  </si>
  <si>
    <t>总资产周转率（营业收入/平均总资产）</t>
    <phoneticPr fontId="3" type="noConversion"/>
  </si>
  <si>
    <t>存货周转率（营业成本/存货平均余额）</t>
    <phoneticPr fontId="3" type="noConversion"/>
  </si>
  <si>
    <t>应收账款周转率（营业收入/应收账款平均余额）</t>
    <phoneticPr fontId="3" type="noConversion"/>
  </si>
  <si>
    <t>纵向比较1</t>
    <phoneticPr fontId="3" type="noConversion"/>
  </si>
  <si>
    <t>纵向比较2</t>
  </si>
  <si>
    <t>纵向比较3</t>
  </si>
  <si>
    <t>浙江龙盛</t>
  </si>
  <si>
    <t>海螺水泥</t>
  </si>
  <si>
    <t>威孚高科</t>
  </si>
  <si>
    <t>葵花药业</t>
  </si>
  <si>
    <t>中国平安</t>
  </si>
  <si>
    <t>格力电器</t>
  </si>
  <si>
    <t>000963</t>
  </si>
  <si>
    <t>000581</t>
  </si>
  <si>
    <t>002737</t>
  </si>
  <si>
    <t>000002</t>
  </si>
  <si>
    <t>000651</t>
  </si>
  <si>
    <t>差异率</t>
    <phoneticPr fontId="3" type="noConversion"/>
  </si>
  <si>
    <t>汽车etc，业绩受益于去年政策，能否持续存疑</t>
    <phoneticPr fontId="3" type="noConversion"/>
  </si>
  <si>
    <t>45%的比例出口，是否会受贸易战影响？产品是颜料行业的化学品。</t>
    <phoneticPr fontId="3" type="noConversion"/>
  </si>
  <si>
    <t>一种工业消毒产品的中间体，</t>
    <phoneticPr fontId="3" type="noConversion"/>
  </si>
  <si>
    <t>涨跌</t>
  </si>
  <si>
    <t>买价</t>
  </si>
  <si>
    <t>卖价</t>
  </si>
  <si>
    <t>总量</t>
  </si>
  <si>
    <t>现量</t>
  </si>
  <si>
    <t>涨速%</t>
  </si>
  <si>
    <t>换手%</t>
  </si>
  <si>
    <t>今开</t>
  </si>
  <si>
    <t>最高</t>
  </si>
  <si>
    <t>最低</t>
  </si>
  <si>
    <t>昨收</t>
  </si>
  <si>
    <t>市盈(动)</t>
  </si>
  <si>
    <t>总金额</t>
  </si>
  <si>
    <t>细分行业</t>
  </si>
  <si>
    <t>地区</t>
  </si>
  <si>
    <t>农业综合</t>
  </si>
  <si>
    <t>山东</t>
  </si>
  <si>
    <t>化工原料</t>
  </si>
  <si>
    <t>水力发电</t>
  </si>
  <si>
    <t>云南</t>
  </si>
  <si>
    <t>吉电股份</t>
  </si>
  <si>
    <t>火力发电</t>
  </si>
  <si>
    <t>吉林</t>
  </si>
  <si>
    <t>食品</t>
  </si>
  <si>
    <t>内蒙</t>
  </si>
  <si>
    <t>浙江</t>
  </si>
  <si>
    <t>橡胶</t>
  </si>
  <si>
    <t>安徽</t>
  </si>
  <si>
    <t>机械基件</t>
  </si>
  <si>
    <t>粤泰股份</t>
  </si>
  <si>
    <t>全国地产</t>
  </si>
  <si>
    <t>广东</t>
  </si>
  <si>
    <t>上海</t>
  </si>
  <si>
    <t>中远海能</t>
  </si>
  <si>
    <t>水运</t>
  </si>
  <si>
    <t>江苏</t>
  </si>
  <si>
    <t>造纸</t>
  </si>
  <si>
    <t>中南建设</t>
  </si>
  <si>
    <t>建筑工程</t>
  </si>
  <si>
    <t>北京</t>
  </si>
  <si>
    <t>银行</t>
  </si>
  <si>
    <t>天津</t>
  </si>
  <si>
    <t>汽车整车</t>
  </si>
  <si>
    <t>重庆</t>
  </si>
  <si>
    <t>宁波银行</t>
  </si>
  <si>
    <t>铝</t>
  </si>
  <si>
    <t>河南</t>
  </si>
  <si>
    <t>新疆</t>
  </si>
  <si>
    <t>环境保护</t>
  </si>
  <si>
    <t>辽宁</t>
  </si>
  <si>
    <t>工程机械</t>
  </si>
  <si>
    <t>湖南</t>
  </si>
  <si>
    <t>深圳</t>
  </si>
  <si>
    <t>园区开发</t>
  </si>
  <si>
    <t>江西</t>
  </si>
  <si>
    <t>区域地产</t>
  </si>
  <si>
    <t>水务</t>
  </si>
  <si>
    <t>河北</t>
  </si>
  <si>
    <t>普钢</t>
  </si>
  <si>
    <t>新型电力</t>
  </si>
  <si>
    <t>农药化肥</t>
  </si>
  <si>
    <t>仓储物流</t>
  </si>
  <si>
    <t>四川</t>
  </si>
  <si>
    <t>甘肃</t>
  </si>
  <si>
    <t>京投发展</t>
  </si>
  <si>
    <t>汽车配件</t>
  </si>
  <si>
    <t>化学制药</t>
  </si>
  <si>
    <t>福建</t>
  </si>
  <si>
    <t>软件服务</t>
  </si>
  <si>
    <t>京能电力</t>
  </si>
  <si>
    <t>浙数文化</t>
  </si>
  <si>
    <t>互联网</t>
  </si>
  <si>
    <t>化纤</t>
  </si>
  <si>
    <t>雅戈尔</t>
  </si>
  <si>
    <t>服饰</t>
  </si>
  <si>
    <t>中联重科</t>
  </si>
  <si>
    <t>多元金融</t>
  </si>
  <si>
    <t>申万宏源</t>
  </si>
  <si>
    <t>证券</t>
  </si>
  <si>
    <t>半导体</t>
  </si>
  <si>
    <t>穗恒运Ａ</t>
  </si>
  <si>
    <t xml:space="preserve">--  </t>
  </si>
  <si>
    <t>电气设备</t>
  </si>
  <si>
    <t>祁连山</t>
  </si>
  <si>
    <t>万年青</t>
  </si>
  <si>
    <t>--</t>
  </si>
  <si>
    <t>振幅%</t>
  </si>
  <si>
    <t>均价</t>
  </si>
  <si>
    <t>内盘</t>
  </si>
  <si>
    <t>外盘</t>
  </si>
  <si>
    <t>内外比</t>
  </si>
  <si>
    <t>买量</t>
  </si>
  <si>
    <t>卖量</t>
  </si>
  <si>
    <t>未匹配量</t>
  </si>
  <si>
    <t>开盘金额</t>
  </si>
  <si>
    <t>开盘换手Z</t>
  </si>
  <si>
    <t>封单额</t>
  </si>
  <si>
    <t>封成比</t>
  </si>
  <si>
    <t>流通股(亿)</t>
  </si>
  <si>
    <t>流通市值</t>
  </si>
  <si>
    <t>AB股总市值</t>
  </si>
  <si>
    <t>强弱度%</t>
  </si>
  <si>
    <t>活跃度</t>
  </si>
  <si>
    <t>笔均量</t>
  </si>
  <si>
    <t>笔换手</t>
  </si>
  <si>
    <t>连涨天</t>
  </si>
  <si>
    <t>3日涨幅%</t>
  </si>
  <si>
    <t>换手Z</t>
  </si>
  <si>
    <t>流通市值Z</t>
  </si>
  <si>
    <t>贝塔系数</t>
  </si>
  <si>
    <t>市盈(TTM)</t>
  </si>
  <si>
    <t>市盈(静)</t>
  </si>
  <si>
    <t>开盘%</t>
  </si>
  <si>
    <t>最高%</t>
  </si>
  <si>
    <t>最低%</t>
  </si>
  <si>
    <t>均涨幅%</t>
  </si>
  <si>
    <t>实体涨幅%</t>
  </si>
  <si>
    <t>回头波%</t>
  </si>
  <si>
    <t>攻击波%</t>
  </si>
  <si>
    <t>现均差%</t>
  </si>
  <si>
    <t>财务更新</t>
  </si>
  <si>
    <t>上市日期</t>
  </si>
  <si>
    <t>总股本(亿)</t>
  </si>
  <si>
    <t>B/A股(亿)</t>
  </si>
  <si>
    <t>H股(亿)</t>
  </si>
  <si>
    <t>总资产(亿)</t>
  </si>
  <si>
    <t>净资产(亿)</t>
  </si>
  <si>
    <t>少数股权(亿)</t>
  </si>
  <si>
    <t>资产负债率%</t>
  </si>
  <si>
    <t>流动资产(亿)</t>
  </si>
  <si>
    <t>固定资产(亿)</t>
  </si>
  <si>
    <t>无形资产(亿)</t>
  </si>
  <si>
    <t>流动负债(亿)</t>
  </si>
  <si>
    <t>存货(亿)</t>
  </si>
  <si>
    <t>应收帐款(亿)</t>
  </si>
  <si>
    <t>资本公积金(亿)</t>
  </si>
  <si>
    <t>营业收入(亿)</t>
  </si>
  <si>
    <t>营业成本(亿)</t>
  </si>
  <si>
    <t>营业利润(亿)</t>
  </si>
  <si>
    <t>投资收益(亿)</t>
  </si>
  <si>
    <t>利润总额(亿)</t>
  </si>
  <si>
    <t>税后利润(亿)</t>
  </si>
  <si>
    <t>净利润(亿)</t>
  </si>
  <si>
    <t>未分利润(亿)</t>
  </si>
  <si>
    <t>经营现金流(亿)</t>
  </si>
  <si>
    <t>总现金流(亿)</t>
  </si>
  <si>
    <t>股东人数</t>
  </si>
  <si>
    <t>人均持股</t>
  </si>
  <si>
    <t>人均市值</t>
  </si>
  <si>
    <t>利润同比%</t>
  </si>
  <si>
    <t>收入同比%</t>
  </si>
  <si>
    <t>市现率</t>
  </si>
  <si>
    <t>市销率</t>
  </si>
  <si>
    <t>股息率%</t>
  </si>
  <si>
    <t>每股收益</t>
  </si>
  <si>
    <t>每股净资</t>
  </si>
  <si>
    <t>调整后净资</t>
  </si>
  <si>
    <t>每股公积</t>
  </si>
  <si>
    <t>每股未分配</t>
  </si>
  <si>
    <t>权益比%</t>
  </si>
  <si>
    <t>净益率%</t>
  </si>
  <si>
    <t>毛利率%</t>
  </si>
  <si>
    <t>营业利润率%</t>
  </si>
  <si>
    <t>净利润率%</t>
  </si>
  <si>
    <t>交易代码</t>
  </si>
  <si>
    <t xml:space="preserve">         75.52亿</t>
  </si>
  <si>
    <t xml:space="preserve">   2.47㈡</t>
  </si>
  <si>
    <t>0.317㈡</t>
  </si>
  <si>
    <t>专用机械</t>
  </si>
  <si>
    <t xml:space="preserve">   8.71㈡</t>
  </si>
  <si>
    <t>0.180㈡</t>
  </si>
  <si>
    <t>饲料</t>
  </si>
  <si>
    <t>0.360㈡</t>
  </si>
  <si>
    <t>医疗保健</t>
  </si>
  <si>
    <t>6.41万</t>
  </si>
  <si>
    <t>6.15万</t>
  </si>
  <si>
    <t>0.230㈡</t>
  </si>
  <si>
    <t>种植业</t>
  </si>
  <si>
    <t>0.195㈡</t>
  </si>
  <si>
    <t>黄金</t>
  </si>
  <si>
    <t>0.095㈡</t>
  </si>
  <si>
    <t>0.140㈡</t>
  </si>
  <si>
    <t xml:space="preserve">   3.80㈡</t>
  </si>
  <si>
    <t xml:space="preserve">   4.55㈡</t>
  </si>
  <si>
    <t>电器仪表</t>
  </si>
  <si>
    <t xml:space="preserve">        132.22亿</t>
  </si>
  <si>
    <t xml:space="preserve">         67.50亿</t>
  </si>
  <si>
    <t>14.04万</t>
  </si>
  <si>
    <t>0.320㈡</t>
  </si>
  <si>
    <t xml:space="preserve">   5.10㈡</t>
  </si>
  <si>
    <t xml:space="preserve">         38.31亿</t>
  </si>
  <si>
    <t xml:space="preserve">         38.88亿</t>
  </si>
  <si>
    <t xml:space="preserve">         24.13亿</t>
  </si>
  <si>
    <t>4.85万</t>
  </si>
  <si>
    <t>0.105㈡</t>
  </si>
  <si>
    <t xml:space="preserve">   4.03㈡</t>
  </si>
  <si>
    <t xml:space="preserve">        134.40亿</t>
  </si>
  <si>
    <t xml:space="preserve">         67.06亿</t>
  </si>
  <si>
    <t>7.98万</t>
  </si>
  <si>
    <t xml:space="preserve">   4.66㈡</t>
  </si>
  <si>
    <t>铜</t>
  </si>
  <si>
    <t xml:space="preserve">         99.65亿</t>
  </si>
  <si>
    <t xml:space="preserve">        109.34亿</t>
  </si>
  <si>
    <t xml:space="preserve">         44.61亿</t>
  </si>
  <si>
    <t>15.82万</t>
  </si>
  <si>
    <t>0.380㈡</t>
  </si>
  <si>
    <t xml:space="preserve">   6.30㈡</t>
  </si>
  <si>
    <t xml:space="preserve">        355.95亿</t>
  </si>
  <si>
    <t xml:space="preserve">        530.81亿</t>
  </si>
  <si>
    <t>25.45万</t>
  </si>
  <si>
    <t>0.220㈡</t>
  </si>
  <si>
    <t>农用机械</t>
  </si>
  <si>
    <t xml:space="preserve">         69.07亿</t>
  </si>
  <si>
    <t xml:space="preserve">         21.31亿</t>
  </si>
  <si>
    <t>6.95万</t>
  </si>
  <si>
    <t>0.328㈡</t>
  </si>
  <si>
    <t xml:space="preserve">   7.37㈡</t>
  </si>
  <si>
    <t xml:space="preserve">        124.67亿</t>
  </si>
  <si>
    <t xml:space="preserve">        149.60亿</t>
  </si>
  <si>
    <t xml:space="preserve">         49.14亿</t>
  </si>
  <si>
    <t>5.08万</t>
  </si>
  <si>
    <t>0.090㈡</t>
  </si>
  <si>
    <t xml:space="preserve">   4.95㈡</t>
  </si>
  <si>
    <t xml:space="preserve">       1692.96亿</t>
  </si>
  <si>
    <t xml:space="preserve">        688.03亿</t>
  </si>
  <si>
    <t>72.64万</t>
  </si>
  <si>
    <t>0.498㈡</t>
  </si>
  <si>
    <t xml:space="preserve">   4.85㈡</t>
  </si>
  <si>
    <t>宁夏</t>
  </si>
  <si>
    <t xml:space="preserve">         79.06亿</t>
  </si>
  <si>
    <t xml:space="preserve">        790.54亿</t>
  </si>
  <si>
    <t>4.70万</t>
  </si>
  <si>
    <t>0.285㈡</t>
  </si>
  <si>
    <t xml:space="preserve">   8.96㈡</t>
  </si>
  <si>
    <t xml:space="preserve">        168.04亿</t>
  </si>
  <si>
    <t xml:space="preserve">         85.98亿</t>
  </si>
  <si>
    <t>22.35万</t>
  </si>
  <si>
    <t>0.200㈡</t>
  </si>
  <si>
    <t xml:space="preserve">   4.82㈡</t>
  </si>
  <si>
    <t>铅锌</t>
  </si>
  <si>
    <t xml:space="preserve">         38.35亿</t>
  </si>
  <si>
    <t xml:space="preserve">         21.87亿</t>
  </si>
  <si>
    <t>7.60万</t>
  </si>
  <si>
    <t>0.110㈡</t>
  </si>
  <si>
    <t xml:space="preserve">  66.91㈡</t>
  </si>
  <si>
    <t xml:space="preserve">        660.84亿</t>
  </si>
  <si>
    <t xml:space="preserve">        694.51亿</t>
  </si>
  <si>
    <t xml:space="preserve">        481.88亿</t>
  </si>
  <si>
    <t>34.95万</t>
  </si>
  <si>
    <t>0.218㈡</t>
  </si>
  <si>
    <t xml:space="preserve">   2.80㈡</t>
  </si>
  <si>
    <t xml:space="preserve">        607.70亿</t>
  </si>
  <si>
    <t xml:space="preserve">        717.55亿</t>
  </si>
  <si>
    <t xml:space="preserve">        337.79亿</t>
  </si>
  <si>
    <t>51.97万</t>
  </si>
  <si>
    <t>0.750㈡</t>
  </si>
  <si>
    <t xml:space="preserve">   5.17㈡</t>
  </si>
  <si>
    <t xml:space="preserve">        330.24亿</t>
  </si>
  <si>
    <t xml:space="preserve">        156.00亿</t>
  </si>
  <si>
    <t>10.08万</t>
  </si>
  <si>
    <t xml:space="preserve">   4.58㈡</t>
  </si>
  <si>
    <t xml:space="preserve">        104.61亿</t>
  </si>
  <si>
    <t xml:space="preserve">        174.42亿</t>
  </si>
  <si>
    <t xml:space="preserve">         48.98亿</t>
  </si>
  <si>
    <t>5.78万</t>
  </si>
  <si>
    <t>0.315㈡</t>
  </si>
  <si>
    <t xml:space="preserve">   7.79㈡</t>
  </si>
  <si>
    <t xml:space="preserve">        231.84亿</t>
  </si>
  <si>
    <t xml:space="preserve">        322.62亿</t>
  </si>
  <si>
    <t xml:space="preserve">        144.31亿</t>
  </si>
  <si>
    <t>12.96万</t>
  </si>
  <si>
    <t>0.306㈡</t>
  </si>
  <si>
    <t xml:space="preserve">   3.20㈡</t>
  </si>
  <si>
    <t xml:space="preserve">         74.58亿</t>
  </si>
  <si>
    <t xml:space="preserve">         25.50亿</t>
  </si>
  <si>
    <t>3.46万</t>
  </si>
  <si>
    <t xml:space="preserve">   4.09㈡</t>
  </si>
  <si>
    <t xml:space="preserve">         59.35亿</t>
  </si>
  <si>
    <t xml:space="preserve">         45.48亿</t>
  </si>
  <si>
    <t>6.10万</t>
  </si>
  <si>
    <t>0.540㈡</t>
  </si>
  <si>
    <t xml:space="preserve">  11.46㈡</t>
  </si>
  <si>
    <t xml:space="preserve">         30.80亿</t>
  </si>
  <si>
    <t xml:space="preserve">         23.49亿</t>
  </si>
  <si>
    <t>6.48万</t>
  </si>
  <si>
    <t>0.093㈡</t>
  </si>
  <si>
    <t xml:space="preserve">   3.29㈡</t>
  </si>
  <si>
    <t>航空</t>
  </si>
  <si>
    <t>贵州</t>
  </si>
  <si>
    <t xml:space="preserve">        115.07亿</t>
  </si>
  <si>
    <t xml:space="preserve">        138.98亿</t>
  </si>
  <si>
    <t xml:space="preserve">         71.60亿</t>
  </si>
  <si>
    <t>13.02万</t>
  </si>
  <si>
    <t>0.127㈡</t>
  </si>
  <si>
    <t xml:space="preserve">   1.97㈡</t>
  </si>
  <si>
    <t xml:space="preserve">        194.01亿</t>
  </si>
  <si>
    <t xml:space="preserve">        196.56亿</t>
  </si>
  <si>
    <t xml:space="preserve">         96.85亿</t>
  </si>
  <si>
    <t>7.53万</t>
  </si>
  <si>
    <t xml:space="preserve">   5.09㈡</t>
  </si>
  <si>
    <t>水泥</t>
  </si>
  <si>
    <t xml:space="preserve">        124.19亿</t>
  </si>
  <si>
    <t xml:space="preserve">        124.21亿</t>
  </si>
  <si>
    <t xml:space="preserve">         93.08亿</t>
  </si>
  <si>
    <t>16.20万</t>
  </si>
  <si>
    <t>0.943㈡</t>
  </si>
  <si>
    <t xml:space="preserve">  10.32㈡</t>
  </si>
  <si>
    <t xml:space="preserve">         32.00亿</t>
  </si>
  <si>
    <t xml:space="preserve">         13.19亿</t>
  </si>
  <si>
    <t>5.28万</t>
  </si>
  <si>
    <t xml:space="preserve">   2.20㈡</t>
  </si>
  <si>
    <t>信达地产</t>
  </si>
  <si>
    <t xml:space="preserve">         69.81亿</t>
  </si>
  <si>
    <t xml:space="preserve">        130.62亿</t>
  </si>
  <si>
    <t xml:space="preserve">         33.86亿</t>
  </si>
  <si>
    <t>8.97万</t>
  </si>
  <si>
    <t>浦东金桥</t>
  </si>
  <si>
    <t xml:space="preserve">        111.21亿</t>
  </si>
  <si>
    <t xml:space="preserve">        146.81亿</t>
  </si>
  <si>
    <t xml:space="preserve">         38.74亿</t>
  </si>
  <si>
    <t>11.54万</t>
  </si>
  <si>
    <t>0.486㈡</t>
  </si>
  <si>
    <t xml:space="preserve">   5.47㈡</t>
  </si>
  <si>
    <t xml:space="preserve">        134.88亿</t>
  </si>
  <si>
    <t xml:space="preserve">         70.39亿</t>
  </si>
  <si>
    <t>13.63万</t>
  </si>
  <si>
    <t>0.278㈡</t>
  </si>
  <si>
    <t xml:space="preserve">   4.36㈡</t>
  </si>
  <si>
    <t>广汇物流</t>
  </si>
  <si>
    <t xml:space="preserve">         64.83亿</t>
  </si>
  <si>
    <t xml:space="preserve">         65.24亿</t>
  </si>
  <si>
    <t xml:space="preserve">         25.77亿</t>
  </si>
  <si>
    <t>9.16万</t>
  </si>
  <si>
    <t xml:space="preserve">   4.46㈡</t>
  </si>
  <si>
    <t xml:space="preserve">        207.80亿</t>
  </si>
  <si>
    <t xml:space="preserve">         43.83亿</t>
  </si>
  <si>
    <t>6.91万</t>
  </si>
  <si>
    <t>0.124㈡</t>
  </si>
  <si>
    <t xml:space="preserve">   3.43㈡</t>
  </si>
  <si>
    <t>江南高纤</t>
  </si>
  <si>
    <t xml:space="preserve">         43.02亿</t>
  </si>
  <si>
    <t xml:space="preserve">         51.61亿</t>
  </si>
  <si>
    <t xml:space="preserve">         36.19亿</t>
  </si>
  <si>
    <t>4.18万</t>
  </si>
  <si>
    <t>0.097㈡</t>
  </si>
  <si>
    <t xml:space="preserve">   7.03㈡</t>
  </si>
  <si>
    <t>时代新材</t>
  </si>
  <si>
    <t>塑料</t>
  </si>
  <si>
    <t xml:space="preserve">         55.31亿</t>
  </si>
  <si>
    <t xml:space="preserve">         27.78亿</t>
  </si>
  <si>
    <t>6.05万</t>
  </si>
  <si>
    <t>0.023㈡</t>
  </si>
  <si>
    <t xml:space="preserve">   0.41㈡</t>
  </si>
  <si>
    <t xml:space="preserve">         27.57亿</t>
  </si>
  <si>
    <t xml:space="preserve">         70.76亿</t>
  </si>
  <si>
    <t xml:space="preserve">         25.34亿</t>
  </si>
  <si>
    <t>8.29万</t>
  </si>
  <si>
    <t>恒丰纸业</t>
  </si>
  <si>
    <t>黑龙江</t>
  </si>
  <si>
    <t xml:space="preserve">         26.89亿</t>
  </si>
  <si>
    <t xml:space="preserve">         18.84亿</t>
  </si>
  <si>
    <t>11.29万</t>
  </si>
  <si>
    <t>0.203㈡</t>
  </si>
  <si>
    <t xml:space="preserve">   2.79㈡</t>
  </si>
  <si>
    <t>恒力石化</t>
  </si>
  <si>
    <t xml:space="preserve">        920.37亿</t>
  </si>
  <si>
    <t xml:space="preserve">       1398.67亿</t>
  </si>
  <si>
    <t xml:space="preserve">        334.69亿</t>
  </si>
  <si>
    <t>78.42万</t>
  </si>
  <si>
    <t>0.790㈡</t>
  </si>
  <si>
    <t xml:space="preserve">  14.09㈡</t>
  </si>
  <si>
    <t>全柴动力</t>
  </si>
  <si>
    <t xml:space="preserve">         38.28亿</t>
  </si>
  <si>
    <t xml:space="preserve">         25.14亿</t>
  </si>
  <si>
    <t>5.22万</t>
  </si>
  <si>
    <t>0.267㈡</t>
  </si>
  <si>
    <t xml:space="preserve">   4.68㈡</t>
  </si>
  <si>
    <t>中牧股份</t>
  </si>
  <si>
    <t xml:space="preserve">        152.14亿</t>
  </si>
  <si>
    <t xml:space="preserve">         76.63亿</t>
  </si>
  <si>
    <t>22.75万</t>
  </si>
  <si>
    <t>0.351㈡</t>
  </si>
  <si>
    <t xml:space="preserve">   7.89㈡</t>
  </si>
  <si>
    <t xml:space="preserve">        326.81亿</t>
  </si>
  <si>
    <t xml:space="preserve">        149.27亿</t>
  </si>
  <si>
    <t>13.62万</t>
  </si>
  <si>
    <t>0.621㈡</t>
  </si>
  <si>
    <t xml:space="preserve">  10.63㈡</t>
  </si>
  <si>
    <t>金发科技</t>
  </si>
  <si>
    <t xml:space="preserve">        454.50亿</t>
  </si>
  <si>
    <t xml:space="preserve">        318.23亿</t>
  </si>
  <si>
    <t>38.34万</t>
  </si>
  <si>
    <t>0.937㈡</t>
  </si>
  <si>
    <t xml:space="preserve">  19.00㈡</t>
  </si>
  <si>
    <t>三峡水利</t>
  </si>
  <si>
    <t xml:space="preserve">         93.54亿</t>
  </si>
  <si>
    <t xml:space="preserve">        180.12亿</t>
  </si>
  <si>
    <t xml:space="preserve">         58.79亿</t>
  </si>
  <si>
    <t>13.52万</t>
  </si>
  <si>
    <t xml:space="preserve">   2.08㈡</t>
  </si>
  <si>
    <t>国金证券</t>
  </si>
  <si>
    <t xml:space="preserve">        462.42亿</t>
  </si>
  <si>
    <t xml:space="preserve">        335.57亿</t>
  </si>
  <si>
    <t>23.79万</t>
  </si>
  <si>
    <t>0.331㈡</t>
  </si>
  <si>
    <t>万东医疗</t>
  </si>
  <si>
    <t xml:space="preserve">         76.58亿</t>
  </si>
  <si>
    <t xml:space="preserve">         42.07亿</t>
  </si>
  <si>
    <t>12.25万</t>
  </si>
  <si>
    <t>宁波联合</t>
  </si>
  <si>
    <t>综合类</t>
  </si>
  <si>
    <t xml:space="preserve">         32.83亿</t>
  </si>
  <si>
    <t xml:space="preserve">         23.28亿</t>
  </si>
  <si>
    <t>6.73万</t>
  </si>
  <si>
    <t>1.002㈡</t>
  </si>
  <si>
    <t xml:space="preserve">  10.68㈡</t>
  </si>
  <si>
    <t>中信证券</t>
  </si>
  <si>
    <t xml:space="preserve">       3097.51亿</t>
  </si>
  <si>
    <t xml:space="preserve">       3360.65亿</t>
  </si>
  <si>
    <t xml:space="preserve">       2466.40亿</t>
  </si>
  <si>
    <t>42.16万</t>
  </si>
  <si>
    <t>0.700㈡</t>
  </si>
  <si>
    <t xml:space="preserve">   5.07㈡</t>
  </si>
  <si>
    <t xml:space="preserve">        203.29亿</t>
  </si>
  <si>
    <t xml:space="preserve">        257.58亿</t>
  </si>
  <si>
    <t xml:space="preserve">         89.09亿</t>
  </si>
  <si>
    <t>9.62万</t>
  </si>
  <si>
    <t>0.660㈡</t>
  </si>
  <si>
    <t xml:space="preserve">   8.12㈡</t>
  </si>
  <si>
    <t>首创股份</t>
  </si>
  <si>
    <t xml:space="preserve">        217.28亿</t>
  </si>
  <si>
    <t xml:space="preserve">        118.01亿</t>
  </si>
  <si>
    <t>0.070㈡</t>
  </si>
  <si>
    <t xml:space="preserve">   2.12㈡</t>
  </si>
  <si>
    <t>中国天楹</t>
  </si>
  <si>
    <t xml:space="preserve">        113.92亿</t>
  </si>
  <si>
    <t xml:space="preserve">        121.39亿</t>
  </si>
  <si>
    <t xml:space="preserve">         71.41亿</t>
  </si>
  <si>
    <t>17.57万</t>
  </si>
  <si>
    <t>0.117㈡</t>
  </si>
  <si>
    <t xml:space="preserve">   2.66㈡</t>
  </si>
  <si>
    <t>农 产 品</t>
  </si>
  <si>
    <t xml:space="preserve">        130.04亿</t>
  </si>
  <si>
    <t xml:space="preserve">        130.16亿</t>
  </si>
  <si>
    <t xml:space="preserve">         46.78亿</t>
  </si>
  <si>
    <t>0.112㈡</t>
  </si>
  <si>
    <t xml:space="preserve">   3.61㈡</t>
  </si>
  <si>
    <t xml:space="preserve">        541.95亿</t>
  </si>
  <si>
    <t xml:space="preserve">        548.19亿</t>
  </si>
  <si>
    <t xml:space="preserve">        390.67亿</t>
  </si>
  <si>
    <t>16.86万</t>
  </si>
  <si>
    <t xml:space="preserve">   9.07㈡</t>
  </si>
  <si>
    <t xml:space="preserve">       1252.97亿</t>
  </si>
  <si>
    <t xml:space="preserve">       1253.00亿</t>
  </si>
  <si>
    <t xml:space="preserve">        551.53亿</t>
  </si>
  <si>
    <t>19.04万</t>
  </si>
  <si>
    <t>0.161㈡</t>
  </si>
  <si>
    <t xml:space="preserve">   4.77㈡</t>
  </si>
  <si>
    <t>京粮控股</t>
  </si>
  <si>
    <t>海南</t>
  </si>
  <si>
    <t xml:space="preserve">         42.89亿</t>
  </si>
  <si>
    <t xml:space="preserve">         76.77亿</t>
  </si>
  <si>
    <t xml:space="preserve">         29.84亿</t>
  </si>
  <si>
    <t>6.16万</t>
  </si>
  <si>
    <t xml:space="preserve">   2.83㈡</t>
  </si>
  <si>
    <t>广弘控股</t>
  </si>
  <si>
    <t xml:space="preserve">         45.13亿</t>
  </si>
  <si>
    <t xml:space="preserve">         46.24亿</t>
  </si>
  <si>
    <t xml:space="preserve">         20.53亿</t>
  </si>
  <si>
    <t>5.21万</t>
  </si>
  <si>
    <t>0.268㈡</t>
  </si>
  <si>
    <t xml:space="preserve">   8.68㈡</t>
  </si>
  <si>
    <t xml:space="preserve">         66.80亿</t>
  </si>
  <si>
    <t xml:space="preserve">         28.10亿</t>
  </si>
  <si>
    <t>9.86万</t>
  </si>
  <si>
    <t>0.896㈡</t>
  </si>
  <si>
    <t xml:space="preserve">  12.54㈡</t>
  </si>
  <si>
    <t>中原环保</t>
  </si>
  <si>
    <t xml:space="preserve">         67.45亿</t>
  </si>
  <si>
    <t xml:space="preserve">         21.09亿</t>
  </si>
  <si>
    <t>6.88万</t>
  </si>
  <si>
    <t>0.280㈡</t>
  </si>
  <si>
    <t>太阳能</t>
  </si>
  <si>
    <t xml:space="preserve">        104.10亿</t>
  </si>
  <si>
    <t xml:space="preserve">        153.66亿</t>
  </si>
  <si>
    <t xml:space="preserve">        101.95亿</t>
  </si>
  <si>
    <t>16.37万</t>
  </si>
  <si>
    <t>0.201㈡</t>
  </si>
  <si>
    <t xml:space="preserve">   4.45㈡</t>
  </si>
  <si>
    <t>兴蓉环境</t>
  </si>
  <si>
    <t xml:space="preserve">        153.79亿</t>
  </si>
  <si>
    <t xml:space="preserve">         73.54亿</t>
  </si>
  <si>
    <t>6.06万</t>
  </si>
  <si>
    <t>0.222㈡</t>
  </si>
  <si>
    <t xml:space="preserve">   5.70㈡</t>
  </si>
  <si>
    <t>宝新能源</t>
  </si>
  <si>
    <t xml:space="preserve">        142.76亿</t>
  </si>
  <si>
    <t xml:space="preserve">        149.05亿</t>
  </si>
  <si>
    <t xml:space="preserve">        109.29亿</t>
  </si>
  <si>
    <t>13.85万</t>
  </si>
  <si>
    <t>0.293㈡</t>
  </si>
  <si>
    <t xml:space="preserve">   6.57㈡</t>
  </si>
  <si>
    <t>锦龙股份</t>
  </si>
  <si>
    <t xml:space="preserve">        121.63亿</t>
  </si>
  <si>
    <t xml:space="preserve">        136.91亿</t>
  </si>
  <si>
    <t xml:space="preserve">         68.25亿</t>
  </si>
  <si>
    <t>13.17万</t>
  </si>
  <si>
    <t>0.182㈡</t>
  </si>
  <si>
    <t xml:space="preserve">   4.63㈡</t>
  </si>
  <si>
    <t>国元证券</t>
  </si>
  <si>
    <t xml:space="preserve">        324.08亿</t>
  </si>
  <si>
    <t xml:space="preserve">        370.20亿</t>
  </si>
  <si>
    <t xml:space="preserve">        202.60亿</t>
  </si>
  <si>
    <t>20.97万</t>
  </si>
  <si>
    <t>0.184㈡</t>
  </si>
  <si>
    <t xml:space="preserve">        124.95亿</t>
  </si>
  <si>
    <t xml:space="preserve">         65.63亿</t>
  </si>
  <si>
    <t>13.47万</t>
  </si>
  <si>
    <t>0.852㈡</t>
  </si>
  <si>
    <t xml:space="preserve">  12.70㈡</t>
  </si>
  <si>
    <t>一汽解放</t>
  </si>
  <si>
    <t xml:space="preserve">         95.41亿</t>
  </si>
  <si>
    <t xml:space="preserve">        575.29亿</t>
  </si>
  <si>
    <t>13.90万</t>
  </si>
  <si>
    <t>0.466㈡</t>
  </si>
  <si>
    <t xml:space="preserve">   8.94㈡</t>
  </si>
  <si>
    <t>云铝股份</t>
  </si>
  <si>
    <t xml:space="preserve">        142.85亿</t>
  </si>
  <si>
    <t xml:space="preserve">        171.43亿</t>
  </si>
  <si>
    <t xml:space="preserve">         82.03亿</t>
  </si>
  <si>
    <t>6.18万</t>
  </si>
  <si>
    <t>0.078㈡</t>
  </si>
  <si>
    <t xml:space="preserve">   2.18㈡</t>
  </si>
  <si>
    <t>天音控股</t>
  </si>
  <si>
    <t>其他商业</t>
  </si>
  <si>
    <t xml:space="preserve">         63.94亿</t>
  </si>
  <si>
    <t xml:space="preserve">         71.05亿</t>
  </si>
  <si>
    <t xml:space="preserve">         38.65亿</t>
  </si>
  <si>
    <t>5.89万</t>
  </si>
  <si>
    <t>0.071㈡</t>
  </si>
  <si>
    <t xml:space="preserve">   2.96㈡</t>
  </si>
  <si>
    <t>财信发展</t>
  </si>
  <si>
    <t xml:space="preserve">         25.63亿</t>
  </si>
  <si>
    <t xml:space="preserve">         33.34亿</t>
  </si>
  <si>
    <t xml:space="preserve">         12.76亿</t>
  </si>
  <si>
    <t>2.21万</t>
  </si>
  <si>
    <t>0.022㈡</t>
  </si>
  <si>
    <t xml:space="preserve">   1.29㈡</t>
  </si>
  <si>
    <t xml:space="preserve">         89.50亿</t>
  </si>
  <si>
    <t xml:space="preserve">         64.30亿</t>
  </si>
  <si>
    <t>3.80万</t>
  </si>
  <si>
    <t>0.216㈡</t>
  </si>
  <si>
    <t xml:space="preserve">   5.93㈡</t>
  </si>
  <si>
    <t>津滨发展</t>
  </si>
  <si>
    <t xml:space="preserve">         42.70亿</t>
  </si>
  <si>
    <t xml:space="preserve">         32.91亿</t>
  </si>
  <si>
    <t>3.07万</t>
  </si>
  <si>
    <t>0.102㈡</t>
  </si>
  <si>
    <t xml:space="preserve">  11.92㈡</t>
  </si>
  <si>
    <t>云内动力</t>
  </si>
  <si>
    <t xml:space="preserve">        118.05亿</t>
  </si>
  <si>
    <t xml:space="preserve">        131.65亿</t>
  </si>
  <si>
    <t xml:space="preserve">         79.25亿</t>
  </si>
  <si>
    <t>10.99万</t>
  </si>
  <si>
    <t>0.083㈡</t>
  </si>
  <si>
    <t xml:space="preserve">   2.87㈡</t>
  </si>
  <si>
    <t>中国重汽</t>
  </si>
  <si>
    <t xml:space="preserve">        226.56亿</t>
  </si>
  <si>
    <t xml:space="preserve">        226.62亿</t>
  </si>
  <si>
    <t xml:space="preserve">         80.29亿</t>
  </si>
  <si>
    <t>51.85万</t>
  </si>
  <si>
    <t>1.085㈡</t>
  </si>
  <si>
    <t xml:space="preserve">   9.91㈡</t>
  </si>
  <si>
    <t xml:space="preserve">        356.43亿</t>
  </si>
  <si>
    <t xml:space="preserve">        357.55亿</t>
  </si>
  <si>
    <t xml:space="preserve">        161.85亿</t>
  </si>
  <si>
    <t>41.61万</t>
  </si>
  <si>
    <t>0.542㈡</t>
  </si>
  <si>
    <t xml:space="preserve">   9.01㈡</t>
  </si>
  <si>
    <t>银泰黄金</t>
  </si>
  <si>
    <t xml:space="preserve">        188.33亿</t>
  </si>
  <si>
    <t xml:space="preserve">        301.55亿</t>
  </si>
  <si>
    <t xml:space="preserve">        125.47亿</t>
  </si>
  <si>
    <t>22.18万</t>
  </si>
  <si>
    <t xml:space="preserve">   6.58㈡</t>
  </si>
  <si>
    <t>*ST银亿</t>
  </si>
  <si>
    <t xml:space="preserve">         48.91亿</t>
  </si>
  <si>
    <t xml:space="preserve">         76.53亿</t>
  </si>
  <si>
    <t xml:space="preserve">         17.69亿</t>
  </si>
  <si>
    <t>4.82万</t>
  </si>
  <si>
    <t>0.006㈡</t>
  </si>
  <si>
    <t xml:space="preserve">   0.34㈡</t>
  </si>
  <si>
    <t>宗申动力</t>
  </si>
  <si>
    <t>摩托车</t>
  </si>
  <si>
    <t xml:space="preserve">         74.64亿</t>
  </si>
  <si>
    <t xml:space="preserve">         97.21亿</t>
  </si>
  <si>
    <t xml:space="preserve">         54.46亿</t>
  </si>
  <si>
    <t>6.43万</t>
  </si>
  <si>
    <t xml:space="preserve">   7.90㈡</t>
  </si>
  <si>
    <t>新 和 成</t>
  </si>
  <si>
    <t xml:space="preserve">        654.69亿</t>
  </si>
  <si>
    <t xml:space="preserve">        663.08亿</t>
  </si>
  <si>
    <t xml:space="preserve">        332.74亿</t>
  </si>
  <si>
    <t>44.01万</t>
  </si>
  <si>
    <t>1.029㈡</t>
  </si>
  <si>
    <t xml:space="preserve">  12.29㈡</t>
  </si>
  <si>
    <t>亿帆医药</t>
  </si>
  <si>
    <t xml:space="preserve">        210.80亿</t>
  </si>
  <si>
    <t xml:space="preserve">        315.58亿</t>
  </si>
  <si>
    <t xml:space="preserve">        177.49亿</t>
  </si>
  <si>
    <t>33.37万</t>
  </si>
  <si>
    <t>0.582㈡</t>
  </si>
  <si>
    <t xml:space="preserve">   8.77㈡</t>
  </si>
  <si>
    <t>科华生物</t>
  </si>
  <si>
    <t xml:space="preserve">         96.65亿</t>
  </si>
  <si>
    <t xml:space="preserve">         96.88亿</t>
  </si>
  <si>
    <t xml:space="preserve">         71.73亿</t>
  </si>
  <si>
    <t>11.05万</t>
  </si>
  <si>
    <t>0.374㈡</t>
  </si>
  <si>
    <t xml:space="preserve">   7.53㈡</t>
  </si>
  <si>
    <t>黔源电力</t>
  </si>
  <si>
    <t xml:space="preserve">         48.04亿</t>
  </si>
  <si>
    <t xml:space="preserve">         30.90亿</t>
  </si>
  <si>
    <t>19.31万</t>
  </si>
  <si>
    <t>0.524㈡</t>
  </si>
  <si>
    <t xml:space="preserve">   5.53㈡</t>
  </si>
  <si>
    <t>中材科技</t>
  </si>
  <si>
    <t xml:space="preserve">        361.80亿</t>
  </si>
  <si>
    <t xml:space="preserve">        143.86亿</t>
  </si>
  <si>
    <t>54.93万</t>
  </si>
  <si>
    <t>0.550㈡</t>
  </si>
  <si>
    <t xml:space="preserve">   7.66㈡</t>
  </si>
  <si>
    <t>山河智能</t>
  </si>
  <si>
    <t xml:space="preserve">         82.42亿</t>
  </si>
  <si>
    <t xml:space="preserve">         97.11亿</t>
  </si>
  <si>
    <t xml:space="preserve">         58.77亿</t>
  </si>
  <si>
    <t>7.16万</t>
  </si>
  <si>
    <t>0.367㈡</t>
  </si>
  <si>
    <t xml:space="preserve">   7.44㈡</t>
  </si>
  <si>
    <t>天康生物</t>
  </si>
  <si>
    <t xml:space="preserve">        160.41亿</t>
  </si>
  <si>
    <t xml:space="preserve">         98.45亿</t>
  </si>
  <si>
    <t>12.89万</t>
  </si>
  <si>
    <t>0.780㈡</t>
  </si>
  <si>
    <t xml:space="preserve">  15.76㈡</t>
  </si>
  <si>
    <t>拓邦股份</t>
  </si>
  <si>
    <t>元器件</t>
  </si>
  <si>
    <t xml:space="preserve">         57.56亿</t>
  </si>
  <si>
    <t xml:space="preserve">         71.26亿</t>
  </si>
  <si>
    <t xml:space="preserve">         53.89亿</t>
  </si>
  <si>
    <t>9.83万</t>
  </si>
  <si>
    <t xml:space="preserve">   7.76㈡</t>
  </si>
  <si>
    <t xml:space="preserve">       1854.87亿</t>
  </si>
  <si>
    <t xml:space="preserve">       1982.65亿</t>
  </si>
  <si>
    <t xml:space="preserve">        823.69亿</t>
  </si>
  <si>
    <t>87.62万</t>
  </si>
  <si>
    <t>1.360㈡</t>
  </si>
  <si>
    <t xml:space="preserve">   6.71㈡</t>
  </si>
  <si>
    <t>汉钟精机</t>
  </si>
  <si>
    <t xml:space="preserve">         68.97亿</t>
  </si>
  <si>
    <t xml:space="preserve">         69.66亿</t>
  </si>
  <si>
    <t xml:space="preserve">         26.27亿</t>
  </si>
  <si>
    <t>6.59万</t>
  </si>
  <si>
    <t>0.219㈡</t>
  </si>
  <si>
    <t xml:space="preserve">   5.78㈡</t>
  </si>
  <si>
    <t>游族网络</t>
  </si>
  <si>
    <t xml:space="preserve">        127.43亿</t>
  </si>
  <si>
    <t xml:space="preserve">        168.60亿</t>
  </si>
  <si>
    <t xml:space="preserve">        104.68亿</t>
  </si>
  <si>
    <t>拓日新能</t>
  </si>
  <si>
    <t xml:space="preserve">         60.91亿</t>
  </si>
  <si>
    <t xml:space="preserve">         61.94亿</t>
  </si>
  <si>
    <t xml:space="preserve">         34.18亿</t>
  </si>
  <si>
    <t>4.71万</t>
  </si>
  <si>
    <t>0.076㈡</t>
  </si>
  <si>
    <t xml:space="preserve">   3.06㈡</t>
  </si>
  <si>
    <t>滨江集团</t>
  </si>
  <si>
    <t xml:space="preserve">        132.73亿</t>
  </si>
  <si>
    <t xml:space="preserve">        153.39亿</t>
  </si>
  <si>
    <t xml:space="preserve">         62.43亿</t>
  </si>
  <si>
    <t>16.45万</t>
  </si>
  <si>
    <t xml:space="preserve">   5.08㈡</t>
  </si>
  <si>
    <t>利尔化学</t>
  </si>
  <si>
    <t xml:space="preserve">        107.43亿</t>
  </si>
  <si>
    <t xml:space="preserve">        107.92亿</t>
  </si>
  <si>
    <t xml:space="preserve">         52.82亿</t>
  </si>
  <si>
    <t>21.20万</t>
  </si>
  <si>
    <t>0.490㈡</t>
  </si>
  <si>
    <t xml:space="preserve">   7.07㈡</t>
  </si>
  <si>
    <t>水晶光电</t>
  </si>
  <si>
    <t xml:space="preserve">        169.60亿</t>
  </si>
  <si>
    <t xml:space="preserve">        174.98亿</t>
  </si>
  <si>
    <t xml:space="preserve">        139.83亿</t>
  </si>
  <si>
    <t>12.16万</t>
  </si>
  <si>
    <t>0.148㈡</t>
  </si>
  <si>
    <t xml:space="preserve">   3.36㈡</t>
  </si>
  <si>
    <t>保龄宝</t>
  </si>
  <si>
    <t xml:space="preserve">         55.87亿</t>
  </si>
  <si>
    <t xml:space="preserve">         24.95亿</t>
  </si>
  <si>
    <t>5.85万</t>
  </si>
  <si>
    <t>0.118㈡</t>
  </si>
  <si>
    <t xml:space="preserve">   2.71㈡</t>
  </si>
  <si>
    <t>三泰控股</t>
  </si>
  <si>
    <t xml:space="preserve">         87.67亿</t>
  </si>
  <si>
    <t xml:space="preserve">         91.23亿</t>
  </si>
  <si>
    <t>7.96万</t>
  </si>
  <si>
    <t>0.067㈡</t>
  </si>
  <si>
    <t xml:space="preserve">   2.81㈡</t>
  </si>
  <si>
    <t>双箭股份</t>
  </si>
  <si>
    <t xml:space="preserve">         31.81亿</t>
  </si>
  <si>
    <t xml:space="preserve">         41.53亿</t>
  </si>
  <si>
    <t xml:space="preserve">         23.85亿</t>
  </si>
  <si>
    <t>9.38万</t>
  </si>
  <si>
    <t>0.355㈡</t>
  </si>
  <si>
    <t>蓝帆医疗</t>
  </si>
  <si>
    <t xml:space="preserve">        181.28亿</t>
  </si>
  <si>
    <t xml:space="preserve">        248.43亿</t>
  </si>
  <si>
    <t xml:space="preserve">        102.15亿</t>
  </si>
  <si>
    <t>15.43万</t>
  </si>
  <si>
    <t>0.645㈡</t>
  </si>
  <si>
    <t>大北农</t>
  </si>
  <si>
    <t xml:space="preserve">        270.04亿</t>
  </si>
  <si>
    <t xml:space="preserve">        392.68亿</t>
  </si>
  <si>
    <t xml:space="preserve">        247.69亿</t>
  </si>
  <si>
    <t>11.26万</t>
  </si>
  <si>
    <t>北京利尔</t>
  </si>
  <si>
    <t>其他建材</t>
  </si>
  <si>
    <t xml:space="preserve">         51.40亿</t>
  </si>
  <si>
    <t xml:space="preserve">         73.57亿</t>
  </si>
  <si>
    <t xml:space="preserve">         46.97亿</t>
  </si>
  <si>
    <t>6.51万</t>
  </si>
  <si>
    <t>0.193㈡</t>
  </si>
  <si>
    <t xml:space="preserve">   5.81㈡</t>
  </si>
  <si>
    <t>九安医疗</t>
  </si>
  <si>
    <t xml:space="preserve">         33.99亿</t>
  </si>
  <si>
    <t>4.41万</t>
  </si>
  <si>
    <t>0.595㈡</t>
  </si>
  <si>
    <t xml:space="preserve">  13.30㈡</t>
  </si>
  <si>
    <t>万里扬</t>
  </si>
  <si>
    <t xml:space="preserve">        119.37亿</t>
  </si>
  <si>
    <t xml:space="preserve">        136.28亿</t>
  </si>
  <si>
    <t xml:space="preserve">         54.99亿</t>
  </si>
  <si>
    <t>23.18万</t>
  </si>
  <si>
    <t>0.208㈡</t>
  </si>
  <si>
    <t xml:space="preserve">   4.41㈡</t>
  </si>
  <si>
    <t>江海股份</t>
  </si>
  <si>
    <t xml:space="preserve">         81.17亿</t>
  </si>
  <si>
    <t xml:space="preserve">         86.66亿</t>
  </si>
  <si>
    <t xml:space="preserve">         45.77亿</t>
  </si>
  <si>
    <t>15.81万</t>
  </si>
  <si>
    <t>0.170㈡</t>
  </si>
  <si>
    <t xml:space="preserve">   3.96㈡</t>
  </si>
  <si>
    <t>嘉麟杰</t>
  </si>
  <si>
    <t xml:space="preserve">         30.70亿</t>
  </si>
  <si>
    <t xml:space="preserve">         23.71亿</t>
  </si>
  <si>
    <t>2.80万</t>
  </si>
  <si>
    <t>0.051㈡</t>
  </si>
  <si>
    <t xml:space="preserve">   4.43㈡</t>
  </si>
  <si>
    <t>汉缆股份</t>
  </si>
  <si>
    <t xml:space="preserve">        153.70亿</t>
  </si>
  <si>
    <t xml:space="preserve">         51.39亿</t>
  </si>
  <si>
    <t>3.05万</t>
  </si>
  <si>
    <t>0.106㈡</t>
  </si>
  <si>
    <t xml:space="preserve">   6.56㈡</t>
  </si>
  <si>
    <t>浙江众成</t>
  </si>
  <si>
    <t xml:space="preserve">         57.43亿</t>
  </si>
  <si>
    <t xml:space="preserve">         60.78亿</t>
  </si>
  <si>
    <t xml:space="preserve">         34.01亿</t>
  </si>
  <si>
    <t>9.04万</t>
  </si>
  <si>
    <t>0.073㈡</t>
  </si>
  <si>
    <t xml:space="preserve">   3.64㈡</t>
  </si>
  <si>
    <t>杭锅股份</t>
  </si>
  <si>
    <t xml:space="preserve">         68.82亿</t>
  </si>
  <si>
    <t xml:space="preserve">         69.04亿</t>
  </si>
  <si>
    <t xml:space="preserve">         17.39亿</t>
  </si>
  <si>
    <t>12.46万</t>
  </si>
  <si>
    <t>0.340㈡</t>
  </si>
  <si>
    <t xml:space="preserve">   7.84㈡</t>
  </si>
  <si>
    <t>司尔特</t>
  </si>
  <si>
    <t xml:space="preserve">         42.19亿</t>
  </si>
  <si>
    <t xml:space="preserve">         43.38亿</t>
  </si>
  <si>
    <t xml:space="preserve">         25.87亿</t>
  </si>
  <si>
    <t>5.80万</t>
  </si>
  <si>
    <t>0.190㈡</t>
  </si>
  <si>
    <t xml:space="preserve">   3.42㈡</t>
  </si>
  <si>
    <t>尚荣医疗</t>
  </si>
  <si>
    <t xml:space="preserve">         42.62亿</t>
  </si>
  <si>
    <t xml:space="preserve">         64.55亿</t>
  </si>
  <si>
    <t xml:space="preserve">         36.28亿</t>
  </si>
  <si>
    <t>3.64万</t>
  </si>
  <si>
    <t>0.120㈡</t>
  </si>
  <si>
    <t>海能达</t>
  </si>
  <si>
    <t>通信设备</t>
  </si>
  <si>
    <t xml:space="preserve">         82.69亿</t>
  </si>
  <si>
    <t xml:space="preserve">        144.41亿</t>
  </si>
  <si>
    <t xml:space="preserve">         62.68亿</t>
  </si>
  <si>
    <t>8.16万</t>
  </si>
  <si>
    <t>0.143㈡</t>
  </si>
  <si>
    <t xml:space="preserve">   4.16㈡</t>
  </si>
  <si>
    <t>世纪华通</t>
  </si>
  <si>
    <t xml:space="preserve">        411.31亿</t>
  </si>
  <si>
    <t xml:space="preserve">        734.08亿</t>
  </si>
  <si>
    <t xml:space="preserve">        319.92亿</t>
  </si>
  <si>
    <t>18.49万</t>
  </si>
  <si>
    <t>0.215㈡</t>
  </si>
  <si>
    <t xml:space="preserve">   5.46㈡</t>
  </si>
  <si>
    <t>以岭药业</t>
  </si>
  <si>
    <t>中成药</t>
  </si>
  <si>
    <t xml:space="preserve">        275.08亿</t>
  </si>
  <si>
    <t xml:space="preserve">        335.60亿</t>
  </si>
  <si>
    <t xml:space="preserve">        150.92亿</t>
  </si>
  <si>
    <t>9.15万</t>
  </si>
  <si>
    <t>0.600㈡</t>
  </si>
  <si>
    <t xml:space="preserve">   8.48㈡</t>
  </si>
  <si>
    <t>大连电瓷</t>
  </si>
  <si>
    <t xml:space="preserve">         32.02亿</t>
  </si>
  <si>
    <t xml:space="preserve">         32.35亿</t>
  </si>
  <si>
    <t xml:space="preserve">         22.07亿</t>
  </si>
  <si>
    <t>6.52万</t>
  </si>
  <si>
    <t xml:space="preserve">   7.10㈡</t>
  </si>
  <si>
    <t>奥佳华</t>
  </si>
  <si>
    <t xml:space="preserve">         95.96亿</t>
  </si>
  <si>
    <t xml:space="preserve">         44.77亿</t>
  </si>
  <si>
    <t>12.18万</t>
  </si>
  <si>
    <t>0.270㈡</t>
  </si>
  <si>
    <t xml:space="preserve">   4.11㈡</t>
  </si>
  <si>
    <t>ST加加</t>
  </si>
  <si>
    <t xml:space="preserve">         89.74亿</t>
  </si>
  <si>
    <t xml:space="preserve">         51.79亿</t>
  </si>
  <si>
    <t>13.36万</t>
  </si>
  <si>
    <t xml:space="preserve">   4.39㈡</t>
  </si>
  <si>
    <t>克明面业</t>
  </si>
  <si>
    <t xml:space="preserve">         70.84亿</t>
  </si>
  <si>
    <t xml:space="preserve">         71.90亿</t>
  </si>
  <si>
    <t xml:space="preserve">         44.62亿</t>
  </si>
  <si>
    <t>11.15万</t>
  </si>
  <si>
    <t xml:space="preserve">   9.12㈡</t>
  </si>
  <si>
    <t>利民股份</t>
  </si>
  <si>
    <t xml:space="preserve">         47.97亿</t>
  </si>
  <si>
    <t xml:space="preserve">         55.77亿</t>
  </si>
  <si>
    <t xml:space="preserve">         35.26亿</t>
  </si>
  <si>
    <t>16.14万</t>
  </si>
  <si>
    <t>0.840㈡</t>
  </si>
  <si>
    <t xml:space="preserve">  13.27㈡</t>
  </si>
  <si>
    <t>国信证券</t>
  </si>
  <si>
    <t xml:space="preserve">       1197.20亿</t>
  </si>
  <si>
    <t xml:space="preserve">       1403.41亿</t>
  </si>
  <si>
    <t xml:space="preserve">        293.98亿</t>
  </si>
  <si>
    <t>27.00万</t>
  </si>
  <si>
    <t xml:space="preserve">   5.65㈡</t>
  </si>
  <si>
    <t>南兴股份</t>
  </si>
  <si>
    <t xml:space="preserve">         50.20亿</t>
  </si>
  <si>
    <t xml:space="preserve">         61.75亿</t>
  </si>
  <si>
    <t xml:space="preserve">         21.37亿</t>
  </si>
  <si>
    <t>12.15万</t>
  </si>
  <si>
    <t>0.445㈡</t>
  </si>
  <si>
    <t xml:space="preserve">   6.98㈡</t>
  </si>
  <si>
    <t>国恩股份</t>
  </si>
  <si>
    <t xml:space="preserve">         62.33亿</t>
  </si>
  <si>
    <t xml:space="preserve">         95.67亿</t>
  </si>
  <si>
    <t xml:space="preserve">         41.69亿</t>
  </si>
  <si>
    <t>11.08万</t>
  </si>
  <si>
    <t>1.968㈡</t>
  </si>
  <si>
    <t xml:space="preserve">  18.47㈡</t>
  </si>
  <si>
    <t>众兴菌业</t>
  </si>
  <si>
    <t xml:space="preserve">         24.39亿</t>
  </si>
  <si>
    <t xml:space="preserve">         35.19亿</t>
  </si>
  <si>
    <t xml:space="preserve">         21.12亿</t>
  </si>
  <si>
    <t>0.160㈡</t>
  </si>
  <si>
    <t xml:space="preserve">   2.17㈡</t>
  </si>
  <si>
    <t>纳尔股份</t>
  </si>
  <si>
    <t xml:space="preserve">         14.36亿</t>
  </si>
  <si>
    <t xml:space="preserve">         23.91亿</t>
  </si>
  <si>
    <t xml:space="preserve">          7.16亿</t>
  </si>
  <si>
    <t>5.13万</t>
  </si>
  <si>
    <t>0.346㈡</t>
  </si>
  <si>
    <t xml:space="preserve">   6.85㈡</t>
  </si>
  <si>
    <t>凌霄泵业</t>
  </si>
  <si>
    <t xml:space="preserve">         50.73亿</t>
  </si>
  <si>
    <t xml:space="preserve">         61.32亿</t>
  </si>
  <si>
    <t xml:space="preserve">         33.10亿</t>
  </si>
  <si>
    <t>25.69万</t>
  </si>
  <si>
    <t>0.670㈡</t>
  </si>
  <si>
    <t xml:space="preserve">   7.88㈡</t>
  </si>
  <si>
    <t>新疆交建</t>
  </si>
  <si>
    <t xml:space="preserve">         25.91亿</t>
  </si>
  <si>
    <t xml:space="preserve">         96.75亿</t>
  </si>
  <si>
    <t>5.17万</t>
  </si>
  <si>
    <t>0.152㈡</t>
  </si>
  <si>
    <t xml:space="preserve">   4.04㈡</t>
  </si>
  <si>
    <t>神州泰岳</t>
  </si>
  <si>
    <t xml:space="preserve">         97.57亿</t>
  </si>
  <si>
    <t xml:space="preserve">        117.47亿</t>
  </si>
  <si>
    <t xml:space="preserve">         96.04亿</t>
  </si>
  <si>
    <t>11.23万</t>
  </si>
  <si>
    <t>0.044㈡</t>
  </si>
  <si>
    <t xml:space="preserve">   2.41㈡</t>
  </si>
  <si>
    <t>宝通科技</t>
  </si>
  <si>
    <t xml:space="preserve">         73.86亿</t>
  </si>
  <si>
    <t xml:space="preserve">         90.42亿</t>
  </si>
  <si>
    <t xml:space="preserve">         64.19亿</t>
  </si>
  <si>
    <t>32.05万</t>
  </si>
  <si>
    <t>0.610㈡</t>
  </si>
  <si>
    <t xml:space="preserve">   8.05㈡</t>
  </si>
  <si>
    <t>朗科科技</t>
  </si>
  <si>
    <t>IT设备</t>
  </si>
  <si>
    <t xml:space="preserve">         34.02亿</t>
  </si>
  <si>
    <t xml:space="preserve">         40.62亿</t>
  </si>
  <si>
    <t xml:space="preserve">         21.69亿</t>
  </si>
  <si>
    <t>12.26万</t>
  </si>
  <si>
    <t>0.238㈡</t>
  </si>
  <si>
    <t xml:space="preserve">   4.53㈡</t>
  </si>
  <si>
    <t>天源迪科</t>
  </si>
  <si>
    <t xml:space="preserve">         52.06亿</t>
  </si>
  <si>
    <t xml:space="preserve">         64.22亿</t>
  </si>
  <si>
    <t xml:space="preserve">         49.71亿</t>
  </si>
  <si>
    <t>13.59万</t>
  </si>
  <si>
    <t xml:space="preserve">   1.90㈡</t>
  </si>
  <si>
    <t>瑞普生物</t>
  </si>
  <si>
    <t xml:space="preserve">         52.12亿</t>
  </si>
  <si>
    <t xml:space="preserve">         86.04亿</t>
  </si>
  <si>
    <t xml:space="preserve">         37.09亿</t>
  </si>
  <si>
    <t>25.80万</t>
  </si>
  <si>
    <t>0.370㈡</t>
  </si>
  <si>
    <t xml:space="preserve">   6.75㈡</t>
  </si>
  <si>
    <t>华策影视</t>
  </si>
  <si>
    <t>影视音像</t>
  </si>
  <si>
    <t xml:space="preserve">        113.06亿</t>
  </si>
  <si>
    <t xml:space="preserve">        138.17亿</t>
  </si>
  <si>
    <t xml:space="preserve">         79.84亿</t>
  </si>
  <si>
    <t>17.47万</t>
  </si>
  <si>
    <t>0.084㈡</t>
  </si>
  <si>
    <t xml:space="preserve">   2.73㈡</t>
  </si>
  <si>
    <t>东富龙</t>
  </si>
  <si>
    <t xml:space="preserve">         83.26亿</t>
  </si>
  <si>
    <t xml:space="preserve">        122.27亿</t>
  </si>
  <si>
    <t xml:space="preserve">         45.86亿</t>
  </si>
  <si>
    <t>13.84万</t>
  </si>
  <si>
    <t>0.274㈡</t>
  </si>
  <si>
    <t xml:space="preserve">   5.23㈡</t>
  </si>
  <si>
    <t>通裕重工</t>
  </si>
  <si>
    <t xml:space="preserve">        150.73亿</t>
  </si>
  <si>
    <t xml:space="preserve">        164.04亿</t>
  </si>
  <si>
    <t xml:space="preserve">        120.08亿</t>
  </si>
  <si>
    <t>10.42万</t>
  </si>
  <si>
    <t>0.056㈡</t>
  </si>
  <si>
    <t>开山股份</t>
  </si>
  <si>
    <t xml:space="preserve">        140.81亿</t>
  </si>
  <si>
    <t xml:space="preserve">        147.75亿</t>
  </si>
  <si>
    <t xml:space="preserve">         53.38亿</t>
  </si>
  <si>
    <t>51.99万</t>
  </si>
  <si>
    <t>0.138㈡</t>
  </si>
  <si>
    <t xml:space="preserve">   3.14㈡</t>
  </si>
  <si>
    <t>雅本化学</t>
  </si>
  <si>
    <t xml:space="preserve">         77.39亿</t>
  </si>
  <si>
    <t xml:space="preserve">         79.95亿</t>
  </si>
  <si>
    <t xml:space="preserve">         47.13亿</t>
  </si>
  <si>
    <t>11.03万</t>
  </si>
  <si>
    <t>0.094㈡</t>
  </si>
  <si>
    <t>掌趣科技</t>
  </si>
  <si>
    <t xml:space="preserve">        188.73亿</t>
  </si>
  <si>
    <t xml:space="preserve">        197.71亿</t>
  </si>
  <si>
    <t xml:space="preserve">        171.94亿</t>
  </si>
  <si>
    <t>12.06万</t>
  </si>
  <si>
    <t xml:space="preserve">   7.50㈡</t>
  </si>
  <si>
    <t>麦捷科技</t>
  </si>
  <si>
    <t xml:space="preserve">         68.06亿</t>
  </si>
  <si>
    <t xml:space="preserve">         72.07亿</t>
  </si>
  <si>
    <t xml:space="preserve">         44.29亿</t>
  </si>
  <si>
    <t>9.35万</t>
  </si>
  <si>
    <t>0.057㈡</t>
  </si>
  <si>
    <t xml:space="preserve">   1.88㈡</t>
  </si>
  <si>
    <t>金雷股份</t>
  </si>
  <si>
    <t xml:space="preserve">         53.69亿</t>
  </si>
  <si>
    <t xml:space="preserve">         80.15亿</t>
  </si>
  <si>
    <t xml:space="preserve">         43.95亿</t>
  </si>
  <si>
    <t>18.66万</t>
  </si>
  <si>
    <t>0.752㈡</t>
  </si>
  <si>
    <t xml:space="preserve">   8.65㈡</t>
  </si>
  <si>
    <t>温氏股份</t>
  </si>
  <si>
    <t xml:space="preserve">        975.13亿</t>
  </si>
  <si>
    <t xml:space="preserve">       1284.89亿</t>
  </si>
  <si>
    <t xml:space="preserve">        962.03亿</t>
  </si>
  <si>
    <t>77.24万</t>
  </si>
  <si>
    <t>0.652㈡</t>
  </si>
  <si>
    <t xml:space="preserve">   9.34㈡</t>
  </si>
  <si>
    <t>天能重工</t>
  </si>
  <si>
    <t xml:space="preserve">         55.98亿</t>
  </si>
  <si>
    <t xml:space="preserve">         86.45亿</t>
  </si>
  <si>
    <t xml:space="preserve">         47.22亿</t>
  </si>
  <si>
    <t>9.48万</t>
  </si>
  <si>
    <t>0.401㈡</t>
  </si>
  <si>
    <t xml:space="preserve">   7.43㈡</t>
  </si>
  <si>
    <t>泰和科技</t>
  </si>
  <si>
    <t xml:space="preserve">         16.76亿</t>
  </si>
  <si>
    <t xml:space="preserve">         67.02亿</t>
  </si>
  <si>
    <t>10.29万</t>
  </si>
  <si>
    <t xml:space="preserve">   6.99㈡</t>
  </si>
  <si>
    <t>报告日期</t>
  </si>
  <si>
    <t>货币资金(万元)</t>
  </si>
  <si>
    <t>结算备付金(万元)</t>
  </si>
  <si>
    <t>拆出资金(万元)</t>
  </si>
  <si>
    <t>交易性金融资产(万元)</t>
  </si>
  <si>
    <t>衍生金融资产(万元)</t>
  </si>
  <si>
    <t>应收票据(万元)</t>
  </si>
  <si>
    <t>应收账款(万元)</t>
  </si>
  <si>
    <t>预付款项(万元)</t>
  </si>
  <si>
    <t>应收保费(万元)</t>
  </si>
  <si>
    <t>应收分保账款(万元)</t>
  </si>
  <si>
    <t>应收分保合同准备金(万元)</t>
  </si>
  <si>
    <t>应收利息(万元)</t>
  </si>
  <si>
    <t>应收股利(万元)</t>
  </si>
  <si>
    <t>其他应收款(万元)</t>
  </si>
  <si>
    <t>应收出口退税(万元)</t>
  </si>
  <si>
    <t>应收补贴款(万元)</t>
  </si>
  <si>
    <t>应收保证金(万元)</t>
  </si>
  <si>
    <t>内部应收款(万元)</t>
  </si>
  <si>
    <t>买入返售金融资产(万元)</t>
  </si>
  <si>
    <t>存货(万元)</t>
  </si>
  <si>
    <t>待摊费用(万元)</t>
  </si>
  <si>
    <t>待处理流动资产损益(万元)</t>
  </si>
  <si>
    <t>一年内到期的非流动资产(万元)</t>
  </si>
  <si>
    <t>其他流动资产(万元)</t>
  </si>
  <si>
    <t>流动资产合计(万元)</t>
  </si>
  <si>
    <t>发放贷款及垫款(万元)</t>
  </si>
  <si>
    <t>可供出售金融资产(万元)</t>
  </si>
  <si>
    <t>持有至到期投资(万元)</t>
  </si>
  <si>
    <t>长期应收款(万元)</t>
  </si>
  <si>
    <t>长期股权投资(万元)</t>
  </si>
  <si>
    <t>其他长期投资(万元)</t>
  </si>
  <si>
    <t>投资性房地产(万元)</t>
  </si>
  <si>
    <t>固定资产原值(万元)</t>
  </si>
  <si>
    <t>累计折旧(万元)</t>
  </si>
  <si>
    <t>固定资产净值(万元)</t>
  </si>
  <si>
    <t>固定资产减值准备(万元)</t>
  </si>
  <si>
    <t>固定资产(万元)</t>
  </si>
  <si>
    <t>在建工程(万元)</t>
  </si>
  <si>
    <t>工程物资(万元)</t>
  </si>
  <si>
    <t>固定资产清理(万元)</t>
  </si>
  <si>
    <t>生产性生物资产(万元)</t>
  </si>
  <si>
    <t>公益性生物资产(万元)</t>
  </si>
  <si>
    <t>油气资产(万元)</t>
  </si>
  <si>
    <t>无形资产(万元)</t>
  </si>
  <si>
    <t>开发支出(万元)</t>
  </si>
  <si>
    <t>商誉(万元)</t>
  </si>
  <si>
    <t>长期待摊费用(万元)</t>
  </si>
  <si>
    <t>股权分置流通权(万元)</t>
  </si>
  <si>
    <t>递延所得税资产(万元)</t>
  </si>
  <si>
    <t>其他非流动资产(万元)</t>
  </si>
  <si>
    <t>非流动资产合计(万元)</t>
  </si>
  <si>
    <t>资产总计(万元)</t>
  </si>
  <si>
    <t>短期借款(万元)</t>
  </si>
  <si>
    <t>向中央银行借款(万元)</t>
  </si>
  <si>
    <t>吸收存款及同业存放(万元)</t>
  </si>
  <si>
    <t>拆入资金(万元)</t>
  </si>
  <si>
    <t>交易性金融负债(万元)</t>
  </si>
  <si>
    <t>衍生金融负债(万元)</t>
  </si>
  <si>
    <t>应付票据(万元)</t>
  </si>
  <si>
    <t>应付账款(万元)</t>
  </si>
  <si>
    <t>预收账款(万元)</t>
  </si>
  <si>
    <t>卖出回购金融资产款(万元)</t>
  </si>
  <si>
    <t>应付手续费及佣金(万元)</t>
  </si>
  <si>
    <t>应付职工薪酬(万元)</t>
  </si>
  <si>
    <t>应交税费(万元)</t>
  </si>
  <si>
    <t>应付利息(万元)</t>
  </si>
  <si>
    <t>应付股利(万元)</t>
  </si>
  <si>
    <t>其他应交款(万元)</t>
  </si>
  <si>
    <t>应付保证金(万元)</t>
  </si>
  <si>
    <t>内部应付款(万元)</t>
  </si>
  <si>
    <t>其他应付款(万元)</t>
  </si>
  <si>
    <t>预提费用(万元)</t>
  </si>
  <si>
    <t>预计流动负债(万元)</t>
  </si>
  <si>
    <t>应付分保账款(万元)</t>
  </si>
  <si>
    <t>保险合同准备金(万元)</t>
  </si>
  <si>
    <t>代理买卖证券款(万元)</t>
  </si>
  <si>
    <t>代理承销证券款(万元)</t>
  </si>
  <si>
    <t>国际票证结算(万元)</t>
  </si>
  <si>
    <t>国内票证结算(万元)</t>
  </si>
  <si>
    <t>递延收益(万元)</t>
  </si>
  <si>
    <t>应付短期债券(万元)</t>
  </si>
  <si>
    <t>一年内到期的非流动负债(万元)</t>
  </si>
  <si>
    <t>其他流动负债(万元)</t>
  </si>
  <si>
    <t>流动负债合计(万元)</t>
  </si>
  <si>
    <t>长期借款(万元)</t>
  </si>
  <si>
    <t>应付债券(万元)</t>
  </si>
  <si>
    <t>长期应付款(万元)</t>
  </si>
  <si>
    <t>专项应付款(万元)</t>
  </si>
  <si>
    <t>预计非流动负债(万元)</t>
  </si>
  <si>
    <t>长期递延收益(万元)</t>
  </si>
  <si>
    <t>递延所得税负债(万元)</t>
  </si>
  <si>
    <t>其他非流动负债(万元)</t>
  </si>
  <si>
    <t>非流动负债合计(万元)</t>
  </si>
  <si>
    <t>负债合计(万元)</t>
  </si>
  <si>
    <t>实收资本(或股本)(万元)</t>
  </si>
  <si>
    <t>资本公积(万元)</t>
  </si>
  <si>
    <t>减:库存股(万元)</t>
  </si>
  <si>
    <t>专项储备(万元)</t>
  </si>
  <si>
    <t>盈余公积(万元)</t>
  </si>
  <si>
    <t>一般风险准备(万元)</t>
  </si>
  <si>
    <t>未确定的投资损失(万元)</t>
  </si>
  <si>
    <t>未分配利润(万元)</t>
  </si>
  <si>
    <t>拟分配现金股利(万元)</t>
  </si>
  <si>
    <t>外币报表折算差额(万元)</t>
  </si>
  <si>
    <t>归属于母公司股东权益合计(万元)</t>
  </si>
  <si>
    <t>少数股东权益(万元)</t>
  </si>
  <si>
    <t>所有者权益(或股东权益)合计(万元)</t>
  </si>
  <si>
    <t>负债和所有者权益(或股东权益)总计(万元)</t>
  </si>
  <si>
    <t>营业总收入(万元)</t>
  </si>
  <si>
    <t>营业收入(万元)</t>
  </si>
  <si>
    <t>利息收入(万元)</t>
  </si>
  <si>
    <t>已赚保费(万元)</t>
  </si>
  <si>
    <t>手续费及佣金收入(万元)</t>
  </si>
  <si>
    <t>房地产销售收入(万元)</t>
  </si>
  <si>
    <t>其他业务收入(万元)</t>
  </si>
  <si>
    <t>营业总成本(万元)</t>
  </si>
  <si>
    <t>营业成本(万元)</t>
  </si>
  <si>
    <t>利息支出(万元)</t>
  </si>
  <si>
    <t>手续费及佣金支出(万元)</t>
  </si>
  <si>
    <t>房地产销售成本(万元)</t>
  </si>
  <si>
    <t>研发费用(万元)</t>
  </si>
  <si>
    <t>退保金(万元)</t>
  </si>
  <si>
    <t>赔付支出净额(万元)</t>
  </si>
  <si>
    <t>提取保险合同准备金净额(万元)</t>
  </si>
  <si>
    <t>保单红利支出(万元)</t>
  </si>
  <si>
    <t>分保费用(万元)</t>
  </si>
  <si>
    <t>其他业务成本(万元)</t>
  </si>
  <si>
    <t>营业税金及附加(万元)</t>
  </si>
  <si>
    <t>销售费用(万元)</t>
  </si>
  <si>
    <t>管理费用(万元)</t>
  </si>
  <si>
    <t>财务费用(万元)</t>
  </si>
  <si>
    <t>资产减值损失(万元)</t>
  </si>
  <si>
    <t>公允价值变动收益(万元)</t>
  </si>
  <si>
    <t>投资收益(万元)</t>
  </si>
  <si>
    <t>对联营企业和合营企业的投资收益(万元)</t>
  </si>
  <si>
    <t>汇兑收益(万元)</t>
  </si>
  <si>
    <t>期货损益(万元)</t>
  </si>
  <si>
    <t>托管收益(万元)</t>
  </si>
  <si>
    <t>补贴收入(万元)</t>
  </si>
  <si>
    <t>其他业务利润(万元)</t>
  </si>
  <si>
    <t>营业利润(万元)</t>
  </si>
  <si>
    <t>营业外收入(万元)</t>
  </si>
  <si>
    <t>营业外支出(万元)</t>
  </si>
  <si>
    <t>非流动资产处置损失(万元)</t>
  </si>
  <si>
    <t>利润总额(万元)</t>
  </si>
  <si>
    <t>所得税费用(万元)</t>
  </si>
  <si>
    <t>未确认投资损失(万元)</t>
  </si>
  <si>
    <t>净利润(万元)</t>
  </si>
  <si>
    <t>归属于母公司所有者的净利润(万元)</t>
  </si>
  <si>
    <t>被合并方在合并前实现净利润(万元)</t>
  </si>
  <si>
    <t>少数股东损益(万元)</t>
  </si>
  <si>
    <t>基本每股收益</t>
  </si>
  <si>
    <t>非流动资产</t>
  </si>
  <si>
    <t>负债</t>
  </si>
  <si>
    <t>流动负债</t>
  </si>
  <si>
    <t>非流动负债</t>
  </si>
  <si>
    <t>每股权益</t>
  </si>
  <si>
    <t>销售商品、提供劳务收到的现金(万元)</t>
  </si>
  <si>
    <t>客户存款和同业存放款项净增加额(万元)</t>
  </si>
  <si>
    <t>向中央银行借款净增加额(万元)</t>
  </si>
  <si>
    <t>向其他金融机构拆入资金净增加额(万元)</t>
  </si>
  <si>
    <t>收到原保险合同保费取得的现金(万元)</t>
  </si>
  <si>
    <t>收到再保险业务现金净额(万元)</t>
  </si>
  <si>
    <t>保户储金及投资款净增加额(万元)</t>
  </si>
  <si>
    <t>处置交易性金融资产净增加额(万元)</t>
  </si>
  <si>
    <t>收取利息、手续费及佣金的现金(万元)</t>
  </si>
  <si>
    <t>拆入资金净增加额(万元)</t>
  </si>
  <si>
    <t>回购业务资金净增加额(万元)</t>
  </si>
  <si>
    <t>收到的税费返还(万元)</t>
  </si>
  <si>
    <t>收到的其他与经营活动有关的现金(万元)</t>
  </si>
  <si>
    <t>经营活动现金流入小计(万元)</t>
  </si>
  <si>
    <t>购买商品、接受劳务支付的现金(万元)</t>
  </si>
  <si>
    <t>客户贷款及垫款净增加额(万元)</t>
  </si>
  <si>
    <t>存放中央银行和同业款项净增加额(万元)</t>
  </si>
  <si>
    <t>支付原保险合同赔付款项的现金(万元)</t>
  </si>
  <si>
    <t>支付利息、手续费及佣金的现金(万元)</t>
  </si>
  <si>
    <t>支付保单红利的现金(万元)</t>
  </si>
  <si>
    <t>支付给职工以及为职工支付的现金(万元)</t>
  </si>
  <si>
    <t>支付的各项税费(万元)</t>
  </si>
  <si>
    <t>支付的其他与经营活动有关的现金(万元)</t>
  </si>
  <si>
    <t>经营活动现金流出小计(万元)</t>
  </si>
  <si>
    <t>经营活动产生的现金流量净额(万元)</t>
  </si>
  <si>
    <t>收回投资所收到的现金(万元)</t>
  </si>
  <si>
    <t>取得投资收益所收到的现金(万元)</t>
  </si>
  <si>
    <t>处置固定资产、无形资产和其他长期资产所收回的现金净额(万元)</t>
  </si>
  <si>
    <t>处置子公司及其他营业单位收到的现金净额(万元)</t>
  </si>
  <si>
    <t>收到的其他与投资活动有关的现金(万元)</t>
  </si>
  <si>
    <t>减少质押和定期存款所收到的现金(万元)</t>
  </si>
  <si>
    <t>投资活动现金流入小计(万元)</t>
  </si>
  <si>
    <t>购建固定资产、无形资产和其他长期资产所支付的现金(万元)</t>
  </si>
  <si>
    <t>投资所支付的现金(万元)</t>
  </si>
  <si>
    <t>质押贷款净增加额(万元)</t>
  </si>
  <si>
    <t>取得子公司及其他营业单位支付的现金净额(万元)</t>
  </si>
  <si>
    <t>支付的其他与投资活动有关的现金(万元)</t>
  </si>
  <si>
    <t>增加质押和定期存款所支付的现金(万元)</t>
  </si>
  <si>
    <t>投资活动现金流出小计(万元)</t>
  </si>
  <si>
    <t>投资活动产生的现金流量净额(万元)</t>
  </si>
  <si>
    <t>吸收投资收到的现金(万元)</t>
  </si>
  <si>
    <t>其中：子公司吸收少数股东投资收到的现金(万元)</t>
  </si>
  <si>
    <t>取得借款收到的现金(万元)</t>
  </si>
  <si>
    <t>发行债券收到的现金(万元)</t>
  </si>
  <si>
    <t>收到其他与筹资活动有关的现金(万元)</t>
  </si>
  <si>
    <t>筹资活动现金流入小计(万元)</t>
  </si>
  <si>
    <t>偿还债务支付的现金(万元)</t>
  </si>
  <si>
    <t>分配股利、利润或偿付利息所支付的现金(万元)</t>
  </si>
  <si>
    <t>其中：子公司支付给少数股东的股利、利润(万元)</t>
  </si>
  <si>
    <t>支付其他与筹资活动有关的现金(万元)</t>
  </si>
  <si>
    <t>筹资活动现金流出小计(万元)</t>
  </si>
  <si>
    <t>筹资活动产生的现金流量净额(万元)</t>
  </si>
  <si>
    <t>四、汇率变动对现金及现金等价物的影响</t>
  </si>
  <si>
    <t>汇率变动对现金及现金等价物的影响(万元)</t>
  </si>
  <si>
    <t>现金及现金等价物净增加额(万元)</t>
  </si>
  <si>
    <t>加:期初现金及现金等价物余额(万元)</t>
  </si>
  <si>
    <t>期末现金及现金等价物余额(万元)</t>
  </si>
  <si>
    <t>补充资料</t>
  </si>
  <si>
    <t>1、将净利润调节为经营活动的现金流量</t>
  </si>
  <si>
    <t>未确认的投资损失(万元)</t>
  </si>
  <si>
    <t>资产减值准备(万元)</t>
  </si>
  <si>
    <t>固定资产折旧、油气资产折耗、生产性物资折旧(万元)</t>
  </si>
  <si>
    <t>无形资产摊销(万元)</t>
  </si>
  <si>
    <t>长期待摊费用摊销(万元)</t>
  </si>
  <si>
    <t>待摊费用的减少(万元)</t>
  </si>
  <si>
    <t>预提费用的增加(万元)</t>
  </si>
  <si>
    <t>处置固定资产、无形资产和其他长期资产的损失(万元)</t>
  </si>
  <si>
    <t>固定资产报废损失(万元)</t>
  </si>
  <si>
    <t>公允价值变动损失(万元)</t>
  </si>
  <si>
    <t>递延收益增加(减：减少)(万元)</t>
  </si>
  <si>
    <t>预计负债(万元)</t>
  </si>
  <si>
    <t>投资损失(万元)</t>
  </si>
  <si>
    <t>递延所得税资产减少(万元)</t>
  </si>
  <si>
    <t>递延所得税负债增加(万元)</t>
  </si>
  <si>
    <t>存货的减少(万元)</t>
  </si>
  <si>
    <t>经营性应收项目的减少(万元)</t>
  </si>
  <si>
    <t>经营性应付项目的增加(万元)</t>
  </si>
  <si>
    <t>已完工尚未结算款的减少(减:增加)(万元)</t>
  </si>
  <si>
    <t>已结算尚未完工款的增加(减:减少)(万元)</t>
  </si>
  <si>
    <t>其他(万元)</t>
  </si>
  <si>
    <t>经营活动产生现金流量净额(万元)</t>
  </si>
  <si>
    <t>债务转为资本(万元)</t>
  </si>
  <si>
    <t>一年内到期的可转换公司债券(万元)</t>
  </si>
  <si>
    <t>融资租入固定资产(万元)</t>
  </si>
  <si>
    <t>3、现金及现金等价物净变动</t>
  </si>
  <si>
    <t>现金的期末余额(万元)</t>
  </si>
  <si>
    <t>现金的期初余额(万元)</t>
  </si>
  <si>
    <t>现金等价物的期末余额(万元)</t>
  </si>
  <si>
    <t>现金等价物的期初余额(万元)</t>
  </si>
  <si>
    <t>现金及现金等价物的净增加额(万元)</t>
  </si>
  <si>
    <t>总计</t>
  </si>
  <si>
    <t>长期债权投资</t>
  </si>
  <si>
    <t>会计科目</t>
  </si>
  <si>
    <t>短期投资（原值）(万元)</t>
  </si>
  <si>
    <t>短期投资跌价准备(万元)</t>
  </si>
  <si>
    <t>短期投资净额(万元)</t>
  </si>
  <si>
    <t>代销商品款(万元)</t>
  </si>
  <si>
    <t>待扣税金(万元)</t>
  </si>
  <si>
    <t>递延利息收入(万元)</t>
  </si>
  <si>
    <t>递延收益-非流动负债(万元)</t>
  </si>
  <si>
    <t>工程结算(万元)</t>
  </si>
  <si>
    <t>其他长期负债(万元)</t>
  </si>
  <si>
    <t>一年内到期的长期负债(万元)</t>
  </si>
  <si>
    <t>影响非流动负债其他科目(万元)</t>
  </si>
  <si>
    <t>影响流动负债其他科目(万元)</t>
  </si>
  <si>
    <t>应付福利费(万元)</t>
  </si>
  <si>
    <t>应付关联企业款(万元)</t>
  </si>
  <si>
    <t>应付内部单位款(万元)</t>
  </si>
  <si>
    <t>预收款项(万元)</t>
  </si>
  <si>
    <t>长期负债合计(万元)</t>
  </si>
  <si>
    <t>职工奖励及福利基金(万元)</t>
  </si>
  <si>
    <t>住房周转金(万元)</t>
  </si>
  <si>
    <t>其他非流动负(万元)</t>
  </si>
  <si>
    <t>待处理固定资产净损失(万元)</t>
  </si>
  <si>
    <t>递延税项(万元)</t>
  </si>
  <si>
    <t>递延资产(万元)</t>
  </si>
  <si>
    <t>股权投资差额(万元)</t>
  </si>
  <si>
    <t>固定资产合计(万元)</t>
  </si>
  <si>
    <t>固定资产净额(万元)</t>
  </si>
  <si>
    <t>合并价差(万元)</t>
  </si>
  <si>
    <t>开办费(万元)</t>
  </si>
  <si>
    <t>其他长期投资（原值）(万元)</t>
  </si>
  <si>
    <t>其他长期投资净额(万元)</t>
  </si>
  <si>
    <t>其他长期资产(万元)</t>
  </si>
  <si>
    <t>无形资产及其他资产(万元)</t>
  </si>
  <si>
    <t>无形资产及其他资产合计(万元)</t>
  </si>
  <si>
    <t>影响非流动资产其他科目(万元)</t>
  </si>
  <si>
    <t>长期股权投资净额(万元)</t>
  </si>
  <si>
    <t>长期投资（原值）(万元)</t>
  </si>
  <si>
    <t>长期投资减值准备(万元)</t>
  </si>
  <si>
    <t>长期投资净额(万元)</t>
  </si>
  <si>
    <t>长期债权投资(万元)</t>
  </si>
  <si>
    <t>长期债权投资净额(万元)</t>
  </si>
  <si>
    <t>存货（原值）(万元)</t>
  </si>
  <si>
    <t>存货跌价准备(万元)</t>
  </si>
  <si>
    <t>待处理流动资产净损失(万元)</t>
  </si>
  <si>
    <t>待转其他业务支出(万元)</t>
  </si>
  <si>
    <t>工程施工(万元)</t>
  </si>
  <si>
    <t>坏账准备(万元)</t>
  </si>
  <si>
    <t>期货保证金(万元)</t>
  </si>
  <si>
    <t>其他货币资金(万元)</t>
  </si>
  <si>
    <t>其他应收款净额(万元)</t>
  </si>
  <si>
    <t>其中：消耗性生物资产(万元)</t>
  </si>
  <si>
    <t>一年内到期的长期债权投资(万元)</t>
  </si>
  <si>
    <t>影响流动资产其他科目(万元)</t>
  </si>
  <si>
    <t>应收关联企业款(万元)</t>
  </si>
  <si>
    <t>应收内部单位款(万元)</t>
  </si>
  <si>
    <t>应收席位费(万元)</t>
  </si>
  <si>
    <t>应收账款净额(万元)</t>
  </si>
  <si>
    <t>预缴税金(万元)</t>
  </si>
  <si>
    <t>公益金(万元)</t>
  </si>
  <si>
    <t>股东权益(万元)</t>
  </si>
  <si>
    <t>集体福利基金(万元)</t>
  </si>
  <si>
    <t>减：库存股(万元)</t>
  </si>
  <si>
    <t>减：已归还投资(万元)</t>
  </si>
  <si>
    <t>盈余公积金(万元)</t>
  </si>
  <si>
    <t>影响所有者权益其他科目(万元)</t>
  </si>
  <si>
    <t>资本公积金(万元)</t>
  </si>
  <si>
    <t>预付账款(万元)</t>
  </si>
  <si>
    <t>存货（净额）(万元)</t>
  </si>
  <si>
    <t>实收资本（或股本）(万元)</t>
  </si>
  <si>
    <t>合同负债(万元)</t>
  </si>
  <si>
    <t>其他综合收益(万元)</t>
  </si>
  <si>
    <t>长期应付职工薪酬(万元)</t>
  </si>
  <si>
    <t>近5年</t>
    <phoneticPr fontId="3" type="noConversion"/>
  </si>
  <si>
    <t>近4年</t>
    <phoneticPr fontId="3" type="noConversion"/>
  </si>
  <si>
    <t>近3年</t>
  </si>
  <si>
    <t>近2年</t>
  </si>
  <si>
    <t>近1年</t>
  </si>
  <si>
    <t>总市值（亿元）</t>
  </si>
  <si>
    <t>计算市价</t>
  </si>
  <si>
    <t>成交量(手)</t>
  </si>
  <si>
    <t>时间</t>
  </si>
  <si>
    <t>成交价(元)</t>
  </si>
  <si>
    <t>价格变动(元)</t>
  </si>
  <si>
    <t>成交额(元)</t>
  </si>
  <si>
    <t>性质</t>
  </si>
  <si>
    <t>买盘</t>
  </si>
  <si>
    <t>中性盘</t>
  </si>
  <si>
    <t>卖盘</t>
  </si>
  <si>
    <t>现金比率</t>
    <phoneticPr fontId="3" type="noConversion"/>
  </si>
  <si>
    <t>存货周转天数</t>
    <phoneticPr fontId="3" type="noConversion"/>
  </si>
  <si>
    <t>应收账款周转天数</t>
    <phoneticPr fontId="3" type="noConversion"/>
  </si>
  <si>
    <t>行标签</t>
  </si>
  <si>
    <t>金融资产</t>
    <phoneticPr fontId="3" type="noConversion"/>
  </si>
  <si>
    <t>永续期</t>
    <phoneticPr fontId="3" type="noConversion"/>
  </si>
  <si>
    <t>计算资本支出</t>
    <phoneticPr fontId="3" type="noConversion"/>
  </si>
  <si>
    <t>每股收益</t>
    <phoneticPr fontId="3" type="noConversion"/>
  </si>
  <si>
    <t>总资产增长率</t>
    <phoneticPr fontId="3" type="noConversion"/>
  </si>
  <si>
    <t>资产负债率</t>
    <phoneticPr fontId="3" type="noConversion"/>
  </si>
  <si>
    <t>准货币资金</t>
    <phoneticPr fontId="3" type="noConversion"/>
  </si>
  <si>
    <t>有息负债</t>
    <phoneticPr fontId="3" type="noConversion"/>
  </si>
  <si>
    <t>有息负债与准货币资金差额</t>
    <phoneticPr fontId="3" type="noConversion"/>
  </si>
  <si>
    <t>合同负债（万元）</t>
    <phoneticPr fontId="3" type="noConversion"/>
  </si>
  <si>
    <t>应付汇总</t>
    <phoneticPr fontId="3" type="noConversion"/>
  </si>
  <si>
    <t>合同资产（万元）</t>
  </si>
  <si>
    <t>合同资产（万元）</t>
    <phoneticPr fontId="3" type="noConversion"/>
  </si>
  <si>
    <t>应收汇总（万元）</t>
    <phoneticPr fontId="3" type="noConversion"/>
  </si>
  <si>
    <t>应付-应收</t>
    <phoneticPr fontId="3" type="noConversion"/>
  </si>
  <si>
    <t>（应收账款+合同资产）/总资产</t>
    <phoneticPr fontId="3" type="noConversion"/>
  </si>
  <si>
    <t>第三步，看“应付预收”减“应收预付”的差额，了解公司的竞争优势。</t>
  </si>
  <si>
    <t>第四步：看应收账款、合同资产，了解公司的产品竞争力。</t>
  </si>
  <si>
    <t>第一步：看总资产，了解公司的实力和成长性。</t>
    <phoneticPr fontId="3" type="noConversion"/>
  </si>
  <si>
    <t>第二步：看负债，了解公司的偿债风险。</t>
    <phoneticPr fontId="3" type="noConversion"/>
  </si>
  <si>
    <t>固资：总资产</t>
    <phoneticPr fontId="3" type="noConversion"/>
  </si>
  <si>
    <t xml:space="preserve">第六步：看投资类资产，了解公司的主业专注度。 </t>
    <phoneticPr fontId="3" type="noConversion"/>
  </si>
  <si>
    <t>其他权益投资</t>
    <phoneticPr fontId="3" type="noConversion"/>
  </si>
  <si>
    <t>投资类资产合计：</t>
    <phoneticPr fontId="3" type="noConversion"/>
  </si>
  <si>
    <t>其他权益工具投资(万元)</t>
  </si>
  <si>
    <t>第七步：看存货、商誉，了解公司未来业绩爆雷的风险。</t>
  </si>
  <si>
    <t>第一步：看营业收入，了解公司的行业地位及成长性我们通过营业收入的金额和含金量看公司的行业地位</t>
  </si>
  <si>
    <t>营业收入增长率</t>
    <phoneticPr fontId="3" type="noConversion"/>
  </si>
  <si>
    <t>销、提收到的现金占比营业收入</t>
    <phoneticPr fontId="3" type="noConversion"/>
  </si>
  <si>
    <t>商誉(万元)</t>
    <phoneticPr fontId="3" type="noConversion"/>
  </si>
  <si>
    <t>资产总计(万元)</t>
    <phoneticPr fontId="3" type="noConversion"/>
  </si>
  <si>
    <t>销售商品、提供劳务收到的现金(万元)</t>
    <phoneticPr fontId="3" type="noConversion"/>
  </si>
  <si>
    <t>第二步：看毛利率，了解公司的产品竞争力及风险。</t>
  </si>
  <si>
    <t>毛利</t>
    <phoneticPr fontId="3" type="noConversion"/>
  </si>
  <si>
    <t>毛利率</t>
    <phoneticPr fontId="3" type="noConversion"/>
  </si>
  <si>
    <t>毛利率波动幅度</t>
    <phoneticPr fontId="3" type="noConversion"/>
  </si>
  <si>
    <t>第三步：看期间费用率，了解公司的成本管控能力。</t>
  </si>
  <si>
    <t>四费合计</t>
    <phoneticPr fontId="3" type="noConversion"/>
  </si>
  <si>
    <t>期间费用率</t>
    <phoneticPr fontId="3" type="noConversion"/>
  </si>
  <si>
    <t>期间费用率/毛利率</t>
    <phoneticPr fontId="3" type="noConversion"/>
  </si>
  <si>
    <t>第四步：看销售费用率，了解公司产品的销售难易度。</t>
  </si>
  <si>
    <t xml:space="preserve"> </t>
    <phoneticPr fontId="3" type="noConversion"/>
  </si>
  <si>
    <t>销售费用率</t>
    <phoneticPr fontId="3" type="noConversion"/>
  </si>
  <si>
    <r>
      <t>第五步：看固定资产，了解公司维持竞争力的成本固定资产主要看（固定资产</t>
    </r>
    <r>
      <rPr>
        <b/>
        <sz val="12"/>
        <color rgb="FFFF0000"/>
        <rFont val="Cambria"/>
        <family val="1"/>
      </rPr>
      <t>+</t>
    </r>
    <r>
      <rPr>
        <b/>
        <sz val="12"/>
        <color rgb="FFFF0000"/>
        <rFont val="宋体"/>
        <family val="3"/>
        <charset val="134"/>
      </rPr>
      <t>在建工程）占总资产的比率，比率越高说明公司维持竞争力的成本越高。</t>
    </r>
  </si>
  <si>
    <t>第五步：看主营利润，了解公司主业的盈利能力及利润质量。</t>
  </si>
  <si>
    <t>期间费用合计</t>
    <phoneticPr fontId="3" type="noConversion"/>
  </si>
  <si>
    <t>主营利润</t>
    <phoneticPr fontId="3" type="noConversion"/>
  </si>
  <si>
    <t>主营利润率</t>
    <phoneticPr fontId="3" type="noConversion"/>
  </si>
  <si>
    <t>主营利润/营业利润</t>
    <phoneticPr fontId="3" type="noConversion"/>
  </si>
  <si>
    <t>第六步：看净利润，了解公司的经营成果及含金量。</t>
  </si>
  <si>
    <t>第七步：看归母净利润，了解公司的整体盈利能力及持续性</t>
  </si>
  <si>
    <t xml:space="preserve">ROE </t>
    <phoneticPr fontId="3" type="noConversion"/>
  </si>
  <si>
    <t>第一步：看经营活动产生的现金流量净额，判断公司的造血能力经营活动产生的现金流量净额越大，公司的造血能力越强。</t>
  </si>
  <si>
    <t>经营活动产生的现金流量净额(万元)</t>
    <phoneticPr fontId="3" type="noConversion"/>
  </si>
  <si>
    <t>经营活动产生的现金流量增长率</t>
    <phoneticPr fontId="3" type="noConversion"/>
  </si>
  <si>
    <t>第二步：看“购买固定资产、无形资产和其他长期资产支付的现金”，判断公司未来的成长能力。</t>
  </si>
  <si>
    <t>购建固定资产、无形资产和其他长期资产所支付的现金(万元)</t>
    <phoneticPr fontId="3" type="noConversion"/>
  </si>
  <si>
    <t>购建固定资产、无形资产和其他长期资产所支付的现金与经营活动产生的现金流量净额的比率</t>
    <phoneticPr fontId="3" type="noConversion"/>
  </si>
  <si>
    <r>
      <t>第三步：看“分配给普通股股东及限制性股票持有者股利支付的现金”判断公司的品质</t>
    </r>
    <r>
      <rPr>
        <b/>
        <sz val="12"/>
        <color theme="1"/>
        <rFont val="Cambria"/>
        <family val="1"/>
      </rPr>
      <t xml:space="preserve"> </t>
    </r>
  </si>
  <si>
    <r>
      <t>第四步：看三大活动现金流量净额的组合类型，选出最佳类型的公司</t>
    </r>
    <r>
      <rPr>
        <b/>
        <sz val="12"/>
        <color theme="1"/>
        <rFont val="宋体"/>
        <family val="1"/>
        <charset val="134"/>
      </rPr>
      <t xml:space="preserve">                                          </t>
    </r>
    <phoneticPr fontId="3" type="noConversion"/>
  </si>
  <si>
    <t>公司类型</t>
    <phoneticPr fontId="3" type="noConversion"/>
  </si>
  <si>
    <r>
      <t>第五步：看“现金及现金等价物的净增加额”，判断公司的稳定性</t>
    </r>
    <r>
      <rPr>
        <b/>
        <sz val="12"/>
        <color theme="1"/>
        <rFont val="Cambria"/>
        <family val="1"/>
      </rPr>
      <t xml:space="preserve"> </t>
    </r>
    <phoneticPr fontId="3" type="noConversion"/>
  </si>
  <si>
    <t>归母净利润增长率</t>
    <phoneticPr fontId="3" type="noConversion"/>
  </si>
  <si>
    <t>公告日</t>
  </si>
  <si>
    <t>分红</t>
  </si>
  <si>
    <t>(每股)</t>
  </si>
  <si>
    <t>送股</t>
  </si>
  <si>
    <t>转股</t>
  </si>
  <si>
    <t>登记日</t>
  </si>
  <si>
    <t>派现额度(万元)</t>
  </si>
  <si>
    <t>除权日</t>
  </si>
  <si>
    <t>备注</t>
  </si>
  <si>
    <t>税后经营利润</t>
    <phoneticPr fontId="3" type="noConversion"/>
  </si>
  <si>
    <t>折旧实体现金流量比例</t>
    <phoneticPr fontId="3" type="noConversion"/>
  </si>
  <si>
    <t>当前股价</t>
    <phoneticPr fontId="3" type="noConversion"/>
  </si>
  <si>
    <t>股价差异率</t>
    <phoneticPr fontId="3" type="noConversion"/>
  </si>
  <si>
    <t>筛选</t>
    <phoneticPr fontId="3" type="noConversion"/>
  </si>
  <si>
    <t>差异</t>
    <phoneticPr fontId="3" type="noConversion"/>
  </si>
  <si>
    <t>与原始数据核对</t>
    <phoneticPr fontId="3" type="noConversion"/>
  </si>
  <si>
    <t>应收款项融资（万元）</t>
  </si>
  <si>
    <t>应收款项融资（万元）</t>
    <phoneticPr fontId="3" type="noConversion"/>
  </si>
  <si>
    <t>持有待售资产（万元）</t>
    <phoneticPr fontId="3" type="noConversion"/>
  </si>
  <si>
    <t>其他权益工具投资（万元）</t>
    <phoneticPr fontId="3" type="noConversion"/>
  </si>
  <si>
    <t>使用权资产（万元）</t>
    <phoneticPr fontId="3" type="noConversion"/>
  </si>
  <si>
    <t>经营性非流动资产</t>
    <phoneticPr fontId="3" type="noConversion"/>
  </si>
  <si>
    <t>租赁负债（万元）</t>
    <phoneticPr fontId="3" type="noConversion"/>
  </si>
  <si>
    <t>其他综合收益（万元）</t>
    <phoneticPr fontId="3" type="noConversion"/>
  </si>
  <si>
    <t>股东权益</t>
    <phoneticPr fontId="3" type="noConversion"/>
  </si>
  <si>
    <r>
      <rPr>
        <sz val="11"/>
        <color theme="1"/>
        <rFont val="宋体"/>
        <family val="2"/>
        <charset val="134"/>
      </rPr>
      <t>零增长价格</t>
    </r>
  </si>
  <si>
    <r>
      <rPr>
        <sz val="11"/>
        <color theme="1"/>
        <rFont val="宋体"/>
        <family val="2"/>
        <charset val="134"/>
      </rPr>
      <t>近三年平均增长率</t>
    </r>
    <phoneticPr fontId="3" type="noConversion"/>
  </si>
  <si>
    <r>
      <rPr>
        <sz val="11"/>
        <color theme="1"/>
        <rFont val="宋体"/>
        <family val="2"/>
        <charset val="134"/>
      </rPr>
      <t>折旧占比</t>
    </r>
    <phoneticPr fontId="3" type="noConversion"/>
  </si>
  <si>
    <r>
      <rPr>
        <sz val="11"/>
        <color theme="1"/>
        <rFont val="宋体"/>
        <family val="2"/>
        <charset val="134"/>
      </rPr>
      <t>估值表</t>
    </r>
  </si>
  <si>
    <t>[详情]</t>
  </si>
  <si>
    <t xml:space="preserve">优秀的公司一般是“正负负”和“正正负”类型。连续 2 年为其他类型的公司，淘汰。 </t>
  </si>
  <si>
    <t>评价：</t>
    <phoneticPr fontId="3" type="noConversion"/>
  </si>
  <si>
    <t>存货占总资产比例</t>
    <phoneticPr fontId="3" type="noConversion"/>
  </si>
  <si>
    <t>商誉占总资产比例</t>
    <phoneticPr fontId="3" type="noConversion"/>
  </si>
  <si>
    <t>投资类资产占总资产比例</t>
    <phoneticPr fontId="3" type="noConversion"/>
  </si>
  <si>
    <t>净利润现金比率</t>
    <phoneticPr fontId="3" type="noConversion"/>
  </si>
  <si>
    <t>分红额度</t>
    <phoneticPr fontId="3" type="noConversion"/>
  </si>
  <si>
    <t>加回分红后的现金及等价物净增加额（万元）</t>
    <phoneticPr fontId="3" type="noConversion"/>
  </si>
  <si>
    <t>评价</t>
    <phoneticPr fontId="3" type="noConversion"/>
  </si>
  <si>
    <t>分红率</t>
    <phoneticPr fontId="3" type="noConversion"/>
  </si>
  <si>
    <t>其他非流动金融资产（万元）</t>
  </si>
  <si>
    <t>其他非流动金融资产（万元）</t>
    <phoneticPr fontId="3" type="noConversion"/>
  </si>
  <si>
    <t>方大特钢</t>
    <phoneticPr fontId="3" type="noConversion"/>
  </si>
  <si>
    <t>分红率</t>
  </si>
  <si>
    <t>实际市值/估值</t>
    <phoneticPr fontId="3" type="noConversion"/>
  </si>
  <si>
    <t>长期应付职工薪酬（万元）</t>
  </si>
  <si>
    <t>长期应付职工薪酬（万元）</t>
    <phoneticPr fontId="3" type="noConversion"/>
  </si>
  <si>
    <t>总资产我们重点看两点，一是总资产的规模；二是总资产的同比增长率一家公司的总资产规模代表这家公司掌控的资源规模，也就是这家公司的实力。总资产同比增长率大于10%的公司一般在扩张之中，这样的公司成长性较好。</t>
  </si>
  <si>
    <t>负债重点看两点，一是资产负债率，二是准货币资金减有息负债的差额。资产负债率主要看两点，一是绝对值；二是同比增长情况。资产负债率大于 60%的公司，债务风险较大。</t>
  </si>
  <si>
    <t>再看一下准货币资金减有息负债的差额，排除偿债风险准货币资金=货币资金+交易性金融资产有息负债=短期借款＋一年内到期的非流动负债＋长期借款＋应付债券＋长期应付款，准货币资金减有息负债的差额主要看两点。一是两者大小；二是有无异常。对于资产负债率大于40%的公司，我们要看它的准货币资金是否大于有息负债。货币资金小于有息负债的公司，淘汰。</t>
  </si>
  <si>
    <t>“应付”指应付票据、应付账款；“预收”指预收款项、合同负债。“应收”指应收票据、应收账款、应收款项融资、合同资产；“预付”指预付款项。（应付票据+应付账款+预收款项）-（应收票据+应收账款+预付款项）大于0，说明公司在经营过程中无偿占用了供应商和经销商的资金，具有“两头吃”的能力。应付票据、应付账款、预收款项、合同负债的金额越大，代表公司对供应商和经销商的话语权越强，竞争优势越明显，行业地位越高。但这也需要结合不同行业的特点来进行具体分析。</t>
  </si>
  <si>
    <t>（应收账款+合同资产）占总资产的比率本质反映的是公司产品的销售难易度。最优秀的公司（应收账款+合同资产）占总资产的比率小于 1%，优秀的公司一般小于 3%。（应收账款 +合同资产）占总资产的比率大于 10%的公司需要淘汰掉。</t>
  </si>
  <si>
    <t>（固定资产＋在建工程）与总资产的比率大于 40%的公司为重资产型公司。重资产型公司保持竞争力的成本比较高，风险比较大。</t>
  </si>
  <si>
    <t>投资类资产主要包括：以公允价值计量且其变动计入当期损益的金融资产、债权投资、其他债权投资、可供出售金融资产、持有至到期投资、长期股权投资、其他权益工具投资、其他非流动金融资产、投资性房地产。投资类资产我们主要看投资类资产占总资产的比率。优秀的公司一定是专注于主业的公司，与主业无关的投资类资产占总资产的比例应当很低才对，最好为 0，在实践中，与主业无关的投资类资产占总资产比率大于 10%的公司不够专注。淘汰。</t>
  </si>
  <si>
    <t>易爆雷资产主要包括：应收账款、存货、长期股权投资、固定资产、商誉。这五个科目是最容易埋雷的地方，后期爆雷的时候会导致利润大幅减少甚至大幅亏损。由于我们在前六步中已经看过了应收账款、固定资产、长期股权投资科目，排除了这三个科目爆雷的风险。这里重点看存货和商誉。</t>
  </si>
  <si>
    <t>商誉是公司对外收购所花的超出被收购公司净资产的那部分钱。收购来的公司企业文化不同，甚至行业也不同，很难经营成功，所以商誉是最容易爆雷的科目之一。在投资实践中，一般会把商誉占总资产的比率超过 10%的公司淘汰掉。</t>
  </si>
  <si>
    <t>通过营业收入增长率看公司的成长能力。营业收入金额较大且“销售商品、提供劳务收到的现金”与“营业收入”的比率大于 110%的公司行业地位高，产品竞争力强。“营业收入”增长率大于 10%的公司，成长性较好。销售商品、提供劳务收到的现金”与“营业收入”的比率小于 50%的公司、营业收入增长率小于10%的公司淘汰掉。</t>
    <phoneticPr fontId="3" type="noConversion"/>
  </si>
  <si>
    <t>高毛利率说明公司的产品或服务有很强的竞争力。低毛利率则说明公司的产品或服务竞争力较差。一般来说，毛利率大于 40%的公司都有某种核心竞争力。优秀公司的毛利率不但高还比较稳定，波动幅度比较小。一般来说优秀公司的毛利率每年的波动幅度小于10%。毛利率波动幅度太大的公司要么是公司经营的风险大，要么是公司财务造假的风险大。在投资实践中，毛利率波幅大于 20%的公司一般淘汰掉。</t>
  </si>
  <si>
    <t>期间费用率越低，公司的成本管控能力就越强。毛利率高，期间费用率低，净利润率才可能高。优秀公司的期间费用率与毛利率的比率一般小于 40%。在投资实践中，一般把期间费用率与毛利率的比率大于 60%的公司淘汰掉。</t>
  </si>
  <si>
    <t>销售费用率主要看两点，数值和变动趋势。一般来说，销售费用率小于 15%的公司，其产品比较容易销售，销售风险相对较小。销售费用率大于 30%的公司，其产品销售难度大，销售风险大。在投资实践中，一般把销售费用率大于 30%的公司淘汰掉。</t>
  </si>
  <si>
    <t>主营利润是一家公司最主要的利润来源，主营利润主要看两点，主营利润率和主营利润与营业利润的比率。主营利润小于0 的公司，直接淘汰。毛利率大于 40%的公司，主营利润率至少应该大于 15%。主营利润率小于 15%的公司，淘汰。另外优秀公司的“主营利润”与“利润总额”的比率至少要大于 80%。“主营利润”与“利润总额”的比率小于 80%的公司，淘汰。</t>
  </si>
  <si>
    <t>净利润主要看净利润含金量。净利润金额越大越好。净利润小于 0 的公司，直接淘汰掉。优秀的公司不但净利润金额大而且含金量高。优秀公司的“净利润现金比率”会持续的大于 100%。</t>
    <phoneticPr fontId="3" type="noConversion"/>
  </si>
  <si>
    <t>归母净利润主要看两点，一是规模，二是增长率。用“归母净利润”和“归母股东权益”可以计算出公司的净资产收益率，也叫 ROE。净资产收益率是一个综合性最强的财务比率，是杜邦分析系统的核心。它反映所有者投入资本的获利能力，同时反映企业筹资、投资、运营的效率。一般来说净资产收益率在 15%-39%比较合适</t>
  </si>
  <si>
    <t>“购买固定资产、无形资产和其他长期资产支付的现金”金额越大，公司未来成长能力越强。成长能力较强的公司，“购买固定资产、无形资产和其他长期资产支付的现金”与“经营活动现金流量净额”比率一般在 10%-60%之间。这个比率连续 2 年高于 100%或低于 10%的公司，淘汰</t>
  </si>
  <si>
    <t>优秀的公司应当每年分红而且分红率一般会大于净利润的 30%。连续高分红的公司财务造假的概率很小。分红率低于 30%的公司要么能力有问题，要么品质有问题。</t>
  </si>
  <si>
    <t>优秀公司的现金及现金等价物净增加额一般都是大于 0 的。加回现金分红后，现金及现金等价物的净增加额小于 0 的公司，淘汰掉。</t>
  </si>
  <si>
    <t>收入增长率评价</t>
    <phoneticPr fontId="3" type="noConversion"/>
  </si>
  <si>
    <t>销提占收入比例</t>
    <phoneticPr fontId="3" type="noConversion"/>
  </si>
  <si>
    <t>毛利率评价</t>
    <phoneticPr fontId="3" type="noConversion"/>
  </si>
  <si>
    <t>毛利率波动幅度评价</t>
    <phoneticPr fontId="3" type="noConversion"/>
  </si>
  <si>
    <t>期间费用率评价</t>
    <phoneticPr fontId="3" type="noConversion"/>
  </si>
  <si>
    <t>销售费用率评价</t>
    <phoneticPr fontId="3" type="noConversion"/>
  </si>
  <si>
    <t>主营业务利润评价</t>
    <phoneticPr fontId="3" type="noConversion"/>
  </si>
  <si>
    <t>-</t>
  </si>
  <si>
    <t>现金是否能覆盖差额</t>
    <phoneticPr fontId="3" type="noConversion"/>
  </si>
  <si>
    <t>核对净利润</t>
    <phoneticPr fontId="3" type="noConversion"/>
  </si>
  <si>
    <t>陕西煤业</t>
  </si>
  <si>
    <t>陕西煤业</t>
    <phoneticPr fontId="3" type="noConversion"/>
  </si>
  <si>
    <t>新五丰</t>
  </si>
  <si>
    <t>振德医疗</t>
  </si>
  <si>
    <t>诺邦股份</t>
  </si>
  <si>
    <t>杭萧钢构</t>
  </si>
  <si>
    <t>天邦股份</t>
  </si>
  <si>
    <t>正邦科技</t>
  </si>
  <si>
    <t>鱼跃医疗</t>
  </si>
  <si>
    <t>阳普医疗</t>
  </si>
  <si>
    <t>延江股份</t>
  </si>
  <si>
    <t>去年分红</t>
    <phoneticPr fontId="3" type="noConversion"/>
  </si>
  <si>
    <t>分红市价比率</t>
    <phoneticPr fontId="3" type="noConversion"/>
  </si>
  <si>
    <t>ROE</t>
    <phoneticPr fontId="3" type="noConversion"/>
  </si>
  <si>
    <t>三一重工</t>
    <phoneticPr fontId="3" type="noConversion"/>
  </si>
  <si>
    <t>000725</t>
    <phoneticPr fontId="3" type="noConversion"/>
  </si>
  <si>
    <t>京东方A</t>
    <phoneticPr fontId="3" type="noConversion"/>
  </si>
  <si>
    <t>净利率</t>
    <phoneticPr fontId="3" type="noConversion"/>
  </si>
  <si>
    <t>宝钢股份</t>
    <phoneticPr fontId="3" type="noConversion"/>
  </si>
  <si>
    <t>上证指数从2019年1月的低点2464.36到现在2021年2月20日，可以比较明显的看出来现在还处在年级别的三浪当中</t>
    <phoneticPr fontId="3" type="noConversion"/>
  </si>
  <si>
    <t>如果从2020年三月的低点2656算起，到2021年2月20日，也是一个较小级别的三浪在形成之中。而且从更小的级别看，刚好走了一个小的五浪结构，后面有可能调整，但只要不是达到五浪的末端，我这次绝不减仓。所以要做好4浪深度调整的心理准备。</t>
    <phoneticPr fontId="3" type="noConversion"/>
  </si>
  <si>
    <t>深证的数浪就没那么简单了，不过从2019年1月开始也是逐级走高的，如果从那时开始数浪的话，现在的这波应该是五浪了，调整风险比较大，如果也从2020年的三月算起，现在也处于小一点级别的三浪当中。</t>
    <phoneticPr fontId="3" type="noConversion"/>
  </si>
  <si>
    <t>创业板从2019年1月到2020年7月已经完成了一个非常明显的5浪结构，经过2020年7-11月四个月的调整继续上行，弄不好会是一个九浪的结构。2020年</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</si>
</sst>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_(&quot;¥&quot;* #,##0.00_);_(&quot;¥&quot;* \(#,##0.00\);_(&quot;¥&quot;* &quot;-&quot;??_);_(@_)"/>
    <numFmt numFmtId="177" formatCode="_(* #,##0_);_(* \(#,##0\);_(* &quot;-&quot;_);_(@_)"/>
    <numFmt numFmtId="178" formatCode="_(* #,##0.00_);_(* \(#,##0.00\);_(* &quot;-&quot;??_);_(@_)"/>
    <numFmt numFmtId="179" formatCode="#,##0_);[Red]\(#,##0\)"/>
    <numFmt numFmtId="180" formatCode="0.000000_);[Red]\(0.000000\)"/>
    <numFmt numFmtId="181" formatCode="0.00_ "/>
    <numFmt numFmtId="182" formatCode="#,##0.0000_);[Red]\(#,##0.0000\)"/>
    <numFmt numFmtId="183" formatCode="&quot;$&quot;#,##0_);\(&quot;$&quot;#,##0\)"/>
    <numFmt numFmtId="184" formatCode="_-* #,##0_-;\-* #,##0_-;_-* &quot;-&quot;_-;_-@_-"/>
    <numFmt numFmtId="185" formatCode="_-* #,##0.00_-;\-* #,##0.00_-;_-* &quot;-&quot;??_-;_-@_-"/>
    <numFmt numFmtId="186" formatCode="_-&quot;$&quot;* #,##0_-;\-&quot;$&quot;* #,##0_-;_-&quot;$&quot;* &quot;-&quot;_-;_-@_-"/>
    <numFmt numFmtId="187" formatCode="_-&quot;$&quot;* #,##0.00_-;\-&quot;$&quot;* #,##0.00_-;_-&quot;$&quot;* &quot;-&quot;??_-;_-@_-"/>
    <numFmt numFmtId="188" formatCode="&quot;\&quot;#,##0;[Red]&quot;\&quot;&quot;\&quot;\-#,##0"/>
    <numFmt numFmtId="189" formatCode="&quot;\&quot;#,##0.00;[Red]&quot;\&quot;&quot;\&quot;\-#,##0.00"/>
    <numFmt numFmtId="190" formatCode="&quot;\&quot;#,##0;&quot;\&quot;&quot;\&quot;\-#,##0"/>
    <numFmt numFmtId="191" formatCode="#,##0.00_);[Red]\(#,##0.00\)"/>
    <numFmt numFmtId="192" formatCode="0.00_);[Red]\(0.00\)"/>
  </numFmts>
  <fonts count="63" x14ac:knownFonts="1">
    <font>
      <sz val="11"/>
      <color theme="1"/>
      <name val="宋体"/>
      <family val="2"/>
      <charset val="134"/>
      <scheme val="minor"/>
    </font>
    <font>
      <sz val="11"/>
      <color theme="1"/>
      <name val="宋体"/>
      <family val="2"/>
      <charset val="134"/>
      <scheme val="minor"/>
    </font>
    <font>
      <sz val="11"/>
      <color rgb="FFFF0000"/>
      <name val="宋体"/>
      <family val="2"/>
      <charset val="134"/>
      <scheme val="minor"/>
    </font>
    <font>
      <sz val="9"/>
      <name val="宋体"/>
      <family val="2"/>
      <charset val="134"/>
      <scheme val="minor"/>
    </font>
    <font>
      <b/>
      <sz val="14"/>
      <color rgb="FF000000"/>
      <name val="宋体"/>
      <family val="3"/>
      <charset val="134"/>
    </font>
    <font>
      <b/>
      <u/>
      <sz val="14"/>
      <color rgb="FF000000"/>
      <name val="宋体"/>
      <family val="3"/>
      <charset val="134"/>
    </font>
    <font>
      <sz val="10.5"/>
      <color rgb="FF000000"/>
      <name val="宋体"/>
      <family val="3"/>
      <charset val="134"/>
    </font>
    <font>
      <b/>
      <u/>
      <sz val="10.5"/>
      <color rgb="FF000000"/>
      <name val="宋体"/>
      <family val="3"/>
      <charset val="134"/>
    </font>
    <font>
      <sz val="11"/>
      <color rgb="FF0070C0"/>
      <name val="宋体"/>
      <family val="2"/>
      <charset val="134"/>
      <scheme val="minor"/>
    </font>
    <font>
      <sz val="10.5"/>
      <color rgb="FF0070C0"/>
      <name val="宋体"/>
      <family val="3"/>
      <charset val="134"/>
    </font>
    <font>
      <sz val="11"/>
      <color rgb="FF0070C0"/>
      <name val="宋体"/>
      <family val="3"/>
      <charset val="134"/>
      <scheme val="minor"/>
    </font>
    <font>
      <b/>
      <sz val="10.5"/>
      <color theme="6" tint="-0.249977111117893"/>
      <name val="宋体"/>
      <family val="3"/>
      <charset val="134"/>
    </font>
    <font>
      <sz val="10.5"/>
      <color rgb="FF00B050"/>
      <name val="宋体"/>
      <family val="3"/>
      <charset val="134"/>
    </font>
    <font>
      <sz val="10.5"/>
      <color theme="3" tint="-0.249977111117893"/>
      <name val="宋体"/>
      <family val="3"/>
      <charset val="134"/>
    </font>
    <font>
      <sz val="11"/>
      <color theme="3" tint="-0.249977111117893"/>
      <name val="宋体"/>
      <family val="3"/>
      <charset val="134"/>
      <scheme val="minor"/>
    </font>
    <font>
      <b/>
      <sz val="11"/>
      <color rgb="FF002060"/>
      <name val="宋体"/>
      <family val="3"/>
      <charset val="134"/>
      <scheme val="minor"/>
    </font>
    <font>
      <b/>
      <sz val="12"/>
      <color rgb="FFFF0000"/>
      <name val="宋体"/>
      <family val="3"/>
      <charset val="134"/>
    </font>
    <font>
      <b/>
      <sz val="9"/>
      <color indexed="81"/>
      <name val="宋体"/>
      <family val="3"/>
      <charset val="134"/>
    </font>
    <font>
      <sz val="9"/>
      <color indexed="81"/>
      <name val="宋体"/>
      <family val="3"/>
      <charset val="134"/>
    </font>
    <font>
      <sz val="9"/>
      <name val="宋体"/>
      <family val="3"/>
      <charset val="134"/>
    </font>
    <font>
      <sz val="12"/>
      <name val="宋体"/>
      <family val="3"/>
      <charset val="134"/>
    </font>
    <font>
      <sz val="7"/>
      <name val="Helv"/>
      <family val="2"/>
    </font>
    <font>
      <b/>
      <sz val="10"/>
      <name val="MS Sans Serif"/>
      <family val="2"/>
    </font>
    <font>
      <sz val="10"/>
      <name val="Arial"/>
      <family val="2"/>
    </font>
    <font>
      <u/>
      <sz val="7.5"/>
      <color indexed="36"/>
      <name val="Arial"/>
      <family val="2"/>
    </font>
    <font>
      <sz val="8"/>
      <name val="Arial"/>
      <family val="2"/>
    </font>
    <font>
      <u/>
      <sz val="7.5"/>
      <color indexed="12"/>
      <name val="Arial"/>
      <family val="2"/>
    </font>
    <font>
      <sz val="10"/>
      <name val="Courier"/>
      <family val="3"/>
    </font>
    <font>
      <sz val="12"/>
      <name val="Garamond"/>
      <family val="1"/>
    </font>
    <font>
      <sz val="7"/>
      <color indexed="10"/>
      <name val="Helv"/>
      <family val="2"/>
    </font>
    <font>
      <sz val="10"/>
      <name val="Helv"/>
      <family val="2"/>
    </font>
    <font>
      <sz val="11"/>
      <color theme="1"/>
      <name val="宋体"/>
      <family val="3"/>
      <charset val="134"/>
      <scheme val="minor"/>
    </font>
    <font>
      <u/>
      <sz val="9"/>
      <color indexed="12"/>
      <name val="宋体"/>
      <family val="3"/>
      <charset val="134"/>
    </font>
    <font>
      <u/>
      <sz val="9"/>
      <color indexed="36"/>
      <name val="宋体"/>
      <family val="3"/>
      <charset val="134"/>
    </font>
    <font>
      <sz val="12"/>
      <name val="楷体"/>
      <family val="3"/>
      <charset val="134"/>
    </font>
    <font>
      <sz val="12"/>
      <name val="Times New Roman"/>
      <family val="1"/>
    </font>
    <font>
      <b/>
      <u/>
      <sz val="11"/>
      <color indexed="12"/>
      <name val="Arial"/>
      <family val="2"/>
    </font>
    <font>
      <sz val="11"/>
      <color theme="1"/>
      <name val="Arial Narrow"/>
      <family val="2"/>
    </font>
    <font>
      <b/>
      <sz val="11"/>
      <color theme="1"/>
      <name val="宋体"/>
      <family val="2"/>
      <charset val="134"/>
      <scheme val="minor"/>
    </font>
    <font>
      <b/>
      <sz val="11"/>
      <color theme="1"/>
      <name val="宋体"/>
      <family val="3"/>
      <charset val="134"/>
      <scheme val="minor"/>
    </font>
    <font>
      <sz val="11"/>
      <name val="宋体"/>
      <family val="3"/>
      <charset val="134"/>
      <scheme val="minor"/>
    </font>
    <font>
      <b/>
      <sz val="14"/>
      <color theme="1"/>
      <name val="宋体"/>
      <family val="3"/>
      <charset val="134"/>
      <scheme val="minor"/>
    </font>
    <font>
      <sz val="11"/>
      <color indexed="9"/>
      <name val="宋体"/>
      <family val="3"/>
      <charset val="134"/>
    </font>
    <font>
      <b/>
      <sz val="16"/>
      <color indexed="16"/>
      <name val="宋体"/>
      <family val="3"/>
      <charset val="134"/>
    </font>
    <font>
      <sz val="11"/>
      <color indexed="16"/>
      <name val="宋体"/>
      <family val="3"/>
      <charset val="134"/>
    </font>
    <font>
      <b/>
      <sz val="11"/>
      <color indexed="9"/>
      <name val="宋体"/>
      <family val="3"/>
      <charset val="134"/>
    </font>
    <font>
      <sz val="11"/>
      <color indexed="8"/>
      <name val="宋体"/>
      <family val="3"/>
      <charset val="134"/>
    </font>
    <font>
      <b/>
      <sz val="9"/>
      <color indexed="81"/>
      <name val="Tahoma"/>
      <family val="2"/>
    </font>
    <font>
      <sz val="9"/>
      <color indexed="81"/>
      <name val="Tahoma"/>
      <family val="2"/>
    </font>
    <font>
      <sz val="11"/>
      <color rgb="FF0070C0"/>
      <name val="Arial Narrow"/>
      <family val="2"/>
    </font>
    <font>
      <b/>
      <sz val="12"/>
      <color rgb="FFFF0000"/>
      <name val="宋体"/>
      <family val="3"/>
      <charset val="134"/>
      <scheme val="minor"/>
    </font>
    <font>
      <b/>
      <sz val="14"/>
      <color rgb="FFFF0000"/>
      <name val="宋体"/>
      <family val="3"/>
      <charset val="134"/>
      <scheme val="minor"/>
    </font>
    <font>
      <b/>
      <sz val="12"/>
      <color theme="1"/>
      <name val="Cambria"/>
      <family val="1"/>
    </font>
    <font>
      <b/>
      <sz val="12"/>
      <color rgb="FFFF0000"/>
      <name val="Cambria"/>
      <family val="1"/>
    </font>
    <font>
      <b/>
      <sz val="12"/>
      <color theme="1"/>
      <name val="宋体"/>
      <family val="1"/>
      <charset val="134"/>
    </font>
    <font>
      <sz val="11"/>
      <color theme="1"/>
      <name val="宋体"/>
      <family val="2"/>
      <charset val="134"/>
    </font>
    <font>
      <b/>
      <sz val="11"/>
      <color theme="1"/>
      <name val="Arial Narrow"/>
      <family val="2"/>
    </font>
    <font>
      <b/>
      <sz val="11"/>
      <color rgb="FFFF0000"/>
      <name val="宋体"/>
      <family val="3"/>
      <charset val="134"/>
      <scheme val="minor"/>
    </font>
    <font>
      <b/>
      <sz val="11"/>
      <color rgb="FFFF0000"/>
      <name val="Arial Narrow"/>
      <family val="2"/>
    </font>
    <font>
      <b/>
      <sz val="11"/>
      <color rgb="FF0070C0"/>
      <name val="宋体"/>
      <family val="2"/>
      <charset val="134"/>
      <scheme val="minor"/>
    </font>
    <font>
      <b/>
      <sz val="11"/>
      <color rgb="FF0070C0"/>
      <name val="Arial Narrow"/>
      <family val="2"/>
    </font>
    <font>
      <b/>
      <sz val="11"/>
      <color rgb="FFFF0000"/>
      <name val="宋体"/>
      <family val="2"/>
      <charset val="134"/>
      <scheme val="minor"/>
    </font>
    <font>
      <b/>
      <sz val="10.5"/>
      <color rgb="FFFF0000"/>
      <name val="宋体"/>
      <family val="3"/>
      <charset val="134"/>
    </font>
  </fonts>
  <fills count="15">
    <fill>
      <patternFill patternType="none"/>
    </fill>
    <fill>
      <patternFill patternType="gray125"/>
    </fill>
    <fill>
      <patternFill patternType="solid">
        <fgColor theme="8" tint="0.59996337778862885"/>
        <bgColor indexed="64"/>
      </patternFill>
    </fill>
    <fill>
      <patternFill patternType="solid">
        <fgColor theme="8" tint="0.79998168889431442"/>
        <bgColor indexed="64"/>
      </patternFill>
    </fill>
    <fill>
      <patternFill patternType="solid">
        <fgColor rgb="FFFFFF00"/>
        <bgColor indexed="64"/>
      </patternFill>
    </fill>
    <fill>
      <patternFill patternType="solid">
        <fgColor theme="6" tint="0.79998168889431442"/>
        <bgColor theme="6" tint="0.79998168889431442"/>
      </patternFill>
    </fill>
    <fill>
      <patternFill patternType="solid">
        <fgColor rgb="FFFFFF00"/>
        <bgColor theme="6" tint="0.79998168889431442"/>
      </patternFill>
    </fill>
    <fill>
      <patternFill patternType="solid">
        <fgColor indexed="22"/>
        <bgColor indexed="64"/>
      </patternFill>
    </fill>
    <fill>
      <patternFill patternType="solid">
        <fgColor indexed="26"/>
        <bgColor indexed="64"/>
      </patternFill>
    </fill>
    <fill>
      <patternFill patternType="solid">
        <fgColor rgb="FF92D050"/>
        <bgColor indexed="64"/>
      </patternFill>
    </fill>
    <fill>
      <patternFill patternType="solid">
        <fgColor rgb="FF00B0F0"/>
        <bgColor indexed="64"/>
      </patternFill>
    </fill>
    <fill>
      <patternFill patternType="solid">
        <fgColor indexed="9"/>
        <bgColor indexed="64"/>
      </patternFill>
    </fill>
    <fill>
      <patternFill patternType="solid">
        <fgColor indexed="41"/>
        <bgColor indexed="64"/>
      </patternFill>
    </fill>
    <fill>
      <patternFill patternType="solid">
        <fgColor theme="9" tint="0.39997558519241921"/>
        <bgColor indexed="64"/>
      </patternFill>
    </fill>
    <fill>
      <patternFill patternType="solid">
        <fgColor theme="6" tint="0.79998168889431442"/>
        <bgColor indexed="64"/>
      </patternFill>
    </fill>
  </fills>
  <borders count="21">
    <border>
      <left/>
      <right/>
      <top/>
      <bottom/>
      <diagonal/>
    </border>
    <border>
      <left style="thin">
        <color rgb="FF000000"/>
      </left>
      <right style="thin">
        <color rgb="FF000000"/>
      </right>
      <top style="double">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theme="6" tint="0.59999389629810485"/>
      </left>
      <right style="thin">
        <color theme="6" tint="0.59999389629810485"/>
      </right>
      <top/>
      <bottom/>
      <diagonal/>
    </border>
    <border>
      <left style="thin">
        <color auto="1"/>
      </left>
      <right style="thin">
        <color auto="1"/>
      </right>
      <top style="thin">
        <color auto="1"/>
      </top>
      <bottom style="thin">
        <color auto="1"/>
      </bottom>
      <diagonal/>
    </border>
    <border>
      <left/>
      <right/>
      <top style="thin">
        <color auto="1"/>
      </top>
      <bottom/>
      <diagonal/>
    </border>
    <border>
      <left style="medium">
        <color indexed="64"/>
      </left>
      <right/>
      <top style="medium">
        <color indexed="64"/>
      </top>
      <bottom style="thin">
        <color indexed="36"/>
      </bottom>
      <diagonal/>
    </border>
    <border>
      <left/>
      <right style="medium">
        <color indexed="64"/>
      </right>
      <top style="medium">
        <color indexed="64"/>
      </top>
      <bottom style="thin">
        <color indexed="36"/>
      </bottom>
      <diagonal/>
    </border>
    <border>
      <left style="medium">
        <color indexed="8"/>
      </left>
      <right style="thin">
        <color indexed="36"/>
      </right>
      <top style="thin">
        <color indexed="36"/>
      </top>
      <bottom style="medium">
        <color indexed="8"/>
      </bottom>
      <diagonal/>
    </border>
    <border>
      <left style="thin">
        <color indexed="36"/>
      </left>
      <right style="medium">
        <color indexed="8"/>
      </right>
      <top style="thin">
        <color indexed="36"/>
      </top>
      <bottom style="medium">
        <color indexed="8"/>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36"/>
      </right>
      <top style="thin">
        <color indexed="64"/>
      </top>
      <bottom style="medium">
        <color indexed="64"/>
      </bottom>
      <diagonal/>
    </border>
    <border>
      <left style="thin">
        <color indexed="36"/>
      </left>
      <right style="medium">
        <color indexed="64"/>
      </right>
      <top style="thin">
        <color indexed="64"/>
      </top>
      <bottom style="medium">
        <color indexed="64"/>
      </bottom>
      <diagonal/>
    </border>
    <border>
      <left style="medium">
        <color indexed="64"/>
      </left>
      <right style="thin">
        <color indexed="36"/>
      </right>
      <top style="thin">
        <color indexed="36"/>
      </top>
      <bottom style="medium">
        <color indexed="64"/>
      </bottom>
      <diagonal/>
    </border>
    <border>
      <left style="thin">
        <color indexed="36"/>
      </left>
      <right style="medium">
        <color indexed="64"/>
      </right>
      <top style="thin">
        <color indexed="36"/>
      </top>
      <bottom style="medium">
        <color indexed="64"/>
      </bottom>
      <diagonal/>
    </border>
    <border>
      <left style="medium">
        <color indexed="64"/>
      </left>
      <right style="thin">
        <color indexed="36"/>
      </right>
      <top style="medium">
        <color indexed="64"/>
      </top>
      <bottom style="thin">
        <color indexed="36"/>
      </bottom>
      <diagonal/>
    </border>
    <border>
      <left style="thin">
        <color indexed="36"/>
      </left>
      <right style="medium">
        <color indexed="64"/>
      </right>
      <top style="medium">
        <color indexed="64"/>
      </top>
      <bottom style="thin">
        <color indexed="36"/>
      </bottom>
      <diagonal/>
    </border>
  </borders>
  <cellStyleXfs count="41">
    <xf numFmtId="0" fontId="0" fillId="0" borderId="0">
      <alignment vertical="center"/>
    </xf>
    <xf numFmtId="178" fontId="1" fillId="0" borderId="0" applyFont="0" applyFill="0" applyBorder="0" applyAlignment="0" applyProtection="0">
      <alignment vertical="center"/>
    </xf>
    <xf numFmtId="9" fontId="1" fillId="0" borderId="0" applyFont="0" applyFill="0" applyBorder="0" applyAlignment="0" applyProtection="0">
      <alignment vertical="center"/>
    </xf>
    <xf numFmtId="3" fontId="21" fillId="0" borderId="0"/>
    <xf numFmtId="183" fontId="22" fillId="0" borderId="5" applyAlignment="0" applyProtection="0"/>
    <xf numFmtId="184" fontId="23" fillId="0" borderId="0" applyFont="0" applyFill="0" applyBorder="0" applyAlignment="0" applyProtection="0"/>
    <xf numFmtId="185" fontId="23" fillId="0" borderId="0" applyFont="0" applyFill="0" applyBorder="0" applyAlignment="0" applyProtection="0"/>
    <xf numFmtId="186" fontId="23" fillId="0" borderId="0" applyFont="0" applyFill="0" applyBorder="0" applyAlignment="0" applyProtection="0"/>
    <xf numFmtId="187" fontId="23" fillId="0" borderId="0" applyFont="0" applyFill="0" applyBorder="0" applyAlignment="0" applyProtection="0"/>
    <xf numFmtId="177" fontId="23" fillId="0" borderId="0" applyFont="0" applyFill="0" applyBorder="0" applyAlignment="0" applyProtection="0"/>
    <xf numFmtId="178" fontId="23" fillId="0" borderId="0" applyFont="0" applyFill="0" applyBorder="0" applyAlignment="0" applyProtection="0"/>
    <xf numFmtId="0" fontId="24" fillId="0" borderId="0" applyNumberFormat="0" applyFill="0" applyBorder="0" applyAlignment="0" applyProtection="0">
      <alignment vertical="top"/>
      <protection locked="0"/>
    </xf>
    <xf numFmtId="38" fontId="25" fillId="7" borderId="0" applyNumberFormat="0" applyBorder="0" applyAlignment="0" applyProtection="0"/>
    <xf numFmtId="0" fontId="26" fillId="0" borderId="0" applyNumberFormat="0" applyFill="0" applyBorder="0" applyAlignment="0" applyProtection="0">
      <alignment vertical="top"/>
      <protection locked="0"/>
    </xf>
    <xf numFmtId="10" fontId="25" fillId="8" borderId="4" applyNumberFormat="0" applyBorder="0" applyAlignment="0" applyProtection="0"/>
    <xf numFmtId="188" fontId="20" fillId="0" borderId="0" applyFont="0" applyFill="0" applyBorder="0" applyAlignment="0" applyProtection="0"/>
    <xf numFmtId="189" fontId="20" fillId="0" borderId="0" applyFont="0" applyFill="0" applyBorder="0" applyAlignment="0" applyProtection="0"/>
    <xf numFmtId="0" fontId="27" fillId="0" borderId="0"/>
    <xf numFmtId="190" fontId="20" fillId="0" borderId="0"/>
    <xf numFmtId="0" fontId="28" fillId="0" borderId="0"/>
    <xf numFmtId="10" fontId="23" fillId="0" borderId="0" applyFont="0" applyFill="0" applyBorder="0" applyAlignment="0" applyProtection="0"/>
    <xf numFmtId="3" fontId="29" fillId="0" borderId="0"/>
    <xf numFmtId="9" fontId="20" fillId="0" borderId="0" applyFont="0" applyFill="0" applyBorder="0" applyAlignment="0" applyProtection="0">
      <alignment vertical="center"/>
    </xf>
    <xf numFmtId="0" fontId="20" fillId="0" borderId="0"/>
    <xf numFmtId="0" fontId="30" fillId="0" borderId="0">
      <protection locked="0"/>
    </xf>
    <xf numFmtId="0" fontId="31" fillId="0" borderId="0">
      <alignment vertical="center"/>
    </xf>
    <xf numFmtId="0" fontId="32"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4" fillId="0" borderId="0"/>
    <xf numFmtId="184" fontId="20" fillId="0" borderId="0" applyFont="0" applyFill="0" applyBorder="0" applyAlignment="0" applyProtection="0"/>
    <xf numFmtId="185" fontId="20" fillId="0" borderId="0" applyFont="0" applyFill="0" applyBorder="0" applyAlignment="0" applyProtection="0"/>
    <xf numFmtId="0" fontId="35" fillId="0" borderId="0" applyFont="0" applyFill="0" applyBorder="0" applyAlignment="0" applyProtection="0"/>
    <xf numFmtId="0" fontId="35" fillId="0" borderId="0" applyFont="0" applyFill="0" applyBorder="0" applyAlignment="0" applyProtection="0"/>
    <xf numFmtId="178" fontId="20" fillId="0" borderId="0" applyFont="0" applyFill="0" applyBorder="0" applyAlignment="0" applyProtection="0"/>
    <xf numFmtId="178" fontId="35" fillId="0" borderId="0" applyFont="0" applyFill="0" applyBorder="0" applyAlignment="0" applyProtection="0"/>
    <xf numFmtId="178" fontId="31" fillId="0" borderId="0" applyFont="0" applyFill="0" applyBorder="0" applyAlignment="0" applyProtection="0">
      <alignment vertical="center"/>
    </xf>
    <xf numFmtId="177" fontId="20" fillId="0" borderId="0" applyFont="0" applyFill="0" applyBorder="0" applyAlignment="0" applyProtection="0"/>
    <xf numFmtId="177" fontId="35" fillId="0" borderId="0" applyFont="0" applyFill="0" applyBorder="0" applyAlignment="0" applyProtection="0"/>
    <xf numFmtId="177" fontId="20" fillId="0" borderId="0" applyFont="0" applyFill="0" applyBorder="0" applyAlignment="0" applyProtection="0">
      <alignment vertical="center"/>
    </xf>
    <xf numFmtId="0" fontId="36" fillId="0" borderId="0">
      <alignment horizontal="left" vertical="center" indent="1"/>
    </xf>
    <xf numFmtId="9" fontId="46" fillId="0" borderId="0" applyFont="0" applyFill="0" applyBorder="0" applyAlignment="0" applyProtection="0">
      <alignment vertical="center"/>
    </xf>
  </cellStyleXfs>
  <cellXfs count="219">
    <xf numFmtId="0" fontId="0" fillId="0" borderId="0" xfId="0">
      <alignment vertical="center"/>
    </xf>
    <xf numFmtId="0" fontId="4" fillId="2" borderId="1" xfId="0" applyFont="1" applyFill="1" applyBorder="1" applyAlignment="1">
      <alignment vertical="center" wrapText="1"/>
    </xf>
    <xf numFmtId="179" fontId="5" fillId="2" borderId="1" xfId="0" applyNumberFormat="1" applyFont="1" applyFill="1" applyBorder="1" applyAlignment="1">
      <alignment horizontal="right" vertical="center" wrapText="1"/>
    </xf>
    <xf numFmtId="0" fontId="6" fillId="2" borderId="2" xfId="0" applyFont="1" applyFill="1" applyBorder="1" applyAlignment="1">
      <alignment vertical="center" wrapText="1"/>
    </xf>
    <xf numFmtId="0" fontId="0" fillId="2" borderId="0" xfId="0" applyFill="1">
      <alignment vertical="center"/>
    </xf>
    <xf numFmtId="179" fontId="6" fillId="2" borderId="2" xfId="0" applyNumberFormat="1" applyFont="1" applyFill="1" applyBorder="1" applyAlignment="1">
      <alignment horizontal="center" vertical="center" wrapText="1"/>
    </xf>
    <xf numFmtId="179" fontId="0" fillId="2" borderId="2" xfId="0" applyNumberFormat="1" applyFill="1" applyBorder="1">
      <alignment vertical="center"/>
    </xf>
    <xf numFmtId="0" fontId="8" fillId="0" borderId="0" xfId="0" applyFont="1" applyAlignment="1">
      <alignment vertical="center" wrapText="1"/>
    </xf>
    <xf numFmtId="179" fontId="9" fillId="2" borderId="2" xfId="0" applyNumberFormat="1" applyFont="1" applyFill="1" applyBorder="1" applyAlignment="1">
      <alignment horizontal="center" vertical="center" wrapText="1"/>
    </xf>
    <xf numFmtId="0" fontId="10" fillId="0" borderId="0" xfId="0" applyFont="1">
      <alignment vertical="center"/>
    </xf>
    <xf numFmtId="0" fontId="0" fillId="0" borderId="0" xfId="0" applyAlignment="1">
      <alignment vertical="center" wrapText="1"/>
    </xf>
    <xf numFmtId="179" fontId="6" fillId="3" borderId="2" xfId="0" applyNumberFormat="1" applyFont="1" applyFill="1" applyBorder="1" applyAlignment="1">
      <alignment horizontal="center" vertical="center" wrapText="1"/>
    </xf>
    <xf numFmtId="180" fontId="0" fillId="0" borderId="0" xfId="0" applyNumberFormat="1">
      <alignment vertical="center"/>
    </xf>
    <xf numFmtId="0" fontId="6" fillId="4" borderId="2" xfId="0" applyFont="1" applyFill="1" applyBorder="1" applyAlignment="1">
      <alignment vertical="center" wrapText="1"/>
    </xf>
    <xf numFmtId="179" fontId="6" fillId="4" borderId="2" xfId="0" applyNumberFormat="1" applyFont="1" applyFill="1" applyBorder="1" applyAlignment="1">
      <alignment horizontal="center" vertical="center" wrapText="1"/>
    </xf>
    <xf numFmtId="0" fontId="0" fillId="4" borderId="0" xfId="0" applyFill="1">
      <alignment vertical="center"/>
    </xf>
    <xf numFmtId="0" fontId="2" fillId="5" borderId="3" xfId="0" applyFont="1" applyFill="1" applyBorder="1" applyAlignment="1">
      <alignment vertical="center" wrapText="1"/>
    </xf>
    <xf numFmtId="10" fontId="6" fillId="2" borderId="2" xfId="0" applyNumberFormat="1" applyFont="1" applyFill="1" applyBorder="1" applyAlignment="1">
      <alignment horizontal="center" vertical="center" wrapText="1"/>
    </xf>
    <xf numFmtId="0" fontId="8" fillId="6" borderId="3" xfId="0" applyFont="1" applyFill="1" applyBorder="1" applyAlignment="1">
      <alignment vertical="center" wrapText="1"/>
    </xf>
    <xf numFmtId="179" fontId="9" fillId="4" borderId="2" xfId="0" applyNumberFormat="1" applyFont="1" applyFill="1" applyBorder="1" applyAlignment="1">
      <alignment horizontal="center" vertical="center" wrapText="1"/>
    </xf>
    <xf numFmtId="0" fontId="10" fillId="4" borderId="0" xfId="0" applyFont="1" applyFill="1">
      <alignment vertical="center"/>
    </xf>
    <xf numFmtId="0" fontId="0" fillId="5" borderId="3" xfId="0" applyFont="1" applyFill="1" applyBorder="1" applyAlignment="1">
      <alignment vertical="center" wrapText="1"/>
    </xf>
    <xf numFmtId="0" fontId="11" fillId="2" borderId="2" xfId="0" applyFont="1" applyFill="1" applyBorder="1" applyAlignment="1">
      <alignment vertical="center" wrapText="1"/>
    </xf>
    <xf numFmtId="0" fontId="0" fillId="5" borderId="3" xfId="0" applyFont="1" applyFill="1" applyBorder="1" applyAlignment="1">
      <alignment horizontal="left" vertical="center"/>
    </xf>
    <xf numFmtId="181" fontId="6" fillId="2" borderId="2" xfId="0" applyNumberFormat="1" applyFont="1" applyFill="1" applyBorder="1" applyAlignment="1">
      <alignment horizontal="center" vertical="center" wrapText="1"/>
    </xf>
    <xf numFmtId="10" fontId="12" fillId="2" borderId="2" xfId="0" applyNumberFormat="1" applyFont="1" applyFill="1" applyBorder="1" applyAlignment="1">
      <alignment vertical="center" wrapText="1"/>
    </xf>
    <xf numFmtId="0" fontId="4" fillId="2" borderId="2" xfId="0" applyFont="1" applyFill="1" applyBorder="1" applyAlignment="1">
      <alignment vertical="center" wrapText="1"/>
    </xf>
    <xf numFmtId="179" fontId="0" fillId="2" borderId="0" xfId="0" applyNumberFormat="1" applyFill="1">
      <alignment vertical="center"/>
    </xf>
    <xf numFmtId="0" fontId="0" fillId="2" borderId="4" xfId="0" applyFill="1" applyBorder="1">
      <alignment vertical="center"/>
    </xf>
    <xf numFmtId="10" fontId="0" fillId="2" borderId="4" xfId="0" applyNumberFormat="1" applyFill="1" applyBorder="1">
      <alignment vertical="center"/>
    </xf>
    <xf numFmtId="182" fontId="14" fillId="2" borderId="4" xfId="0" applyNumberFormat="1" applyFont="1" applyFill="1" applyBorder="1">
      <alignment vertical="center"/>
    </xf>
    <xf numFmtId="10" fontId="0" fillId="4" borderId="4" xfId="0" applyNumberFormat="1" applyFill="1" applyBorder="1">
      <alignment vertical="center"/>
    </xf>
    <xf numFmtId="10" fontId="0" fillId="2" borderId="0" xfId="0" applyNumberFormat="1" applyFill="1">
      <alignment vertical="center"/>
    </xf>
    <xf numFmtId="182" fontId="0" fillId="2" borderId="4" xfId="0" applyNumberFormat="1" applyFill="1" applyBorder="1">
      <alignment vertical="center"/>
    </xf>
    <xf numFmtId="179" fontId="14" fillId="2" borderId="4" xfId="0" applyNumberFormat="1" applyFont="1" applyFill="1" applyBorder="1">
      <alignment vertical="center"/>
    </xf>
    <xf numFmtId="179" fontId="0" fillId="2" borderId="4" xfId="0" applyNumberFormat="1" applyFill="1" applyBorder="1">
      <alignment vertical="center"/>
    </xf>
    <xf numFmtId="179" fontId="0" fillId="0" borderId="0" xfId="0" applyNumberFormat="1">
      <alignment vertical="center"/>
    </xf>
    <xf numFmtId="178" fontId="5" fillId="2" borderId="1" xfId="1" applyFont="1" applyFill="1" applyBorder="1" applyAlignment="1">
      <alignment vertical="center" wrapText="1"/>
    </xf>
    <xf numFmtId="178" fontId="7" fillId="2" borderId="2" xfId="1" applyFont="1" applyFill="1" applyBorder="1" applyAlignment="1">
      <alignment vertical="center" wrapText="1"/>
    </xf>
    <xf numFmtId="178" fontId="6" fillId="2" borderId="2" xfId="1" applyFont="1" applyFill="1" applyBorder="1" applyAlignment="1">
      <alignment vertical="center" wrapText="1"/>
    </xf>
    <xf numFmtId="178" fontId="0" fillId="2" borderId="2" xfId="1" applyFont="1" applyFill="1" applyBorder="1" applyAlignment="1">
      <alignment vertical="center"/>
    </xf>
    <xf numFmtId="178" fontId="9" fillId="2" borderId="2" xfId="1" applyFont="1" applyFill="1" applyBorder="1" applyAlignment="1">
      <alignment vertical="center" wrapText="1"/>
    </xf>
    <xf numFmtId="178" fontId="6" fillId="4" borderId="2" xfId="1" applyFont="1" applyFill="1" applyBorder="1" applyAlignment="1">
      <alignment vertical="center" wrapText="1"/>
    </xf>
    <xf numFmtId="178" fontId="9" fillId="4" borderId="2" xfId="1" applyFont="1" applyFill="1" applyBorder="1" applyAlignment="1">
      <alignment vertical="center" wrapText="1"/>
    </xf>
    <xf numFmtId="178" fontId="0" fillId="2" borderId="0" xfId="1" applyFont="1" applyFill="1" applyAlignment="1">
      <alignment vertical="center"/>
    </xf>
    <xf numFmtId="178" fontId="0" fillId="2" borderId="4" xfId="1" applyFont="1" applyFill="1" applyBorder="1" applyAlignment="1">
      <alignment vertical="center"/>
    </xf>
    <xf numFmtId="178" fontId="13" fillId="2" borderId="4" xfId="1" applyFont="1" applyFill="1" applyBorder="1" applyAlignment="1">
      <alignment vertical="center" wrapText="1"/>
    </xf>
    <xf numFmtId="178" fontId="15" fillId="2" borderId="4" xfId="1" applyFont="1" applyFill="1" applyBorder="1" applyAlignment="1">
      <alignment vertical="center"/>
    </xf>
    <xf numFmtId="178" fontId="16" fillId="2" borderId="4" xfId="1" applyFont="1" applyFill="1" applyBorder="1" applyAlignment="1">
      <alignment vertical="center" wrapText="1"/>
    </xf>
    <xf numFmtId="178" fontId="0" fillId="0" borderId="0" xfId="1" applyFont="1" applyAlignment="1">
      <alignment vertical="center" wrapText="1"/>
    </xf>
    <xf numFmtId="178" fontId="0" fillId="0" borderId="0" xfId="1" applyFont="1" applyAlignment="1">
      <alignment vertical="center"/>
    </xf>
    <xf numFmtId="0" fontId="0" fillId="0" borderId="0" xfId="0" applyAlignment="1">
      <alignment horizontal="left" vertical="center"/>
    </xf>
    <xf numFmtId="0" fontId="0" fillId="5" borderId="0" xfId="0" applyFont="1" applyFill="1" applyBorder="1" applyAlignment="1">
      <alignment vertical="center" wrapText="1"/>
    </xf>
    <xf numFmtId="0" fontId="2" fillId="5" borderId="0" xfId="0" applyFont="1" applyFill="1" applyBorder="1" applyAlignment="1">
      <alignment vertical="center" wrapText="1"/>
    </xf>
    <xf numFmtId="0" fontId="8" fillId="4" borderId="0" xfId="0" applyFont="1" applyFill="1" applyAlignment="1">
      <alignment vertical="center" wrapText="1"/>
    </xf>
    <xf numFmtId="178" fontId="0" fillId="0" borderId="0" xfId="0" applyNumberFormat="1">
      <alignment vertical="center"/>
    </xf>
    <xf numFmtId="178" fontId="0" fillId="0" borderId="0" xfId="1" applyFont="1">
      <alignment vertical="center"/>
    </xf>
    <xf numFmtId="9" fontId="6" fillId="2" borderId="2" xfId="2" applyFont="1" applyFill="1" applyBorder="1" applyAlignment="1">
      <alignment vertical="center" wrapText="1"/>
    </xf>
    <xf numFmtId="4" fontId="0" fillId="0" borderId="0" xfId="0" applyNumberFormat="1">
      <alignment vertical="center"/>
    </xf>
    <xf numFmtId="191" fontId="0" fillId="0" borderId="0" xfId="1" applyNumberFormat="1" applyFont="1">
      <alignment vertical="center"/>
    </xf>
    <xf numFmtId="191" fontId="0" fillId="0" borderId="0" xfId="0" applyNumberFormat="1">
      <alignment vertical="center"/>
    </xf>
    <xf numFmtId="0" fontId="0" fillId="0" borderId="0" xfId="0" applyFont="1" applyFill="1">
      <alignment vertical="center"/>
    </xf>
    <xf numFmtId="14" fontId="31" fillId="0" borderId="0" xfId="1" applyNumberFormat="1" applyFont="1" applyFill="1">
      <alignment vertical="center"/>
    </xf>
    <xf numFmtId="178" fontId="31" fillId="0" borderId="0" xfId="1" applyFont="1" applyFill="1">
      <alignment vertical="center"/>
    </xf>
    <xf numFmtId="178" fontId="37" fillId="0" borderId="0" xfId="1" applyFont="1">
      <alignment vertical="center"/>
    </xf>
    <xf numFmtId="178" fontId="37" fillId="0" borderId="0" xfId="0" applyNumberFormat="1" applyFont="1">
      <alignment vertical="center"/>
    </xf>
    <xf numFmtId="178" fontId="37" fillId="0" borderId="0" xfId="1" applyFont="1" applyFill="1">
      <alignment vertical="center"/>
    </xf>
    <xf numFmtId="0" fontId="37" fillId="0" borderId="0" xfId="0" applyFont="1" applyFill="1">
      <alignment vertical="center"/>
    </xf>
    <xf numFmtId="178" fontId="37" fillId="0" borderId="0" xfId="0" applyNumberFormat="1" applyFont="1" applyFill="1">
      <alignment vertical="center"/>
    </xf>
    <xf numFmtId="178" fontId="16" fillId="4" borderId="4" xfId="1" applyFont="1" applyFill="1" applyBorder="1" applyAlignment="1">
      <alignment vertical="center" wrapText="1"/>
    </xf>
    <xf numFmtId="178" fontId="37" fillId="10" borderId="0" xfId="1" applyFont="1" applyFill="1">
      <alignment vertical="center"/>
    </xf>
    <xf numFmtId="178" fontId="0" fillId="10" borderId="0" xfId="1" applyFont="1" applyFill="1" applyAlignment="1">
      <alignment vertical="center"/>
    </xf>
    <xf numFmtId="0" fontId="0" fillId="0" borderId="0" xfId="0" applyFill="1">
      <alignment vertical="center"/>
    </xf>
    <xf numFmtId="9" fontId="0" fillId="0" borderId="0" xfId="2" applyFont="1">
      <alignment vertical="center"/>
    </xf>
    <xf numFmtId="9" fontId="38" fillId="0" borderId="0" xfId="2" applyFont="1">
      <alignment vertical="center"/>
    </xf>
    <xf numFmtId="0" fontId="39" fillId="10" borderId="0" xfId="0" applyFont="1" applyFill="1">
      <alignment vertical="center"/>
    </xf>
    <xf numFmtId="9" fontId="39" fillId="10" borderId="0" xfId="2" applyFont="1" applyFill="1">
      <alignment vertical="center"/>
    </xf>
    <xf numFmtId="14" fontId="40" fillId="0" borderId="0" xfId="1" applyNumberFormat="1" applyFont="1" applyFill="1">
      <alignment vertical="center"/>
    </xf>
    <xf numFmtId="9" fontId="40" fillId="0" borderId="0" xfId="2" applyFont="1" applyFill="1">
      <alignment vertical="center"/>
    </xf>
    <xf numFmtId="0" fontId="40" fillId="0" borderId="0" xfId="0" applyFont="1" applyFill="1">
      <alignment vertical="center"/>
    </xf>
    <xf numFmtId="0" fontId="0" fillId="10" borderId="0" xfId="0" applyFill="1">
      <alignment vertical="center"/>
    </xf>
    <xf numFmtId="9" fontId="0" fillId="10" borderId="0" xfId="2" applyFont="1" applyFill="1">
      <alignment vertical="center"/>
    </xf>
    <xf numFmtId="0" fontId="39" fillId="4" borderId="0" xfId="0" applyFont="1" applyFill="1">
      <alignment vertical="center"/>
    </xf>
    <xf numFmtId="9" fontId="39" fillId="4" borderId="0" xfId="2" applyFont="1" applyFill="1">
      <alignment vertical="center"/>
    </xf>
    <xf numFmtId="0" fontId="39" fillId="9" borderId="0" xfId="0" applyFont="1" applyFill="1">
      <alignment vertical="center"/>
    </xf>
    <xf numFmtId="9" fontId="39" fillId="9" borderId="0" xfId="2" applyFont="1" applyFill="1">
      <alignment vertical="center"/>
    </xf>
    <xf numFmtId="0" fontId="41" fillId="0" borderId="0" xfId="0" applyFont="1">
      <alignment vertical="center"/>
    </xf>
    <xf numFmtId="0" fontId="0" fillId="9" borderId="0" xfId="0" applyFill="1">
      <alignment vertical="center"/>
    </xf>
    <xf numFmtId="0" fontId="42" fillId="11" borderId="0" xfId="25" applyFont="1" applyFill="1">
      <alignment vertical="center"/>
    </xf>
    <xf numFmtId="0" fontId="31" fillId="11" borderId="0" xfId="25" applyFill="1">
      <alignment vertical="center"/>
    </xf>
    <xf numFmtId="0" fontId="45" fillId="0" borderId="0" xfId="25" applyFont="1" applyAlignment="1">
      <alignment horizontal="center" vertical="center"/>
    </xf>
    <xf numFmtId="0" fontId="31" fillId="11" borderId="0" xfId="25" applyFill="1" applyAlignment="1">
      <alignment horizontal="center" vertical="center"/>
    </xf>
    <xf numFmtId="0" fontId="31" fillId="11" borderId="10" xfId="25" applyFill="1" applyBorder="1" applyAlignment="1">
      <alignment horizontal="center" vertical="center"/>
    </xf>
    <xf numFmtId="0" fontId="31" fillId="11" borderId="11" xfId="25" applyFill="1" applyBorder="1" applyAlignment="1">
      <alignment horizontal="center" vertical="center"/>
    </xf>
    <xf numFmtId="0" fontId="31" fillId="11" borderId="12" xfId="25" applyFill="1" applyBorder="1" applyAlignment="1">
      <alignment horizontal="center" vertical="center"/>
    </xf>
    <xf numFmtId="10" fontId="46" fillId="11" borderId="15" xfId="40" applyNumberFormat="1" applyFont="1" applyFill="1" applyBorder="1" applyAlignment="1">
      <alignment horizontal="center" vertical="center"/>
    </xf>
    <xf numFmtId="10" fontId="46" fillId="11" borderId="16" xfId="40" applyNumberFormat="1" applyFont="1" applyFill="1" applyBorder="1" applyAlignment="1">
      <alignment horizontal="center" vertical="center"/>
    </xf>
    <xf numFmtId="181" fontId="31" fillId="11" borderId="15" xfId="25" applyNumberFormat="1" applyFill="1" applyBorder="1" applyAlignment="1">
      <alignment horizontal="center" vertical="center"/>
    </xf>
    <xf numFmtId="181" fontId="31" fillId="11" borderId="16" xfId="25" applyNumberFormat="1" applyFill="1" applyBorder="1" applyAlignment="1">
      <alignment horizontal="center" vertical="center"/>
    </xf>
    <xf numFmtId="10" fontId="31" fillId="11" borderId="15" xfId="25" applyNumberFormat="1" applyFill="1" applyBorder="1" applyAlignment="1">
      <alignment horizontal="center" vertical="center"/>
    </xf>
    <xf numFmtId="10" fontId="31" fillId="11" borderId="16" xfId="25" applyNumberFormat="1" applyFill="1" applyBorder="1" applyAlignment="1">
      <alignment horizontal="center" vertical="center"/>
    </xf>
    <xf numFmtId="181" fontId="31" fillId="11" borderId="0" xfId="25" applyNumberFormat="1" applyFill="1" applyAlignment="1">
      <alignment horizontal="center" vertical="center"/>
    </xf>
    <xf numFmtId="178" fontId="37" fillId="0" borderId="17" xfId="1" applyFont="1" applyBorder="1" applyAlignment="1">
      <alignment horizontal="right" vertical="center"/>
    </xf>
    <xf numFmtId="178" fontId="37" fillId="11" borderId="18" xfId="1" applyFont="1" applyFill="1" applyBorder="1" applyAlignment="1">
      <alignment horizontal="right" vertical="center"/>
    </xf>
    <xf numFmtId="178" fontId="37" fillId="11" borderId="17" xfId="1" applyFont="1" applyFill="1" applyBorder="1" applyAlignment="1">
      <alignment horizontal="right" vertical="center"/>
    </xf>
    <xf numFmtId="9" fontId="37" fillId="11" borderId="8" xfId="2" applyFont="1" applyFill="1" applyBorder="1" applyAlignment="1">
      <alignment horizontal="right" vertical="center"/>
    </xf>
    <xf numFmtId="9" fontId="37" fillId="11" borderId="9" xfId="2" applyFont="1" applyFill="1" applyBorder="1" applyAlignment="1">
      <alignment horizontal="right" vertical="center"/>
    </xf>
    <xf numFmtId="9" fontId="0" fillId="9" borderId="0" xfId="2" applyFont="1" applyFill="1">
      <alignment vertical="center"/>
    </xf>
    <xf numFmtId="178" fontId="0" fillId="10" borderId="0" xfId="1" applyFont="1" applyFill="1">
      <alignment vertical="center"/>
    </xf>
    <xf numFmtId="9" fontId="37" fillId="0" borderId="0" xfId="2" applyFont="1" applyFill="1">
      <alignment vertical="center"/>
    </xf>
    <xf numFmtId="9" fontId="39" fillId="9" borderId="0" xfId="0" applyNumberFormat="1" applyFont="1" applyFill="1">
      <alignment vertical="center"/>
    </xf>
    <xf numFmtId="9" fontId="0" fillId="0" borderId="0" xfId="2" applyFont="1" applyFill="1">
      <alignment vertical="center"/>
    </xf>
    <xf numFmtId="10" fontId="0" fillId="0" borderId="0" xfId="2" applyNumberFormat="1" applyFont="1" applyFill="1">
      <alignment vertical="center"/>
    </xf>
    <xf numFmtId="0" fontId="0" fillId="0" borderId="0" xfId="0" quotePrefix="1" applyFill="1">
      <alignment vertical="center"/>
    </xf>
    <xf numFmtId="11" fontId="0" fillId="0" borderId="0" xfId="0" applyNumberFormat="1" applyFill="1">
      <alignment vertical="center"/>
    </xf>
    <xf numFmtId="14" fontId="0" fillId="0" borderId="0" xfId="0" applyNumberFormat="1">
      <alignment vertical="center"/>
    </xf>
    <xf numFmtId="3" fontId="0" fillId="0" borderId="0" xfId="0" applyNumberFormat="1">
      <alignment vertical="center"/>
    </xf>
    <xf numFmtId="0" fontId="0" fillId="0" borderId="0" xfId="0" pivotButton="1">
      <alignment vertical="center"/>
    </xf>
    <xf numFmtId="178" fontId="37" fillId="2" borderId="2" xfId="1" applyFont="1" applyFill="1" applyBorder="1" applyAlignment="1">
      <alignment vertical="center"/>
    </xf>
    <xf numFmtId="179" fontId="37" fillId="2" borderId="2" xfId="0" applyNumberFormat="1" applyFont="1" applyFill="1" applyBorder="1">
      <alignment vertical="center"/>
    </xf>
    <xf numFmtId="21" fontId="0" fillId="0" borderId="0" xfId="0" applyNumberFormat="1">
      <alignment vertical="center"/>
    </xf>
    <xf numFmtId="178" fontId="39" fillId="9" borderId="0" xfId="1" applyFont="1" applyFill="1">
      <alignment vertical="center"/>
    </xf>
    <xf numFmtId="9" fontId="7" fillId="2" borderId="2" xfId="2" applyFont="1" applyFill="1" applyBorder="1" applyAlignment="1">
      <alignment vertical="center" wrapText="1"/>
    </xf>
    <xf numFmtId="10" fontId="8" fillId="0" borderId="0" xfId="2" applyNumberFormat="1" applyFont="1" applyAlignment="1">
      <alignment vertical="center" wrapText="1"/>
    </xf>
    <xf numFmtId="0" fontId="0" fillId="0" borderId="4" xfId="0" applyBorder="1">
      <alignment vertical="center"/>
    </xf>
    <xf numFmtId="14" fontId="37" fillId="0" borderId="0" xfId="1" applyNumberFormat="1" applyFont="1">
      <alignment vertical="center"/>
    </xf>
    <xf numFmtId="0" fontId="37" fillId="0" borderId="0" xfId="0" applyFont="1">
      <alignment vertical="center"/>
    </xf>
    <xf numFmtId="178" fontId="37" fillId="4" borderId="0" xfId="1" applyFont="1" applyFill="1">
      <alignment vertical="center"/>
    </xf>
    <xf numFmtId="178" fontId="49" fillId="0" borderId="0" xfId="1" applyFont="1" applyAlignment="1">
      <alignment vertical="center" wrapText="1"/>
    </xf>
    <xf numFmtId="0" fontId="4" fillId="2" borderId="1" xfId="0" applyFont="1" applyFill="1" applyBorder="1" applyAlignment="1">
      <alignment horizontal="center" vertical="center" wrapText="1"/>
    </xf>
    <xf numFmtId="179" fontId="5" fillId="2" borderId="1" xfId="0" applyNumberFormat="1" applyFont="1" applyFill="1" applyBorder="1" applyAlignment="1">
      <alignment horizontal="center" vertical="center" wrapText="1"/>
    </xf>
    <xf numFmtId="10" fontId="37" fillId="0" borderId="0" xfId="2" applyNumberFormat="1" applyFont="1" applyFill="1">
      <alignment vertical="center"/>
    </xf>
    <xf numFmtId="14" fontId="37" fillId="0" borderId="0" xfId="1" applyNumberFormat="1" applyFont="1" applyFill="1">
      <alignment vertical="center"/>
    </xf>
    <xf numFmtId="0" fontId="0" fillId="13" borderId="0" xfId="0" applyFont="1" applyFill="1">
      <alignment vertical="center"/>
    </xf>
    <xf numFmtId="178" fontId="37" fillId="13" borderId="0" xfId="1" applyFont="1" applyFill="1">
      <alignment vertical="center"/>
    </xf>
    <xf numFmtId="10" fontId="37" fillId="13" borderId="0" xfId="2" applyNumberFormat="1" applyFont="1" applyFill="1">
      <alignment vertical="center"/>
    </xf>
    <xf numFmtId="0" fontId="50" fillId="0" borderId="0" xfId="0" applyFont="1" applyFill="1">
      <alignment vertical="center"/>
    </xf>
    <xf numFmtId="0" fontId="51" fillId="0" borderId="0" xfId="0" applyFont="1" applyFill="1">
      <alignment vertical="center"/>
    </xf>
    <xf numFmtId="10" fontId="31" fillId="13" borderId="0" xfId="2" applyNumberFormat="1" applyFont="1" applyFill="1">
      <alignment vertical="center"/>
    </xf>
    <xf numFmtId="0" fontId="16" fillId="0" borderId="0" xfId="0" applyFont="1">
      <alignment vertical="center"/>
    </xf>
    <xf numFmtId="0" fontId="0" fillId="13" borderId="0" xfId="0" applyFill="1">
      <alignment vertical="center"/>
    </xf>
    <xf numFmtId="191" fontId="37" fillId="0" borderId="0" xfId="1" applyNumberFormat="1" applyFont="1">
      <alignment vertical="center"/>
    </xf>
    <xf numFmtId="10" fontId="37" fillId="0" borderId="0" xfId="2" applyNumberFormat="1" applyFont="1">
      <alignment vertical="center"/>
    </xf>
    <xf numFmtId="14" fontId="37" fillId="0" borderId="0" xfId="0" applyNumberFormat="1" applyFont="1">
      <alignment vertical="center"/>
    </xf>
    <xf numFmtId="191" fontId="37" fillId="0" borderId="0" xfId="0" applyNumberFormat="1" applyFont="1">
      <alignment vertical="center"/>
    </xf>
    <xf numFmtId="0" fontId="16" fillId="0" borderId="0" xfId="0" applyNumberFormat="1" applyFont="1" applyAlignment="1">
      <alignment vertical="center"/>
    </xf>
    <xf numFmtId="0" fontId="0" fillId="13" borderId="0" xfId="0" applyFill="1" applyAlignment="1">
      <alignment horizontal="right" vertical="center"/>
    </xf>
    <xf numFmtId="191" fontId="37" fillId="0" borderId="4" xfId="1" applyNumberFormat="1" applyFont="1" applyBorder="1">
      <alignment vertical="center"/>
    </xf>
    <xf numFmtId="0" fontId="59" fillId="13" borderId="0" xfId="0" applyFont="1" applyFill="1" applyAlignment="1">
      <alignment vertical="center" wrapText="1"/>
    </xf>
    <xf numFmtId="178" fontId="60" fillId="13" borderId="0" xfId="1" applyFont="1" applyFill="1" applyAlignment="1">
      <alignment vertical="center" wrapText="1"/>
    </xf>
    <xf numFmtId="0" fontId="61" fillId="4" borderId="0" xfId="0" applyFont="1" applyFill="1">
      <alignment vertical="center"/>
    </xf>
    <xf numFmtId="10" fontId="62" fillId="2" borderId="2" xfId="0" applyNumberFormat="1" applyFont="1" applyFill="1" applyBorder="1" applyAlignment="1">
      <alignment vertical="center" wrapText="1"/>
    </xf>
    <xf numFmtId="0" fontId="38" fillId="0" borderId="0" xfId="0" applyFont="1" applyFill="1">
      <alignment vertical="center"/>
    </xf>
    <xf numFmtId="178" fontId="56" fillId="0" borderId="0" xfId="1" applyFont="1" applyFill="1">
      <alignment vertical="center"/>
    </xf>
    <xf numFmtId="178" fontId="39" fillId="4" borderId="0" xfId="1" applyFont="1" applyFill="1">
      <alignment vertical="center"/>
    </xf>
    <xf numFmtId="0" fontId="38" fillId="4" borderId="0" xfId="0" applyFont="1" applyFill="1">
      <alignment vertical="center"/>
    </xf>
    <xf numFmtId="178" fontId="56" fillId="4" borderId="0" xfId="1" applyFont="1" applyFill="1">
      <alignment vertical="center"/>
    </xf>
    <xf numFmtId="178" fontId="58" fillId="4" borderId="0" xfId="1" applyFont="1" applyFill="1">
      <alignment vertical="center"/>
    </xf>
    <xf numFmtId="178" fontId="58" fillId="4" borderId="0" xfId="0" applyNumberFormat="1" applyFont="1" applyFill="1">
      <alignment vertical="center"/>
    </xf>
    <xf numFmtId="0" fontId="0" fillId="4" borderId="0" xfId="0" applyFont="1" applyFill="1">
      <alignment vertical="center"/>
    </xf>
    <xf numFmtId="178" fontId="37" fillId="2" borderId="4" xfId="1" applyFont="1" applyFill="1" applyBorder="1" applyAlignment="1">
      <alignment vertical="center"/>
    </xf>
    <xf numFmtId="178" fontId="37" fillId="4" borderId="4" xfId="1" applyFont="1" applyFill="1" applyBorder="1" applyAlignment="1">
      <alignment vertical="center"/>
    </xf>
    <xf numFmtId="10" fontId="37" fillId="2" borderId="4" xfId="2" applyNumberFormat="1" applyFont="1" applyFill="1" applyBorder="1" applyAlignment="1">
      <alignment vertical="center"/>
    </xf>
    <xf numFmtId="179" fontId="37" fillId="2" borderId="4" xfId="0" applyNumberFormat="1" applyFont="1" applyFill="1" applyBorder="1">
      <alignment vertical="center"/>
    </xf>
    <xf numFmtId="10" fontId="37" fillId="4" borderId="4" xfId="0" applyNumberFormat="1" applyFont="1" applyFill="1" applyBorder="1">
      <alignment vertical="center"/>
    </xf>
    <xf numFmtId="0" fontId="37" fillId="2" borderId="4" xfId="0" applyFont="1" applyFill="1" applyBorder="1">
      <alignment vertical="center"/>
    </xf>
    <xf numFmtId="10" fontId="37" fillId="2" borderId="4" xfId="2" applyNumberFormat="1" applyFont="1" applyFill="1" applyBorder="1">
      <alignment vertical="center"/>
    </xf>
    <xf numFmtId="10" fontId="37" fillId="2" borderId="0" xfId="0" applyNumberFormat="1" applyFont="1" applyFill="1">
      <alignment vertical="center"/>
    </xf>
    <xf numFmtId="182" fontId="37" fillId="2" borderId="4" xfId="0" applyNumberFormat="1" applyFont="1" applyFill="1" applyBorder="1">
      <alignment vertical="center"/>
    </xf>
    <xf numFmtId="0" fontId="37" fillId="2" borderId="0" xfId="0" applyFont="1" applyFill="1">
      <alignment vertical="center"/>
    </xf>
    <xf numFmtId="179" fontId="37" fillId="0" borderId="0" xfId="0" applyNumberFormat="1" applyFont="1">
      <alignment vertical="center"/>
    </xf>
    <xf numFmtId="179" fontId="37" fillId="2" borderId="0" xfId="0" applyNumberFormat="1" applyFont="1" applyFill="1">
      <alignment vertical="center"/>
    </xf>
    <xf numFmtId="10" fontId="37" fillId="2" borderId="4" xfId="0" applyNumberFormat="1" applyFont="1" applyFill="1" applyBorder="1">
      <alignment vertical="center"/>
    </xf>
    <xf numFmtId="178" fontId="37" fillId="4" borderId="4" xfId="1" applyFont="1" applyFill="1" applyBorder="1">
      <alignment vertical="center"/>
    </xf>
    <xf numFmtId="178" fontId="37" fillId="2" borderId="0" xfId="1" applyFont="1" applyFill="1" applyAlignment="1">
      <alignment vertical="center"/>
    </xf>
    <xf numFmtId="178" fontId="37" fillId="2" borderId="2" xfId="1" applyFont="1" applyFill="1" applyBorder="1" applyAlignment="1">
      <alignment vertical="center" wrapText="1"/>
    </xf>
    <xf numFmtId="178" fontId="37" fillId="2" borderId="2" xfId="1" applyFont="1" applyFill="1" applyBorder="1" applyAlignment="1">
      <alignment horizontal="center" vertical="center" wrapText="1"/>
    </xf>
    <xf numFmtId="178" fontId="37" fillId="9" borderId="2" xfId="1" applyFont="1" applyFill="1" applyBorder="1" applyAlignment="1">
      <alignment vertical="center" wrapText="1"/>
    </xf>
    <xf numFmtId="178" fontId="56" fillId="9" borderId="2" xfId="1" applyFont="1" applyFill="1" applyBorder="1" applyAlignment="1">
      <alignment vertical="center" wrapText="1"/>
    </xf>
    <xf numFmtId="0" fontId="56" fillId="2" borderId="2" xfId="0" applyFont="1" applyFill="1" applyBorder="1" applyAlignment="1">
      <alignment vertical="center" wrapText="1"/>
    </xf>
    <xf numFmtId="179" fontId="37" fillId="3" borderId="2" xfId="0" applyNumberFormat="1" applyFont="1" applyFill="1" applyBorder="1" applyAlignment="1">
      <alignment horizontal="center" vertical="center" wrapText="1"/>
    </xf>
    <xf numFmtId="0" fontId="37" fillId="5" borderId="0" xfId="0" applyFont="1" applyFill="1" applyBorder="1" applyAlignment="1">
      <alignment vertical="center" wrapText="1"/>
    </xf>
    <xf numFmtId="179" fontId="37" fillId="2" borderId="2" xfId="0" applyNumberFormat="1" applyFont="1" applyFill="1" applyBorder="1" applyAlignment="1">
      <alignment horizontal="center" vertical="center" wrapText="1"/>
    </xf>
    <xf numFmtId="9" fontId="37" fillId="2" borderId="2" xfId="2" applyFont="1" applyFill="1" applyBorder="1" applyAlignment="1">
      <alignment vertical="center" wrapText="1"/>
    </xf>
    <xf numFmtId="178" fontId="37" fillId="2" borderId="4" xfId="1" applyFont="1" applyFill="1" applyBorder="1">
      <alignment vertical="center"/>
    </xf>
    <xf numFmtId="10" fontId="0" fillId="0" borderId="0" xfId="2" applyNumberFormat="1" applyFont="1">
      <alignment vertical="center"/>
    </xf>
    <xf numFmtId="178" fontId="56" fillId="0" borderId="0" xfId="1" applyFont="1">
      <alignment vertical="center"/>
    </xf>
    <xf numFmtId="178" fontId="56" fillId="5" borderId="0" xfId="1" applyFont="1" applyFill="1" applyBorder="1" applyAlignment="1">
      <alignment vertical="center" wrapText="1"/>
    </xf>
    <xf numFmtId="178" fontId="31" fillId="2" borderId="4" xfId="1" applyFont="1" applyFill="1" applyBorder="1" applyAlignment="1">
      <alignment vertical="center"/>
    </xf>
    <xf numFmtId="178" fontId="61" fillId="2" borderId="4" xfId="1" applyFont="1" applyFill="1" applyBorder="1" applyAlignment="1">
      <alignment vertical="center"/>
    </xf>
    <xf numFmtId="10" fontId="58" fillId="2" borderId="4" xfId="2" applyNumberFormat="1" applyFont="1" applyFill="1" applyBorder="1" applyAlignment="1">
      <alignment vertical="center"/>
    </xf>
    <xf numFmtId="4" fontId="37" fillId="0" borderId="0" xfId="0" applyNumberFormat="1" applyFont="1">
      <alignment vertical="center"/>
    </xf>
    <xf numFmtId="10" fontId="58" fillId="13" borderId="0" xfId="2" applyNumberFormat="1" applyFont="1" applyFill="1" applyAlignment="1">
      <alignment horizontal="center" vertical="center"/>
    </xf>
    <xf numFmtId="0" fontId="57" fillId="13" borderId="0" xfId="0" applyFont="1" applyFill="1" applyAlignment="1">
      <alignment horizontal="right" vertical="center"/>
    </xf>
    <xf numFmtId="0" fontId="57" fillId="13" borderId="0" xfId="0" applyFont="1" applyFill="1">
      <alignment vertical="center"/>
    </xf>
    <xf numFmtId="0" fontId="0" fillId="14" borderId="0" xfId="0" applyFill="1">
      <alignment vertical="center"/>
    </xf>
    <xf numFmtId="10" fontId="58" fillId="0" borderId="0" xfId="2" applyNumberFormat="1" applyFont="1" applyFill="1">
      <alignment vertical="center"/>
    </xf>
    <xf numFmtId="178" fontId="58" fillId="0" borderId="0" xfId="1" applyFont="1">
      <alignment vertical="center"/>
    </xf>
    <xf numFmtId="178" fontId="58" fillId="0" borderId="0" xfId="1" applyFont="1" applyFill="1">
      <alignment vertical="center"/>
    </xf>
    <xf numFmtId="10" fontId="57" fillId="0" borderId="0" xfId="2" applyNumberFormat="1" applyFont="1" applyFill="1">
      <alignment vertical="center"/>
    </xf>
    <xf numFmtId="10" fontId="58" fillId="14" borderId="0" xfId="2" applyNumberFormat="1" applyFont="1" applyFill="1">
      <alignment vertical="center"/>
    </xf>
    <xf numFmtId="10" fontId="49" fillId="0" borderId="0" xfId="2" applyNumberFormat="1" applyFont="1" applyFill="1">
      <alignment vertical="center"/>
    </xf>
    <xf numFmtId="176" fontId="6" fillId="4" borderId="2" xfId="0" applyNumberFormat="1" applyFont="1" applyFill="1" applyBorder="1" applyAlignment="1">
      <alignment vertical="center" wrapText="1"/>
    </xf>
    <xf numFmtId="192" fontId="37" fillId="0" borderId="0" xfId="0" applyNumberFormat="1" applyFont="1">
      <alignment vertical="center"/>
    </xf>
    <xf numFmtId="0" fontId="0" fillId="0" borderId="0" xfId="0" applyFont="1" applyFill="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43" fillId="11" borderId="0" xfId="25" applyFont="1" applyFill="1" applyAlignment="1">
      <alignment horizontal="center" vertical="top"/>
    </xf>
    <xf numFmtId="0" fontId="44" fillId="11" borderId="0" xfId="25" applyFont="1" applyFill="1" applyAlignment="1">
      <alignment horizontal="center" vertical="top"/>
    </xf>
    <xf numFmtId="0" fontId="31" fillId="12" borderId="6" xfId="25" applyFill="1" applyBorder="1" applyAlignment="1">
      <alignment horizontal="center" vertical="center"/>
    </xf>
    <xf numFmtId="0" fontId="31" fillId="12" borderId="7" xfId="25" applyFill="1" applyBorder="1" applyAlignment="1">
      <alignment horizontal="center" vertical="center"/>
    </xf>
    <xf numFmtId="0" fontId="31" fillId="12" borderId="13" xfId="25" applyFill="1" applyBorder="1" applyAlignment="1">
      <alignment horizontal="center" vertical="center"/>
    </xf>
    <xf numFmtId="0" fontId="31" fillId="12" borderId="14" xfId="25" applyFill="1" applyBorder="1" applyAlignment="1">
      <alignment horizontal="center" vertical="center"/>
    </xf>
    <xf numFmtId="0" fontId="31" fillId="12" borderId="19" xfId="25" applyFill="1" applyBorder="1" applyAlignment="1">
      <alignment horizontal="center" vertical="center"/>
    </xf>
    <xf numFmtId="0" fontId="31" fillId="12" borderId="20" xfId="25" applyFill="1" applyBorder="1" applyAlignment="1">
      <alignment horizontal="center" vertical="center"/>
    </xf>
    <xf numFmtId="179" fontId="56" fillId="4" borderId="5" xfId="0" applyNumberFormat="1" applyFont="1" applyFill="1" applyBorder="1" applyAlignment="1">
      <alignment horizontal="center" vertical="center"/>
    </xf>
    <xf numFmtId="179" fontId="56" fillId="4" borderId="0" xfId="0" applyNumberFormat="1" applyFont="1" applyFill="1" applyBorder="1" applyAlignment="1">
      <alignment horizontal="center" vertical="center"/>
    </xf>
    <xf numFmtId="179" fontId="14" fillId="2" borderId="5" xfId="0" applyNumberFormat="1" applyFont="1" applyFill="1" applyBorder="1" applyAlignment="1">
      <alignment horizontal="center" vertical="center"/>
    </xf>
    <xf numFmtId="179" fontId="14" fillId="2" borderId="0" xfId="0" applyNumberFormat="1" applyFont="1" applyFill="1" applyBorder="1" applyAlignment="1">
      <alignment horizontal="center" vertical="center"/>
    </xf>
  </cellXfs>
  <cellStyles count="41">
    <cellStyle name="Black" xfId="3" xr:uid="{00000000-0005-0000-0000-000000000000}"/>
    <cellStyle name="Border" xfId="4" xr:uid="{00000000-0005-0000-0000-000001000000}"/>
    <cellStyle name="Comma [0]_1995" xfId="5" xr:uid="{00000000-0005-0000-0000-000002000000}"/>
    <cellStyle name="Comma_1995" xfId="6" xr:uid="{00000000-0005-0000-0000-000003000000}"/>
    <cellStyle name="Currency [0]_1995" xfId="7" xr:uid="{00000000-0005-0000-0000-000004000000}"/>
    <cellStyle name="Currency_1995" xfId="8" xr:uid="{00000000-0005-0000-0000-000005000000}"/>
    <cellStyle name="Dezimal [0]_laroux" xfId="9" xr:uid="{00000000-0005-0000-0000-000006000000}"/>
    <cellStyle name="Dezimal_laroux" xfId="10" xr:uid="{00000000-0005-0000-0000-000007000000}"/>
    <cellStyle name="Followed Hyperlink_AheadBehind.xls Chart 23" xfId="11" xr:uid="{00000000-0005-0000-0000-000008000000}"/>
    <cellStyle name="Grey" xfId="12" xr:uid="{00000000-0005-0000-0000-000009000000}"/>
    <cellStyle name="Hyperlink_AheadBehind.xls Chart 23" xfId="13" xr:uid="{00000000-0005-0000-0000-00000A000000}"/>
    <cellStyle name="Input [yellow]" xfId="14" xr:uid="{00000000-0005-0000-0000-00000B000000}"/>
    <cellStyle name="Milliers [0]_laroux" xfId="15" xr:uid="{00000000-0005-0000-0000-00000C000000}"/>
    <cellStyle name="Milliers_laroux" xfId="16" xr:uid="{00000000-0005-0000-0000-00000D000000}"/>
    <cellStyle name="Non défini" xfId="17" xr:uid="{00000000-0005-0000-0000-00000E000000}"/>
    <cellStyle name="Normal - Style1" xfId="18" xr:uid="{00000000-0005-0000-0000-00000F000000}"/>
    <cellStyle name="Normal_22-Jun EUS Forecasts" xfId="19" xr:uid="{00000000-0005-0000-0000-000010000000}"/>
    <cellStyle name="Percent [2]" xfId="20" xr:uid="{00000000-0005-0000-0000-000011000000}"/>
    <cellStyle name="Red" xfId="21" xr:uid="{00000000-0005-0000-0000-000012000000}"/>
    <cellStyle name="百分比" xfId="2" builtinId="5"/>
    <cellStyle name="百分比 2" xfId="22" xr:uid="{00000000-0005-0000-0000-000014000000}"/>
    <cellStyle name="百分比 3" xfId="40" xr:uid="{35575547-9384-423C-AD28-5F2D5AF13126}"/>
    <cellStyle name="常规" xfId="0" builtinId="0"/>
    <cellStyle name="常规 2" xfId="23" xr:uid="{00000000-0005-0000-0000-000016000000}"/>
    <cellStyle name="常规 3" xfId="24" xr:uid="{00000000-0005-0000-0000-000017000000}"/>
    <cellStyle name="常规 4" xfId="25" xr:uid="{00000000-0005-0000-0000-000018000000}"/>
    <cellStyle name="超级链接" xfId="26" xr:uid="{00000000-0005-0000-0000-000019000000}"/>
    <cellStyle name="后继超级链接" xfId="27" xr:uid="{00000000-0005-0000-0000-00001A000000}"/>
    <cellStyle name="普通_ 外G9(3)" xfId="28" xr:uid="{00000000-0005-0000-0000-00001B000000}"/>
    <cellStyle name="千分位[0]_宁波" xfId="29" xr:uid="{00000000-0005-0000-0000-00001C000000}"/>
    <cellStyle name="千分位_宁波" xfId="30" xr:uid="{00000000-0005-0000-0000-00001D000000}"/>
    <cellStyle name="千位[0]_laroux" xfId="31" xr:uid="{00000000-0005-0000-0000-00001E000000}"/>
    <cellStyle name="千位_laroux" xfId="32" xr:uid="{00000000-0005-0000-0000-00001F000000}"/>
    <cellStyle name="千位分隔" xfId="1" builtinId="3"/>
    <cellStyle name="千位分隔 2" xfId="33" xr:uid="{00000000-0005-0000-0000-000021000000}"/>
    <cellStyle name="千位分隔 3" xfId="34" xr:uid="{00000000-0005-0000-0000-000022000000}"/>
    <cellStyle name="千位分隔 4" xfId="35" xr:uid="{00000000-0005-0000-0000-000023000000}"/>
    <cellStyle name="千位分隔[0] 2" xfId="36" xr:uid="{00000000-0005-0000-0000-000024000000}"/>
    <cellStyle name="千位分隔[0] 3" xfId="37" xr:uid="{00000000-0005-0000-0000-000025000000}"/>
    <cellStyle name="千位分隔[0] 4" xfId="38" xr:uid="{00000000-0005-0000-0000-000026000000}"/>
    <cellStyle name="索引超链接" xfId="39" xr:uid="{00000000-0005-0000-0000-000027000000}"/>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BS!$B$5</c:f>
              <c:strCache>
                <c:ptCount val="1"/>
                <c:pt idx="0">
                  <c:v>货币资金(万元)</c:v>
                </c:pt>
              </c:strCache>
            </c:strRef>
          </c:tx>
          <c:spPr>
            <a:ln w="28575" cap="rnd">
              <a:solidFill>
                <a:schemeClr val="accent1"/>
              </a:solidFill>
              <a:round/>
            </a:ln>
            <a:effectLst/>
          </c:spPr>
          <c:marker>
            <c:symbol val="none"/>
          </c:marker>
          <c:cat>
            <c:numRef>
              <c:f>BS!$C$1:$E$1</c:f>
              <c:numCache>
                <c:formatCode>m/d/yyyy</c:formatCode>
                <c:ptCount val="3"/>
                <c:pt idx="0">
                  <c:v>43830</c:v>
                </c:pt>
                <c:pt idx="1">
                  <c:v>43465</c:v>
                </c:pt>
                <c:pt idx="2">
                  <c:v>43100</c:v>
                </c:pt>
              </c:numCache>
            </c:numRef>
          </c:cat>
          <c:val>
            <c:numRef>
              <c:f>BS!$C$5:$E$5</c:f>
              <c:numCache>
                <c:formatCode>_(* #,##0.00_);_(* \(#,##0.00\);_(* "-"??_);_(@_)</c:formatCode>
                <c:ptCount val="3"/>
                <c:pt idx="0">
                  <c:v>1352674</c:v>
                </c:pt>
                <c:pt idx="1">
                  <c:v>1198504</c:v>
                </c:pt>
                <c:pt idx="2">
                  <c:v>410365</c:v>
                </c:pt>
              </c:numCache>
            </c:numRef>
          </c:val>
          <c:smooth val="0"/>
          <c:extLst>
            <c:ext xmlns:c16="http://schemas.microsoft.com/office/drawing/2014/chart" uri="{C3380CC4-5D6E-409C-BE32-E72D297353CC}">
              <c16:uniqueId val="{00000000-7056-4803-9E47-62522657A316}"/>
            </c:ext>
          </c:extLst>
        </c:ser>
        <c:ser>
          <c:idx val="1"/>
          <c:order val="1"/>
          <c:tx>
            <c:strRef>
              <c:f>BS!$B$8</c:f>
              <c:strCache>
                <c:ptCount val="1"/>
                <c:pt idx="0">
                  <c:v>交易性金融资产(万元)</c:v>
                </c:pt>
              </c:strCache>
            </c:strRef>
          </c:tx>
          <c:spPr>
            <a:ln w="28575" cap="rnd">
              <a:solidFill>
                <a:schemeClr val="accent2"/>
              </a:solidFill>
              <a:round/>
            </a:ln>
            <a:effectLst/>
          </c:spPr>
          <c:marker>
            <c:symbol val="none"/>
          </c:marker>
          <c:cat>
            <c:numRef>
              <c:f>BS!$C$1:$E$1</c:f>
              <c:numCache>
                <c:formatCode>m/d/yyyy</c:formatCode>
                <c:ptCount val="3"/>
                <c:pt idx="0">
                  <c:v>43830</c:v>
                </c:pt>
                <c:pt idx="1">
                  <c:v>43465</c:v>
                </c:pt>
                <c:pt idx="2">
                  <c:v>43100</c:v>
                </c:pt>
              </c:numCache>
            </c:numRef>
          </c:cat>
          <c:val>
            <c:numRef>
              <c:f>BS!$C$8:$E$8</c:f>
              <c:numCache>
                <c:formatCode>_(* #,##0.00_);_(* \(#,##0.00\);_(* "-"??_);_(@_)</c:formatCode>
                <c:ptCount val="3"/>
                <c:pt idx="0">
                  <c:v>836740</c:v>
                </c:pt>
                <c:pt idx="1">
                  <c:v>155672</c:v>
                </c:pt>
                <c:pt idx="2">
                  <c:v>4007</c:v>
                </c:pt>
              </c:numCache>
            </c:numRef>
          </c:val>
          <c:smooth val="0"/>
          <c:extLst>
            <c:ext xmlns:c16="http://schemas.microsoft.com/office/drawing/2014/chart" uri="{C3380CC4-5D6E-409C-BE32-E72D297353CC}">
              <c16:uniqueId val="{00000001-7056-4803-9E47-62522657A316}"/>
            </c:ext>
          </c:extLst>
        </c:ser>
        <c:ser>
          <c:idx val="2"/>
          <c:order val="2"/>
          <c:tx>
            <c:strRef>
              <c:f>BS!$B$37</c:f>
              <c:strCache>
                <c:ptCount val="1"/>
                <c:pt idx="0">
                  <c:v>投资性房地产(万元)</c:v>
                </c:pt>
              </c:strCache>
            </c:strRef>
          </c:tx>
          <c:spPr>
            <a:ln w="28575" cap="rnd">
              <a:solidFill>
                <a:schemeClr val="accent3"/>
              </a:solidFill>
              <a:round/>
            </a:ln>
            <a:effectLst/>
          </c:spPr>
          <c:marker>
            <c:symbol val="none"/>
          </c:marker>
          <c:cat>
            <c:numRef>
              <c:f>BS!$C$1:$E$1</c:f>
              <c:numCache>
                <c:formatCode>m/d/yyyy</c:formatCode>
                <c:ptCount val="3"/>
                <c:pt idx="0">
                  <c:v>43830</c:v>
                </c:pt>
                <c:pt idx="1">
                  <c:v>43465</c:v>
                </c:pt>
                <c:pt idx="2">
                  <c:v>43100</c:v>
                </c:pt>
              </c:numCache>
            </c:numRef>
          </c:cat>
          <c:val>
            <c:numRef>
              <c:f>BS!$C$37:$E$37</c:f>
              <c:numCache>
                <c:formatCode>_(* #,##0.00_);_(* \(#,##0.00\);_(* "-"??_);_(@_)</c:formatCode>
                <c:ptCount val="3"/>
                <c:pt idx="0">
                  <c:v>12632</c:v>
                </c:pt>
                <c:pt idx="1">
                  <c:v>5011</c:v>
                </c:pt>
                <c:pt idx="2">
                  <c:v>3770</c:v>
                </c:pt>
              </c:numCache>
            </c:numRef>
          </c:val>
          <c:smooth val="0"/>
          <c:extLst>
            <c:ext xmlns:c16="http://schemas.microsoft.com/office/drawing/2014/chart" uri="{C3380CC4-5D6E-409C-BE32-E72D297353CC}">
              <c16:uniqueId val="{00000002-7056-4803-9E47-62522657A316}"/>
            </c:ext>
          </c:extLst>
        </c:ser>
        <c:ser>
          <c:idx val="3"/>
          <c:order val="3"/>
          <c:tx>
            <c:strRef>
              <c:f>BS!$B$70</c:f>
              <c:strCache>
                <c:ptCount val="1"/>
                <c:pt idx="0">
                  <c:v>应付手续费及佣金(万元)</c:v>
                </c:pt>
              </c:strCache>
            </c:strRef>
          </c:tx>
          <c:spPr>
            <a:ln w="28575" cap="rnd">
              <a:solidFill>
                <a:schemeClr val="accent4"/>
              </a:solidFill>
              <a:round/>
            </a:ln>
            <a:effectLst/>
          </c:spPr>
          <c:marker>
            <c:symbol val="none"/>
          </c:marker>
          <c:cat>
            <c:numRef>
              <c:f>BS!$C$1:$E$1</c:f>
              <c:numCache>
                <c:formatCode>m/d/yyyy</c:formatCode>
                <c:ptCount val="3"/>
                <c:pt idx="0">
                  <c:v>43830</c:v>
                </c:pt>
                <c:pt idx="1">
                  <c:v>43465</c:v>
                </c:pt>
                <c:pt idx="2">
                  <c:v>43100</c:v>
                </c:pt>
              </c:numCache>
            </c:numRef>
          </c:cat>
          <c:val>
            <c:numRef>
              <c:f>BS!$C$70:$E$70</c:f>
              <c:numCache>
                <c:formatCode>_(* #,##0.00_);_(* \(#,##0.00\);_(* "-"??_);_(@_)</c:formatCode>
                <c:ptCount val="3"/>
                <c:pt idx="0">
                  <c:v>0</c:v>
                </c:pt>
                <c:pt idx="1">
                  <c:v>0</c:v>
                </c:pt>
                <c:pt idx="2">
                  <c:v>0</c:v>
                </c:pt>
              </c:numCache>
            </c:numRef>
          </c:val>
          <c:smooth val="0"/>
          <c:extLst>
            <c:ext xmlns:c16="http://schemas.microsoft.com/office/drawing/2014/chart" uri="{C3380CC4-5D6E-409C-BE32-E72D297353CC}">
              <c16:uniqueId val="{00000003-7056-4803-9E47-62522657A316}"/>
            </c:ext>
          </c:extLst>
        </c:ser>
        <c:dLbls>
          <c:showLegendKey val="0"/>
          <c:showVal val="0"/>
          <c:showCatName val="0"/>
          <c:showSerName val="0"/>
          <c:showPercent val="0"/>
          <c:showBubbleSize val="0"/>
        </c:dLbls>
        <c:smooth val="0"/>
        <c:axId val="2021656592"/>
        <c:axId val="429061648"/>
      </c:lineChart>
      <c:dateAx>
        <c:axId val="2021656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29061648"/>
        <c:crosses val="autoZero"/>
        <c:auto val="1"/>
        <c:lblOffset val="100"/>
        <c:baseTimeUnit val="years"/>
      </c:dateAx>
      <c:valAx>
        <c:axId val="42906164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02165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4"/>
          <c:order val="0"/>
          <c:tx>
            <c:strRef>
              <c:f>'BS (分析)'!$B$87</c:f>
              <c:strCache>
                <c:ptCount val="1"/>
                <c:pt idx="0">
                  <c:v>固资：总资产</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'BS (分析)'!$C$82:$H$82</c:f>
              <c:numCache>
                <c:formatCode>m/d/yyyy</c:formatCode>
                <c:ptCount val="6"/>
                <c:pt idx="0">
                  <c:v>43830</c:v>
                </c:pt>
                <c:pt idx="1">
                  <c:v>43465</c:v>
                </c:pt>
                <c:pt idx="2">
                  <c:v>43100</c:v>
                </c:pt>
                <c:pt idx="3">
                  <c:v>42735</c:v>
                </c:pt>
                <c:pt idx="4">
                  <c:v>42369</c:v>
                </c:pt>
                <c:pt idx="5">
                  <c:v>42004</c:v>
                </c:pt>
              </c:numCache>
            </c:numRef>
          </c:cat>
          <c:val>
            <c:numRef>
              <c:f>'BS (分析)'!$C$87:$H$87</c:f>
              <c:numCache>
                <c:formatCode>0.00%</c:formatCode>
                <c:ptCount val="6"/>
                <c:pt idx="0">
                  <c:v>0.13049926645270424</c:v>
                </c:pt>
                <c:pt idx="1">
                  <c:v>0.17158061346496653</c:v>
                </c:pt>
                <c:pt idx="2">
                  <c:v>0.23419190074609733</c:v>
                </c:pt>
                <c:pt idx="3">
                  <c:v>0.2452567193193336</c:v>
                </c:pt>
                <c:pt idx="4">
                  <c:v>0.26654576290231752</c:v>
                </c:pt>
                <c:pt idx="5">
                  <c:v>0.27891764189059864</c:v>
                </c:pt>
              </c:numCache>
            </c:numRef>
          </c:val>
          <c:smooth val="0"/>
          <c:extLst>
            <c:ext xmlns:c16="http://schemas.microsoft.com/office/drawing/2014/chart" uri="{C3380CC4-5D6E-409C-BE32-E72D297353CC}">
              <c16:uniqueId val="{00000004-D794-4FE3-A840-0CFF7FE7CBF3}"/>
            </c:ext>
          </c:extLst>
        </c:ser>
        <c:dLbls>
          <c:showLegendKey val="0"/>
          <c:showVal val="0"/>
          <c:showCatName val="0"/>
          <c:showSerName val="0"/>
          <c:showPercent val="0"/>
          <c:showBubbleSize val="0"/>
        </c:dLbls>
        <c:marker val="1"/>
        <c:smooth val="0"/>
        <c:axId val="2115545055"/>
        <c:axId val="2133866463"/>
      </c:lineChart>
      <c:dateAx>
        <c:axId val="211554505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33866463"/>
        <c:crosses val="autoZero"/>
        <c:auto val="1"/>
        <c:lblOffset val="100"/>
        <c:baseTimeUnit val="years"/>
      </c:dateAx>
      <c:valAx>
        <c:axId val="21338664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155450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444444444444443"/>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'BS (分析)'!$B$111</c:f>
              <c:strCache>
                <c:ptCount val="1"/>
                <c:pt idx="0">
                  <c:v>存货占总资产比例</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'BS (分析)'!$C$108:$H$108</c:f>
              <c:numCache>
                <c:formatCode>m/d/yyyy</c:formatCode>
                <c:ptCount val="6"/>
                <c:pt idx="0">
                  <c:v>43830</c:v>
                </c:pt>
                <c:pt idx="1">
                  <c:v>43465</c:v>
                </c:pt>
                <c:pt idx="2">
                  <c:v>43100</c:v>
                </c:pt>
                <c:pt idx="3">
                  <c:v>42735</c:v>
                </c:pt>
                <c:pt idx="4">
                  <c:v>42369</c:v>
                </c:pt>
                <c:pt idx="5">
                  <c:v>42004</c:v>
                </c:pt>
              </c:numCache>
            </c:numRef>
          </c:cat>
          <c:val>
            <c:numRef>
              <c:f>'BS (分析)'!$C$111:$H$111</c:f>
              <c:numCache>
                <c:formatCode>0.00%</c:formatCode>
                <c:ptCount val="6"/>
                <c:pt idx="0">
                  <c:v>0.15868739127065357</c:v>
                </c:pt>
                <c:pt idx="1">
                  <c:v>0.15716266454995215</c:v>
                </c:pt>
                <c:pt idx="2">
                  <c:v>0.13121893013993854</c:v>
                </c:pt>
                <c:pt idx="3">
                  <c:v>0.1010527663322718</c:v>
                </c:pt>
                <c:pt idx="4">
                  <c:v>9.0169067102895809E-2</c:v>
                </c:pt>
                <c:pt idx="5">
                  <c:v>0.11536601011975027</c:v>
                </c:pt>
              </c:numCache>
            </c:numRef>
          </c:val>
          <c:smooth val="0"/>
          <c:extLst>
            <c:ext xmlns:c16="http://schemas.microsoft.com/office/drawing/2014/chart" uri="{C3380CC4-5D6E-409C-BE32-E72D297353CC}">
              <c16:uniqueId val="{00000000-F8BE-4DEE-943C-A79FA2579054}"/>
            </c:ext>
          </c:extLst>
        </c:ser>
        <c:dLbls>
          <c:showLegendKey val="0"/>
          <c:showVal val="0"/>
          <c:showCatName val="0"/>
          <c:showSerName val="0"/>
          <c:showPercent val="0"/>
          <c:showBubbleSize val="0"/>
        </c:dLbls>
        <c:marker val="1"/>
        <c:smooth val="0"/>
        <c:axId val="305414192"/>
        <c:axId val="994786591"/>
      </c:lineChart>
      <c:dateAx>
        <c:axId val="305414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94786591"/>
        <c:crosses val="autoZero"/>
        <c:auto val="1"/>
        <c:lblOffset val="100"/>
        <c:baseTimeUnit val="years"/>
      </c:dateAx>
      <c:valAx>
        <c:axId val="9947865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5414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'BS (分析)'!$B$38</c:f>
              <c:strCache>
                <c:ptCount val="1"/>
                <c:pt idx="0">
                  <c:v>资产负债率</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'BS (分析)'!$C$35:$G$35</c:f>
              <c:numCache>
                <c:formatCode>m/d/yyyy</c:formatCode>
                <c:ptCount val="5"/>
                <c:pt idx="0">
                  <c:v>43830</c:v>
                </c:pt>
                <c:pt idx="1">
                  <c:v>43465</c:v>
                </c:pt>
                <c:pt idx="2">
                  <c:v>43100</c:v>
                </c:pt>
                <c:pt idx="3">
                  <c:v>42735</c:v>
                </c:pt>
                <c:pt idx="4">
                  <c:v>42369</c:v>
                </c:pt>
              </c:numCache>
            </c:numRef>
          </c:cat>
          <c:val>
            <c:numRef>
              <c:f>'BS (分析)'!$C$38:$G$38</c:f>
              <c:numCache>
                <c:formatCode>0.00%</c:formatCode>
                <c:ptCount val="5"/>
                <c:pt idx="0">
                  <c:v>0.49333026463821023</c:v>
                </c:pt>
                <c:pt idx="1">
                  <c:v>0.54290094803490252</c:v>
                </c:pt>
                <c:pt idx="2">
                  <c:v>0.52553148123440985</c:v>
                </c:pt>
                <c:pt idx="3">
                  <c:v>0.60857977836720578</c:v>
                </c:pt>
                <c:pt idx="4">
                  <c:v>0.61028134950551838</c:v>
                </c:pt>
              </c:numCache>
            </c:numRef>
          </c:val>
          <c:smooth val="0"/>
          <c:extLst>
            <c:ext xmlns:c16="http://schemas.microsoft.com/office/drawing/2014/chart" uri="{C3380CC4-5D6E-409C-BE32-E72D297353CC}">
              <c16:uniqueId val="{00000000-3496-42A3-80CA-1547489A56F5}"/>
            </c:ext>
          </c:extLst>
        </c:ser>
        <c:dLbls>
          <c:showLegendKey val="0"/>
          <c:showVal val="0"/>
          <c:showCatName val="0"/>
          <c:showSerName val="0"/>
          <c:showPercent val="0"/>
          <c:showBubbleSize val="0"/>
        </c:dLbls>
        <c:marker val="1"/>
        <c:smooth val="0"/>
        <c:axId val="1717016752"/>
        <c:axId val="407530528"/>
      </c:lineChart>
      <c:dateAx>
        <c:axId val="1717016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07530528"/>
        <c:crosses val="autoZero"/>
        <c:auto val="1"/>
        <c:lblOffset val="100"/>
        <c:baseTimeUnit val="years"/>
      </c:dateAx>
      <c:valAx>
        <c:axId val="407530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17016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'BS (分析)'!$B$117</c:f>
              <c:strCache>
                <c:ptCount val="1"/>
                <c:pt idx="0">
                  <c:v>商誉占总资产比例</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'BS (分析)'!$C$114:$H$114</c:f>
              <c:numCache>
                <c:formatCode>m/d/yyyy</c:formatCode>
                <c:ptCount val="6"/>
                <c:pt idx="0">
                  <c:v>43830</c:v>
                </c:pt>
                <c:pt idx="1">
                  <c:v>43465</c:v>
                </c:pt>
                <c:pt idx="2">
                  <c:v>43100</c:v>
                </c:pt>
                <c:pt idx="3">
                  <c:v>42735</c:v>
                </c:pt>
                <c:pt idx="4">
                  <c:v>42369</c:v>
                </c:pt>
                <c:pt idx="5">
                  <c:v>42004</c:v>
                </c:pt>
              </c:numCache>
            </c:numRef>
          </c:cat>
          <c:val>
            <c:numRef>
              <c:f>'BS (分析)'!$C$117:$H$117</c:f>
              <c:numCache>
                <c:formatCode>0.00%</c:formatCode>
                <c:ptCount val="6"/>
                <c:pt idx="0">
                  <c:v>5.5060585572946311E-4</c:v>
                </c:pt>
                <c:pt idx="1">
                  <c:v>6.8926058807957356E-4</c:v>
                </c:pt>
                <c:pt idx="2">
                  <c:v>8.6919626475697614E-4</c:v>
                </c:pt>
                <c:pt idx="3">
                  <c:v>5.8760486764919222E-4</c:v>
                </c:pt>
                <c:pt idx="4">
                  <c:v>5.7375935360039307E-4</c:v>
                </c:pt>
                <c:pt idx="5">
                  <c:v>5.861024677881702E-4</c:v>
                </c:pt>
              </c:numCache>
            </c:numRef>
          </c:val>
          <c:smooth val="0"/>
          <c:extLst>
            <c:ext xmlns:c16="http://schemas.microsoft.com/office/drawing/2014/chart" uri="{C3380CC4-5D6E-409C-BE32-E72D297353CC}">
              <c16:uniqueId val="{00000000-0060-4E1E-825F-B679578F1E74}"/>
            </c:ext>
          </c:extLst>
        </c:ser>
        <c:dLbls>
          <c:showLegendKey val="0"/>
          <c:showVal val="0"/>
          <c:showCatName val="0"/>
          <c:showSerName val="0"/>
          <c:showPercent val="0"/>
          <c:showBubbleSize val="0"/>
        </c:dLbls>
        <c:marker val="1"/>
        <c:smooth val="0"/>
        <c:axId val="635222496"/>
        <c:axId val="716167520"/>
      </c:lineChart>
      <c:dateAx>
        <c:axId val="635222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16167520"/>
        <c:crosses val="autoZero"/>
        <c:auto val="1"/>
        <c:lblOffset val="100"/>
        <c:baseTimeUnit val="years"/>
      </c:dateAx>
      <c:valAx>
        <c:axId val="716167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3522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'BS (分析)'!$B$102</c:f>
              <c:strCache>
                <c:ptCount val="1"/>
                <c:pt idx="0">
                  <c:v>投资类资产占总资产比例</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'BS (分析)'!$C$91:$H$91</c:f>
              <c:numCache>
                <c:formatCode>m/d/yyyy</c:formatCode>
                <c:ptCount val="6"/>
                <c:pt idx="0">
                  <c:v>43830</c:v>
                </c:pt>
                <c:pt idx="1">
                  <c:v>43465</c:v>
                </c:pt>
                <c:pt idx="2">
                  <c:v>43100</c:v>
                </c:pt>
                <c:pt idx="3">
                  <c:v>42735</c:v>
                </c:pt>
                <c:pt idx="4">
                  <c:v>42369</c:v>
                </c:pt>
                <c:pt idx="5">
                  <c:v>42004</c:v>
                </c:pt>
              </c:numCache>
            </c:numRef>
          </c:cat>
          <c:val>
            <c:numRef>
              <c:f>'BS (分析)'!$C$102:$H$102</c:f>
              <c:numCache>
                <c:formatCode>0.00%</c:formatCode>
                <c:ptCount val="6"/>
                <c:pt idx="0">
                  <c:v>4.8570652287961404E-2</c:v>
                </c:pt>
                <c:pt idx="1">
                  <c:v>5.2385966358123759E-2</c:v>
                </c:pt>
                <c:pt idx="2">
                  <c:v>4.114946866882941E-2</c:v>
                </c:pt>
                <c:pt idx="3">
                  <c:v>4.0257350462521546E-2</c:v>
                </c:pt>
                <c:pt idx="4">
                  <c:v>2.7499790127808083E-2</c:v>
                </c:pt>
                <c:pt idx="5">
                  <c:v>3.017245825824539E-2</c:v>
                </c:pt>
              </c:numCache>
            </c:numRef>
          </c:val>
          <c:smooth val="0"/>
          <c:extLst>
            <c:ext xmlns:c16="http://schemas.microsoft.com/office/drawing/2014/chart" uri="{C3380CC4-5D6E-409C-BE32-E72D297353CC}">
              <c16:uniqueId val="{00000000-686E-4B64-AF13-92413280716D}"/>
            </c:ext>
          </c:extLst>
        </c:ser>
        <c:dLbls>
          <c:showLegendKey val="0"/>
          <c:showVal val="0"/>
          <c:showCatName val="0"/>
          <c:showSerName val="0"/>
          <c:showPercent val="0"/>
          <c:showBubbleSize val="0"/>
        </c:dLbls>
        <c:marker val="1"/>
        <c:smooth val="0"/>
        <c:axId val="1513989552"/>
        <c:axId val="1277150736"/>
      </c:lineChart>
      <c:dateAx>
        <c:axId val="1513989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277150736"/>
        <c:crosses val="autoZero"/>
        <c:auto val="1"/>
        <c:lblOffset val="100"/>
        <c:baseTimeUnit val="years"/>
      </c:dateAx>
      <c:valAx>
        <c:axId val="1277150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13989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'BS (分析)'!$B$68</c:f>
              <c:strCache>
                <c:ptCount val="1"/>
                <c:pt idx="0">
                  <c:v>应付-应收</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'BS (分析)'!$C$58:$H$58</c:f>
              <c:numCache>
                <c:formatCode>m/d/yyyy</c:formatCode>
                <c:ptCount val="6"/>
                <c:pt idx="0">
                  <c:v>43830</c:v>
                </c:pt>
                <c:pt idx="1">
                  <c:v>43465</c:v>
                </c:pt>
                <c:pt idx="2">
                  <c:v>43100</c:v>
                </c:pt>
                <c:pt idx="3">
                  <c:v>42735</c:v>
                </c:pt>
                <c:pt idx="4">
                  <c:v>42369</c:v>
                </c:pt>
                <c:pt idx="5">
                  <c:v>42004</c:v>
                </c:pt>
              </c:numCache>
            </c:numRef>
          </c:cat>
          <c:val>
            <c:numRef>
              <c:f>'BS (分析)'!$C$68:$H$68</c:f>
              <c:numCache>
                <c:formatCode>_(* #,##0.00_);_(* \(#,##0.00\);_(* "-"??_);_(@_)</c:formatCode>
                <c:ptCount val="6"/>
                <c:pt idx="0">
                  <c:v>-886930</c:v>
                </c:pt>
                <c:pt idx="1">
                  <c:v>-1164084</c:v>
                </c:pt>
                <c:pt idx="2">
                  <c:v>-1224884</c:v>
                </c:pt>
                <c:pt idx="3">
                  <c:v>-1303716</c:v>
                </c:pt>
                <c:pt idx="4">
                  <c:v>-1722447</c:v>
                </c:pt>
                <c:pt idx="5">
                  <c:v>-1522314</c:v>
                </c:pt>
              </c:numCache>
            </c:numRef>
          </c:val>
          <c:smooth val="0"/>
          <c:extLst>
            <c:ext xmlns:c16="http://schemas.microsoft.com/office/drawing/2014/chart" uri="{C3380CC4-5D6E-409C-BE32-E72D297353CC}">
              <c16:uniqueId val="{00000000-3B43-46E1-8791-84C9748B9DAA}"/>
            </c:ext>
          </c:extLst>
        </c:ser>
        <c:dLbls>
          <c:showLegendKey val="0"/>
          <c:showVal val="0"/>
          <c:showCatName val="0"/>
          <c:showSerName val="0"/>
          <c:showPercent val="0"/>
          <c:showBubbleSize val="0"/>
        </c:dLbls>
        <c:marker val="1"/>
        <c:smooth val="0"/>
        <c:axId val="1717032752"/>
        <c:axId val="1277208560"/>
      </c:lineChart>
      <c:dateAx>
        <c:axId val="1717032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277208560"/>
        <c:crosses val="autoZero"/>
        <c:auto val="1"/>
        <c:lblOffset val="100"/>
        <c:baseTimeUnit val="years"/>
      </c:dateAx>
      <c:valAx>
        <c:axId val="1277208560"/>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17032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'BS (分析)'!$B$21</c:f>
              <c:strCache>
                <c:ptCount val="1"/>
                <c:pt idx="0">
                  <c:v>总资产增长率</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'BS (分析)'!$C$19:$O$19</c:f>
              <c:numCache>
                <c:formatCode>m/d/yyyy</c:formatCode>
                <c:ptCount val="13"/>
                <c:pt idx="0">
                  <c:v>43830</c:v>
                </c:pt>
                <c:pt idx="1">
                  <c:v>43465</c:v>
                </c:pt>
                <c:pt idx="2">
                  <c:v>43100</c:v>
                </c:pt>
                <c:pt idx="3">
                  <c:v>42735</c:v>
                </c:pt>
                <c:pt idx="4">
                  <c:v>42369</c:v>
                </c:pt>
                <c:pt idx="5">
                  <c:v>42004</c:v>
                </c:pt>
                <c:pt idx="6">
                  <c:v>41639</c:v>
                </c:pt>
                <c:pt idx="7">
                  <c:v>41274</c:v>
                </c:pt>
                <c:pt idx="8">
                  <c:v>40908</c:v>
                </c:pt>
                <c:pt idx="9">
                  <c:v>40543</c:v>
                </c:pt>
                <c:pt idx="10">
                  <c:v>40178</c:v>
                </c:pt>
                <c:pt idx="11">
                  <c:v>39813</c:v>
                </c:pt>
                <c:pt idx="12">
                  <c:v>39447</c:v>
                </c:pt>
              </c:numCache>
            </c:numRef>
          </c:cat>
          <c:val>
            <c:numRef>
              <c:f>'BS (分析)'!$C$21:$O$21</c:f>
              <c:numCache>
                <c:formatCode>0.00%</c:formatCode>
                <c:ptCount val="13"/>
                <c:pt idx="0">
                  <c:v>0.21735700485979548</c:v>
                </c:pt>
                <c:pt idx="1">
                  <c:v>0.26678590212424225</c:v>
                </c:pt>
                <c:pt idx="2">
                  <c:v>-5.3891018060767459E-2</c:v>
                </c:pt>
                <c:pt idx="3">
                  <c:v>5.3441445514257335E-3</c:v>
                </c:pt>
                <c:pt idx="4">
                  <c:v>-2.827670638662827E-2</c:v>
                </c:pt>
                <c:pt idx="5">
                  <c:v>-1.3439323101782086E-2</c:v>
                </c:pt>
                <c:pt idx="6">
                  <c:v>-9.2089190712832947E-3</c:v>
                </c:pt>
                <c:pt idx="7">
                  <c:v>0.25639306968111208</c:v>
                </c:pt>
                <c:pt idx="8">
                  <c:v>0.63705976685966337</c:v>
                </c:pt>
                <c:pt idx="9">
                  <c:v>0.97895939887604966</c:v>
                </c:pt>
                <c:pt idx="10">
                  <c:v>0.13386022954995691</c:v>
                </c:pt>
                <c:pt idx="11">
                  <c:v>0.24941117958195314</c:v>
                </c:pt>
                <c:pt idx="12">
                  <c:v>0</c:v>
                </c:pt>
              </c:numCache>
            </c:numRef>
          </c:val>
          <c:smooth val="0"/>
          <c:extLst>
            <c:ext xmlns:c16="http://schemas.microsoft.com/office/drawing/2014/chart" uri="{C3380CC4-5D6E-409C-BE32-E72D297353CC}">
              <c16:uniqueId val="{00000000-1EF2-4E3A-9C36-4FE27814D62E}"/>
            </c:ext>
          </c:extLst>
        </c:ser>
        <c:dLbls>
          <c:showLegendKey val="0"/>
          <c:showVal val="0"/>
          <c:showCatName val="0"/>
          <c:showSerName val="0"/>
          <c:showPercent val="0"/>
          <c:showBubbleSize val="0"/>
        </c:dLbls>
        <c:marker val="1"/>
        <c:smooth val="0"/>
        <c:axId val="705980415"/>
        <c:axId val="706237615"/>
      </c:lineChart>
      <c:dateAx>
        <c:axId val="70598041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6237615"/>
        <c:crosses val="autoZero"/>
        <c:auto val="1"/>
        <c:lblOffset val="100"/>
        <c:baseTimeUnit val="years"/>
      </c:dateAx>
      <c:valAx>
        <c:axId val="70623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5980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'BS (分析)'!$B$38</c:f>
              <c:strCache>
                <c:ptCount val="1"/>
                <c:pt idx="0">
                  <c:v>资产负债率</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'BS (分析)'!$C$35:$O$35</c:f>
              <c:numCache>
                <c:formatCode>m/d/yyyy</c:formatCode>
                <c:ptCount val="13"/>
                <c:pt idx="0">
                  <c:v>43830</c:v>
                </c:pt>
                <c:pt idx="1">
                  <c:v>43465</c:v>
                </c:pt>
                <c:pt idx="2">
                  <c:v>43100</c:v>
                </c:pt>
                <c:pt idx="3">
                  <c:v>42735</c:v>
                </c:pt>
                <c:pt idx="4">
                  <c:v>42369</c:v>
                </c:pt>
                <c:pt idx="5">
                  <c:v>42004</c:v>
                </c:pt>
                <c:pt idx="6">
                  <c:v>41639</c:v>
                </c:pt>
                <c:pt idx="7">
                  <c:v>41274</c:v>
                </c:pt>
                <c:pt idx="8">
                  <c:v>40908</c:v>
                </c:pt>
                <c:pt idx="9">
                  <c:v>40543</c:v>
                </c:pt>
                <c:pt idx="10">
                  <c:v>40178</c:v>
                </c:pt>
                <c:pt idx="11">
                  <c:v>39813</c:v>
                </c:pt>
                <c:pt idx="12">
                  <c:v>39447</c:v>
                </c:pt>
              </c:numCache>
            </c:numRef>
          </c:cat>
          <c:val>
            <c:numRef>
              <c:f>'BS (分析)'!$C$38:$O$38</c:f>
              <c:numCache>
                <c:formatCode>0.00%</c:formatCode>
                <c:ptCount val="13"/>
                <c:pt idx="0">
                  <c:v>0.49333026463821023</c:v>
                </c:pt>
                <c:pt idx="1">
                  <c:v>0.54290094803490252</c:v>
                </c:pt>
                <c:pt idx="2">
                  <c:v>0.52553148123440985</c:v>
                </c:pt>
                <c:pt idx="3">
                  <c:v>0.60857977836720578</c:v>
                </c:pt>
                <c:pt idx="4">
                  <c:v>0.61028134950551838</c:v>
                </c:pt>
                <c:pt idx="5">
                  <c:v>0.60283201919203877</c:v>
                </c:pt>
                <c:pt idx="6">
                  <c:v>0.60716683524405102</c:v>
                </c:pt>
                <c:pt idx="7">
                  <c:v>0.61739114651833604</c:v>
                </c:pt>
                <c:pt idx="8">
                  <c:v>0.59549907000504609</c:v>
                </c:pt>
                <c:pt idx="9">
                  <c:v>0.61971144304640791</c:v>
                </c:pt>
                <c:pt idx="10">
                  <c:v>0.47687693376270757</c:v>
                </c:pt>
                <c:pt idx="11">
                  <c:v>0.5571909591883345</c:v>
                </c:pt>
                <c:pt idx="12">
                  <c:v>0.5485122724219148</c:v>
                </c:pt>
              </c:numCache>
            </c:numRef>
          </c:val>
          <c:smooth val="0"/>
          <c:extLst>
            <c:ext xmlns:c16="http://schemas.microsoft.com/office/drawing/2014/chart" uri="{C3380CC4-5D6E-409C-BE32-E72D297353CC}">
              <c16:uniqueId val="{00000000-8752-43B6-9CF7-7D6016B9424F}"/>
            </c:ext>
          </c:extLst>
        </c:ser>
        <c:dLbls>
          <c:showLegendKey val="0"/>
          <c:showVal val="0"/>
          <c:showCatName val="0"/>
          <c:showSerName val="0"/>
          <c:showPercent val="0"/>
          <c:showBubbleSize val="0"/>
        </c:dLbls>
        <c:marker val="1"/>
        <c:smooth val="0"/>
        <c:axId val="784898527"/>
        <c:axId val="692060335"/>
      </c:lineChart>
      <c:dateAx>
        <c:axId val="78489852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92060335"/>
        <c:crosses val="autoZero"/>
        <c:auto val="1"/>
        <c:lblOffset val="100"/>
        <c:baseTimeUnit val="years"/>
      </c:dateAx>
      <c:valAx>
        <c:axId val="692060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84898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收入增长率</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'PL (分析)'!$B$4:$F$4</c:f>
              <c:numCache>
                <c:formatCode>m/d/yyyy</c:formatCode>
                <c:ptCount val="5"/>
                <c:pt idx="0">
                  <c:v>43830</c:v>
                </c:pt>
                <c:pt idx="1">
                  <c:v>43465</c:v>
                </c:pt>
                <c:pt idx="2">
                  <c:v>43100</c:v>
                </c:pt>
                <c:pt idx="3">
                  <c:v>42735</c:v>
                </c:pt>
                <c:pt idx="4">
                  <c:v>42369</c:v>
                </c:pt>
              </c:numCache>
            </c:numRef>
          </c:cat>
          <c:val>
            <c:numRef>
              <c:f>'PL (分析)'!$B$6:$F$6</c:f>
              <c:numCache>
                <c:formatCode>0.00%</c:formatCode>
                <c:ptCount val="5"/>
                <c:pt idx="0">
                  <c:v>0.35549492579024211</c:v>
                </c:pt>
                <c:pt idx="1">
                  <c:v>0.45614631399065453</c:v>
                </c:pt>
                <c:pt idx="2">
                  <c:v>0.64669135445039472</c:v>
                </c:pt>
                <c:pt idx="3">
                  <c:v>-3.7146609708531781E-3</c:v>
                </c:pt>
                <c:pt idx="4">
                  <c:v>-0.161</c:v>
                </c:pt>
              </c:numCache>
            </c:numRef>
          </c:val>
          <c:smooth val="0"/>
          <c:extLst>
            <c:ext xmlns:c16="http://schemas.microsoft.com/office/drawing/2014/chart" uri="{C3380CC4-5D6E-409C-BE32-E72D297353CC}">
              <c16:uniqueId val="{00000000-858B-4B60-96EF-C4D26E9C6625}"/>
            </c:ext>
          </c:extLst>
        </c:ser>
        <c:dLbls>
          <c:showLegendKey val="0"/>
          <c:showVal val="0"/>
          <c:showCatName val="0"/>
          <c:showSerName val="0"/>
          <c:showPercent val="0"/>
          <c:showBubbleSize val="0"/>
        </c:dLbls>
        <c:marker val="1"/>
        <c:smooth val="0"/>
        <c:axId val="286102624"/>
        <c:axId val="281716544"/>
      </c:lineChart>
      <c:dateAx>
        <c:axId val="286102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81716544"/>
        <c:crosses val="autoZero"/>
        <c:auto val="1"/>
        <c:lblOffset val="100"/>
        <c:baseTimeUnit val="years"/>
      </c:dateAx>
      <c:valAx>
        <c:axId val="281716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8610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销售费用率</a:t>
            </a:r>
          </a:p>
        </c:rich>
      </c:tx>
      <c:layout>
        <c:manualLayout>
          <c:xMode val="edge"/>
          <c:yMode val="edge"/>
          <c:x val="0.43520450664975385"/>
          <c:y val="4.76190178608812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'PL (分析)'!$B$40:$F$40</c:f>
              <c:numCache>
                <c:formatCode>m/d/yyyy</c:formatCode>
                <c:ptCount val="5"/>
                <c:pt idx="0">
                  <c:v>43830</c:v>
                </c:pt>
                <c:pt idx="1">
                  <c:v>43465</c:v>
                </c:pt>
                <c:pt idx="2">
                  <c:v>43100</c:v>
                </c:pt>
                <c:pt idx="3">
                  <c:v>42735</c:v>
                </c:pt>
                <c:pt idx="4">
                  <c:v>42369</c:v>
                </c:pt>
              </c:numCache>
            </c:numRef>
          </c:cat>
          <c:val>
            <c:numRef>
              <c:f>'PL (分析)'!$B$43:$F$43</c:f>
              <c:numCache>
                <c:formatCode>0.00%</c:formatCode>
                <c:ptCount val="5"/>
                <c:pt idx="0">
                  <c:v>7.2524084870091834E-2</c:v>
                </c:pt>
                <c:pt idx="1">
                  <c:v>7.9658017072275017E-2</c:v>
                </c:pt>
                <c:pt idx="2">
                  <c:v>9.9967418884369386E-2</c:v>
                </c:pt>
                <c:pt idx="3">
                  <c:v>0.10133431729371947</c:v>
                </c:pt>
                <c:pt idx="4">
                  <c:v>8.29927157552552E-2</c:v>
                </c:pt>
              </c:numCache>
            </c:numRef>
          </c:val>
          <c:smooth val="0"/>
          <c:extLst>
            <c:ext xmlns:c16="http://schemas.microsoft.com/office/drawing/2014/chart" uri="{C3380CC4-5D6E-409C-BE32-E72D297353CC}">
              <c16:uniqueId val="{00000000-109A-49F3-80A3-73D744239A0E}"/>
            </c:ext>
          </c:extLst>
        </c:ser>
        <c:dLbls>
          <c:showLegendKey val="0"/>
          <c:showVal val="0"/>
          <c:showCatName val="0"/>
          <c:showSerName val="0"/>
          <c:showPercent val="0"/>
          <c:showBubbleSize val="0"/>
        </c:dLbls>
        <c:marker val="1"/>
        <c:smooth val="0"/>
        <c:axId val="1942939232"/>
        <c:axId val="29233792"/>
      </c:lineChart>
      <c:dateAx>
        <c:axId val="1942939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9233792"/>
        <c:crosses val="autoZero"/>
        <c:auto val="1"/>
        <c:lblOffset val="100"/>
        <c:baseTimeUnit val="years"/>
      </c:dateAx>
      <c:valAx>
        <c:axId val="2923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942939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ROE</a:t>
            </a:r>
            <a:endParaRPr lang="zh-CN"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'PL (分析)'!$B$72:$F$72</c:f>
              <c:numCache>
                <c:formatCode>m/d/yyyy</c:formatCode>
                <c:ptCount val="5"/>
                <c:pt idx="0">
                  <c:v>43830</c:v>
                </c:pt>
                <c:pt idx="1">
                  <c:v>43465</c:v>
                </c:pt>
                <c:pt idx="2">
                  <c:v>43100</c:v>
                </c:pt>
                <c:pt idx="3">
                  <c:v>42735</c:v>
                </c:pt>
                <c:pt idx="4">
                  <c:v>42369</c:v>
                </c:pt>
              </c:numCache>
            </c:numRef>
          </c:cat>
          <c:val>
            <c:numRef>
              <c:f>'PL (分析)'!$B$76:$F$76</c:f>
              <c:numCache>
                <c:formatCode>0.00%</c:formatCode>
                <c:ptCount val="5"/>
                <c:pt idx="0">
                  <c:v>0.25228304283246339</c:v>
                </c:pt>
                <c:pt idx="1">
                  <c:v>0.19426099677591582</c:v>
                </c:pt>
                <c:pt idx="2">
                  <c:v>8.2056742595381524E-2</c:v>
                </c:pt>
                <c:pt idx="3">
                  <c:v>8.9561305431079263E-3</c:v>
                </c:pt>
                <c:pt idx="4">
                  <c:v>6.1131742234804293E-3</c:v>
                </c:pt>
              </c:numCache>
            </c:numRef>
          </c:val>
          <c:smooth val="0"/>
          <c:extLst>
            <c:ext xmlns:c16="http://schemas.microsoft.com/office/drawing/2014/chart" uri="{C3380CC4-5D6E-409C-BE32-E72D297353CC}">
              <c16:uniqueId val="{00000000-5094-40EE-90AC-1B7D0C63FB79}"/>
            </c:ext>
          </c:extLst>
        </c:ser>
        <c:dLbls>
          <c:showLegendKey val="0"/>
          <c:showVal val="0"/>
          <c:showCatName val="0"/>
          <c:showSerName val="0"/>
          <c:showPercent val="0"/>
          <c:showBubbleSize val="0"/>
        </c:dLbls>
        <c:marker val="1"/>
        <c:smooth val="0"/>
        <c:axId val="325594496"/>
        <c:axId val="320450704"/>
      </c:lineChart>
      <c:dateAx>
        <c:axId val="325594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0450704"/>
        <c:crosses val="autoZero"/>
        <c:auto val="1"/>
        <c:lblOffset val="100"/>
        <c:baseTimeUnit val="years"/>
      </c:dateAx>
      <c:valAx>
        <c:axId val="320450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2559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444444444444443"/>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'PL (分析)'!$A$32</c:f>
              <c:strCache>
                <c:ptCount val="1"/>
                <c:pt idx="0">
                  <c:v>期间费用率</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'PL (分析)'!$B$25:$F$25</c:f>
              <c:numCache>
                <c:formatCode>m/d/yyyy</c:formatCode>
                <c:ptCount val="5"/>
                <c:pt idx="0">
                  <c:v>43830</c:v>
                </c:pt>
                <c:pt idx="1">
                  <c:v>43465</c:v>
                </c:pt>
                <c:pt idx="2">
                  <c:v>43100</c:v>
                </c:pt>
                <c:pt idx="3">
                  <c:v>42735</c:v>
                </c:pt>
                <c:pt idx="4">
                  <c:v>42369</c:v>
                </c:pt>
              </c:numCache>
            </c:numRef>
          </c:cat>
          <c:val>
            <c:numRef>
              <c:f>'PL (分析)'!$B$32:$F$32</c:f>
              <c:numCache>
                <c:formatCode>0.00%</c:formatCode>
                <c:ptCount val="5"/>
                <c:pt idx="0">
                  <c:v>0.14719035399895541</c:v>
                </c:pt>
                <c:pt idx="1">
                  <c:v>0.15016902089696621</c:v>
                </c:pt>
                <c:pt idx="2">
                  <c:v>0.20045420527250621</c:v>
                </c:pt>
                <c:pt idx="3">
                  <c:v>0.23003667944297418</c:v>
                </c:pt>
                <c:pt idx="4">
                  <c:v>0.22524497290394477</c:v>
                </c:pt>
              </c:numCache>
            </c:numRef>
          </c:val>
          <c:smooth val="0"/>
          <c:extLst>
            <c:ext xmlns:c16="http://schemas.microsoft.com/office/drawing/2014/chart" uri="{C3380CC4-5D6E-409C-BE32-E72D297353CC}">
              <c16:uniqueId val="{00000000-FD3B-430F-B2F2-588117A1FBF3}"/>
            </c:ext>
          </c:extLst>
        </c:ser>
        <c:dLbls>
          <c:showLegendKey val="0"/>
          <c:showVal val="0"/>
          <c:showCatName val="0"/>
          <c:showSerName val="0"/>
          <c:showPercent val="0"/>
          <c:showBubbleSize val="0"/>
        </c:dLbls>
        <c:marker val="1"/>
        <c:smooth val="0"/>
        <c:axId val="1426054415"/>
        <c:axId val="1422870783"/>
      </c:lineChart>
      <c:dateAx>
        <c:axId val="142605441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22870783"/>
        <c:crosses val="autoZero"/>
        <c:auto val="1"/>
        <c:lblOffset val="100"/>
        <c:baseTimeUnit val="years"/>
      </c:dateAx>
      <c:valAx>
        <c:axId val="14228707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26054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'PL (分析)'!$A$18</c:f>
              <c:strCache>
                <c:ptCount val="1"/>
                <c:pt idx="0">
                  <c:v>毛利率</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'PL (分析)'!$B$14:$G$14</c:f>
              <c:numCache>
                <c:formatCode>m/d/yyyy</c:formatCode>
                <c:ptCount val="6"/>
                <c:pt idx="0">
                  <c:v>43830</c:v>
                </c:pt>
                <c:pt idx="1">
                  <c:v>43465</c:v>
                </c:pt>
                <c:pt idx="2">
                  <c:v>43100</c:v>
                </c:pt>
                <c:pt idx="3">
                  <c:v>42735</c:v>
                </c:pt>
                <c:pt idx="4">
                  <c:v>42369</c:v>
                </c:pt>
                <c:pt idx="5">
                  <c:v>42004</c:v>
                </c:pt>
              </c:numCache>
            </c:numRef>
          </c:cat>
          <c:val>
            <c:numRef>
              <c:f>'PL (分析)'!$B$18:$G$18</c:f>
              <c:numCache>
                <c:formatCode>0.00%</c:formatCode>
                <c:ptCount val="6"/>
                <c:pt idx="0">
                  <c:v>0.32687823395945537</c:v>
                </c:pt>
                <c:pt idx="1">
                  <c:v>0.30621785512750466</c:v>
                </c:pt>
                <c:pt idx="2">
                  <c:v>0.30074900045884856</c:v>
                </c:pt>
                <c:pt idx="3">
                  <c:v>0.26205548351014407</c:v>
                </c:pt>
                <c:pt idx="4">
                  <c:v>0.24779099639789154</c:v>
                </c:pt>
                <c:pt idx="5">
                  <c:v>0.25773496347076474</c:v>
                </c:pt>
              </c:numCache>
            </c:numRef>
          </c:val>
          <c:smooth val="0"/>
          <c:extLst>
            <c:ext xmlns:c16="http://schemas.microsoft.com/office/drawing/2014/chart" uri="{C3380CC4-5D6E-409C-BE32-E72D297353CC}">
              <c16:uniqueId val="{00000000-F07B-4E8B-B9AE-259B74B09F6A}"/>
            </c:ext>
          </c:extLst>
        </c:ser>
        <c:dLbls>
          <c:showLegendKey val="0"/>
          <c:showVal val="0"/>
          <c:showCatName val="0"/>
          <c:showSerName val="0"/>
          <c:showPercent val="0"/>
          <c:showBubbleSize val="0"/>
        </c:dLbls>
        <c:marker val="1"/>
        <c:smooth val="0"/>
        <c:axId val="1280259520"/>
        <c:axId val="716161280"/>
      </c:lineChart>
      <c:dateAx>
        <c:axId val="12802595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16161280"/>
        <c:crosses val="autoZero"/>
        <c:auto val="1"/>
        <c:lblOffset val="100"/>
        <c:baseTimeUnit val="years"/>
      </c:dateAx>
      <c:valAx>
        <c:axId val="716161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280259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527077865266842"/>
          <c:y val="8.33333333333333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'PL (分析)'!$A$60</c:f>
              <c:strCache>
                <c:ptCount val="1"/>
                <c:pt idx="0">
                  <c:v>主营利润/营业利润</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'PL (分析)'!$B$48:$G$48</c:f>
              <c:numCache>
                <c:formatCode>m/d/yyyy</c:formatCode>
                <c:ptCount val="6"/>
                <c:pt idx="0">
                  <c:v>43830</c:v>
                </c:pt>
                <c:pt idx="1">
                  <c:v>43465</c:v>
                </c:pt>
                <c:pt idx="2">
                  <c:v>43100</c:v>
                </c:pt>
                <c:pt idx="3">
                  <c:v>42735</c:v>
                </c:pt>
                <c:pt idx="4">
                  <c:v>42369</c:v>
                </c:pt>
                <c:pt idx="5">
                  <c:v>42004</c:v>
                </c:pt>
              </c:numCache>
            </c:numRef>
          </c:cat>
          <c:val>
            <c:numRef>
              <c:f>'PL (分析)'!$B$60:$G$60</c:f>
              <c:numCache>
                <c:formatCode>0.00%</c:formatCode>
                <c:ptCount val="6"/>
                <c:pt idx="0">
                  <c:v>0.96006513045327802</c:v>
                </c:pt>
                <c:pt idx="1">
                  <c:v>1.0642360670386524</c:v>
                </c:pt>
                <c:pt idx="2">
                  <c:v>1.2397610595160691</c:v>
                </c:pt>
                <c:pt idx="3">
                  <c:v>0.43984207708779444</c:v>
                </c:pt>
                <c:pt idx="4">
                  <c:v>2.3789140377624016</c:v>
                </c:pt>
                <c:pt idx="5">
                  <c:v>1.4048199824373109</c:v>
                </c:pt>
              </c:numCache>
            </c:numRef>
          </c:val>
          <c:smooth val="0"/>
          <c:extLst>
            <c:ext xmlns:c16="http://schemas.microsoft.com/office/drawing/2014/chart" uri="{C3380CC4-5D6E-409C-BE32-E72D297353CC}">
              <c16:uniqueId val="{00000000-1AA9-40C4-BD33-65ECBE41F777}"/>
            </c:ext>
          </c:extLst>
        </c:ser>
        <c:dLbls>
          <c:showLegendKey val="0"/>
          <c:showVal val="0"/>
          <c:showCatName val="0"/>
          <c:showSerName val="0"/>
          <c:showPercent val="0"/>
          <c:showBubbleSize val="0"/>
        </c:dLbls>
        <c:marker val="1"/>
        <c:smooth val="0"/>
        <c:axId val="718637664"/>
        <c:axId val="1277198160"/>
      </c:lineChart>
      <c:dateAx>
        <c:axId val="7186376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277198160"/>
        <c:crosses val="autoZero"/>
        <c:auto val="1"/>
        <c:lblOffset val="100"/>
        <c:baseTimeUnit val="years"/>
      </c:dateAx>
      <c:valAx>
        <c:axId val="127719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18637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'CF (分析)'!$A$5</c:f>
              <c:strCache>
                <c:ptCount val="1"/>
                <c:pt idx="0">
                  <c:v>经营活动产生的现金流量增长率</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'CF (分析)'!$B$3:$F$3</c:f>
              <c:numCache>
                <c:formatCode>m/d/yyyy</c:formatCode>
                <c:ptCount val="5"/>
                <c:pt idx="0">
                  <c:v>43830</c:v>
                </c:pt>
                <c:pt idx="1">
                  <c:v>43465</c:v>
                </c:pt>
                <c:pt idx="2">
                  <c:v>43100</c:v>
                </c:pt>
                <c:pt idx="3">
                  <c:v>42735</c:v>
                </c:pt>
                <c:pt idx="4">
                  <c:v>42369</c:v>
                </c:pt>
              </c:numCache>
            </c:numRef>
          </c:cat>
          <c:val>
            <c:numRef>
              <c:f>'CF (分析)'!$B$5:$F$5</c:f>
              <c:numCache>
                <c:formatCode>0.00%</c:formatCode>
                <c:ptCount val="5"/>
                <c:pt idx="0">
                  <c:v>0.26014116216549982</c:v>
                </c:pt>
                <c:pt idx="1">
                  <c:v>0.22913188160429682</c:v>
                </c:pt>
                <c:pt idx="2">
                  <c:v>1.6356768068442351</c:v>
                </c:pt>
                <c:pt idx="3">
                  <c:v>0.52129233419788579</c:v>
                </c:pt>
                <c:pt idx="4">
                  <c:v>0.73383443998896047</c:v>
                </c:pt>
              </c:numCache>
            </c:numRef>
          </c:val>
          <c:smooth val="0"/>
          <c:extLst>
            <c:ext xmlns:c16="http://schemas.microsoft.com/office/drawing/2014/chart" uri="{C3380CC4-5D6E-409C-BE32-E72D297353CC}">
              <c16:uniqueId val="{00000000-AF3F-41B0-AF16-06391A7DC46C}"/>
            </c:ext>
          </c:extLst>
        </c:ser>
        <c:dLbls>
          <c:showLegendKey val="0"/>
          <c:showVal val="0"/>
          <c:showCatName val="0"/>
          <c:showSerName val="0"/>
          <c:showPercent val="0"/>
          <c:showBubbleSize val="0"/>
        </c:dLbls>
        <c:marker val="1"/>
        <c:smooth val="0"/>
        <c:axId val="406193055"/>
        <c:axId val="2108492047"/>
      </c:lineChart>
      <c:dateAx>
        <c:axId val="40619305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08492047"/>
        <c:crosses val="autoZero"/>
        <c:auto val="1"/>
        <c:lblOffset val="100"/>
        <c:baseTimeUnit val="years"/>
      </c:dateAx>
      <c:valAx>
        <c:axId val="21084920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0619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'CF (分析)'!$A$18</c:f>
              <c:strCache>
                <c:ptCount val="1"/>
                <c:pt idx="0">
                  <c:v>购建固定资产、无形资产和其他长期资产所支付的现金与经营活动产生的现金流量净额的比率</c:v>
                </c:pt>
              </c:strCache>
            </c:strRef>
          </c:tx>
          <c:spPr>
            <a:solidFill>
              <a:schemeClr val="accent1"/>
            </a:solidFill>
            <a:ln>
              <a:noFill/>
            </a:ln>
            <a:effectLst/>
            <a:sp3d/>
          </c:spPr>
          <c:invertIfNegative val="0"/>
          <c:cat>
            <c:numRef>
              <c:f>'CF (分析)'!$B$15:$G$15</c:f>
              <c:numCache>
                <c:formatCode>m/d/yyyy</c:formatCode>
                <c:ptCount val="6"/>
                <c:pt idx="0">
                  <c:v>43830</c:v>
                </c:pt>
                <c:pt idx="1">
                  <c:v>43465</c:v>
                </c:pt>
                <c:pt idx="2">
                  <c:v>43100</c:v>
                </c:pt>
                <c:pt idx="3">
                  <c:v>42735</c:v>
                </c:pt>
                <c:pt idx="4">
                  <c:v>42369</c:v>
                </c:pt>
                <c:pt idx="5">
                  <c:v>42004</c:v>
                </c:pt>
              </c:numCache>
            </c:numRef>
          </c:cat>
          <c:val>
            <c:numRef>
              <c:f>'CF (分析)'!$B$18:$G$18</c:f>
              <c:numCache>
                <c:formatCode>0.00%</c:formatCode>
                <c:ptCount val="6"/>
                <c:pt idx="0">
                  <c:v>0.17750188837409858</c:v>
                </c:pt>
                <c:pt idx="1">
                  <c:v>0.13111362319391273</c:v>
                </c:pt>
                <c:pt idx="2">
                  <c:v>6.0170471130830752E-2</c:v>
                </c:pt>
                <c:pt idx="3">
                  <c:v>0.216944405976396</c:v>
                </c:pt>
                <c:pt idx="4">
                  <c:v>0.708700455996779</c:v>
                </c:pt>
                <c:pt idx="5">
                  <c:v>1.2590304722632595</c:v>
                </c:pt>
              </c:numCache>
            </c:numRef>
          </c:val>
          <c:extLst>
            <c:ext xmlns:c16="http://schemas.microsoft.com/office/drawing/2014/chart" uri="{C3380CC4-5D6E-409C-BE32-E72D297353CC}">
              <c16:uniqueId val="{00000000-3AE7-4470-B692-770D46DB71C5}"/>
            </c:ext>
          </c:extLst>
        </c:ser>
        <c:dLbls>
          <c:showLegendKey val="0"/>
          <c:showVal val="0"/>
          <c:showCatName val="0"/>
          <c:showSerName val="0"/>
          <c:showPercent val="0"/>
          <c:showBubbleSize val="0"/>
        </c:dLbls>
        <c:gapWidth val="150"/>
        <c:shape val="box"/>
        <c:axId val="416727455"/>
        <c:axId val="692699887"/>
        <c:axId val="0"/>
      </c:bar3DChart>
      <c:dateAx>
        <c:axId val="416727455"/>
        <c:scaling>
          <c:orientation val="minMax"/>
        </c:scaling>
        <c:delete val="0"/>
        <c:axPos val="b"/>
        <c:numFmt formatCode="m/d/yy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92699887"/>
        <c:crosses val="autoZero"/>
        <c:auto val="1"/>
        <c:lblOffset val="100"/>
        <c:baseTimeUnit val="years"/>
      </c:dateAx>
      <c:valAx>
        <c:axId val="69269988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16727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财务比率!$A$3</c:f>
              <c:strCache>
                <c:ptCount val="1"/>
                <c:pt idx="0">
                  <c:v>流动比率</c:v>
                </c:pt>
              </c:strCache>
            </c:strRef>
          </c:tx>
          <c:spPr>
            <a:solidFill>
              <a:schemeClr val="accent1"/>
            </a:solidFill>
            <a:ln>
              <a:noFill/>
            </a:ln>
            <a:effectLst/>
          </c:spPr>
          <c:invertIfNegative val="0"/>
          <c:cat>
            <c:numRef>
              <c:f>财务比率!$B$1:$D$1</c:f>
              <c:numCache>
                <c:formatCode>m/d/yyyy</c:formatCode>
                <c:ptCount val="3"/>
                <c:pt idx="0">
                  <c:v>43830</c:v>
                </c:pt>
                <c:pt idx="1">
                  <c:v>43465</c:v>
                </c:pt>
                <c:pt idx="2">
                  <c:v>43100</c:v>
                </c:pt>
              </c:numCache>
            </c:numRef>
          </c:cat>
          <c:val>
            <c:numRef>
              <c:f>财务比率!$B$3:$D$3</c:f>
              <c:numCache>
                <c:formatCode>0%</c:formatCode>
                <c:ptCount val="3"/>
                <c:pt idx="0">
                  <c:v>1.6252078657910027</c:v>
                </c:pt>
                <c:pt idx="1">
                  <c:v>1.5292585668753771</c:v>
                </c:pt>
                <c:pt idx="2">
                  <c:v>1.5754329155959264</c:v>
                </c:pt>
              </c:numCache>
            </c:numRef>
          </c:val>
          <c:extLst>
            <c:ext xmlns:c16="http://schemas.microsoft.com/office/drawing/2014/chart" uri="{C3380CC4-5D6E-409C-BE32-E72D297353CC}">
              <c16:uniqueId val="{00000000-1FA6-4800-805E-67E3C77F39AE}"/>
            </c:ext>
          </c:extLst>
        </c:ser>
        <c:ser>
          <c:idx val="1"/>
          <c:order val="1"/>
          <c:tx>
            <c:strRef>
              <c:f>财务比率!$A$4</c:f>
              <c:strCache>
                <c:ptCount val="1"/>
                <c:pt idx="0">
                  <c:v>速动比率</c:v>
                </c:pt>
              </c:strCache>
            </c:strRef>
          </c:tx>
          <c:spPr>
            <a:solidFill>
              <a:schemeClr val="accent2"/>
            </a:solidFill>
            <a:ln>
              <a:noFill/>
            </a:ln>
            <a:effectLst/>
          </c:spPr>
          <c:invertIfNegative val="0"/>
          <c:cat>
            <c:numRef>
              <c:f>财务比率!$B$1:$D$1</c:f>
              <c:numCache>
                <c:formatCode>m/d/yyyy</c:formatCode>
                <c:ptCount val="3"/>
                <c:pt idx="0">
                  <c:v>43830</c:v>
                </c:pt>
                <c:pt idx="1">
                  <c:v>43465</c:v>
                </c:pt>
                <c:pt idx="2">
                  <c:v>43100</c:v>
                </c:pt>
              </c:numCache>
            </c:numRef>
          </c:cat>
          <c:val>
            <c:numRef>
              <c:f>财务比率!$B$4:$D$4</c:f>
              <c:numCache>
                <c:formatCode>0%</c:formatCode>
                <c:ptCount val="3"/>
                <c:pt idx="0">
                  <c:v>1.1469631605707331</c:v>
                </c:pt>
                <c:pt idx="1">
                  <c:v>1.0855835918640615</c:v>
                </c:pt>
                <c:pt idx="2">
                  <c:v>1.1484796719596702</c:v>
                </c:pt>
              </c:numCache>
            </c:numRef>
          </c:val>
          <c:extLst>
            <c:ext xmlns:c16="http://schemas.microsoft.com/office/drawing/2014/chart" uri="{C3380CC4-5D6E-409C-BE32-E72D297353CC}">
              <c16:uniqueId val="{00000001-1FA6-4800-805E-67E3C77F39AE}"/>
            </c:ext>
          </c:extLst>
        </c:ser>
        <c:ser>
          <c:idx val="2"/>
          <c:order val="2"/>
          <c:tx>
            <c:strRef>
              <c:f>财务比率!$A$6</c:f>
              <c:strCache>
                <c:ptCount val="1"/>
                <c:pt idx="0">
                  <c:v>资产负债率</c:v>
                </c:pt>
              </c:strCache>
            </c:strRef>
          </c:tx>
          <c:spPr>
            <a:solidFill>
              <a:schemeClr val="accent3"/>
            </a:solidFill>
            <a:ln>
              <a:noFill/>
            </a:ln>
            <a:effectLst/>
          </c:spPr>
          <c:invertIfNegative val="0"/>
          <c:cat>
            <c:numRef>
              <c:f>财务比率!$B$1:$D$1</c:f>
              <c:numCache>
                <c:formatCode>m/d/yyyy</c:formatCode>
                <c:ptCount val="3"/>
                <c:pt idx="0">
                  <c:v>43830</c:v>
                </c:pt>
                <c:pt idx="1">
                  <c:v>43465</c:v>
                </c:pt>
                <c:pt idx="2">
                  <c:v>43100</c:v>
                </c:pt>
              </c:numCache>
            </c:numRef>
          </c:cat>
          <c:val>
            <c:numRef>
              <c:f>财务比率!$B$6:$D$6</c:f>
              <c:numCache>
                <c:formatCode>0%</c:formatCode>
                <c:ptCount val="3"/>
                <c:pt idx="0">
                  <c:v>0.49717145656181211</c:v>
                </c:pt>
                <c:pt idx="1">
                  <c:v>0.55944109310072609</c:v>
                </c:pt>
                <c:pt idx="2">
                  <c:v>0.5471458431816234</c:v>
                </c:pt>
              </c:numCache>
            </c:numRef>
          </c:val>
          <c:extLst>
            <c:ext xmlns:c16="http://schemas.microsoft.com/office/drawing/2014/chart" uri="{C3380CC4-5D6E-409C-BE32-E72D297353CC}">
              <c16:uniqueId val="{00000002-1FA6-4800-805E-67E3C77F39AE}"/>
            </c:ext>
          </c:extLst>
        </c:ser>
        <c:dLbls>
          <c:showLegendKey val="0"/>
          <c:showVal val="0"/>
          <c:showCatName val="0"/>
          <c:showSerName val="0"/>
          <c:showPercent val="0"/>
          <c:showBubbleSize val="0"/>
        </c:dLbls>
        <c:gapWidth val="219"/>
        <c:overlap val="-27"/>
        <c:axId val="750020528"/>
        <c:axId val="680637552"/>
      </c:barChart>
      <c:lineChart>
        <c:grouping val="standard"/>
        <c:varyColors val="0"/>
        <c:ser>
          <c:idx val="3"/>
          <c:order val="3"/>
          <c:tx>
            <c:strRef>
              <c:f>财务比率!$A$10</c:f>
              <c:strCache>
                <c:ptCount val="1"/>
                <c:pt idx="0">
                  <c:v>现金流量比率（经营活动现金净流量/流动负债）</c:v>
                </c:pt>
              </c:strCache>
            </c:strRef>
          </c:tx>
          <c:spPr>
            <a:ln w="28575" cap="rnd">
              <a:solidFill>
                <a:schemeClr val="accent4"/>
              </a:solidFill>
              <a:round/>
            </a:ln>
            <a:effectLst/>
          </c:spPr>
          <c:marker>
            <c:symbol val="none"/>
          </c:marker>
          <c:cat>
            <c:numRef>
              <c:f>财务比率!$B$1:$D$1</c:f>
              <c:numCache>
                <c:formatCode>m/d/yyyy</c:formatCode>
                <c:ptCount val="3"/>
                <c:pt idx="0">
                  <c:v>43830</c:v>
                </c:pt>
                <c:pt idx="1">
                  <c:v>43465</c:v>
                </c:pt>
                <c:pt idx="2">
                  <c:v>43100</c:v>
                </c:pt>
              </c:numCache>
            </c:numRef>
          </c:cat>
          <c:val>
            <c:numRef>
              <c:f>财务比率!$B$10:$D$10</c:f>
              <c:numCache>
                <c:formatCode>0%</c:formatCode>
                <c:ptCount val="3"/>
                <c:pt idx="0">
                  <c:v>0.31472891501234085</c:v>
                </c:pt>
                <c:pt idx="1">
                  <c:v>0.31020445930144841</c:v>
                </c:pt>
                <c:pt idx="2">
                  <c:v>0.37265245703912625</c:v>
                </c:pt>
              </c:numCache>
            </c:numRef>
          </c:val>
          <c:smooth val="0"/>
          <c:extLst>
            <c:ext xmlns:c16="http://schemas.microsoft.com/office/drawing/2014/chart" uri="{C3380CC4-5D6E-409C-BE32-E72D297353CC}">
              <c16:uniqueId val="{00000003-1FA6-4800-805E-67E3C77F39AE}"/>
            </c:ext>
          </c:extLst>
        </c:ser>
        <c:dLbls>
          <c:showLegendKey val="0"/>
          <c:showVal val="0"/>
          <c:showCatName val="0"/>
          <c:showSerName val="0"/>
          <c:showPercent val="0"/>
          <c:showBubbleSize val="0"/>
        </c:dLbls>
        <c:marker val="1"/>
        <c:smooth val="0"/>
        <c:axId val="750020528"/>
        <c:axId val="680637552"/>
      </c:lineChart>
      <c:dateAx>
        <c:axId val="750020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80637552"/>
        <c:crosses val="autoZero"/>
        <c:auto val="1"/>
        <c:lblOffset val="100"/>
        <c:baseTimeUnit val="years"/>
      </c:dateAx>
      <c:valAx>
        <c:axId val="6806375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5002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1666666666666674"/>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财务比率!$B$1</c:f>
              <c:strCache>
                <c:ptCount val="1"/>
                <c:pt idx="0">
                  <c:v>2019-12-31</c:v>
                </c:pt>
              </c:strCache>
            </c:strRef>
          </c:tx>
          <c:spPr>
            <a:solidFill>
              <a:schemeClr val="accent1"/>
            </a:solidFill>
            <a:ln>
              <a:noFill/>
            </a:ln>
            <a:effectLst/>
          </c:spPr>
          <c:invertIfNegative val="0"/>
          <c:cat>
            <c:strRef>
              <c:f>(财务比率!$A$34,财务比率!$A$36,财务比率!$A$38:$A$39)</c:f>
              <c:strCache>
                <c:ptCount val="4"/>
                <c:pt idx="0">
                  <c:v>总资产利润率</c:v>
                </c:pt>
                <c:pt idx="1">
                  <c:v>净资产报酬率（ROE）</c:v>
                </c:pt>
                <c:pt idx="2">
                  <c:v>销售毛利率</c:v>
                </c:pt>
                <c:pt idx="3">
                  <c:v>销售净利率</c:v>
                </c:pt>
              </c:strCache>
            </c:strRef>
          </c:cat>
          <c:val>
            <c:numRef>
              <c:f>(财务比率!$B$34,财务比率!$B$36,财务比率!$B$38:$B$39)</c:f>
              <c:numCache>
                <c:formatCode>0%</c:formatCode>
                <c:ptCount val="4"/>
                <c:pt idx="0">
                  <c:v>0.12695256198000249</c:v>
                </c:pt>
                <c:pt idx="1">
                  <c:v>0.25247684053880409</c:v>
                </c:pt>
                <c:pt idx="2">
                  <c:v>0.48561530833006272</c:v>
                </c:pt>
                <c:pt idx="3">
                  <c:v>0.1519108510903743</c:v>
                </c:pt>
              </c:numCache>
            </c:numRef>
          </c:val>
          <c:extLst>
            <c:ext xmlns:c16="http://schemas.microsoft.com/office/drawing/2014/chart" uri="{C3380CC4-5D6E-409C-BE32-E72D297353CC}">
              <c16:uniqueId val="{00000000-130D-4C06-8B4C-9409055F47D7}"/>
            </c:ext>
          </c:extLst>
        </c:ser>
        <c:ser>
          <c:idx val="1"/>
          <c:order val="1"/>
          <c:tx>
            <c:strRef>
              <c:f>财务比率!$C$1</c:f>
              <c:strCache>
                <c:ptCount val="1"/>
                <c:pt idx="0">
                  <c:v>2018-12-31</c:v>
                </c:pt>
              </c:strCache>
            </c:strRef>
          </c:tx>
          <c:spPr>
            <a:solidFill>
              <a:schemeClr val="accent2"/>
            </a:solidFill>
            <a:ln>
              <a:noFill/>
            </a:ln>
            <a:effectLst/>
          </c:spPr>
          <c:invertIfNegative val="0"/>
          <c:cat>
            <c:strRef>
              <c:f>(财务比率!$A$34,财务比率!$A$36,财务比率!$A$38:$A$39)</c:f>
              <c:strCache>
                <c:ptCount val="4"/>
                <c:pt idx="0">
                  <c:v>总资产利润率</c:v>
                </c:pt>
                <c:pt idx="1">
                  <c:v>净资产报酬率（ROE）</c:v>
                </c:pt>
                <c:pt idx="2">
                  <c:v>销售毛利率</c:v>
                </c:pt>
                <c:pt idx="3">
                  <c:v>销售净利率</c:v>
                </c:pt>
              </c:strCache>
            </c:strRef>
          </c:cat>
          <c:val>
            <c:numRef>
              <c:f>(财务比率!$C$34,财务比率!$C$36,财务比率!$C$38:$C$39)</c:f>
              <c:numCache>
                <c:formatCode>0%</c:formatCode>
                <c:ptCount val="4"/>
                <c:pt idx="0">
                  <c:v>8.5442411709593741E-2</c:v>
                </c:pt>
                <c:pt idx="1">
                  <c:v>0.19394094721850366</c:v>
                </c:pt>
                <c:pt idx="2">
                  <c:v>0.44137465541691334</c:v>
                </c:pt>
                <c:pt idx="3">
                  <c:v>0.11292226113594224</c:v>
                </c:pt>
              </c:numCache>
            </c:numRef>
          </c:val>
          <c:extLst>
            <c:ext xmlns:c16="http://schemas.microsoft.com/office/drawing/2014/chart" uri="{C3380CC4-5D6E-409C-BE32-E72D297353CC}">
              <c16:uniqueId val="{00000001-130D-4C06-8B4C-9409055F47D7}"/>
            </c:ext>
          </c:extLst>
        </c:ser>
        <c:ser>
          <c:idx val="2"/>
          <c:order val="2"/>
          <c:tx>
            <c:strRef>
              <c:f>财务比率!$D$1</c:f>
              <c:strCache>
                <c:ptCount val="1"/>
                <c:pt idx="0">
                  <c:v>2017-12-31</c:v>
                </c:pt>
              </c:strCache>
            </c:strRef>
          </c:tx>
          <c:spPr>
            <a:solidFill>
              <a:schemeClr val="accent3"/>
            </a:solidFill>
            <a:ln>
              <a:noFill/>
            </a:ln>
            <a:effectLst/>
          </c:spPr>
          <c:invertIfNegative val="0"/>
          <c:cat>
            <c:strRef>
              <c:f>(财务比率!$A$34,财务比率!$A$36,财务比率!$A$38:$A$39)</c:f>
              <c:strCache>
                <c:ptCount val="4"/>
                <c:pt idx="0">
                  <c:v>总资产利润率</c:v>
                </c:pt>
                <c:pt idx="1">
                  <c:v>净资产报酬率（ROE）</c:v>
                </c:pt>
                <c:pt idx="2">
                  <c:v>销售毛利率</c:v>
                </c:pt>
                <c:pt idx="3">
                  <c:v>销售净利率</c:v>
                </c:pt>
              </c:strCache>
            </c:strRef>
          </c:cat>
          <c:val>
            <c:numRef>
              <c:f>(财务比率!$D$34,财务比率!$D$36,财务比率!$D$38:$D$39)</c:f>
              <c:numCache>
                <c:formatCode>0%</c:formatCode>
                <c:ptCount val="4"/>
                <c:pt idx="0">
                  <c:v>3.8241386291248847E-2</c:v>
                </c:pt>
                <c:pt idx="1">
                  <c:v>8.4445258402665133E-2</c:v>
                </c:pt>
                <c:pt idx="2">
                  <c:v>0.43010163826179726</c:v>
                </c:pt>
                <c:pt idx="3">
                  <c:v>5.8095337718001967E-2</c:v>
                </c:pt>
              </c:numCache>
            </c:numRef>
          </c:val>
          <c:extLst>
            <c:ext xmlns:c16="http://schemas.microsoft.com/office/drawing/2014/chart" uri="{C3380CC4-5D6E-409C-BE32-E72D297353CC}">
              <c16:uniqueId val="{00000002-130D-4C06-8B4C-9409055F47D7}"/>
            </c:ext>
          </c:extLst>
        </c:ser>
        <c:dLbls>
          <c:showLegendKey val="0"/>
          <c:showVal val="0"/>
          <c:showCatName val="0"/>
          <c:showSerName val="0"/>
          <c:showPercent val="0"/>
          <c:showBubbleSize val="0"/>
        </c:dLbls>
        <c:gapWidth val="219"/>
        <c:overlap val="-27"/>
        <c:axId val="750109728"/>
        <c:axId val="680607600"/>
      </c:barChart>
      <c:catAx>
        <c:axId val="75010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80607600"/>
        <c:crosses val="autoZero"/>
        <c:auto val="1"/>
        <c:lblAlgn val="ctr"/>
        <c:lblOffset val="100"/>
        <c:noMultiLvlLbl val="0"/>
      </c:catAx>
      <c:valAx>
        <c:axId val="680607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5010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中国平安!$C$3</c:f>
              <c:strCache>
                <c:ptCount val="1"/>
                <c:pt idx="0">
                  <c:v>成交价(元)</c:v>
                </c:pt>
              </c:strCache>
            </c:strRef>
          </c:tx>
          <c:spPr>
            <a:ln w="28575" cap="rnd">
              <a:solidFill>
                <a:schemeClr val="accent1"/>
              </a:solidFill>
              <a:round/>
            </a:ln>
            <a:effectLst/>
          </c:spPr>
          <c:marker>
            <c:symbol val="none"/>
          </c:marker>
          <c:cat>
            <c:numRef>
              <c:f>中国平安!$B$4:$B$28</c:f>
              <c:numCache>
                <c:formatCode>h:mm:ss</c:formatCode>
                <c:ptCount val="25"/>
                <c:pt idx="0">
                  <c:v>0.62505787037037031</c:v>
                </c:pt>
                <c:pt idx="1">
                  <c:v>0.62290509259259264</c:v>
                </c:pt>
                <c:pt idx="2">
                  <c:v>0.62288194444444445</c:v>
                </c:pt>
                <c:pt idx="3">
                  <c:v>0.62280092592592595</c:v>
                </c:pt>
                <c:pt idx="4">
                  <c:v>0.6227314814814815</c:v>
                </c:pt>
                <c:pt idx="5">
                  <c:v>0.62269675925925927</c:v>
                </c:pt>
                <c:pt idx="6">
                  <c:v>0.62262731481481481</c:v>
                </c:pt>
                <c:pt idx="7">
                  <c:v>0.6225694444444444</c:v>
                </c:pt>
                <c:pt idx="8">
                  <c:v>0.62251157407407409</c:v>
                </c:pt>
                <c:pt idx="9">
                  <c:v>0.62246527777777783</c:v>
                </c:pt>
                <c:pt idx="10">
                  <c:v>0.62241898148148145</c:v>
                </c:pt>
                <c:pt idx="11">
                  <c:v>0.62234953703703699</c:v>
                </c:pt>
                <c:pt idx="12">
                  <c:v>0.62228009259259254</c:v>
                </c:pt>
                <c:pt idx="13">
                  <c:v>0.62223379629629627</c:v>
                </c:pt>
                <c:pt idx="14">
                  <c:v>0.6221875</c:v>
                </c:pt>
                <c:pt idx="15">
                  <c:v>0.62210648148148151</c:v>
                </c:pt>
                <c:pt idx="16">
                  <c:v>0.62203703703703705</c:v>
                </c:pt>
                <c:pt idx="17">
                  <c:v>0.62200231481481483</c:v>
                </c:pt>
                <c:pt idx="18">
                  <c:v>0.62193287037037037</c:v>
                </c:pt>
                <c:pt idx="19">
                  <c:v>0.62186342592592592</c:v>
                </c:pt>
                <c:pt idx="20">
                  <c:v>0.62180555555555561</c:v>
                </c:pt>
                <c:pt idx="21">
                  <c:v>0.62175925925925923</c:v>
                </c:pt>
                <c:pt idx="22">
                  <c:v>0.62168981481481478</c:v>
                </c:pt>
                <c:pt idx="23">
                  <c:v>0.62167824074074074</c:v>
                </c:pt>
                <c:pt idx="24">
                  <c:v>0.62158564814814821</c:v>
                </c:pt>
              </c:numCache>
            </c:numRef>
          </c:cat>
          <c:val>
            <c:numRef>
              <c:f>中国平安!$C$4:$C$28</c:f>
              <c:numCache>
                <c:formatCode>General</c:formatCode>
                <c:ptCount val="25"/>
                <c:pt idx="0">
                  <c:v>82.4</c:v>
                </c:pt>
                <c:pt idx="1">
                  <c:v>82.41</c:v>
                </c:pt>
                <c:pt idx="2">
                  <c:v>82.4</c:v>
                </c:pt>
                <c:pt idx="3">
                  <c:v>82.4</c:v>
                </c:pt>
                <c:pt idx="4">
                  <c:v>82.4</c:v>
                </c:pt>
                <c:pt idx="5">
                  <c:v>82.4</c:v>
                </c:pt>
                <c:pt idx="6">
                  <c:v>82.38</c:v>
                </c:pt>
                <c:pt idx="7">
                  <c:v>82.38</c:v>
                </c:pt>
                <c:pt idx="8">
                  <c:v>82.39</c:v>
                </c:pt>
                <c:pt idx="9">
                  <c:v>82.4</c:v>
                </c:pt>
                <c:pt idx="10">
                  <c:v>82.35</c:v>
                </c:pt>
                <c:pt idx="11">
                  <c:v>82.34</c:v>
                </c:pt>
                <c:pt idx="12">
                  <c:v>82.4</c:v>
                </c:pt>
                <c:pt idx="13">
                  <c:v>82.4</c:v>
                </c:pt>
                <c:pt idx="14">
                  <c:v>82.51</c:v>
                </c:pt>
                <c:pt idx="15">
                  <c:v>82.51</c:v>
                </c:pt>
                <c:pt idx="16">
                  <c:v>82.51</c:v>
                </c:pt>
                <c:pt idx="17">
                  <c:v>82.53</c:v>
                </c:pt>
                <c:pt idx="18">
                  <c:v>82.51</c:v>
                </c:pt>
                <c:pt idx="19">
                  <c:v>82.52</c:v>
                </c:pt>
                <c:pt idx="20">
                  <c:v>82.51</c:v>
                </c:pt>
                <c:pt idx="21">
                  <c:v>82.51</c:v>
                </c:pt>
                <c:pt idx="22">
                  <c:v>82.52</c:v>
                </c:pt>
                <c:pt idx="23">
                  <c:v>82.51</c:v>
                </c:pt>
                <c:pt idx="24">
                  <c:v>82.51</c:v>
                </c:pt>
              </c:numCache>
            </c:numRef>
          </c:val>
          <c:smooth val="0"/>
          <c:extLst>
            <c:ext xmlns:c16="http://schemas.microsoft.com/office/drawing/2014/chart" uri="{C3380CC4-5D6E-409C-BE32-E72D297353CC}">
              <c16:uniqueId val="{00000000-786F-447B-B20B-733C81825138}"/>
            </c:ext>
          </c:extLst>
        </c:ser>
        <c:dLbls>
          <c:showLegendKey val="0"/>
          <c:showVal val="0"/>
          <c:showCatName val="0"/>
          <c:showSerName val="0"/>
          <c:showPercent val="0"/>
          <c:showBubbleSize val="0"/>
        </c:dLbls>
        <c:smooth val="0"/>
        <c:axId val="869427311"/>
        <c:axId val="869884047"/>
      </c:lineChart>
      <c:catAx>
        <c:axId val="869427311"/>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69884047"/>
        <c:crosses val="autoZero"/>
        <c:auto val="1"/>
        <c:lblAlgn val="ctr"/>
        <c:lblOffset val="100"/>
        <c:noMultiLvlLbl val="0"/>
      </c:catAx>
      <c:valAx>
        <c:axId val="869884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69427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1" fmlaRange="[1]标准!$G$1:$G$12" sel="0" val="0"/>
</file>

<file path=xl/ctrlProps/ctrlProp2.xml><?xml version="1.0" encoding="utf-8"?>
<formControlPr xmlns="http://schemas.microsoft.com/office/spreadsheetml/2009/9/main" objectType="Drop" dropLines="5" dropStyle="combo" dx="22" fmlaLink="$A$2" fmlaRange="[1]标准!$F$1:$F$3" sel="0" val="0"/>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1" Type="http://schemas.openxmlformats.org/officeDocument/2006/relationships/hyperlink" Target="#&#23553;&#38754;!A1"/></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9.xml.rels><?xml version="1.0" encoding="UTF-8" standalone="yes"?>
<Relationships xmlns="http://schemas.openxmlformats.org/package/2006/relationships"><Relationship Id="rId1" Type="http://schemas.openxmlformats.org/officeDocument/2006/relationships/image" Target="../media/image11.jpg"/></Relationships>
</file>

<file path=xl/drawings/_rels/drawing10.xml.rels><?xml version="1.0" encoding="UTF-8" standalone="yes"?>
<Relationships xmlns="http://schemas.openxmlformats.org/package/2006/relationships"><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23</xdr:col>
      <xdr:colOff>521072</xdr:colOff>
      <xdr:row>4</xdr:row>
      <xdr:rowOff>107576</xdr:rowOff>
    </xdr:from>
    <xdr:to>
      <xdr:col>36</xdr:col>
      <xdr:colOff>89645</xdr:colOff>
      <xdr:row>21</xdr:row>
      <xdr:rowOff>190499</xdr:rowOff>
    </xdr:to>
    <xdr:graphicFrame macro="">
      <xdr:nvGraphicFramePr>
        <xdr:cNvPr id="2" name="图表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123264</xdr:colOff>
      <xdr:row>0</xdr:row>
      <xdr:rowOff>0</xdr:rowOff>
    </xdr:from>
    <xdr:to>
      <xdr:col>34</xdr:col>
      <xdr:colOff>132594</xdr:colOff>
      <xdr:row>19</xdr:row>
      <xdr:rowOff>15753</xdr:rowOff>
    </xdr:to>
    <xdr:pic>
      <xdr:nvPicPr>
        <xdr:cNvPr id="3" name="图片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16932088" y="0"/>
          <a:ext cx="6038095" cy="3971429"/>
        </a:xfrm>
        <a:prstGeom prst="rect">
          <a:avLst/>
        </a:prstGeom>
      </xdr:spPr>
    </xdr:pic>
    <xdr:clientData/>
  </xdr:twoCellAnchor>
  <xdr:twoCellAnchor editAs="oneCell">
    <xdr:from>
      <xdr:col>26</xdr:col>
      <xdr:colOff>56029</xdr:colOff>
      <xdr:row>16</xdr:row>
      <xdr:rowOff>190499</xdr:rowOff>
    </xdr:from>
    <xdr:to>
      <xdr:col>33</xdr:col>
      <xdr:colOff>577490</xdr:colOff>
      <xdr:row>38</xdr:row>
      <xdr:rowOff>144535</xdr:rowOff>
    </xdr:to>
    <xdr:pic>
      <xdr:nvPicPr>
        <xdr:cNvPr id="4" name="图片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6864853" y="3507440"/>
          <a:ext cx="5866667" cy="4638095"/>
        </a:xfrm>
        <a:prstGeom prst="rect">
          <a:avLst/>
        </a:prstGeom>
      </xdr:spPr>
    </xdr:pic>
    <xdr:clientData/>
  </xdr:twoCellAnchor>
  <xdr:twoCellAnchor editAs="oneCell">
    <xdr:from>
      <xdr:col>17</xdr:col>
      <xdr:colOff>437031</xdr:colOff>
      <xdr:row>69</xdr:row>
      <xdr:rowOff>0</xdr:rowOff>
    </xdr:from>
    <xdr:to>
      <xdr:col>25</xdr:col>
      <xdr:colOff>248043</xdr:colOff>
      <xdr:row>95</xdr:row>
      <xdr:rowOff>130961</xdr:rowOff>
    </xdr:to>
    <xdr:pic>
      <xdr:nvPicPr>
        <xdr:cNvPr id="5" name="图片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544737" y="14601265"/>
          <a:ext cx="5828571" cy="5666667"/>
        </a:xfrm>
        <a:prstGeom prst="rect">
          <a:avLst/>
        </a:prstGeom>
      </xdr:spPr>
    </xdr:pic>
    <xdr:clientData/>
  </xdr:twoCellAnchor>
  <xdr:twoCellAnchor editAs="oneCell">
    <xdr:from>
      <xdr:col>17</xdr:col>
      <xdr:colOff>425823</xdr:colOff>
      <xdr:row>95</xdr:row>
      <xdr:rowOff>89646</xdr:rowOff>
    </xdr:from>
    <xdr:to>
      <xdr:col>25</xdr:col>
      <xdr:colOff>417788</xdr:colOff>
      <xdr:row>111</xdr:row>
      <xdr:rowOff>73534</xdr:rowOff>
    </xdr:to>
    <xdr:pic>
      <xdr:nvPicPr>
        <xdr:cNvPr id="6" name="图片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0533529" y="20226617"/>
          <a:ext cx="6009524" cy="33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828989</xdr:colOff>
      <xdr:row>67</xdr:row>
      <xdr:rowOff>199174</xdr:rowOff>
    </xdr:from>
    <xdr:to>
      <xdr:col>14</xdr:col>
      <xdr:colOff>764678</xdr:colOff>
      <xdr:row>79</xdr:row>
      <xdr:rowOff>50282</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296955</xdr:colOff>
      <xdr:row>103</xdr:row>
      <xdr:rowOff>62753</xdr:rowOff>
    </xdr:from>
    <xdr:to>
      <xdr:col>18</xdr:col>
      <xdr:colOff>218514</xdr:colOff>
      <xdr:row>115</xdr:row>
      <xdr:rowOff>201705</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474788</xdr:colOff>
      <xdr:row>23</xdr:row>
      <xdr:rowOff>133886</xdr:rowOff>
    </xdr:from>
    <xdr:to>
      <xdr:col>6</xdr:col>
      <xdr:colOff>231913</xdr:colOff>
      <xdr:row>31</xdr:row>
      <xdr:rowOff>198782</xdr:rowOff>
    </xdr:to>
    <xdr:graphicFrame macro="">
      <xdr:nvGraphicFramePr>
        <xdr:cNvPr id="6" name="图表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291352</xdr:colOff>
      <xdr:row>118</xdr:row>
      <xdr:rowOff>17930</xdr:rowOff>
    </xdr:from>
    <xdr:to>
      <xdr:col>16</xdr:col>
      <xdr:colOff>268941</xdr:colOff>
      <xdr:row>134</xdr:row>
      <xdr:rowOff>71718</xdr:rowOff>
    </xdr:to>
    <xdr:graphicFrame macro="">
      <xdr:nvGraphicFramePr>
        <xdr:cNvPr id="9" name="图表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268210</xdr:colOff>
      <xdr:row>87</xdr:row>
      <xdr:rowOff>557271</xdr:rowOff>
    </xdr:from>
    <xdr:to>
      <xdr:col>14</xdr:col>
      <xdr:colOff>838248</xdr:colOff>
      <xdr:row>100</xdr:row>
      <xdr:rowOff>64408</xdr:rowOff>
    </xdr:to>
    <xdr:graphicFrame macro="">
      <xdr:nvGraphicFramePr>
        <xdr:cNvPr id="7" name="图表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633132</xdr:colOff>
      <xdr:row>55</xdr:row>
      <xdr:rowOff>62753</xdr:rowOff>
    </xdr:from>
    <xdr:to>
      <xdr:col>15</xdr:col>
      <xdr:colOff>577102</xdr:colOff>
      <xdr:row>69</xdr:row>
      <xdr:rowOff>38100</xdr:rowOff>
    </xdr:to>
    <xdr:graphicFrame macro="">
      <xdr:nvGraphicFramePr>
        <xdr:cNvPr id="10" name="图表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670891</xdr:colOff>
      <xdr:row>0</xdr:row>
      <xdr:rowOff>107674</xdr:rowOff>
    </xdr:from>
    <xdr:to>
      <xdr:col>5</xdr:col>
      <xdr:colOff>1035327</xdr:colOff>
      <xdr:row>15</xdr:row>
      <xdr:rowOff>49695</xdr:rowOff>
    </xdr:to>
    <xdr:graphicFrame macro="">
      <xdr:nvGraphicFramePr>
        <xdr:cNvPr id="8" name="图表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331303</xdr:colOff>
      <xdr:row>23</xdr:row>
      <xdr:rowOff>173106</xdr:rowOff>
    </xdr:from>
    <xdr:to>
      <xdr:col>14</xdr:col>
      <xdr:colOff>753716</xdr:colOff>
      <xdr:row>32</xdr:row>
      <xdr:rowOff>99391</xdr:rowOff>
    </xdr:to>
    <xdr:graphicFrame macro="">
      <xdr:nvGraphicFramePr>
        <xdr:cNvPr id="12" name="图表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309563</xdr:colOff>
      <xdr:row>2</xdr:row>
      <xdr:rowOff>114300</xdr:rowOff>
    </xdr:from>
    <xdr:to>
      <xdr:col>13</xdr:col>
      <xdr:colOff>0</xdr:colOff>
      <xdr:row>10</xdr:row>
      <xdr:rowOff>657225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192879</xdr:colOff>
      <xdr:row>38</xdr:row>
      <xdr:rowOff>128588</xdr:rowOff>
    </xdr:from>
    <xdr:to>
      <xdr:col>13</xdr:col>
      <xdr:colOff>0</xdr:colOff>
      <xdr:row>45</xdr:row>
      <xdr:rowOff>142875</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914398</xdr:colOff>
      <xdr:row>79</xdr:row>
      <xdr:rowOff>123825</xdr:rowOff>
    </xdr:from>
    <xdr:to>
      <xdr:col>11</xdr:col>
      <xdr:colOff>219075</xdr:colOff>
      <xdr:row>91</xdr:row>
      <xdr:rowOff>47625</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766762</xdr:colOff>
      <xdr:row>24</xdr:row>
      <xdr:rowOff>23812</xdr:rowOff>
    </xdr:from>
    <xdr:to>
      <xdr:col>14</xdr:col>
      <xdr:colOff>104775</xdr:colOff>
      <xdr:row>35</xdr:row>
      <xdr:rowOff>561975</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252412</xdr:colOff>
      <xdr:row>12</xdr:row>
      <xdr:rowOff>176213</xdr:rowOff>
    </xdr:from>
    <xdr:to>
      <xdr:col>13</xdr:col>
      <xdr:colOff>0</xdr:colOff>
      <xdr:row>21</xdr:row>
      <xdr:rowOff>9525</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414337</xdr:colOff>
      <xdr:row>46</xdr:row>
      <xdr:rowOff>119062</xdr:rowOff>
    </xdr:from>
    <xdr:to>
      <xdr:col>13</xdr:col>
      <xdr:colOff>0</xdr:colOff>
      <xdr:row>59</xdr:row>
      <xdr:rowOff>166687</xdr:rowOff>
    </xdr:to>
    <xdr:graphicFrame macro="">
      <xdr:nvGraphicFramePr>
        <xdr:cNvPr id="8" name="图表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366712</xdr:colOff>
      <xdr:row>0</xdr:row>
      <xdr:rowOff>157162</xdr:rowOff>
    </xdr:from>
    <xdr:to>
      <xdr:col>15</xdr:col>
      <xdr:colOff>138112</xdr:colOff>
      <xdr:row>11</xdr:row>
      <xdr:rowOff>76200</xdr:rowOff>
    </xdr:to>
    <xdr:graphicFrame macro="">
      <xdr:nvGraphicFramePr>
        <xdr:cNvPr id="2" name="图表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566737</xdr:colOff>
      <xdr:row>12</xdr:row>
      <xdr:rowOff>33337</xdr:rowOff>
    </xdr:from>
    <xdr:to>
      <xdr:col>14</xdr:col>
      <xdr:colOff>338137</xdr:colOff>
      <xdr:row>22</xdr:row>
      <xdr:rowOff>152400</xdr:rowOff>
    </xdr:to>
    <xdr:graphicFrame macro="">
      <xdr:nvGraphicFramePr>
        <xdr:cNvPr id="4" name="图表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395287</xdr:colOff>
      <xdr:row>1</xdr:row>
      <xdr:rowOff>176212</xdr:rowOff>
    </xdr:from>
    <xdr:to>
      <xdr:col>12</xdr:col>
      <xdr:colOff>166687</xdr:colOff>
      <xdr:row>17</xdr:row>
      <xdr:rowOff>109537</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538162</xdr:colOff>
      <xdr:row>36</xdr:row>
      <xdr:rowOff>128587</xdr:rowOff>
    </xdr:from>
    <xdr:to>
      <xdr:col>12</xdr:col>
      <xdr:colOff>309562</xdr:colOff>
      <xdr:row>52</xdr:row>
      <xdr:rowOff>61912</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295275</xdr:colOff>
      <xdr:row>0</xdr:row>
      <xdr:rowOff>28575</xdr:rowOff>
    </xdr:from>
    <xdr:to>
      <xdr:col>5</xdr:col>
      <xdr:colOff>552450</xdr:colOff>
      <xdr:row>1</xdr:row>
      <xdr:rowOff>190500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247775" y="28575"/>
          <a:ext cx="2438400" cy="333375"/>
        </a:xfrm>
        <a:prstGeom prst="rect">
          <a:avLst/>
        </a:prstGeom>
        <a:ln>
          <a:noFill/>
        </a:ln>
      </xdr:spPr>
      <xdr:style>
        <a:lnRef idx="1">
          <a:schemeClr val="accent5"/>
        </a:lnRef>
        <a:fillRef idx="2">
          <a:schemeClr val="accent5"/>
        </a:fillRef>
        <a:effectRef idx="1">
          <a:schemeClr val="accent5"/>
        </a:effectRef>
        <a:fontRef idx="minor">
          <a:schemeClr val="dk1"/>
        </a:fontRef>
      </xdr:style>
      <xdr:txBody>
        <a:bodyPr wrap="square" rtlCol="0" anchor="t"/>
        <a:lstStyle/>
        <a:p>
          <a:endParaRPr lang="zh-CN" altLang="en-US"/>
        </a:p>
      </xdr:txBody>
    </xdr:sp>
    <xdr:clientData/>
  </xdr:twoCellAnchor>
  <xdr:twoCellAnchor>
    <xdr:from>
      <xdr:col>0</xdr:col>
      <xdr:colOff>123825</xdr:colOff>
      <xdr:row>0</xdr:row>
      <xdr:rowOff>66675</xdr:rowOff>
    </xdr:from>
    <xdr:to>
      <xdr:col>2</xdr:col>
      <xdr:colOff>47625</xdr:colOff>
      <xdr:row>1</xdr:row>
      <xdr:rowOff>161925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900-000004000000}"/>
            </a:ext>
          </a:extLst>
        </xdr:cNvPr>
        <xdr:cNvSpPr txBox="1"/>
      </xdr:nvSpPr>
      <xdr:spPr>
        <a:xfrm>
          <a:off x="123825" y="66675"/>
          <a:ext cx="876300" cy="266700"/>
        </a:xfrm>
        <a:prstGeom prst="rect">
          <a:avLst/>
        </a:prstGeom>
        <a:ln>
          <a:noFill/>
        </a:ln>
      </xdr:spPr>
      <xdr:style>
        <a:lnRef idx="1">
          <a:schemeClr val="accent6"/>
        </a:lnRef>
        <a:fillRef idx="3">
          <a:schemeClr val="accent6"/>
        </a:fillRef>
        <a:effectRef idx="2">
          <a:schemeClr val="accent6"/>
        </a:effectRef>
        <a:fontRef idx="minor">
          <a:schemeClr val="lt1"/>
        </a:fontRef>
      </xdr:style>
      <xdr:txBody>
        <a:bodyPr wrap="square" rtlCol="0" anchor="t"/>
        <a:lstStyle/>
        <a:p>
          <a:pPr algn="ctr"/>
          <a:r>
            <a:rPr lang="zh-CN" altLang="en-US" sz="1100" b="1"/>
            <a:t>返回</a:t>
          </a:r>
        </a:p>
      </xdr:txBody>
    </xdr:sp>
    <xdr:clientData/>
  </xdr:twoCellAnchor>
  <mc:AlternateContent xmlns:mc="http://schemas.openxmlformats.org/markup-compatibility/2006">
    <mc:Choice xmlns:a14="http://schemas.microsoft.com/office/drawing/2010/main" Requires="a14">
      <xdr:twoCellAnchor editAs="oneCell">
        <xdr:from>
          <xdr:col>4</xdr:col>
          <xdr:colOff>323850</xdr:colOff>
          <xdr:row>0</xdr:row>
          <xdr:rowOff>107950</xdr:rowOff>
        </xdr:from>
        <xdr:to>
          <xdr:col>5</xdr:col>
          <xdr:colOff>171450</xdr:colOff>
          <xdr:row>1</xdr:row>
          <xdr:rowOff>127000</xdr:rowOff>
        </xdr:to>
        <xdr:sp macro="" textlink="">
          <xdr:nvSpPr>
            <xdr:cNvPr id="31745" name="Drop Down 1" hidden="1">
              <a:extLst>
                <a:ext uri="{63B3BB69-23CF-44E3-9099-C40C66FF867C}">
                  <a14:compatExt spid="_x0000_s31745"/>
                </a:ext>
                <a:ext uri="{FF2B5EF4-FFF2-40B4-BE49-F238E27FC236}">
                  <a16:creationId xmlns:a16="http://schemas.microsoft.com/office/drawing/2014/main" id="{00000000-0008-0000-09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0</xdr:row>
          <xdr:rowOff>107950</xdr:rowOff>
        </xdr:from>
        <xdr:to>
          <xdr:col>3</xdr:col>
          <xdr:colOff>514350</xdr:colOff>
          <xdr:row>1</xdr:row>
          <xdr:rowOff>127000</xdr:rowOff>
        </xdr:to>
        <xdr:sp macro="" textlink="">
          <xdr:nvSpPr>
            <xdr:cNvPr id="31746" name="Drop Down 2" hidden="1">
              <a:extLst>
                <a:ext uri="{63B3BB69-23CF-44E3-9099-C40C66FF867C}">
                  <a14:compatExt spid="_x0000_s31746"/>
                </a:ext>
                <a:ext uri="{FF2B5EF4-FFF2-40B4-BE49-F238E27FC236}">
                  <a16:creationId xmlns:a16="http://schemas.microsoft.com/office/drawing/2014/main" id="{00000000-0008-0000-09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542925</xdr:colOff>
      <xdr:row>17</xdr:row>
      <xdr:rowOff>38100</xdr:rowOff>
    </xdr:from>
    <xdr:to>
      <xdr:col>12</xdr:col>
      <xdr:colOff>66675</xdr:colOff>
      <xdr:row>30</xdr:row>
      <xdr:rowOff>57150</xdr:rowOff>
    </xdr:to>
    <xdr:pic>
      <xdr:nvPicPr>
        <xdr:cNvPr id="2" name="图片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706975" y="2952750"/>
          <a:ext cx="3714750"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9525</xdr:colOff>
      <xdr:row>32</xdr:row>
      <xdr:rowOff>28575</xdr:rowOff>
    </xdr:from>
    <xdr:to>
      <xdr:col>11</xdr:col>
      <xdr:colOff>1428750</xdr:colOff>
      <xdr:row>47</xdr:row>
      <xdr:rowOff>57150</xdr:rowOff>
    </xdr:to>
    <xdr:pic>
      <xdr:nvPicPr>
        <xdr:cNvPr id="3" name="图片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73575" y="5514975"/>
          <a:ext cx="3514725" cy="2600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oneCellAnchor>
    <xdr:from>
      <xdr:col>2</xdr:col>
      <xdr:colOff>554495</xdr:colOff>
      <xdr:row>13</xdr:row>
      <xdr:rowOff>164111</xdr:rowOff>
    </xdr:from>
    <xdr:ext cx="321805" cy="405432"/>
    <xdr:sp macro="" textlink="">
      <xdr:nvSpPr>
        <xdr:cNvPr id="4" name="矩形 3">
          <a:extLst>
            <a:ext uri="{FF2B5EF4-FFF2-40B4-BE49-F238E27FC236}">
              <a16:creationId xmlns:a16="http://schemas.microsoft.com/office/drawing/2014/main" id="{00000000-0008-0000-0B00-000004000000}"/>
            </a:ext>
          </a:extLst>
        </xdr:cNvPr>
        <xdr:cNvSpPr/>
      </xdr:nvSpPr>
      <xdr:spPr>
        <a:xfrm>
          <a:off x="1773695" y="2475511"/>
          <a:ext cx="321805" cy="405432"/>
        </a:xfrm>
        <a:prstGeom prst="rect">
          <a:avLst/>
        </a:prstGeom>
        <a:noFill/>
      </xdr:spPr>
      <xdr:txBody>
        <a:bodyPr wrap="square" lIns="91440" tIns="45720" rIns="91440" bIns="45720">
          <a:spAutoFit/>
        </a:bodyPr>
        <a:lstStyle/>
        <a:p>
          <a:pPr algn="ctr"/>
          <a:r>
            <a:rPr lang="en-US" altLang="zh-CN" sz="2000" b="0" cap="none" spc="0">
              <a:ln w="0"/>
              <a:solidFill>
                <a:schemeClr val="tx1"/>
              </a:solidFill>
              <a:effectLst>
                <a:outerShdw blurRad="38100" dist="19050" dir="2700000" algn="tl" rotWithShape="0">
                  <a:schemeClr val="dk1">
                    <a:alpha val="40000"/>
                  </a:schemeClr>
                </a:outerShdw>
              </a:effectLst>
            </a:rPr>
            <a:t>1</a:t>
          </a:r>
          <a:endParaRPr lang="zh-CN" alt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9</xdr:col>
      <xdr:colOff>226856</xdr:colOff>
      <xdr:row>10</xdr:row>
      <xdr:rowOff>172535</xdr:rowOff>
    </xdr:from>
    <xdr:ext cx="314637" cy="405432"/>
    <xdr:sp macro="" textlink="">
      <xdr:nvSpPr>
        <xdr:cNvPr id="9" name="矩形 8">
          <a:extLst>
            <a:ext uri="{FF2B5EF4-FFF2-40B4-BE49-F238E27FC236}">
              <a16:creationId xmlns:a16="http://schemas.microsoft.com/office/drawing/2014/main" id="{00000000-0008-0000-0B00-000009000000}"/>
            </a:ext>
          </a:extLst>
        </xdr:cNvPr>
        <xdr:cNvSpPr/>
      </xdr:nvSpPr>
      <xdr:spPr>
        <a:xfrm>
          <a:off x="5713256" y="1950535"/>
          <a:ext cx="314637" cy="405432"/>
        </a:xfrm>
        <a:prstGeom prst="rect">
          <a:avLst/>
        </a:prstGeom>
        <a:noFill/>
      </xdr:spPr>
      <xdr:txBody>
        <a:bodyPr wrap="none" lIns="91440" tIns="45720" rIns="91440" bIns="45720">
          <a:spAutoFit/>
        </a:bodyPr>
        <a:lstStyle/>
        <a:p>
          <a:pPr algn="ctr"/>
          <a:r>
            <a:rPr lang="en-US" altLang="zh-CN" sz="2000" b="0" cap="none" spc="0">
              <a:ln w="0"/>
              <a:solidFill>
                <a:schemeClr val="tx1"/>
              </a:solidFill>
              <a:effectLst>
                <a:outerShdw blurRad="38100" dist="19050" dir="2700000" algn="tl" rotWithShape="0">
                  <a:schemeClr val="dk1">
                    <a:alpha val="40000"/>
                  </a:schemeClr>
                </a:outerShdw>
              </a:effectLst>
            </a:rPr>
            <a:t>2</a:t>
          </a:r>
          <a:endParaRPr lang="zh-CN" alt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0</xdr:colOff>
      <xdr:row>0</xdr:row>
      <xdr:rowOff>0</xdr:rowOff>
    </xdr:from>
    <xdr:to>
      <xdr:col>19</xdr:col>
      <xdr:colOff>379333</xdr:colOff>
      <xdr:row>38</xdr:row>
      <xdr:rowOff>80817</xdr:rowOff>
    </xdr:to>
    <xdr:pic>
      <xdr:nvPicPr>
        <xdr:cNvPr id="10" name="图片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1"/>
        <a:stretch>
          <a:fillRect/>
        </a:stretch>
      </xdr:blipFill>
      <xdr:spPr>
        <a:xfrm>
          <a:off x="0" y="0"/>
          <a:ext cx="12005606" cy="6661726"/>
        </a:xfrm>
        <a:prstGeom prst="rect">
          <a:avLst/>
        </a:prstGeom>
      </xdr:spPr>
    </xdr:pic>
    <xdr:clientData/>
  </xdr:twoCellAnchor>
  <xdr:oneCellAnchor>
    <xdr:from>
      <xdr:col>2</xdr:col>
      <xdr:colOff>285528</xdr:colOff>
      <xdr:row>7</xdr:row>
      <xdr:rowOff>129640</xdr:rowOff>
    </xdr:from>
    <xdr:ext cx="535659" cy="937629"/>
    <xdr:sp macro="" textlink="">
      <xdr:nvSpPr>
        <xdr:cNvPr id="11" name="矩形 10">
          <a:extLst>
            <a:ext uri="{FF2B5EF4-FFF2-40B4-BE49-F238E27FC236}">
              <a16:creationId xmlns:a16="http://schemas.microsoft.com/office/drawing/2014/main" id="{00000000-0008-0000-0B00-00000B000000}"/>
            </a:ext>
          </a:extLst>
        </xdr:cNvPr>
        <xdr:cNvSpPr/>
      </xdr:nvSpPr>
      <xdr:spPr>
        <a:xfrm>
          <a:off x="1501099" y="1399640"/>
          <a:ext cx="535659" cy="937629"/>
        </a:xfrm>
        <a:prstGeom prst="rect">
          <a:avLst/>
        </a:prstGeom>
        <a:noFill/>
      </xdr:spPr>
      <xdr:txBody>
        <a:bodyPr wrap="none" lIns="91440" tIns="45720" rIns="91440" bIns="45720">
          <a:spAutoFit/>
        </a:bodyPr>
        <a:lstStyle/>
        <a:p>
          <a:pPr algn="ctr"/>
          <a:r>
            <a:rPr lang="en-US" altLang="zh-CN" sz="5400" b="0" cap="none" spc="0">
              <a:ln w="0"/>
              <a:solidFill>
                <a:schemeClr val="tx1"/>
              </a:solidFill>
              <a:effectLst>
                <a:outerShdw blurRad="38100" dist="19050" dir="2700000" algn="tl" rotWithShape="0">
                  <a:schemeClr val="dk1">
                    <a:alpha val="40000"/>
                  </a:schemeClr>
                </a:outerShdw>
              </a:effectLst>
            </a:rPr>
            <a:t>1</a:t>
          </a:r>
          <a:endParaRPr lang="zh-CN" alt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9</xdr:col>
      <xdr:colOff>494171</xdr:colOff>
      <xdr:row>23</xdr:row>
      <xdr:rowOff>29854</xdr:rowOff>
    </xdr:from>
    <xdr:ext cx="535659" cy="937629"/>
    <xdr:sp macro="" textlink="">
      <xdr:nvSpPr>
        <xdr:cNvPr id="12" name="矩形 11">
          <a:extLst>
            <a:ext uri="{FF2B5EF4-FFF2-40B4-BE49-F238E27FC236}">
              <a16:creationId xmlns:a16="http://schemas.microsoft.com/office/drawing/2014/main" id="{00000000-0008-0000-0B00-00000C000000}"/>
            </a:ext>
          </a:extLst>
        </xdr:cNvPr>
        <xdr:cNvSpPr/>
      </xdr:nvSpPr>
      <xdr:spPr>
        <a:xfrm>
          <a:off x="5964242" y="4202711"/>
          <a:ext cx="535659" cy="937629"/>
        </a:xfrm>
        <a:prstGeom prst="rect">
          <a:avLst/>
        </a:prstGeom>
        <a:noFill/>
      </xdr:spPr>
      <xdr:txBody>
        <a:bodyPr wrap="none" lIns="91440" tIns="45720" rIns="91440" bIns="45720">
          <a:spAutoFit/>
        </a:bodyPr>
        <a:lstStyle/>
        <a:p>
          <a:pPr algn="ctr"/>
          <a:r>
            <a:rPr lang="en-US" altLang="zh-CN" sz="5400" b="0" cap="none" spc="0">
              <a:ln w="0"/>
              <a:solidFill>
                <a:schemeClr val="tx1"/>
              </a:solidFill>
              <a:effectLst>
                <a:outerShdw blurRad="38100" dist="19050" dir="2700000" algn="tl" rotWithShape="0">
                  <a:schemeClr val="dk1">
                    <a:alpha val="40000"/>
                  </a:schemeClr>
                </a:outerShdw>
              </a:effectLst>
            </a:rPr>
            <a:t>2</a:t>
          </a:r>
          <a:endParaRPr lang="zh-CN" alt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16</xdr:col>
      <xdr:colOff>330885</xdr:colOff>
      <xdr:row>12</xdr:row>
      <xdr:rowOff>2639</xdr:rowOff>
    </xdr:from>
    <xdr:ext cx="535659" cy="937629"/>
    <xdr:sp macro="" textlink="">
      <xdr:nvSpPr>
        <xdr:cNvPr id="13" name="矩形 12">
          <a:extLst>
            <a:ext uri="{FF2B5EF4-FFF2-40B4-BE49-F238E27FC236}">
              <a16:creationId xmlns:a16="http://schemas.microsoft.com/office/drawing/2014/main" id="{00000000-0008-0000-0B00-00000D000000}"/>
            </a:ext>
          </a:extLst>
        </xdr:cNvPr>
        <xdr:cNvSpPr/>
      </xdr:nvSpPr>
      <xdr:spPr>
        <a:xfrm>
          <a:off x="10055456" y="2179782"/>
          <a:ext cx="535659" cy="937629"/>
        </a:xfrm>
        <a:prstGeom prst="rect">
          <a:avLst/>
        </a:prstGeom>
        <a:noFill/>
      </xdr:spPr>
      <xdr:txBody>
        <a:bodyPr wrap="none" lIns="91440" tIns="45720" rIns="91440" bIns="45720">
          <a:spAutoFit/>
        </a:bodyPr>
        <a:lstStyle/>
        <a:p>
          <a:pPr algn="ctr"/>
          <a:r>
            <a:rPr lang="en-US" altLang="zh-CN" sz="5400" b="0" cap="none" spc="0">
              <a:ln w="0"/>
              <a:solidFill>
                <a:schemeClr val="tx1"/>
              </a:solidFill>
              <a:effectLst>
                <a:outerShdw blurRad="38100" dist="19050" dir="2700000" algn="tl" rotWithShape="0">
                  <a:schemeClr val="dk1">
                    <a:alpha val="40000"/>
                  </a:schemeClr>
                </a:outerShdw>
              </a:effectLst>
            </a:rPr>
            <a:t>3</a:t>
          </a:r>
          <a:endParaRPr lang="zh-CN" alt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12</xdr:col>
      <xdr:colOff>140384</xdr:colOff>
      <xdr:row>6</xdr:row>
      <xdr:rowOff>30115</xdr:rowOff>
    </xdr:from>
    <xdr:ext cx="476473" cy="655885"/>
    <xdr:sp macro="" textlink="">
      <xdr:nvSpPr>
        <xdr:cNvPr id="14" name="矩形 13">
          <a:extLst>
            <a:ext uri="{FF2B5EF4-FFF2-40B4-BE49-F238E27FC236}">
              <a16:creationId xmlns:a16="http://schemas.microsoft.com/office/drawing/2014/main" id="{00000000-0008-0000-0B00-00000E000000}"/>
            </a:ext>
          </a:extLst>
        </xdr:cNvPr>
        <xdr:cNvSpPr/>
      </xdr:nvSpPr>
      <xdr:spPr>
        <a:xfrm>
          <a:off x="7433813" y="1118686"/>
          <a:ext cx="476473" cy="655885"/>
        </a:xfrm>
        <a:prstGeom prst="rect">
          <a:avLst/>
        </a:prstGeom>
        <a:noFill/>
      </xdr:spPr>
      <xdr:txBody>
        <a:bodyPr wrap="square" lIns="91440" tIns="45720" rIns="91440" bIns="45720">
          <a:spAutoFit/>
        </a:bodyPr>
        <a:lstStyle/>
        <a:p>
          <a:pPr algn="ctr"/>
          <a:r>
            <a:rPr lang="en-US" altLang="zh-CN" sz="3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1</a:t>
          </a:r>
          <a:endParaRPr lang="zh-CN" altLang="en-US"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oneCellAnchor>
    <xdr:from>
      <xdr:col>15</xdr:col>
      <xdr:colOff>235179</xdr:colOff>
      <xdr:row>10</xdr:row>
      <xdr:rowOff>157114</xdr:rowOff>
    </xdr:from>
    <xdr:ext cx="418640" cy="655885"/>
    <xdr:sp macro="" textlink="">
      <xdr:nvSpPr>
        <xdr:cNvPr id="15" name="矩形 14">
          <a:extLst>
            <a:ext uri="{FF2B5EF4-FFF2-40B4-BE49-F238E27FC236}">
              <a16:creationId xmlns:a16="http://schemas.microsoft.com/office/drawing/2014/main" id="{00000000-0008-0000-0B00-00000F000000}"/>
            </a:ext>
          </a:extLst>
        </xdr:cNvPr>
        <xdr:cNvSpPr/>
      </xdr:nvSpPr>
      <xdr:spPr>
        <a:xfrm>
          <a:off x="9351965" y="1971400"/>
          <a:ext cx="418640" cy="655885"/>
        </a:xfrm>
        <a:prstGeom prst="rect">
          <a:avLst/>
        </a:prstGeom>
        <a:noFill/>
      </xdr:spPr>
      <xdr:txBody>
        <a:bodyPr wrap="none" lIns="91440" tIns="45720" rIns="91440" bIns="45720">
          <a:spAutoFit/>
        </a:bodyPr>
        <a:lstStyle/>
        <a:p>
          <a:pPr algn="ctr"/>
          <a:r>
            <a:rPr lang="en-US" altLang="zh-CN" sz="3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2</a:t>
          </a:r>
          <a:endParaRPr lang="zh-CN" altLang="en-US"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oneCellAnchor>
    <xdr:from>
      <xdr:col>16</xdr:col>
      <xdr:colOff>566741</xdr:colOff>
      <xdr:row>0</xdr:row>
      <xdr:rowOff>102425</xdr:rowOff>
    </xdr:from>
    <xdr:ext cx="535659" cy="937629"/>
    <xdr:sp macro="" textlink="">
      <xdr:nvSpPr>
        <xdr:cNvPr id="16" name="矩形 15">
          <a:extLst>
            <a:ext uri="{FF2B5EF4-FFF2-40B4-BE49-F238E27FC236}">
              <a16:creationId xmlns:a16="http://schemas.microsoft.com/office/drawing/2014/main" id="{00000000-0008-0000-0B00-000010000000}"/>
            </a:ext>
          </a:extLst>
        </xdr:cNvPr>
        <xdr:cNvSpPr/>
      </xdr:nvSpPr>
      <xdr:spPr>
        <a:xfrm>
          <a:off x="10291312" y="102425"/>
          <a:ext cx="535659" cy="937629"/>
        </a:xfrm>
        <a:prstGeom prst="rect">
          <a:avLst/>
        </a:prstGeom>
        <a:noFill/>
      </xdr:spPr>
      <xdr:txBody>
        <a:bodyPr wrap="none" lIns="91440" tIns="45720" rIns="91440" bIns="45720">
          <a:spAutoFit/>
        </a:bodyPr>
        <a:lstStyle/>
        <a:p>
          <a:pPr algn="ctr"/>
          <a:r>
            <a:rPr lang="en-US" altLang="zh-CN"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3</a:t>
          </a:r>
          <a:endParaRPr lang="zh-CN" altLang="en-US"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editAs="oneCell">
    <xdr:from>
      <xdr:col>0</xdr:col>
      <xdr:colOff>0</xdr:colOff>
      <xdr:row>42</xdr:row>
      <xdr:rowOff>0</xdr:rowOff>
    </xdr:from>
    <xdr:to>
      <xdr:col>17</xdr:col>
      <xdr:colOff>607069</xdr:colOff>
      <xdr:row>79</xdr:row>
      <xdr:rowOff>1796</xdr:rowOff>
    </xdr:to>
    <xdr:pic>
      <xdr:nvPicPr>
        <xdr:cNvPr id="17" name="图片 16">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a:stretch>
          <a:fillRect/>
        </a:stretch>
      </xdr:blipFill>
      <xdr:spPr>
        <a:xfrm>
          <a:off x="0" y="7273636"/>
          <a:ext cx="11009524" cy="6409524"/>
        </a:xfrm>
        <a:prstGeom prst="rect">
          <a:avLst/>
        </a:prstGeom>
      </xdr:spPr>
    </xdr:pic>
    <xdr:clientData/>
  </xdr:twoCellAnchor>
  <xdr:twoCellAnchor editAs="oneCell">
    <xdr:from>
      <xdr:col>0</xdr:col>
      <xdr:colOff>0</xdr:colOff>
      <xdr:row>0</xdr:row>
      <xdr:rowOff>11546</xdr:rowOff>
    </xdr:from>
    <xdr:to>
      <xdr:col>19</xdr:col>
      <xdr:colOff>379333</xdr:colOff>
      <xdr:row>38</xdr:row>
      <xdr:rowOff>92363</xdr:rowOff>
    </xdr:to>
    <xdr:pic>
      <xdr:nvPicPr>
        <xdr:cNvPr id="18" name="图片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1"/>
        <a:stretch>
          <a:fillRect/>
        </a:stretch>
      </xdr:blipFill>
      <xdr:spPr>
        <a:xfrm>
          <a:off x="0" y="11546"/>
          <a:ext cx="12005606" cy="6661726"/>
        </a:xfrm>
        <a:prstGeom prst="rect">
          <a:avLst/>
        </a:prstGeom>
      </xdr:spPr>
    </xdr:pic>
    <xdr:clientData/>
  </xdr:twoCellAnchor>
  <xdr:oneCellAnchor>
    <xdr:from>
      <xdr:col>9</xdr:col>
      <xdr:colOff>494171</xdr:colOff>
      <xdr:row>23</xdr:row>
      <xdr:rowOff>41400</xdr:rowOff>
    </xdr:from>
    <xdr:ext cx="535659" cy="937629"/>
    <xdr:sp macro="" textlink="">
      <xdr:nvSpPr>
        <xdr:cNvPr id="19" name="矩形 18">
          <a:extLst>
            <a:ext uri="{FF2B5EF4-FFF2-40B4-BE49-F238E27FC236}">
              <a16:creationId xmlns:a16="http://schemas.microsoft.com/office/drawing/2014/main" id="{00000000-0008-0000-0B00-000013000000}"/>
            </a:ext>
          </a:extLst>
        </xdr:cNvPr>
        <xdr:cNvSpPr/>
      </xdr:nvSpPr>
      <xdr:spPr>
        <a:xfrm>
          <a:off x="6001353" y="4024582"/>
          <a:ext cx="535659" cy="937629"/>
        </a:xfrm>
        <a:prstGeom prst="rect">
          <a:avLst/>
        </a:prstGeom>
        <a:noFill/>
      </xdr:spPr>
      <xdr:txBody>
        <a:bodyPr wrap="none" lIns="91440" tIns="45720" rIns="91440" bIns="45720">
          <a:spAutoFit/>
        </a:bodyPr>
        <a:lstStyle/>
        <a:p>
          <a:pPr algn="ctr"/>
          <a:r>
            <a:rPr lang="en-US" altLang="zh-CN" sz="5400" b="0" cap="none" spc="0">
              <a:ln w="0"/>
              <a:solidFill>
                <a:schemeClr val="tx1"/>
              </a:solidFill>
              <a:effectLst>
                <a:outerShdw blurRad="38100" dist="19050" dir="2700000" algn="tl" rotWithShape="0">
                  <a:schemeClr val="dk1">
                    <a:alpha val="40000"/>
                  </a:schemeClr>
                </a:outerShdw>
              </a:effectLst>
            </a:rPr>
            <a:t>2</a:t>
          </a:r>
          <a:endParaRPr lang="zh-CN" alt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0</xdr:colOff>
      <xdr:row>81</xdr:row>
      <xdr:rowOff>0</xdr:rowOff>
    </xdr:from>
    <xdr:to>
      <xdr:col>18</xdr:col>
      <xdr:colOff>80874</xdr:colOff>
      <xdr:row>118</xdr:row>
      <xdr:rowOff>87510</xdr:rowOff>
    </xdr:to>
    <xdr:pic>
      <xdr:nvPicPr>
        <xdr:cNvPr id="20" name="图片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3"/>
        <a:stretch>
          <a:fillRect/>
        </a:stretch>
      </xdr:blipFill>
      <xdr:spPr>
        <a:xfrm>
          <a:off x="0" y="14027727"/>
          <a:ext cx="11095238" cy="6495238"/>
        </a:xfrm>
        <a:prstGeom prst="rect">
          <a:avLst/>
        </a:prstGeom>
      </xdr:spPr>
    </xdr:pic>
    <xdr:clientData/>
  </xdr:twoCellAnchor>
  <xdr:twoCellAnchor editAs="oneCell">
    <xdr:from>
      <xdr:col>0</xdr:col>
      <xdr:colOff>0</xdr:colOff>
      <xdr:row>81</xdr:row>
      <xdr:rowOff>0</xdr:rowOff>
    </xdr:from>
    <xdr:to>
      <xdr:col>18</xdr:col>
      <xdr:colOff>61826</xdr:colOff>
      <xdr:row>118</xdr:row>
      <xdr:rowOff>58939</xdr:rowOff>
    </xdr:to>
    <xdr:pic>
      <xdr:nvPicPr>
        <xdr:cNvPr id="21" name="图片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4"/>
        <a:stretch>
          <a:fillRect/>
        </a:stretch>
      </xdr:blipFill>
      <xdr:spPr>
        <a:xfrm>
          <a:off x="0" y="14027727"/>
          <a:ext cx="11076190" cy="646666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20</xdr:col>
      <xdr:colOff>285750</xdr:colOff>
      <xdr:row>1</xdr:row>
      <xdr:rowOff>57150</xdr:rowOff>
    </xdr:from>
    <xdr:to>
      <xdr:col>21</xdr:col>
      <xdr:colOff>666750</xdr:colOff>
      <xdr:row>3</xdr:row>
      <xdr:rowOff>142875</xdr:rowOff>
    </xdr:to>
    <xdr:sp macro="[0]!获取网易财经报表数据" textlink="">
      <xdr:nvSpPr>
        <xdr:cNvPr id="2" name="矩形: 圆角 1">
          <a:extLst>
            <a:ext uri="{FF2B5EF4-FFF2-40B4-BE49-F238E27FC236}">
              <a16:creationId xmlns:a16="http://schemas.microsoft.com/office/drawing/2014/main" id="{00000000-0008-0000-0D00-000002000000}"/>
            </a:ext>
          </a:extLst>
        </xdr:cNvPr>
        <xdr:cNvSpPr/>
      </xdr:nvSpPr>
      <xdr:spPr>
        <a:xfrm>
          <a:off x="11477625" y="228600"/>
          <a:ext cx="106680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执行估值</a:t>
          </a:r>
          <a:endParaRPr lang="en-US" altLang="zh-CN" sz="1100"/>
        </a:p>
        <a:p>
          <a:pPr algn="l"/>
          <a:endParaRPr lang="zh-CN" altLang="en-US" sz="1100"/>
        </a:p>
      </xdr:txBody>
    </xdr:sp>
    <xdr:clientData/>
  </xdr:twoCellAnchor>
  <xdr:twoCellAnchor editAs="oneCell">
    <xdr:from>
      <xdr:col>21</xdr:col>
      <xdr:colOff>133350</xdr:colOff>
      <xdr:row>5</xdr:row>
      <xdr:rowOff>0</xdr:rowOff>
    </xdr:from>
    <xdr:to>
      <xdr:col>23</xdr:col>
      <xdr:colOff>457200</xdr:colOff>
      <xdr:row>14</xdr:row>
      <xdr:rowOff>158750</xdr:rowOff>
    </xdr:to>
    <xdr:pic macro="[0]!导入和讯网站数据">
      <xdr:nvPicPr>
        <xdr:cNvPr id="3" name="图片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11025" y="1152525"/>
          <a:ext cx="1695450" cy="16954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309562</xdr:colOff>
      <xdr:row>1</xdr:row>
      <xdr:rowOff>147637</xdr:rowOff>
    </xdr:from>
    <xdr:to>
      <xdr:col>14</xdr:col>
      <xdr:colOff>100012</xdr:colOff>
      <xdr:row>17</xdr:row>
      <xdr:rowOff>147637</xdr:rowOff>
    </xdr:to>
    <xdr:graphicFrame macro="">
      <xdr:nvGraphicFramePr>
        <xdr:cNvPr id="2" name="图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ink\Downloads\2015&#24180;&#24230;&#36130;&#21153;&#25351;&#26631;&#20998;&#26512;&#20307;&#31995;\2015&#24180;&#24230;&#36130;&#21153;&#25351;&#26631;&#20998;&#26512;&#20307;&#3199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sheetName val="内-杜邦体系"/>
      <sheetName val="外-杜邦体系"/>
      <sheetName val="指标"/>
      <sheetName val="趋势"/>
      <sheetName val="分析指标"/>
      <sheetName val="2013"/>
      <sheetName val="2016"/>
      <sheetName val="2015"/>
      <sheetName val="2014"/>
      <sheetName val="经营指标"/>
      <sheetName val="纳税指标"/>
      <sheetName val="2012"/>
      <sheetName val="标准"/>
      <sheetName val="2015年度财务指标分析体系"/>
    </sheetNames>
    <definedNames>
      <definedName name="杜邦"/>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用户" refreshedDate="44130.706155902779" createdVersion="6" refreshedVersion="6" minRefreshableVersion="3" recordCount="172" xr:uid="{89D94F3E-0417-45F5-9969-24362F1483E3}">
  <cacheSource type="worksheet">
    <worksheetSource ref="A1:B290" sheet="管理名称"/>
  </cacheSource>
  <cacheFields count="2">
    <cacheField name="会计科目" numFmtId="0">
      <sharedItems containsBlank="1" count="312">
        <s v="持有至到期投资(万元)"/>
        <s v="短期投资（原值）(万元)"/>
        <s v="短期投资跌价准备(万元)"/>
        <s v="短期投资净额(万元)"/>
        <s v="股权分置流通权(万元)"/>
        <s v="交易性金融资产(万元)"/>
        <s v="可供出售金融资产(万元)"/>
        <s v="投资性房地产(万元)"/>
        <s v="应收利息(万元)"/>
        <s v="应收票据(万元)"/>
        <s v="预收账款(万元)"/>
        <s v="代销商品款(万元)"/>
        <s v="待扣税金(万元)"/>
        <s v="递延利息收入(万元)"/>
        <s v="递延收益-非流动负债(万元)"/>
        <s v="递延所得税负债(万元)"/>
        <s v="工程结算(万元)"/>
        <s v="国际票证结算(万元)"/>
        <s v="国内票证结算(万元)"/>
        <s v="内部应付款(万元)"/>
        <s v="其他非流动负债(万元)"/>
        <s v="其他流动负债(万元)"/>
        <s v="其他应付款(万元)"/>
        <s v="其他应交款(万元)"/>
        <s v="其他长期负债(万元)"/>
        <s v="一年内到期的长期负债(万元)"/>
        <s v="影响非流动负债其他科目(万元)"/>
        <s v="影响流动负债其他科目(万元)"/>
        <s v="应付短期债券(万元)"/>
        <s v="应付福利费(万元)"/>
        <s v="应付股利(万元)"/>
        <s v="应付关联企业款(万元)"/>
        <s v="应付内部单位款(万元)"/>
        <s v="应付账款(万元)"/>
        <s v="应付职工薪酬(万元)"/>
        <s v="应交税费(万元)"/>
        <s v="预计负债(万元)"/>
        <s v="预收款项(万元)"/>
        <s v="预提费用(万元)"/>
        <s v="长期负债合计(万元)"/>
        <s v="职工奖励及福利基金(万元)"/>
        <s v="住房周转金(万元)"/>
        <s v="专项应付款(万元)"/>
        <s v="其他非流动负(万元)"/>
        <s v="待处理固定资产净损失(万元)"/>
        <s v="递延税项(万元)"/>
        <s v="递延所得税资产(万元)"/>
        <s v="递延资产(万元)"/>
        <s v="工程物资(万元)"/>
        <s v="股权投资差额(万元)"/>
        <s v="固定资产(万元)"/>
        <s v="固定资产合计(万元)"/>
        <s v="固定资产减值准备(万元)"/>
        <s v="固定资产净额(万元)"/>
        <s v="固定资产净值(万元)"/>
        <s v="固定资产清理(万元)"/>
        <s v="固定资产原值(万元)"/>
        <s v="合并价差(万元)"/>
        <s v="开办费(万元)"/>
        <s v="开发支出(万元)"/>
        <s v="累计折旧(万元)"/>
        <s v="其他非流动资产(万元)"/>
        <s v="其他长期投资（原值）(万元)"/>
        <s v="其他长期投资净额(万元)"/>
        <s v="其他长期资产(万元)"/>
        <s v="商誉(万元)"/>
        <s v="生产性生物资产(万元)"/>
        <s v="无形资产(万元)"/>
        <s v="无形资产及其他资产(万元)"/>
        <s v="无形资产及其他资产合计(万元)"/>
        <s v="影响非流动资产其他科目(万元)"/>
        <s v="油气资产(万元)"/>
        <s v="在建工程(万元)"/>
        <s v="长期待摊费用(万元)"/>
        <s v="长期股权投资(万元)"/>
        <s v="长期股权投资净额(万元)"/>
        <s v="长期投资（原值）(万元)"/>
        <s v="长期投资减值准备(万元)"/>
        <s v="长期投资净额(万元)"/>
        <s v="长期应收款(万元)"/>
        <s v="长期债权投资(万元)"/>
        <s v="长期债权投资净额(万元)"/>
        <s v="存货(万元)"/>
        <s v="存货（原值）(万元)"/>
        <s v="存货跌价准备(万元)"/>
        <s v="待处理流动资产净损失(万元)"/>
        <s v="待摊费用(万元)"/>
        <s v="待转其他业务支出(万元)"/>
        <s v="工程施工(万元)"/>
        <s v="坏账准备(万元)"/>
        <s v="货币资金(万元)"/>
        <s v="内部应收款(万元)"/>
        <s v="期货保证金(万元)"/>
        <s v="其他货币资金(万元)"/>
        <s v="其他流动资产(万元)"/>
        <s v="其他应收款(万元)"/>
        <s v="其他应收款净额(万元)"/>
        <s v="其中：消耗性生物资产(万元)"/>
        <s v="一年内到期的非流动资产(万元)"/>
        <s v="一年内到期的长期债权投资(万元)"/>
        <s v="影响流动资产其他科目(万元)"/>
        <s v="应收补贴款(万元)"/>
        <s v="应收股利(万元)"/>
        <s v="应收关联企业款(万元)"/>
        <s v="应收内部单位款(万元)"/>
        <s v="应收席位费(万元)"/>
        <s v="应收账款(万元)"/>
        <s v="应收账款净额(万元)"/>
        <s v="预付款项(万元)"/>
        <s v="预缴税金(万元)"/>
        <s v="短期借款(万元)"/>
        <s v="交易性金融负债(万元)"/>
        <s v="一年内到期的非流动负债(万元)"/>
        <s v="应付利息(万元)"/>
        <s v="应付票据(万元)"/>
        <s v="应付债券(万元)"/>
        <s v="长期借款(万元)"/>
        <s v="长期应付款(万元)"/>
        <s v="公益金(万元)"/>
        <s v="股东权益(万元)"/>
        <s v="集体福利基金(万元)"/>
        <s v="减：库存股(万元)"/>
        <s v="减：已归还投资(万元)"/>
        <s v="少数股东权益(万元)"/>
        <s v="实收资本(或股本)(万元)"/>
        <s v="外币报表折算差额(万元)"/>
        <s v="未分配利润(万元)"/>
        <s v="未确认的投资损失(万元)"/>
        <s v="盈余公积金(万元)"/>
        <s v="影响所有者权益其他科目(万元)"/>
        <s v="资本公积金(万元)"/>
        <s v="预付账款(万元)"/>
        <s v="存货（净额）(万元)"/>
        <s v="实收资本（或股本）(万元)"/>
        <s v="盈余公积(万元)"/>
        <s v="资本公积(万元)"/>
        <s v="衍生金融资产(万元)"/>
        <s v="合同负债(万元)"/>
        <s v="衍生金融负债(万元)"/>
        <s v="递延收益(万元)"/>
        <s v="其他综合收益(万元)"/>
        <s v="长期应付职工薪酬(万元)"/>
        <s v="专项储备(万元)"/>
        <s v="结算备付金(万元)"/>
        <s v="拆出资金(万元)"/>
        <s v="应收保费(万元)"/>
        <s v="应收分保账款(万元)"/>
        <s v="应收分保合同准备金(万元)"/>
        <s v="应收出口退税(万元)"/>
        <s v="应收保证金(万元)"/>
        <s v="买入返售金融资产(万元)"/>
        <s v="待处理流动资产损益(万元)"/>
        <s v="发放贷款及垫款(万元)"/>
        <s v="其他长期投资(万元)"/>
        <s v="公益性生物资产(万元)"/>
        <s v="向中央银行借款(万元)"/>
        <s v="吸收存款及同业存放(万元)"/>
        <s v="拆入资金(万元)"/>
        <s v="卖出回购金融资产款(万元)"/>
        <s v="应付手续费及佣金(万元)"/>
        <m/>
        <s v="应付保证金(万元)"/>
        <s v="预计流动负债(万元)"/>
        <s v="应付分保账款(万元)"/>
        <s v="保险合同准备金(万元)"/>
        <s v="代理买卖证券款(万元)"/>
        <s v="代理承销证券款(万元)"/>
        <s v="预计非流动负债(万元)"/>
        <s v="长期递延收益(万元)"/>
        <s v="长期债权投资" u="1"/>
        <s v="应付内部单位款" u="1"/>
        <s v="投资性房地产" u="1"/>
        <s v="未分配利润" u="1"/>
        <s v="长期负债合计" u="1"/>
        <s v="代销商品款" u="1"/>
        <s v="应收利息" u="1"/>
        <s v="无形资产及其他资产" u="1"/>
        <s v="其他长期负债" u="1"/>
        <s v="股权分置流通权" u="1"/>
        <s v="其他流动资产" u="1"/>
        <s v="应付职工薪酬" u="1"/>
        <s v="股权投资差额" u="1"/>
        <s v="其他非流动负" u="1"/>
        <s v="预付款项" u="1"/>
        <s v="其他应付款" u="1"/>
        <s v="固定资产" u="1"/>
        <s v="工程结算" u="1"/>
        <s v="应付福利费" u="1"/>
        <s v="待扣税金" u="1"/>
        <s v="实收资本(或股本)" u="1"/>
        <s v="固定资产减值准备" u="1"/>
        <s v="待处理固定资产净损失" u="1"/>
        <s v="国内票证结算" u="1"/>
        <s v="待处理流动资产净损失" u="1"/>
        <s v="其他应交款" u="1"/>
        <s v="长期投资净额" u="1"/>
        <s v="固定资产合计" u="1"/>
        <s v="开发支出" u="1"/>
        <s v="短期投资净额" u="1"/>
        <s v="递延所得税资产" u="1"/>
        <s v="存货" u="1"/>
        <s v="应付票据" u="1"/>
        <s v="预收账款" u="1"/>
        <s v="存货（净额）" u="1"/>
        <s v="长期应收款" u="1"/>
        <s v="坏账准备" u="1"/>
        <s v="其他长期资产" u="1"/>
        <s v="固定资产净值" u="1"/>
        <s v="固定资产原值" u="1"/>
        <s v="长期待摊费用" u="1"/>
        <s v="应收账款净额" u="1"/>
        <s v="应收席位费" u="1"/>
        <s v="交易性金融资产" u="1"/>
        <s v="影响所有者权益其他科目" u="1"/>
        <s v="应付关联企业款" u="1"/>
        <s v="工程施工" u="1"/>
        <s v="少数股东权益" u="1"/>
        <s v="其他非流动负债" u="1"/>
        <s v="影响非流动资产其他科目" u="1"/>
        <s v="应收内部单位款" u="1"/>
        <s v="长期投资（原值）" u="1"/>
        <s v="集体福利基金" u="1"/>
        <s v="无形资产及其他资产合计" u="1"/>
        <s v="短期投资（原值）" u="1"/>
        <s v="盈余公积" u="1"/>
        <s v="内部应收款" u="1"/>
        <s v="其他长期投资（原值）" u="1"/>
        <s v="预缴税金" u="1"/>
        <s v="实收资本（或股本）" u="1"/>
        <s v="无形资产" u="1"/>
        <s v="应收补贴款" u="1"/>
        <s v="衍生金融负债" u="1"/>
        <s v="预收款项" u="1"/>
        <s v="一年内到期的非流动负债" u="1"/>
        <s v="开办费" u="1"/>
        <s v="递延资产" u="1"/>
        <s v="待摊费用" u="1"/>
        <s v="职工奖励及福利基金" u="1"/>
        <s v="其中：消耗性生物资产" u="1"/>
        <s v="递延收益" u="1"/>
        <s v="长期股权投资" u="1"/>
        <s v="合同负债" u="1"/>
        <s v="应付账款" u="1"/>
        <s v="工程物资" u="1"/>
        <s v="其他货币资金" u="1"/>
        <s v="外币报表折算差额" u="1"/>
        <s v="长期债权投资净额" u="1"/>
        <s v="未确认的投资损失" u="1"/>
        <s v="递延利息收入" u="1"/>
        <s v="其他应收款净额" u="1"/>
        <s v="应收票据" u="1"/>
        <s v="预提费用" u="1"/>
        <s v="存货跌价准备" u="1"/>
        <s v="专项储备" u="1"/>
        <s v="应付股利" u="1"/>
        <s v="一年内到期的非流动资产" u="1"/>
        <s v="应付短期债券" u="1"/>
        <s v="其他应收款" u="1"/>
        <s v="固定资产净额" u="1"/>
        <s v="衍生金融资产" u="1"/>
        <s v="商誉" u="1"/>
        <s v="在建工程" u="1"/>
        <s v="盈余公积金" u="1"/>
        <s v="递延税项" u="1"/>
        <s v="应收关联企业款" u="1"/>
        <s v="递延所得税负债" u="1"/>
        <s v="待转其他业务支出" u="1"/>
        <s v="货币资金" u="1"/>
        <s v="应交税费" u="1"/>
        <s v="减：已归还投资" u="1"/>
        <s v="应付债券" u="1"/>
        <s v="资本公积" u="1"/>
        <s v="影响流动负债其他科目" u="1"/>
        <s v="一年内到期的长期债权投资" u="1"/>
        <s v="交易性金融负债" u="1"/>
        <s v="应付利息" u="1"/>
        <s v="专项应付款" u="1"/>
        <s v="股东权益" u="1"/>
        <s v="长期应付款" u="1"/>
        <s v="长期投资减值准备" u="1"/>
        <s v="短期投资跌价准备" u="1"/>
        <s v="其他长期投资净额" u="1"/>
        <s v="累计折旧" u="1"/>
        <s v="存货（原值）" u="1"/>
        <s v="其他综合收益" u="1"/>
        <s v="固定资产清理" u="1"/>
        <s v="影响非流动负债其他科目" u="1"/>
        <s v="国际票证结算" u="1"/>
        <s v="合并价差" u="1"/>
        <s v="公益金" u="1"/>
        <s v="应收账款" u="1"/>
        <s v="期货保证金" u="1"/>
        <s v="影响流动资产其他科目" u="1"/>
        <s v="长期应付职工薪酬" u="1"/>
        <s v="生产性生物资产" u="1"/>
        <s v="住房周转金" u="1"/>
        <s v="预付账款" u="1"/>
        <s v="应收股利" u="1"/>
        <s v="一年内到期的长期负债" u="1"/>
        <s v="其他非流动资产" u="1"/>
        <s v="内部应付款" u="1"/>
        <s v="长期借款" u="1"/>
        <s v="其他流动负债" u="1"/>
        <s v="短期借款" u="1"/>
        <s v="资本公积金" u="1"/>
        <s v="长期股权投资净额" u="1"/>
        <s v="预计负债" u="1"/>
        <s v="减：库存股" u="1"/>
        <s v="可供出售金融资产" u="1"/>
        <s v="持有至到期投资" u="1"/>
        <s v="油气资产" u="1"/>
        <s v="递延收益-非流动负债" u="1"/>
      </sharedItems>
    </cacheField>
    <cacheField name="分类" numFmtId="0">
      <sharedItems containsBlank="1" count="7">
        <s v="金融资产"/>
        <s v="经营负债"/>
        <s v="经营性非流动资产"/>
        <s v="经营性流动资产"/>
        <s v="金融负债"/>
        <s v="股东权益"/>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
  <r>
    <x v="0"/>
    <x v="0"/>
  </r>
  <r>
    <x v="1"/>
    <x v="0"/>
  </r>
  <r>
    <x v="2"/>
    <x v="0"/>
  </r>
  <r>
    <x v="3"/>
    <x v="0"/>
  </r>
  <r>
    <x v="4"/>
    <x v="0"/>
  </r>
  <r>
    <x v="5"/>
    <x v="0"/>
  </r>
  <r>
    <x v="6"/>
    <x v="0"/>
  </r>
  <r>
    <x v="7"/>
    <x v="0"/>
  </r>
  <r>
    <x v="8"/>
    <x v="0"/>
  </r>
  <r>
    <x v="9"/>
    <x v="0"/>
  </r>
  <r>
    <x v="10"/>
    <x v="1"/>
  </r>
  <r>
    <x v="11"/>
    <x v="1"/>
  </r>
  <r>
    <x v="12"/>
    <x v="1"/>
  </r>
  <r>
    <x v="13"/>
    <x v="1"/>
  </r>
  <r>
    <x v="14"/>
    <x v="1"/>
  </r>
  <r>
    <x v="15"/>
    <x v="1"/>
  </r>
  <r>
    <x v="16"/>
    <x v="1"/>
  </r>
  <r>
    <x v="17"/>
    <x v="1"/>
  </r>
  <r>
    <x v="18"/>
    <x v="1"/>
  </r>
  <r>
    <x v="19"/>
    <x v="1"/>
  </r>
  <r>
    <x v="20"/>
    <x v="1"/>
  </r>
  <r>
    <x v="21"/>
    <x v="1"/>
  </r>
  <r>
    <x v="22"/>
    <x v="1"/>
  </r>
  <r>
    <x v="23"/>
    <x v="1"/>
  </r>
  <r>
    <x v="24"/>
    <x v="1"/>
  </r>
  <r>
    <x v="25"/>
    <x v="1"/>
  </r>
  <r>
    <x v="26"/>
    <x v="1"/>
  </r>
  <r>
    <x v="27"/>
    <x v="1"/>
  </r>
  <r>
    <x v="28"/>
    <x v="1"/>
  </r>
  <r>
    <x v="29"/>
    <x v="1"/>
  </r>
  <r>
    <x v="30"/>
    <x v="1"/>
  </r>
  <r>
    <x v="31"/>
    <x v="1"/>
  </r>
  <r>
    <x v="32"/>
    <x v="1"/>
  </r>
  <r>
    <x v="33"/>
    <x v="1"/>
  </r>
  <r>
    <x v="34"/>
    <x v="1"/>
  </r>
  <r>
    <x v="35"/>
    <x v="1"/>
  </r>
  <r>
    <x v="36"/>
    <x v="1"/>
  </r>
  <r>
    <x v="37"/>
    <x v="1"/>
  </r>
  <r>
    <x v="38"/>
    <x v="1"/>
  </r>
  <r>
    <x v="39"/>
    <x v="1"/>
  </r>
  <r>
    <x v="40"/>
    <x v="1"/>
  </r>
  <r>
    <x v="41"/>
    <x v="1"/>
  </r>
  <r>
    <x v="42"/>
    <x v="1"/>
  </r>
  <r>
    <x v="43"/>
    <x v="1"/>
  </r>
  <r>
    <x v="44"/>
    <x v="2"/>
  </r>
  <r>
    <x v="45"/>
    <x v="2"/>
  </r>
  <r>
    <x v="46"/>
    <x v="2"/>
  </r>
  <r>
    <x v="47"/>
    <x v="2"/>
  </r>
  <r>
    <x v="48"/>
    <x v="2"/>
  </r>
  <r>
    <x v="49"/>
    <x v="2"/>
  </r>
  <r>
    <x v="50"/>
    <x v="2"/>
  </r>
  <r>
    <x v="51"/>
    <x v="2"/>
  </r>
  <r>
    <x v="52"/>
    <x v="2"/>
  </r>
  <r>
    <x v="53"/>
    <x v="2"/>
  </r>
  <r>
    <x v="54"/>
    <x v="2"/>
  </r>
  <r>
    <x v="55"/>
    <x v="2"/>
  </r>
  <r>
    <x v="56"/>
    <x v="2"/>
  </r>
  <r>
    <x v="57"/>
    <x v="2"/>
  </r>
  <r>
    <x v="58"/>
    <x v="2"/>
  </r>
  <r>
    <x v="59"/>
    <x v="2"/>
  </r>
  <r>
    <x v="60"/>
    <x v="2"/>
  </r>
  <r>
    <x v="61"/>
    <x v="2"/>
  </r>
  <r>
    <x v="62"/>
    <x v="2"/>
  </r>
  <r>
    <x v="63"/>
    <x v="2"/>
  </r>
  <r>
    <x v="64"/>
    <x v="2"/>
  </r>
  <r>
    <x v="65"/>
    <x v="2"/>
  </r>
  <r>
    <x v="66"/>
    <x v="2"/>
  </r>
  <r>
    <x v="67"/>
    <x v="2"/>
  </r>
  <r>
    <x v="68"/>
    <x v="2"/>
  </r>
  <r>
    <x v="69"/>
    <x v="2"/>
  </r>
  <r>
    <x v="70"/>
    <x v="2"/>
  </r>
  <r>
    <x v="71"/>
    <x v="2"/>
  </r>
  <r>
    <x v="72"/>
    <x v="2"/>
  </r>
  <r>
    <x v="73"/>
    <x v="2"/>
  </r>
  <r>
    <x v="74"/>
    <x v="2"/>
  </r>
  <r>
    <x v="75"/>
    <x v="2"/>
  </r>
  <r>
    <x v="76"/>
    <x v="2"/>
  </r>
  <r>
    <x v="77"/>
    <x v="2"/>
  </r>
  <r>
    <x v="78"/>
    <x v="2"/>
  </r>
  <r>
    <x v="79"/>
    <x v="2"/>
  </r>
  <r>
    <x v="80"/>
    <x v="0"/>
  </r>
  <r>
    <x v="81"/>
    <x v="0"/>
  </r>
  <r>
    <x v="82"/>
    <x v="3"/>
  </r>
  <r>
    <x v="83"/>
    <x v="3"/>
  </r>
  <r>
    <x v="84"/>
    <x v="3"/>
  </r>
  <r>
    <x v="85"/>
    <x v="3"/>
  </r>
  <r>
    <x v="86"/>
    <x v="3"/>
  </r>
  <r>
    <x v="87"/>
    <x v="3"/>
  </r>
  <r>
    <x v="88"/>
    <x v="3"/>
  </r>
  <r>
    <x v="89"/>
    <x v="3"/>
  </r>
  <r>
    <x v="90"/>
    <x v="3"/>
  </r>
  <r>
    <x v="91"/>
    <x v="3"/>
  </r>
  <r>
    <x v="92"/>
    <x v="3"/>
  </r>
  <r>
    <x v="93"/>
    <x v="3"/>
  </r>
  <r>
    <x v="94"/>
    <x v="3"/>
  </r>
  <r>
    <x v="95"/>
    <x v="3"/>
  </r>
  <r>
    <x v="96"/>
    <x v="3"/>
  </r>
  <r>
    <x v="97"/>
    <x v="3"/>
  </r>
  <r>
    <x v="98"/>
    <x v="3"/>
  </r>
  <r>
    <x v="99"/>
    <x v="0"/>
  </r>
  <r>
    <x v="100"/>
    <x v="3"/>
  </r>
  <r>
    <x v="101"/>
    <x v="3"/>
  </r>
  <r>
    <x v="102"/>
    <x v="3"/>
  </r>
  <r>
    <x v="103"/>
    <x v="3"/>
  </r>
  <r>
    <x v="104"/>
    <x v="3"/>
  </r>
  <r>
    <x v="105"/>
    <x v="3"/>
  </r>
  <r>
    <x v="106"/>
    <x v="3"/>
  </r>
  <r>
    <x v="107"/>
    <x v="3"/>
  </r>
  <r>
    <x v="108"/>
    <x v="3"/>
  </r>
  <r>
    <x v="109"/>
    <x v="3"/>
  </r>
  <r>
    <x v="110"/>
    <x v="4"/>
  </r>
  <r>
    <x v="111"/>
    <x v="4"/>
  </r>
  <r>
    <x v="112"/>
    <x v="4"/>
  </r>
  <r>
    <x v="113"/>
    <x v="4"/>
  </r>
  <r>
    <x v="114"/>
    <x v="4"/>
  </r>
  <r>
    <x v="115"/>
    <x v="4"/>
  </r>
  <r>
    <x v="116"/>
    <x v="4"/>
  </r>
  <r>
    <x v="117"/>
    <x v="4"/>
  </r>
  <r>
    <x v="118"/>
    <x v="5"/>
  </r>
  <r>
    <x v="119"/>
    <x v="5"/>
  </r>
  <r>
    <x v="120"/>
    <x v="5"/>
  </r>
  <r>
    <x v="121"/>
    <x v="5"/>
  </r>
  <r>
    <x v="122"/>
    <x v="5"/>
  </r>
  <r>
    <x v="123"/>
    <x v="5"/>
  </r>
  <r>
    <x v="124"/>
    <x v="5"/>
  </r>
  <r>
    <x v="125"/>
    <x v="5"/>
  </r>
  <r>
    <x v="126"/>
    <x v="5"/>
  </r>
  <r>
    <x v="127"/>
    <x v="5"/>
  </r>
  <r>
    <x v="128"/>
    <x v="5"/>
  </r>
  <r>
    <x v="129"/>
    <x v="5"/>
  </r>
  <r>
    <x v="130"/>
    <x v="5"/>
  </r>
  <r>
    <x v="131"/>
    <x v="3"/>
  </r>
  <r>
    <x v="132"/>
    <x v="3"/>
  </r>
  <r>
    <x v="123"/>
    <x v="5"/>
  </r>
  <r>
    <x v="133"/>
    <x v="5"/>
  </r>
  <r>
    <x v="130"/>
    <x v="5"/>
  </r>
  <r>
    <x v="134"/>
    <x v="5"/>
  </r>
  <r>
    <x v="135"/>
    <x v="5"/>
  </r>
  <r>
    <x v="136"/>
    <x v="0"/>
  </r>
  <r>
    <x v="137"/>
    <x v="1"/>
  </r>
  <r>
    <x v="138"/>
    <x v="4"/>
  </r>
  <r>
    <x v="139"/>
    <x v="1"/>
  </r>
  <r>
    <x v="140"/>
    <x v="5"/>
  </r>
  <r>
    <x v="141"/>
    <x v="1"/>
  </r>
  <r>
    <x v="142"/>
    <x v="5"/>
  </r>
  <r>
    <x v="143"/>
    <x v="0"/>
  </r>
  <r>
    <x v="144"/>
    <x v="0"/>
  </r>
  <r>
    <x v="145"/>
    <x v="0"/>
  </r>
  <r>
    <x v="146"/>
    <x v="0"/>
  </r>
  <r>
    <x v="147"/>
    <x v="0"/>
  </r>
  <r>
    <x v="148"/>
    <x v="3"/>
  </r>
  <r>
    <x v="149"/>
    <x v="0"/>
  </r>
  <r>
    <x v="150"/>
    <x v="0"/>
  </r>
  <r>
    <x v="151"/>
    <x v="3"/>
  </r>
  <r>
    <x v="152"/>
    <x v="0"/>
  </r>
  <r>
    <x v="153"/>
    <x v="0"/>
  </r>
  <r>
    <x v="154"/>
    <x v="0"/>
  </r>
  <r>
    <x v="155"/>
    <x v="4"/>
  </r>
  <r>
    <x v="156"/>
    <x v="4"/>
  </r>
  <r>
    <x v="157"/>
    <x v="4"/>
  </r>
  <r>
    <x v="158"/>
    <x v="4"/>
  </r>
  <r>
    <x v="159"/>
    <x v="4"/>
  </r>
  <r>
    <x v="160"/>
    <x v="6"/>
  </r>
  <r>
    <x v="161"/>
    <x v="4"/>
  </r>
  <r>
    <x v="162"/>
    <x v="1"/>
  </r>
  <r>
    <x v="163"/>
    <x v="4"/>
  </r>
  <r>
    <x v="164"/>
    <x v="4"/>
  </r>
  <r>
    <x v="165"/>
    <x v="4"/>
  </r>
  <r>
    <x v="166"/>
    <x v="4"/>
  </r>
  <r>
    <x v="167"/>
    <x v="4"/>
  </r>
  <r>
    <x v="168"/>
    <x v="4"/>
  </r>
  <r>
    <x v="160"/>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752FA6-D4C0-4755-ABFF-6177B545E8DC}" name="数据透视表1" cacheId="207"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E2:E3" firstHeaderRow="1" firstDataRow="1" firstDataCol="1"/>
  <pivotFields count="2">
    <pivotField axis="axisRow" showAll="0">
      <items count="313">
        <item m="1" x="309"/>
        <item m="1" x="200"/>
        <item m="1" x="203"/>
        <item m="1" x="283"/>
        <item m="1" x="252"/>
        <item m="1" x="174"/>
        <item m="1" x="191"/>
        <item m="1" x="193"/>
        <item m="1" x="188"/>
        <item m="1" x="236"/>
        <item m="1" x="266"/>
        <item m="1" x="248"/>
        <item m="1" x="239"/>
        <item m="1" x="311"/>
        <item m="1" x="263"/>
        <item m="1" x="265"/>
        <item m="1" x="199"/>
        <item m="1" x="235"/>
        <item m="1" x="303"/>
        <item m="1" x="223"/>
        <item m="1" x="280"/>
        <item m="1" x="198"/>
        <item m="1" x="186"/>
        <item m="1" x="215"/>
        <item m="1" x="243"/>
        <item m="1" x="289"/>
        <item m="1" x="277"/>
        <item m="1" x="178"/>
        <item m="1" x="181"/>
        <item m="1" x="185"/>
        <item m="1" x="196"/>
        <item m="1" x="190"/>
        <item m="1" x="258"/>
        <item m="1" x="207"/>
        <item m="1" x="285"/>
        <item m="1" x="208"/>
        <item m="1" x="287"/>
        <item m="1" x="192"/>
        <item m="1" x="288"/>
        <item m="1" x="241"/>
        <item m="1" x="205"/>
        <item m="1" x="267"/>
        <item m="1" x="221"/>
        <item m="1" x="307"/>
        <item m="1" x="269"/>
        <item m="1" x="274"/>
        <item m="1" x="212"/>
        <item m="1" x="234"/>
        <item m="1" x="197"/>
        <item m="1" x="308"/>
        <item m="1" x="282"/>
        <item m="1" x="300"/>
        <item m="1" x="225"/>
        <item m="1" x="291"/>
        <item m="1" x="182"/>
        <item m="1" x="217"/>
        <item m="1" x="299"/>
        <item m="1" x="244"/>
        <item m="1" x="302"/>
        <item m="1" x="179"/>
        <item m="1" x="184"/>
        <item m="1" x="194"/>
        <item m="1" x="257"/>
        <item m="1" x="249"/>
        <item m="1" x="177"/>
        <item m="1" x="226"/>
        <item m="1" x="281"/>
        <item m="1" x="206"/>
        <item m="1" x="284"/>
        <item m="1" x="238"/>
        <item m="1" x="260"/>
        <item m="1" x="216"/>
        <item m="1" x="294"/>
        <item m="1" x="189"/>
        <item m="1" x="228"/>
        <item m="1" x="171"/>
        <item m="1" x="245"/>
        <item m="1" x="172"/>
        <item m="1" x="247"/>
        <item m="1" x="229"/>
        <item m="1" x="176"/>
        <item m="1" x="222"/>
        <item m="1" x="231"/>
        <item m="1" x="259"/>
        <item m="1" x="233"/>
        <item m="1" x="255"/>
        <item m="1" x="298"/>
        <item m="1" x="273"/>
        <item m="1" x="224"/>
        <item m="1" x="262"/>
        <item m="1" x="286"/>
        <item m="1" x="218"/>
        <item m="1" x="272"/>
        <item m="1" x="292"/>
        <item m="1" x="213"/>
        <item m="1" x="256"/>
        <item m="1" x="187"/>
        <item m="1" x="254"/>
        <item m="1" x="214"/>
        <item m="1" x="275"/>
        <item m="1" x="170"/>
        <item m="1" x="201"/>
        <item m="1" x="270"/>
        <item m="1" x="242"/>
        <item m="1" x="180"/>
        <item m="1" x="268"/>
        <item m="1" x="230"/>
        <item m="1" x="297"/>
        <item m="1" x="264"/>
        <item m="1" x="175"/>
        <item m="1" x="219"/>
        <item m="1" x="250"/>
        <item m="1" x="211"/>
        <item m="1" x="290"/>
        <item m="1" x="210"/>
        <item m="1" x="310"/>
        <item m="1" x="183"/>
        <item m="1" x="296"/>
        <item m="1" x="306"/>
        <item m="1" x="227"/>
        <item m="1" x="232"/>
        <item m="1" x="202"/>
        <item m="1" x="251"/>
        <item m="1" x="261"/>
        <item m="1" x="209"/>
        <item m="1" x="173"/>
        <item m="1" x="240"/>
        <item m="1" x="305"/>
        <item m="1" x="301"/>
        <item m="1" x="220"/>
        <item m="1" x="279"/>
        <item m="1" x="195"/>
        <item m="1" x="278"/>
        <item m="1" x="293"/>
        <item m="1" x="204"/>
        <item m="1" x="169"/>
        <item m="1" x="246"/>
        <item m="1" x="237"/>
        <item m="1" x="295"/>
        <item m="1" x="253"/>
        <item m="1" x="276"/>
        <item m="1" x="271"/>
        <item m="1" x="304"/>
        <item h="1" x="16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1"/>
        <item h="1" x="162"/>
        <item h="1" x="163"/>
        <item h="1" x="164"/>
        <item h="1" x="165"/>
        <item h="1" x="166"/>
        <item h="1" x="167"/>
        <item h="1" x="168"/>
        <item t="default"/>
      </items>
    </pivotField>
    <pivotField axis="axisRow" showAll="0" defaultSubtotal="0">
      <items count="7">
        <item x="3"/>
        <item x="2"/>
        <item x="5"/>
        <item x="4"/>
        <item x="0"/>
        <item x="1"/>
        <item h="1" x="6"/>
      </items>
    </pivotField>
  </pivotFields>
  <rowFields count="2">
    <field x="1"/>
    <field x="0"/>
  </rowFields>
  <rowItems count="1">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2009_fhzzgb_600031.shtml_2" connectionId="547" xr16:uid="{B4A06CF3-BFC4-49E5-909E-680F5FB0BC71}"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2009_fhzzgb_300498.shtml" connectionId="402" xr16:uid="{CCEDE910-925B-42F2-BE65-CA6A279F00AD}"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2009_fhzzgb_600409.shtml" connectionId="397" xr16:uid="{D86DD881-7A86-4CE3-9D2D-26A5F7F3612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2009_fhzzgb_600309.shtml" connectionId="676" xr16:uid="{C8108027-C2F0-48EF-B39B-8588C30CE05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2009_fhzzgb_002411.shtml" connectionId="444" xr16:uid="{694D9643-A6D6-496B-ADE7-A638F711794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2009_fhzzgb_000157.shtml" connectionId="651" xr16:uid="{06204317-E76C-4A1F-87A8-EC3F0D060537}"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2009_fhzzgb_002756.shtml" connectionId="728" xr16:uid="{575AD5FA-4844-4FC5-A70A-10A62D1932C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2009_fhzzgb_600585.shtml_2" connectionId="494" xr16:uid="{67F87FBC-3C4A-4495-A157-50376AD3295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2009_fhzzgb_000858.shtml" connectionId="562" xr16:uid="{691ACE94-E0F2-4288-AEB0-31617EB3264D}"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2009_fhzzgb_300767.shtml" connectionId="399" xr16:uid="{5815ECCC-AA48-431C-8146-C5D56EF9C6E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2009_fhzzgb_000725.shtml_2" connectionId="387" xr16:uid="{81869643-222A-4565-9F4D-FD0E7C71269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2009_fhzzgb_600846.shtml" connectionId="382" xr16:uid="{384CEBEE-557A-4453-8D37-0C634FCD9608}"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2009_fhzzgb_600679.shtml" connectionId="752" xr16:uid="{BA57749B-2123-4701-A7ED-DC174C7E9CBA}"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2009_fhzzgb_000963.shtml_1" connectionId="660" xr16:uid="{DAF6F0D1-1369-4EC0-B1B3-318574C7E72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2009_fhzzgb_300132.shtml_1" connectionId="523" xr16:uid="{DC30D813-925C-469F-A273-1EA2D411E0B8}"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2009_fhzzgb_600585.shtml_3" connectionId="611" xr16:uid="{51226132-B8EE-4560-9FD1-F9ACB21B9FFC}"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2009_fhzzgb_002432.shtml" connectionId="792" xr16:uid="{3A066347-B717-45AA-861E-C86C0F4A5E7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2009_fhzzgb_002832.shtml" connectionId="761" xr16:uid="{598498FB-0AFE-4CBC-AE66-C90E7AFE7CF3}"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2009_fhzzgb_000333.shtml" connectionId="736" xr16:uid="{535571D8-5CC2-4B65-B08B-A287A76B9F72}"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2009_fhzzgb_002230.shtml" connectionId="441" xr16:uid="{5D873191-ED38-460A-B1EE-285CC57781FD}"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2009_fhzzgb_000002.shtml_4" connectionId="624" xr16:uid="{EF4BFCFF-B475-42CA-A2E2-9BD910BDFB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2009_fhzzgb_600019.shtml" connectionId="789" xr16:uid="{410BF9A6-CE29-4C04-8461-C01111BA11BD}"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2009_fhzzgb_000725.shtml" connectionId="663" xr16:uid="{EAC2146C-9A22-46D4-8D0F-06057A50D102}"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2009_fhzzgb_603639.shtml" connectionId="656" xr16:uid="{A57F9140-D0C3-4C48-8E21-ECB0F9C96747}"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2009_fhzzgb_000423.shtml" connectionId="690" xr16:uid="{0741EACD-4472-44E5-99AC-C391D80B0BD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2009_fhzzgb_000672.shtml_1" connectionId="596" xr16:uid="{92C91284-21EE-41F4-8273-FD42898DC03A}"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2009_fhzzgb_000002.shtml_3" connectionId="597" xr16:uid="{3E158198-A706-483D-A459-F6B328D9C495}"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2009_fhzzgb_002768.shtml" connectionId="795" xr16:uid="{C7567CA5-747A-4E9F-8103-6FC06E829C63}"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2009_fhzzgb_300658.shtml" connectionId="798" xr16:uid="{E565CCA8-8FFC-444F-B828-9DBC970C0515}"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2009_fhzzgb_002413.shtml" connectionId="473" xr16:uid="{4931EDCA-1860-409D-9E96-68FA3EB34119}"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2009_fhzzgb_600230.shtml" connectionId="479" xr16:uid="{6E97F1AC-743E-4BE0-AF2A-4E4601C95DF2}"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2009_fhzzgb_300498.shtml_1" connectionId="465" xr16:uid="{11068618-DD86-42A0-AF5B-052404C998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2009_fhzzgb_002415.shtml" connectionId="504" xr16:uid="{D731D6C9-CBB5-4152-B496-8254326C657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2009_fhzzgb_002734.shtml" connectionId="794" xr16:uid="{A16E1742-691F-43EA-8F05-A627F93CBFF9}"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2009_fhzzgb_601225.shtml_2" connectionId="725" xr16:uid="{D45EB1D0-6542-499E-BB6A-428046FE520A}"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2009_fhzzgb_601766.shtml" connectionId="496" xr16:uid="{FE228CAC-B03A-4316-8E47-CF5C87CE6BCD}"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2009_fhzzgb_000725.shtml_1" connectionId="386" xr16:uid="{9408E0B3-F6C7-4E46-BD10-8C2CCABCC9B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2009_fhzzgb_000002.shtml" connectionId="421" xr16:uid="{628277D6-CA68-43BA-A892-B2CD68824ECA}"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2009_fhzzgb_600352.shtml" connectionId="389" xr16:uid="{88707F07-4936-4270-858B-59B36A517DA7}"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2009_fhzzgb_000725.shtml_3" connectionId="779" xr16:uid="{9ADB923F-5E4D-44EB-B2B3-E5E4F1CA562F}"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2009_fhzzgb_000651.shtml" connectionId="383" xr16:uid="{A160E96C-0DD7-4756-98BA-03BF5AF4CBBA}"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2009_fhzzgb_600801.shtml_1" connectionId="563" xr16:uid="{D353C02A-11BC-40D9-BD3C-ED4B2CC84A9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2009_fhzzgb_300016.shtml_1" connectionId="743" xr16:uid="{2E696260-E0FD-4CFF-B1C6-779C073D9F47}"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2009_fhzzgb_600050.shtml" connectionId="501" xr16:uid="{3C7C177E-9B70-4D90-A066-34F35B7C935F}"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2009_fhzzgb_600975.shtml" connectionId="775" xr16:uid="{61F488DC-34CC-4262-9995-DC287D7A7C1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2009_fhzzgb_600519.shtml" connectionId="587" xr16:uid="{5D31D9B6-27B6-460A-814A-58BE8C65E5D1}"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2009_fhzzgb_000672.shtml_2" connectionId="753" xr16:uid="{7F734B57-15E2-4572-864C-917235C3DD29}"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2009_fhzzgb_600660.shtml" connectionId="407" xr16:uid="{0F587526-8057-4401-95F2-017389EBA696}"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2009_fhzzgb_603609.shtml" connectionId="437" xr16:uid="{83AD2ADD-4640-43F8-A2F0-E23A2EB9BB5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2009_fhzzgb_600633.shtml" connectionId="759" xr16:uid="{D3EC370A-DF01-4A10-BA4E-210082EAE4DC}"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2009_fhzzgb_002223.shtml" connectionId="782" xr16:uid="{5B1702EA-F102-4FA6-B802-76DAA041D46A}"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2009_fhzzgb_600585.shtml_1" connectionId="577" xr16:uid="{0D1B009D-CEDA-4063-ACE9-ECCF024CEE94}"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2009_fhzzgb_000528.shtml" connectionId="606" xr16:uid="{A9495672-4570-4775-9488-A7D055EE105A}"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2009_fhzzgb_601668.shtml" connectionId="692" xr16:uid="{2AABBB2E-04D3-409B-9D6C-410EE53E0865}"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2009_fhzzgb_603027.shtml" connectionId="392" xr16:uid="{7A423B43-49F2-4B98-8EAB-F60E68615F05}"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2009_fhzzgb_600690.shtml" connectionId="744" xr16:uid="{31C1230B-3B66-496C-A9ED-AD3985C78FAC}"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2009_fhzzgb_600143.shtml" connectionId="802" xr16:uid="{2CBD679F-9E2C-4061-A0C8-C776774E5385}"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2009_fhzzgb_300016.shtml" connectionId="438" xr16:uid="{477F0655-A082-4667-9913-5F26B56B405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2009_fhzzgb_600436.shtml" connectionId="385" xr16:uid="{47BF0943-6D84-4927-815B-DE4AF143F4EF}"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2009_fhzzgb_300498.shtml_2" connectionId="529" xr16:uid="{502F920D-F42E-4148-8446-5E3F8D0C7455}"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2009_fhzzgb_600507.shtml" connectionId="527" xr16:uid="{415CF52F-13ED-4306-A467-E602B21472AD}"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2009_fhzzgb_002124.shtml" connectionId="618" xr16:uid="{91C42BD6-447F-430E-B7A6-DBE2ACC1DDDB}"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2009_fhzzgb_688981.shtml" connectionId="390" xr16:uid="{1708C85D-E7F4-4734-9780-8CC7BBA0C795}"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2009_fhzzgb_000963.shtml" connectionId="505" xr16:uid="{083EE49D-F047-4856-B32A-35DA8AE2FAC7}"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2009_fhzzgb_603129.shtml" connectionId="713" xr16:uid="{784CCDB5-1A73-4FA1-BD90-84E7CCDAD71C}"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2009_fhzzgb_603737.shtml" connectionId="532" xr16:uid="{61E81CBE-8B96-4628-BE75-27B6D9371FDC}"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2009_fhzzgb_300012.shtml" connectionId="637" xr16:uid="{DD88DD38-7D43-4FD5-BAE8-5F52DA29D474}"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2009_fhzzgb_002230.shtml_1" connectionId="565" xr16:uid="{166E2F99-9121-4234-B2C0-C365A2F15E8B}"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2009_fhzzgb_603609.shtml_1" connectionId="734" xr16:uid="{589C38FD-0432-4D4C-9E11-D2C95AA0F48F}"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2009_fhzzgb_300417.shtml" connectionId="675" xr16:uid="{8B3412B4-30FE-49E8-B074-530C41EBAA18}"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2009_fhzzgb_000651.shtml_2" connectionId="474" xr16:uid="{B1855F80-2387-4F1B-8040-33D2DC39FE3D}"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2009_fhzzgb_600398.shtml" connectionId="452" xr16:uid="{26505073-21FA-4EF7-BB40-54AB9E484A22}"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2009_fhzzgb_600801.shtml" connectionId="451" xr16:uid="{62ACBB5B-AE2B-4641-8090-F71C076B2662}"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2009_fhzzgb_600585.shtml" connectionId="413" xr16:uid="{E8F37418-DF90-4B8C-A84E-CFF95A5F9B87}"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2009_fhzzgb_002737.shtml" connectionId="420" xr16:uid="{ACCE3B57-7F7C-4D93-A151-2E2C4D3D8D29}"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2009_fhzzgb_002734.shtml_1" connectionId="638" xr16:uid="{A936B55D-701E-49E2-97F4-10C1551FFE5C}"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2009_fhzzgb_000581.shtml" connectionId="644" xr16:uid="{AA91F3E5-F2FD-4908-AA18-19B8ADF4A022}"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2009_fhzzgb_300132.shtml" connectionId="384" xr16:uid="{236D5A6E-CD8F-44A9-BC39-87B1ACA2B9C4}"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2009_fhzzgb_002422.shtml" connectionId="702" xr16:uid="{02D4D041-5700-4C7D-86B1-537C473AD6AE}"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2009_fhzzgb_300417.shtml_1" connectionId="691" xr16:uid="{A26158EB-D8E6-4A59-ACE9-04E0774E9883}"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2009_fhzzgb_601168.shtml" connectionId="544" xr16:uid="{3624C5FD-4056-4017-ADB0-E85300954F2E}"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2009_fhzzgb_600031.shtml" connectionId="623" xr16:uid="{7332546B-3439-47D1-A9DF-F0E0C467AB3F}"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2009_fhzzgb_300498.shtml_3" connectionId="388" xr16:uid="{6E142298-5C34-4980-8B6C-20B5292490F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2009_fhzzgb_600352.shtml_1" connectionId="435" xr16:uid="{B05C2779-DED8-4B7D-B724-99FCED462064}"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2009_fhzzgb_601318.shtml_1" connectionId="629" xr16:uid="{4CD01508-36A1-4A33-9F23-60F15B150F29}"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2009_fhzzgb_601225.shtml_3" connectionId="429" xr16:uid="{04B629EB-BCA7-412D-93DB-A0AA8E141CC6}"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2009_fhzzgb_000002.shtml_2" connectionId="414" xr16:uid="{A66DF0F1-AFA1-4D63-ADB4-407B47AAA958}"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2009_fhzzgb_600031.shtml_1" connectionId="770" xr16:uid="{892DBE64-A644-46B4-AC79-956458D4D9D3}"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2009_fhzzgb_601225.shtml" connectionId="767" xr16:uid="{6DA72561-264C-4082-8D1D-BA8598E2E6EE}"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2009_fhzzgb_002423.shtml" connectionId="531" xr16:uid="{153B95F5-4A3D-4B36-8653-F58C58AA82AD}"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2009_fhzzgb_002382.shtml" connectionId="790" xr16:uid="{C3192E3A-2C83-41B7-BB38-B667D219FC6C}"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2009_fhzzgb_300782.shtml" connectionId="422" xr16:uid="{2A78941E-2A27-447A-AAD5-060CA4E9590C}"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2009_fhzzgb_000672.shtml" connectionId="557" xr16:uid="{B497C95A-A4F1-4569-819D-B15BA300A158}"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2009_fhzzgb_600177.shtml" connectionId="594" xr16:uid="{B3570F9E-3F5E-41DF-8D31-EB20B7337313}"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2009_fhzzgb_600050.shtml_1" connectionId="709" xr16:uid="{40D6F3CD-A6D6-49DE-8B2F-23D19F51C9A8}"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2009_fhzzgb_000338.shtml" connectionId="511" xr16:uid="{3E9E33BE-D602-4190-ABF2-1113C65B1BB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2009_fhzzgb_601225.shtml_1" connectionId="803" xr16:uid="{A1882AE6-5934-4030-9243-CDA9D03A1DD8}"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2009_fhzzgb_601390.shtml" connectionId="673" xr16:uid="{9D68AFA0-5F24-4504-A429-94CEDDA2AE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2009_fhzzgb_000651.shtml_1" connectionId="716" xr16:uid="{9E7CE3C0-704F-4819-965A-609639944EDA}"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2009_fhzzgb_002008.shtml" connectionId="721" xr16:uid="{7D1DD703-B34B-4592-AA30-F17FE9FA0F4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2009_fhzzgb_601318.shtml" connectionId="530" xr16:uid="{A83CE506-A696-4F0A-BBDF-A803AEDB08BD}"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2009_fhzzgb_000002.shtml_1" connectionId="706" xr16:uid="{EE946171-B870-4586-B31F-DE5CA5829EB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zcfzb_600031.html?type=year_3" connectionId="282" xr16:uid="{58F545BA-21E7-4050-9F19-9302F6B161F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zcfzb_600031.html?type=year_2" connectionId="538" xr16:uid="{B304F6D4-0CF7-4B52-B453-DE4A48C0271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zcfzb_600801.html?type=year_3" connectionId="540" xr16:uid="{F1B2B495-C923-4171-88AC-2BAE6F2065C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zcfzb_000002.html?type=year_7" connectionId="602" xr16:uid="{BF73015F-2AD1-4A0B-BE4D-BCBAC5BD666C}"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zcfzb_603609.html?type=year_1" connectionId="727" xr16:uid="{09018872-5521-45F4-B8B4-BEAA5045077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zcfzb_002124.html?type=year_1" connectionId="601" xr16:uid="{85D21C10-7B81-4160-B71E-DAE02CBDA87C}"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zcfzb_002230.html?type=year_3" connectionId="521" xr16:uid="{37BF7682-8DE4-4309-9882-BF1E9DBD5DC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zcfzb_601777.html?type=year_1" connectionId="445" xr16:uid="{56296E56-D2FC-4151-A01B-64C5A00F1F7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zcfzb_300016.html?type=year_1" connectionId="737" xr16:uid="{8E772671-7E8A-4B65-AE8E-8E02CD4D0DB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zcfzb_600050.html?type=year_1" connectionId="418" xr16:uid="{DC1F3043-6FA4-4507-ADA6-878E14AE86CF}"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zcfzb_000338.html?type=year" connectionId="550" xr16:uid="{5280CF49-8DF9-4875-8123-5EAB544E32FC}"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zcfzb_000672.html?type=year_3" connectionId="280" xr16:uid="{4954C50C-205F-4F3E-BFFE-85D42B656C3D}"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zcfzb_600352.html?type=year_4" connectionId="405" xr16:uid="{B7B77832-35A7-47CE-B166-B60AD7F7C84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zcfzb_000002.html?type=year" connectionId="693" xr16:uid="{EF204633-0396-48CD-B221-3FEB1659077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zcfzb_600585.html?type=year_7" connectionId="570" xr16:uid="{59307326-A0D9-4ED2-9D7B-C37C428DFE8B}"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zcfzb_000963.html?type=year_1" connectionId="647" xr16:uid="{C2E41012-0DAF-4EE5-8B69-71AF9E540ADB}"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zcfzb_600352.html?type=year_5" connectionId="394" xr16:uid="{E00CE135-4DED-490D-BFCD-027B8B5335F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zcfzb_600352.html?type=year_1" connectionId="539" xr16:uid="{C6692696-6F2A-46DF-AB83-824B004F210E}"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zcfzb_000002.html?type=year_1" connectionId="694" xr16:uid="{F0BDD9DE-6A7C-4CB5-A903-ED6281FDE35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zcfzb_002230.html?type=year_2" connectionId="537" xr16:uid="{05F67993-2549-41A7-AEAA-C54A2BEC62DC}"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zcfzb_601168.html?type=year" connectionId="509" xr16:uid="{BE614CC8-AA78-4921-88CD-3D55B24B809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zcfzb_603639.html?type=year" connectionId="641" xr16:uid="{06247473-31C3-4B06-ACC1-46051A69FD5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zcfzb_000002.html?type=year_6" connectionId="605" xr16:uid="{B214AF79-8C84-4462-83DE-E230F8EAEC7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zcfzb_002124.html?type=year" connectionId="599" xr16:uid="{FD2594F0-D910-49E6-9FD1-12B40430D7A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zcfzb_601225.html?type=year_1" connectionId="719" xr16:uid="{17A6625A-385D-4D3E-891E-E8C2049C955B}"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zcfzb_000002.html?type=year_4" connectionId="576" xr16:uid="{96541F78-8B10-4FA1-A90C-5CA3D45A3EC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zcfzb_300016.html?type=year" connectionId="735" xr16:uid="{8DB584CE-CF57-4214-BBAD-94258D77C6A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zcfzb_300498.html?type=year_5" connectionId="507" xr16:uid="{4D036214-E361-4289-A5ED-564DCF21207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zcfzb_600585.html?type=year_4" connectionId="453" xr16:uid="{2C5C9CB0-1BE4-43F5-9EF4-BA84353924E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zcfzb_600507.html?type=year" connectionId="498" xr16:uid="{27E11EE7-424E-4B19-AC24-1163E388ECF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zcfzb_601318.html?type=year_1" connectionId="615" xr16:uid="{7E39D48F-AB35-469A-A75C-3557D64083F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zcfzb_603609.html?type=year" connectionId="726" xr16:uid="{FA4B034C-F73A-48F0-BA0D-B1AC64C3C94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zcfzb_600177.html?type=year_1" connectionId="542" xr16:uid="{CA062755-676B-4286-B960-36C60C7E3F4C}"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zcfzb_000157.html?type=year_1" connectionId="439" xr16:uid="{12D73E88-5E44-4AE2-90AF-3CDA9DB6003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zcfzb_000581.html?type=year_1" connectionId="633" xr16:uid="{9684613B-7C9D-4DA9-B2A4-453F04F374E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zcfzb_601766.html?type=year_1" connectionId="456" xr16:uid="{A51D9AA9-0F5E-4BB3-A883-E420EE352ED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zcfzb_300498.html?type=year_2" connectionId="466" xr16:uid="{1BF9F094-5D8A-4C75-A2F0-7E2AFAE9474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zcfzb_300498.html?type=year_4" connectionId="502" xr16:uid="{F38660AA-0A7D-478C-A323-E94B6F07719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zcfzb_601318.html?type=year" connectionId="612" xr16:uid="{88EF6338-D9D7-46ED-B6C7-20240834312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zcfzb_002737.html?type=year" connectionId="391" xr16:uid="{E01AF4AE-377B-43F6-B440-97709637493C}"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zcfzb_601168.html?type=year_1" connectionId="514" xr16:uid="{D515761F-785D-44B9-80D9-50FF6ECDCC7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zcfzb_603737.html?type=year_1" connectionId="464" xr16:uid="{A6AF2365-68E1-4A26-B521-464069E6A31C}"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zcfzb_600352.html?type=year_3" connectionId="566" xr16:uid="{4C2AD4E6-3F1E-4619-9D54-7504B9ACB14A}"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zcfzb_300498.html?type=year_1" connectionId="398" xr16:uid="{83E06F74-990A-4775-8D97-F60C2AA10A9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zcfzb_000725.html?type=year_1" connectionId="772" xr16:uid="{BAEDB2FA-7F7D-4B27-AFCB-13BAF320113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zcfzb_002737.html?type=year_1" connectionId="393" xr16:uid="{A85CCAA5-472B-45F6-8539-2C27C5C8D0A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zcfzb_688981.html?type=year_1" connectionId="400" xr16:uid="{DBB59610-FDCA-4D12-839C-420F9F16899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zcfzb_600585.html?type=year_1" connectionId="591" xr16:uid="{A778998E-5EE4-4E35-B73C-041463274CD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zcfzb_002734.html?type=year_1" connectionId="626" xr16:uid="{2093E625-B47B-4C96-8F75-A8DFDCC6A05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zcfzb_603027.html?type=year" connectionId="277" xr16:uid="{C715543F-1741-42DA-A44C-AC8B21CC7FA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zcfzb_002832.html?type=year_1" connectionId="755" xr16:uid="{FF65122A-3351-4032-9461-1D81BE961F7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zcfzb_300498.html?type=year_3" connectionId="475" xr16:uid="{49C22F75-CF56-44F4-918C-CDCBB951425E}"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zcfzb_600019.html?type=year" connectionId="780" xr16:uid="{B3674B26-B282-4E82-A954-DB205C75695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zcfzb_600050.html?type=year_3" connectionId="695" xr16:uid="{44BC67A3-0518-4EA2-89F0-2A7CE20204F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zcfzb_600031.html?type=year" connectionId="763" xr16:uid="{B27A0C42-2465-437D-BF1A-52F6A6250C1B}"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zcfzb_300417.html?type=year" connectionId="661" xr16:uid="{9B05C001-BFCC-4C6E-8457-8E6817AFD20B}"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zcfzb_000338.html?type=year_3" connectionId="450" xr16:uid="{82FEEADB-5DE7-4117-81B3-76DADA40531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zcfzb_300498.html?type=year" connectionId="274" xr16:uid="{1A43FCDA-F837-49A1-B0DF-2262EC5ED3E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zcfzb_600585.html?type=year_6" connectionId="567" xr16:uid="{8D9A41FE-31BB-4E7A-9496-DBAC2EBBD46B}"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zcfzb_000338.html?type=year_2" connectionId="457" xr16:uid="{75877F7D-0ED8-43D1-BB4E-9B03A5A3965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zcfzb_002230.html?type=year_1" connectionId="406" xr16:uid="{DB86B4DF-B8D4-4FFC-8C50-BED28BF1F68D}"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zcfzb_000651.html?type=year" connectionId="707" xr16:uid="{742EEA36-CAFD-4E32-A024-CFE9D5CE720F}"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zcfzb_601777.html?type=year" connectionId="281" xr16:uid="{A98FCCEB-9219-4C6D-9CF7-013EDD47242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zcfzb_000672.html?type=year_1" connectionId="746" xr16:uid="{54EC0C89-E98C-4EDC-A1CF-B62C488BCEB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zcfzb_601225.html?type=year_2" connectionId="423" xr16:uid="{D7CD0EBC-AE50-4CDB-A0A0-E4F5C5A2B03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zcfzb_600507.html?type=year_1" connectionId="503" xr16:uid="{337A80EF-811F-4FDC-AA70-75A6F753950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zcfzb_600801.html?type=year_2" connectionId="534" xr16:uid="{83340060-C412-4FB8-B769-A55326B3511D}"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zcfzb_601390.html?type=year" connectionId="659" xr16:uid="{B954EBEC-92FF-48F7-B9F0-827E0BC7238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zcfzb_300132.html?type=year" connectionId="483" xr16:uid="{947C92F8-7455-4806-B92A-6A64128FE2D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zcfzb_601766.html?type=year" connectionId="449" xr16:uid="{4FB21B13-A85D-44ED-80D5-8FD343A2158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zcfzb_000002.html?type=year_3" connectionId="278" xr16:uid="{0640B54A-5F9B-480B-B555-11C11A3EAF5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zcfzb_601668.html?type=year_1" connectionId="680" xr16:uid="{B3A34B1E-A6BC-4E51-A0B5-3B56F7DBDFE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zcfzb_600019.html?type=year_1" connectionId="781" xr16:uid="{0EAC0EFE-7549-40F1-9BC3-D9448BD1F2DD}"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zcfzb_000157.html?type=year" connectionId="276" xr16:uid="{0F1C1761-DEA5-41B1-9C83-FAAD5B14BEB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zcfzb_600031.html?type=year_1" connectionId="764" xr16:uid="{943EDC80-9EB8-4432-AB70-F41A25C5CBE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zcfzb_600585.html?type=year_5" connectionId="459" xr16:uid="{5A11E21B-CA0C-4294-9929-9C4AFFBD8F4D}"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zcfzb_002832.html?type=year" connectionId="754" xr16:uid="{AE94B255-410B-4789-AB21-6F7F7F94D3A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zcfzb_002236.html?type=year" connectionId="447" xr16:uid="{A3193C18-8F8E-42A1-B30B-E9B715E31D1D}"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zcfzb_603737.html?type=year" connectionId="458" xr16:uid="{930127A0-B44E-4941-A677-170EF5F8FB1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zcfzb_000963.html?type=year" connectionId="645" xr16:uid="{A2E66025-0B23-40C2-A016-67DE7E4E812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zcfzb_600050.html?type=year_2" connectionId="697" xr16:uid="{712545D2-CD0D-4E5C-8CE9-6886745C8D0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zcfzb_300132.html?type=year_1" connectionId="490" xr16:uid="{E7E20414-78CB-46C1-B70F-2391F0971CC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zcfzb_601225.html?type=year" connectionId="717" xr16:uid="{53443E7D-DC14-472D-A9D8-3F99EFAD2DE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zcfzb_603639.html?type=year_1" connectionId="643" xr16:uid="{19DA90D8-A646-41A5-95DA-F51B8980F92B}"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zcfzb_000651.html?type=year_2" connectionId="434" xr16:uid="{D1672F4A-45F8-4777-B452-37E272DCCA2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zcfzb_300417.html?type=year_3" connectionId="679" xr16:uid="{C0B85556-4680-4E58-B5A8-F3DEC59536FF}"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zcfzb_600352.html?type=year" connectionId="533" xr16:uid="{C52F373C-00B0-45E9-81DE-327847C8CCB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zcfzb_300417.html?type=year_2" connectionId="677" xr16:uid="{4261AA35-B463-434C-BA50-80A93E70F1B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zcfzb_688981.html?type=year" connectionId="275" xr16:uid="{38BC3923-CCC6-4359-A988-913EEDCF2ABE}"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zcfzb_002230.html?type=year" connectionId="395" xr16:uid="{31024AA8-7576-4E55-8F51-D4AB2F02ADFA}"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zcfzb_601225.html?type=year_3" connectionId="279" xr16:uid="{7A19238A-7406-4A91-9192-E14857D0163B}"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zcfzb_002734.html?type=year" connectionId="621" xr16:uid="{11C374CD-4AC5-4902-A703-F211764FED3F}"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zcfzb_600352.html?type=year_2" connectionId="564" xr16:uid="{342C3BD4-08BE-48CF-A1DE-4FE88F767F9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zcfzb_002236.html?type=year_1" connectionId="454" xr16:uid="{E5E0DCA7-2539-43F4-885B-6C267B08DE4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zcfzb_603027.html?type=year_1" connectionId="403" xr16:uid="{5DCAF622-1695-4521-8150-AC31C053089E}"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zcfzb_000002.html?type=year_2" connectionId="408" xr16:uid="{6A3E2129-056E-4A4E-9E50-2853F118F0DC}"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zcfzb_000672.html?type=year_2" connectionId="506" xr16:uid="{27E77B5A-150E-49D6-94AB-88EE688F562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zcfzb_000338.html?type=year_1" connectionId="555" xr16:uid="{323FA406-9A6F-4EC2-9CB8-F6E24805E84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zcfzb_600177.html?type=year" connectionId="536" xr16:uid="{EB865EA1-B6E5-4F50-8289-AE642F4A777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zcfzb_000002.html?type=year_5" connectionId="572" xr16:uid="{6EB19F1C-BB2A-436A-A2DC-3FBB723A7D0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zcfzb_000672.html?type=year" connectionId="745" xr16:uid="{2B2F2786-C24A-4F2E-9FD0-91F4C76590A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zcfzb_601390.html?type=year_1" connectionId="662" xr16:uid="{B3847EBB-11AA-46DA-8A2D-695974AF7CC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zcfzb_000651.html?type=year_3" connectionId="428" xr16:uid="{139601C8-303F-4DF7-949A-6078C2DCF3D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zcfzb_000651.html?type=year_1" connectionId="710" xr16:uid="{6CEA346A-6966-4D53-A841-C443BF83FA4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zcfzb_600585.html?type=year" connectionId="588" xr16:uid="{995DFD90-D201-46F9-AE68-277D9FB830A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zcfzb_000581.html?type=year" connectionId="631" xr16:uid="{BF9C1D64-61A1-49FA-B77F-0608D9DCAE3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zcfzb_600050.html?type=year" connectionId="412" xr16:uid="{F3125C22-FCD4-4430-B5A6-DCCA024B1B4B}"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zcfzb_600801.html?type=year_1" connectionId="430" xr16:uid="{9E21A1F0-8DBA-4AF5-A906-41C5ED874FCC}"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zcfzb_000725.html?type=year" connectionId="771" xr16:uid="{99E10D70-859D-44BA-988F-4A1B177161A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zcfzb_600801.html?type=year" connectionId="424" xr16:uid="{BD89E0BC-5107-49DD-B763-608A344AB1D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zcfzb_300417.html?type=year_1" connectionId="664" xr16:uid="{8D8394FD-9350-4B06-B953-68283A3F04BF}"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zcfzb_601668.html?type=year" connectionId="678" xr16:uid="{0AD94335-635A-45EB-B64A-23C512F5455B}"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lrb_600031.html?type=year_3" connectionId="36" xr16:uid="{59EC6C5C-3048-415C-8020-FF8ACB5AA22F}"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lrb_600031.html?type=year_2" connectionId="67" xr16:uid="{8914AC55-943F-4EB2-811F-1A680D8706AF}"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lrb_600585.html?type=year_5" connectionId="476" xr16:uid="{C9A163ED-78C1-4FEE-8251-D571D9C26A3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lrb_601766.html?type=year_1" connectionId="470" xr16:uid="{11DF15E4-6686-48BD-B592-A4FB4524475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lrb_600352.html?type=year_3" connectionId="573" xr16:uid="{AA417294-339C-4A7D-9B96-FEAB087B4C2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lrb_000338.html?type=year_1" connectionId="568" xr16:uid="{6DAEEC7E-2298-4AA1-AC7C-9314F518DDFE}"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lrb_002230.html?type=year_2" connectionId="551" xr16:uid="{A7FAA148-8C74-4E0F-9B44-C352213B21C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lrb_600177.html?type=year" connectionId="580" xr16:uid="{06739A1A-13F7-4E3B-AFC8-D42F9168856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lrb_601668.html?type=year_1" connectionId="684" xr16:uid="{A122F230-B0B5-4731-B3B6-52ED8FAC6CE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lrb_600050.html?type=year_3" connectionId="699" xr16:uid="{261FC9DC-3254-4B93-AC4C-60DBDE2CBB4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lrb_000338.html?type=year" connectionId="560" xr16:uid="{285F425B-39C8-4503-9320-ED775C29EE1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lrb_601668.html?type=year" connectionId="682" xr16:uid="{91A8268F-7825-48A4-AC16-51A186453DDE}"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lrb_002832.html?type=year_1" connectionId="757" xr16:uid="{1F166233-71BA-4A32-9026-BA20BEAEEB9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lrb_300132.html?type=year" connectionId="500" xr16:uid="{786838DA-1A33-4D1F-8CA7-E89184B70C7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lrb_300498.html?type=year_5" connectionId="517" xr16:uid="{783C68E4-51AC-49CB-B75E-0C0548AD505E}"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lrb_000725.html?type=year_1" connectionId="776" xr16:uid="{9A49833E-535B-46E9-8B19-0906866A29F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lrb_601168.html?type=year_1" connectionId="526" xr16:uid="{4AFAD249-1CE6-4162-80C8-967587555C5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lrb_000963.html?type=year_1" connectionId="654" xr16:uid="{062E4E17-6423-4966-A333-57A01E1522BB}"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lrb_300417.html?type=year_2" connectionId="681" xr16:uid="{B173998C-60B5-4432-BA64-97BB225BF92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lrb_000002.html?type=year_3" connectionId="32" xr16:uid="{EFDE2D41-D0F8-4474-9E77-0F0A74C8D3BF}"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lrb_600177.html?type=year_1" connectionId="585" xr16:uid="{A654CC8F-82C1-4037-8DD0-67CEDA8469EA}"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lrb_000338.html?type=year_3" connectionId="463" xr16:uid="{97201C51-D383-4FE1-B5D8-F10E86B03BFE}"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lrb_000651.html?type=year_2" connectionId="455" xr16:uid="{8C1DAB53-B252-4ADF-B140-15994C6D7FC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lrb_002124.html?type=year" connectionId="604" xr16:uid="{1EB22EE5-9343-4C33-9500-7DDEE47E2D2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lrb_000651.html?type=year" connectionId="711" xr16:uid="{CBD5085B-E156-4504-9BA2-634D3B12355F}"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lrb_000002.html?type=year_1" connectionId="698" xr16:uid="{D6D03CE4-673D-4164-8EDE-D4FEF9D3F9C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lrb_300498.html?type=year_1" connectionId="59" xr16:uid="{1670AFBF-1689-4A6F-9512-48561D7B6F6F}"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lrb_002734.html?type=year_1" connectionId="632" xr16:uid="{86224049-D16C-4746-BC34-8584A74CAC8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lrb_002124.html?type=year_1" connectionId="609" xr16:uid="{AB1D7768-25CE-4921-AB45-D0AF8CCC284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lrb_688981.html?type=year" connectionId="29" xr16:uid="{FD45A450-CC8C-48F1-9D04-A43C80D3D94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lrb_000963.html?type=year" connectionId="652" xr16:uid="{6D6B272F-7BD0-4A9D-93BC-3B60C5D4CE8D}"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lrb_603609.html?type=year" connectionId="730" xr16:uid="{264771B6-6C00-4ABA-9670-15B467C032F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lrb_002236.html?type=year_1" connectionId="468" xr16:uid="{8399E4D5-7B8F-4A47-8284-FBD809A568A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lrb_603737.html?type=year_1" connectionId="486" xr16:uid="{EE267C6F-6CDD-49B0-A9A6-F99252162DF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lrb_600050.html?type=year_2" connectionId="701" xr16:uid="{005A6F78-2A93-4296-BAF7-7D3E7D965CB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lrb_300498.html?type=year_4" connectionId="512" xr16:uid="{4DD646CE-846D-43BB-B53C-F10520C8CEAC}"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lrb_601390.html?type=year" connectionId="665" xr16:uid="{47E988F4-558E-4A8C-B90E-192676453C8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lrb_002737.html?type=year" connectionId="401" xr16:uid="{3A6D341B-3498-4041-9BF4-C843D7769EC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lrb_000651.html?type=year_3" connectionId="448" xr16:uid="{EADE4892-265C-4C08-A23F-B2BC5C5214D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lrb_600585.html?type=year_7" connectionId="579" xr16:uid="{6CFF7048-7DC1-4688-B9EA-8D058CCBC8DA}"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lrb_600585.html?type=year_6" connectionId="574" xr16:uid="{617A8D13-7620-4F78-800C-78D3B41378E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lrb_300016.html?type=year_1" connectionId="739" xr16:uid="{87E2BB3B-F382-4AB8-9608-FA41093337B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lrb_601777.html?type=year_1" connectionId="66" xr16:uid="{6D5211C7-A53C-447D-AB17-517D3E6D0FA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lrb_000581.html?type=year_1" connectionId="639" xr16:uid="{1A1C2330-0D72-4D42-B3CC-5F25E1C1F48D}"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lrb_600352.html?type=year" connectionId="545" xr16:uid="{8BC1F18E-214E-4995-8DDF-25834E053DFE}"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lrb_002230.html?type=year_3" connectionId="543" xr16:uid="{A8142723-4188-4AD1-99F7-6AC9C8A3950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lrb_300417.html?type=year_3" connectionId="683" xr16:uid="{7E9BCCAA-5FC3-49D5-9417-335679CF187D}"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lrb_000725.html?type=year" connectionId="774" xr16:uid="{DB04B19F-7763-4ADD-8055-CF2A3417E1DA}"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lrb_600352.html?type=year_1" connectionId="548" xr16:uid="{D6F90A4E-17A4-4CA4-BA58-7E95799A2AFE}"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lrb_600801.html?type=year_2" connectionId="546" xr16:uid="{24960766-E085-422B-971D-83FB13235D4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lrb_000672.html?type=year_1" connectionId="748" xr16:uid="{376BFDA3-B315-4745-9B6B-696D61C052F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lrb_300498.html?type=year_3" connectionId="487" xr16:uid="{FBACB9D8-6305-4BDA-ADA4-69F22FC940BF}"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lrb_000672.html?type=year_3" connectionId="34" xr16:uid="{36F9960E-B9B6-46F7-B2BF-4DBAD6853C5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lrb_000672.html?type=year" connectionId="747" xr16:uid="{DB8F5024-E562-4690-84F8-291ADC48D5E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lrb_601318.html?type=year_1" connectionId="620" xr16:uid="{8D50C9C1-A08B-42C6-A3A2-73395D038A7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lrb_603027.html?type=year_1" connectionId="62" xr16:uid="{E7969E22-AEE7-4A83-B63D-E841CB051CEC}"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lrb_600507.html?type=year_1" connectionId="513" xr16:uid="{E3382BC9-AEB0-4D17-9478-F2D07A76D77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lrb_300498.html?type=year" connectionId="28" xr16:uid="{7E4BA055-6B75-418F-8690-0298CF09CC8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lrb_000002.html?type=year_2" connectionId="63" xr16:uid="{47A7A80D-C0D9-4AD5-9FFB-45DA4B1DE84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lrb_601225.html?type=year_2" connectionId="64" xr16:uid="{E2DA0BEC-7400-410D-9FCA-507DF2D17D6F}"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lrb_600352.html?type=year_2" connectionId="569" xr16:uid="{F8A6024B-4AD8-4735-801C-C6C0C54C4A4F}"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lrb_600507.html?type=year" connectionId="508" xr16:uid="{D9113F66-8DD7-4E9C-8978-B44B009F6A8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lrb_601225.html?type=year_1" connectionId="722" xr16:uid="{AD1285CC-EB20-411A-90FD-1A66909911DA}"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lrb_000581.html?type=year" connectionId="635" xr16:uid="{6472EC76-78B6-4595-9C1E-33724158A70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lrb_600585.html?type=year" connectionId="595" xr16:uid="{B248BA27-55F1-41ED-BABB-B76EF473EFD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lrb_002236.html?type=year" connectionId="460" xr16:uid="{0380DEEB-693F-4DE7-A402-178EED7B2ACB}"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lrb_000157.html?type=year_1" connectionId="61" xr16:uid="{423B2DAA-7356-4D42-9992-68028DEAC67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lrb_000672.html?type=year_2" connectionId="65" xr16:uid="{837DD8B5-DF28-467A-B58B-D5E896D0475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lrb_000002.html?type=year" connectionId="696" xr16:uid="{7D45DC45-72DE-4554-831D-C236CB04A52C}"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lrb_000002.html?type=year_6" connectionId="614" xr16:uid="{65EFC277-9519-4C0D-AC1B-389FA3533B5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lrb_603737.html?type=year" connectionId="472" xr16:uid="{298C9C79-AC85-4BB5-BD3D-A107F749B58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lrb_603609.html?type=year_1" connectionId="731" xr16:uid="{92E2D598-2D44-4279-BE7B-20F7E424A90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lrb_002230.html?type=year" connectionId="411" xr16:uid="{235C4E07-92F3-45E9-8809-E9506A9D1B5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lrb_603639.html?type=year" connectionId="646" xr16:uid="{C01D68B7-CE7B-44F6-9BC5-07CA47A8B4D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lrb_601777.html?type=year" connectionId="35" xr16:uid="{DDFCEEAB-FC0F-4D6E-98BD-590A801D0C3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lrb_000002.html?type=year_7" connectionId="610" xr16:uid="{DECB2E02-FA9C-4B90-AE65-877D36D1D5BF}"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lrb_600050.html?type=year" connectionId="427" xr16:uid="{97A4C101-292A-4009-B89F-D7ECC4ED802A}"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lrb_600050.html?type=year_1" connectionId="433" xr16:uid="{D86E9EEF-0583-4257-8A72-226DA8A4107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lrb_600801.html?type=year_3" connectionId="549" xr16:uid="{032D3EE1-AAA3-49DA-B306-C78694BBA2C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lrb_603027.html?type=year" connectionId="31" xr16:uid="{E4BE6CFF-373F-4876-88B8-2D6B2EC6835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lrb_600801.html?type=year" connectionId="436" xr16:uid="{1091500A-EDFC-4EC1-9926-081DC45D706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lrb_000651.html?type=year_1" connectionId="712" xr16:uid="{D6007285-630B-48E8-AB16-F8F6A118920C}"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lrb_600585.html?type=year_4" connectionId="467" xr16:uid="{9737BC79-4194-44F6-88E1-8BCF224C65FD}"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lrb_688981.html?type=year_1" connectionId="60" xr16:uid="{7385F7DD-565C-44DE-8529-4D7291AE185B}"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lrb_000002.html?type=year_5" connectionId="581" xr16:uid="{CB940C1A-56CE-4AB3-B1A8-7401A9A3E6FF}"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lrb_600801.html?type=year_1" connectionId="440" xr16:uid="{DA2D57D9-D071-4540-AACB-110BF41F070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lrb_600352.html?type=year_4" connectionId="416" xr16:uid="{4B164545-8075-4CBE-ADE8-64677C8A6A9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lrb_002832.html?type=year" connectionId="756" xr16:uid="{48EFDAD3-9F5E-4ECC-AF45-1B56454111F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lrb_300417.html?type=year_1" connectionId="669" xr16:uid="{15161F3F-FA23-4378-8B34-5001763AAEEA}"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lrb_600031.html?type=year" connectionId="765" xr16:uid="{352315F9-8A00-47AE-8947-690B196BFBFD}"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lrb_600019.html?type=year_1" connectionId="786" xr16:uid="{0879570C-EA16-464E-B7D0-F50EBA01255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lrb_002737.html?type=year_1" connectionId="404" xr16:uid="{6403C6DF-8181-4BC6-A27B-52B26AAE001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lrb_300016.html?type=year" connectionId="738" xr16:uid="{FC51F96E-1E41-41A6-8CAF-9ACCEF774F0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lrb_601168.html?type=year" connectionId="519" xr16:uid="{A1C8CB5E-2464-4468-B59C-DBEE2AD57E0B}"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lrb_300417.html?type=year" connectionId="666" xr16:uid="{E41B2D31-9DEB-4846-B8C0-412D6129DD3A}"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lrb_601390.html?type=year_1" connectionId="667" xr16:uid="{FBA3CC83-79B3-4238-AA06-D6C2965C0A8F}"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lrb_601318.html?type=year" connectionId="619" xr16:uid="{6AEE7987-C4C8-46D9-BFB0-B3751F31DE3E}"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lrb_300132.html?type=year_1" connectionId="510" xr16:uid="{11569B23-2AEC-49D4-83B6-2DBB0CFCAB9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lrb_300498.html?type=year_2" connectionId="480" xr16:uid="{21E07E08-DE45-4CB3-AE12-75AF5D89272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lrb_600352.html?type=year_5" connectionId="410" xr16:uid="{C3C11B02-69DF-44BA-8A56-98890534366C}"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lrb_601225.html?type=year" connectionId="720" xr16:uid="{AA4CD96E-2838-4A9B-BD26-4B73A6442ADD}"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lrb_000338.html?type=year_2" connectionId="471" xr16:uid="{2723BAF6-0A9D-4A93-B714-52BB9EA71CE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lrb_600019.html?type=year" connectionId="783" xr16:uid="{DD453396-169B-49B6-81EE-A84BAAE7A7C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lrb_601766.html?type=year" connectionId="462" xr16:uid="{A8E1C452-230C-4E2F-AD68-E1AE9BAE6D0E}"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lrb_603639.html?type=year_1" connectionId="648" xr16:uid="{FA34DE83-5594-4FE4-9347-0119426E664D}"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lrb_002734.html?type=year" connectionId="628" xr16:uid="{6BA7DFA5-5CB6-4580-8A15-C7EFC9C2D2B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lrb_002230.html?type=year_1" connectionId="417" xr16:uid="{A7C96A01-D335-4C13-93DB-43C57357398E}"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lrb_600585.html?type=year_1" connectionId="598" xr16:uid="{FFE91A4D-D416-4149-985D-DD6E9B54E93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lrb_000157.html?type=year" connectionId="30" xr16:uid="{802898F6-9007-4F21-8EBF-E73A101C1BD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lrb_600031.html?type=year_1" connectionId="766" xr16:uid="{AADAC45F-393A-405C-A77D-834E59D68D9D}"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lrb_000002.html?type=year_4" connectionId="586" xr16:uid="{6CBD05AD-BB71-4979-9510-77B73B3D3AF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lrb_601225.html?type=year_3" connectionId="33" xr16:uid="{EBEDB29F-2EB9-411E-A671-9C45498B6EB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xjllb_600031.html?type=year_3" connectionId="87" xr16:uid="{942F450C-9C2D-4299-90A7-51949ED2F7CC}"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xjllb_600031.html?type=year_2" connectionId="107" xr16:uid="{0B08DEC9-0971-47E0-BE03-586C43256D5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xjllb_600801.html?type=year_3" connectionId="559" xr16:uid="{4C8E27E2-124A-4EE8-906B-3EF2DC3E710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xjllb_000002.html?type=year_7" connectionId="617" xr16:uid="{D8114143-D185-4B5C-85F8-703F502865B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xjllb_603609.html?type=year_1" connectionId="733" xr16:uid="{019276EB-921D-4F30-932B-2300DF0902DC}"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xjllb_002124.html?type=year_1" connectionId="616" xr16:uid="{A723A913-AD79-4770-A0BD-930E1575018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xjllb_002230.html?type=year_3" connectionId="556" xr16:uid="{BA762581-0913-4544-BEC0-9408A3A9CBA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xjllb_601777.html?type=year_1" connectionId="106" xr16:uid="{CCE088AA-D654-47F3-ADB0-6CE529C407B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xjllb_300016.html?type=year_1" connectionId="742" xr16:uid="{F716D5A7-CE32-42CF-AAD9-80A0EACC814E}"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xjllb_600050.html?type=year_1" connectionId="499" xr16:uid="{1D96B958-F021-4C8D-86A4-A1527B1472E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xjllb_000338.html?type=year" connectionId="571" xr16:uid="{0DF79A5F-9EDF-4E6F-861C-78A4DA94BEFB}"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xjllb_000672.html?type=year_3" connectionId="85" xr16:uid="{EA1B0085-6DB9-4B56-B074-B4F779126B8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xjllb_600352.html?type=year_4" connectionId="431" xr16:uid="{D9DD4E3F-1E8B-4FB9-940D-DA0A32D2969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xjllb_000002.html?type=year" connectionId="700" xr16:uid="{CEFD3599-0A8E-47BF-A6FC-BFD377929D9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xjllb_600585.html?type=year_7" connectionId="608" xr16:uid="{A15B8F9B-D0F5-4CBD-9372-6CFBBD842BA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xjllb_000963.html?type=year_1" connectionId="658" xr16:uid="{81BA6AA3-CAF7-4A17-A14A-5548711CC5A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xjllb_600352.html?type=year_5" connectionId="425" xr16:uid="{7374BFF4-DE5B-4E3D-84C5-4BD00E6513B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xjllb_600352.html?type=year_2" connectionId="578" xr16:uid="{BFAC2721-5A55-426C-BDA1-E088234E04F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xjllb_000002.html?type=year_1" connectionId="703" xr16:uid="{120E39E2-59A0-4382-B085-146D6D2C685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xjllb_002230.html?type=year_2" connectionId="561" xr16:uid="{59118CD2-2C65-4CC1-819B-F2184313D64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xjllb_601168.html?type=year" connectionId="535" xr16:uid="{283C42C1-CD12-4C7C-9BDA-2468CD3F657B}"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xjllb_603639.html?type=year" connectionId="653" xr16:uid="{C0848316-785F-4D35-8E70-F9667BF9666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xjllb_000002.html?type=year_6" connectionId="622" xr16:uid="{AF258393-3BE7-4FB5-851C-9D3A6220EB9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xjllb_002124.html?type=year" connectionId="613" xr16:uid="{ED7DF16B-B8B7-4AA2-BE0E-31342B62D18F}"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xjllb_601225.html?type=year_1" connectionId="724" xr16:uid="{5433C63B-86C6-4496-9A20-B2F7B1C5A13E}"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xjllb_000002.html?type=year_4" connectionId="593" xr16:uid="{18896E08-8E91-4637-AB13-9C884B938A8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xjllb_300016.html?type=year" connectionId="741" xr16:uid="{24F4E1A6-527D-43A0-8943-E5D12ACF948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xjllb_600352.html?type=year" connectionId="553" xr16:uid="{A56A553F-85A5-4E57-BBDD-627F34531A3E}"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xjllb_600585.html?type=year_4" connectionId="481" xr16:uid="{55082B3C-2CFE-4BDC-8F3F-8047163BAAD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xjllb_600507.html?type=year" connectionId="518" xr16:uid="{24C68E3C-6FEB-4801-AF5C-ED4B3A35985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xjllb_601318.html?type=year_1" connectionId="627" xr16:uid="{44B6E5FE-B43F-4DB0-91C8-F7373CC7DBA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xjllb_603609.html?type=year" connectionId="732" xr16:uid="{A6B2E8F5-70B3-4684-939C-CB49A8F8D37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xjllb_600177.html?type=year_1" connectionId="592" xr16:uid="{FA1BDC9C-9500-4A4F-A5AB-2BFAAD0E921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xjllb_000157.html?type=year_1" connectionId="101" xr16:uid="{9B563FE6-1EA1-41F7-85F3-0D15DECB9EE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xjllb_000581.html?type=year_1" connectionId="642" xr16:uid="{0241C958-5E06-48F7-946D-FB169CD84CE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xjllb_601766.html?type=year_1" connectionId="491" xr16:uid="{B0E40543-9F79-4EE4-A03C-D84A115A379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xjllb_600352.html?type=year_1" connectionId="558" xr16:uid="{F840EC40-5C04-4D61-88F7-C81F306B855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xjllb_600352.html?type=year_3" connectionId="583" xr16:uid="{F02AD640-8A75-48BC-BA47-EFE0B4C3405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xjllb_601318.html?type=year" connectionId="625" xr16:uid="{F19A92D2-FA0C-42F3-A2C3-BC003434459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xjllb_002737.html?type=year" connectionId="409" xr16:uid="{2EAD8941-F70D-410B-98EF-FD8597FA1C1E}"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xjllb_601168.html?type=year_1" connectionId="541" xr16:uid="{440B982D-A7DB-45F6-8166-ADAD0AC37C5F}"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xjllb_603737.html?type=year_1" connectionId="522" xr16:uid="{935FD53C-D85B-4496-BCE8-B8F50B0B8BC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xjllb_600585.html?type=year" connectionId="600" xr16:uid="{8B2434CB-45D3-498C-A421-768DCAD67A5F}"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xjllb_300498.html?type=year_1" connectionId="99" xr16:uid="{D3442F9F-9196-424E-B049-E0B52F69C36A}"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xjllb_000725.html?type=year_1" connectionId="778" xr16:uid="{4CDE7CC6-EBFD-44B8-A7A9-9492ACB2127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xjllb_002737.html?type=year_1" connectionId="415" xr16:uid="{E76539C0-4CF8-448A-B618-30DB791890BE}"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xjllb_688981.html?type=year_1" connectionId="100" xr16:uid="{FDF6DCD8-E193-4570-9853-2EB32EB9344E}"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xjllb_300498.html?type=year_2" connectionId="495" xr16:uid="{EC9ADF2A-3712-4B08-B2F9-D0BE0D4AF3EA}"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xjllb_002734.html?type=year_1" connectionId="636" xr16:uid="{D6A9201D-0271-4A72-BEC3-276468A371F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xjllb_603027.html?type=year" connectionId="82" xr16:uid="{67BA5FAA-B812-474A-A28F-3AC046072A6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xjllb_002832.html?type=year_1" connectionId="760" xr16:uid="{E9D9ACBF-33EA-4A0E-B0FA-0017A6424A8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xjllb_600585.html?type=year_1" connectionId="603" xr16:uid="{77927CC5-900E-410E-AE1B-4B015433222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xjllb_600019.html?type=year" connectionId="787" xr16:uid="{C3A7EAD8-6938-4AEA-A1AE-3C936F7B6ED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xjllb_600050.html?type=year_3" connectionId="704" xr16:uid="{B68DD7A5-5600-4206-850F-0F5101424E2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xjllb_600031.html?type=year" connectionId="768" xr16:uid="{9827DFC9-BD12-4C4A-A77D-26C57DCB245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xjllb_300417.html?type=year" connectionId="671" xr16:uid="{A2D30A51-BC33-4105-9F56-40B165B02B2D}"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xjllb_000338.html?type=year_3" connectionId="485" xr16:uid="{5FEC24A1-A166-4C95-83F9-D23127468B7A}"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xjllb_300498.html?type=year" connectionId="79" xr16:uid="{F06D728D-2CC4-43DB-AE89-A245EFD42E2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xjllb_600585.html?type=year_6" connectionId="584" xr16:uid="{7B2238F2-6B65-4078-9488-547A845B425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xjllb_000338.html?type=year_2" connectionId="492" xr16:uid="{6B0280C6-1405-48DA-8152-D0709D70E63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xjllb_002230.html?type=year_1" connectionId="432" xr16:uid="{56BE86B1-346F-4404-9548-042DA04D5E3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xjllb_000651.html?type=year" connectionId="714" xr16:uid="{1C13DAA3-7F6F-4E2F-9427-A3D974CF570D}"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xjllb_601777.html?type=year" connectionId="86" xr16:uid="{6F52E108-A821-4EF4-9FEB-FA7605869B2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xjllb_000672.html?type=year_1" connectionId="750" xr16:uid="{64BC47E4-C99E-449A-B364-A930E2987F6A}"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xjllb_601225.html?type=year_2" connectionId="104" xr16:uid="{643E00ED-34F5-4384-8F17-EBBF2466949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xjllb_600507.html?type=year_1" connectionId="525" xr16:uid="{C6B81C09-AE35-43BC-B928-18F299F313D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xjllb_600801.html?type=year_2" connectionId="554" xr16:uid="{D662C64A-940D-4D0F-B869-7388EE8F90D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xjllb_601390.html?type=year" connectionId="670" xr16:uid="{AFE79261-E3E2-4537-BFF9-118A4D5F8DC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xjllb_300132.html?type=year" connectionId="515" xr16:uid="{86AC93DE-46E8-4106-AC07-20D7A0C8850F}"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xjllb_601766.html?type=year" connectionId="484" xr16:uid="{E4320F68-07AD-4CAE-AD44-63A9E936184A}"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xjllb_000002.html?type=year_3" connectionId="83" xr16:uid="{76936EC4-72BB-4A33-B5EA-69F4BD95F92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xjllb_601668.html?type=year_1" connectionId="689" xr16:uid="{191B8988-6AC1-4344-9917-775BF8D4697E}"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xjllb_600019.html?type=year_1" connectionId="788" xr16:uid="{5B7D43DA-B4B3-43C9-9645-7F37E0A7FA3D}"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xjllb_000157.html?type=year" connectionId="81" xr16:uid="{B9B40C67-CBC9-40F8-9437-8720EFFF1BD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xjllb_600031.html?type=year_1" connectionId="769" xr16:uid="{909FDA4D-3008-48AB-8A3E-63792302B2E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xjllb_600585.html?type=year_5" connectionId="488" xr16:uid="{63EE3032-DCA9-4AA9-B07B-DF5BD8958F3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xjllb_002832.html?type=year" connectionId="758" xr16:uid="{A3006B2F-E2E2-4EE1-A83D-256EB641B93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xjllb_002236.html?type=year" connectionId="477" xr16:uid="{027C3630-B735-4F51-ADBA-D5F68DBEB84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xjllb_603737.html?type=year" connectionId="493" xr16:uid="{0CC76AF8-48F7-4800-8F17-21C4BE2525CF}"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xjllb_000963.html?type=year" connectionId="657" xr16:uid="{948E862C-6C0C-4DED-896C-096F6EADFFA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xjllb_600050.html?type=year_2" connectionId="708" xr16:uid="{39BE7A68-F7C7-456B-A3AE-C8399123684B}"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xjllb_300132.html?type=year_1" connectionId="520" xr16:uid="{D3E0FF48-C532-4E4A-A4C9-09736248475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xjllb_601225.html?type=year" connectionId="723" xr16:uid="{7F37B6E7-E78A-45D5-B6B3-E43BB543232F}"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xjllb_603639.html?type=year_1" connectionId="655" xr16:uid="{CB8DB710-F612-4C75-865C-A29A28E0B2EC}"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xjllb_000651.html?type=year_2" connectionId="469" xr16:uid="{64D0B58A-D57B-4C5A-B14F-9201E31FD39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xjllb_300417.html?type=year_3" connectionId="688" xr16:uid="{19DBB667-650C-4209-868B-F6D13E1555CD}"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xjllb_300498.html?type=year_4" connectionId="524" xr16:uid="{C4875A98-7935-486E-8D94-6396FC1E53ED}"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xjllb_300417.html?type=year_2" connectionId="685" xr16:uid="{76E4A444-E705-47DF-BE65-221641F9C61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xjllb_688981.html?type=year" connectionId="80" xr16:uid="{BDDBB023-DB75-4AE0-B9B3-A7E09317D8E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xjllb_002230.html?type=year" connectionId="426" xr16:uid="{BE32E282-5729-49E7-B370-231559285B1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xjllb_601225.html?type=year_3" connectionId="84" xr16:uid="{E69CC7AA-074C-404D-9984-E493610F221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xjllb_002734.html?type=year" connectionId="634" xr16:uid="{3348AAB9-4B28-400B-9C5A-6AD46249D3F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xjllb_300498.html?type=year_3" connectionId="497" xr16:uid="{A1591B10-B915-46A1-B339-069BEB9BF44E}"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xjllb_002236.html?type=year_1" connectionId="482" xr16:uid="{E5723073-06B5-41BE-93DC-2F4FF5057C2E}"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xjllb_603027.html?type=year_1" connectionId="102" xr16:uid="{9D5758D9-F09A-4B1F-90A0-D3DC32E6E8CA}"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xjllb_000002.html?type=year_2" connectionId="103" xr16:uid="{B8C253D9-5DB8-4DE5-85D4-0296F1862FD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xjllb_000672.html?type=year_2" connectionId="105" xr16:uid="{01E0A609-FDBB-4ACB-8D59-57F345666CDE}"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xjllb_000338.html?type=year_1" connectionId="575" xr16:uid="{4B9A2599-E21A-499E-A051-E7C67819F88F}"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xjllb_600177.html?type=year" connectionId="589" xr16:uid="{1F3CC340-2F78-4E61-9490-35FD36F5758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xjllb_000002.html?type=year_5" connectionId="590" xr16:uid="{96696802-CC1F-48DA-980A-BF238B13D5DD}"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xjllb_000672.html?type=year" connectionId="749" xr16:uid="{F4949B84-BC89-42ED-A5F5-81C3F96FCFB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xjllb_601390.html?type=year_1" connectionId="672" xr16:uid="{D3F14323-433E-4437-B7CC-94835596F19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xjllb_000651.html?type=year_3" connectionId="461" xr16:uid="{C8F09AF0-B625-4452-B2C9-71239329553E}"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xjllb_000651.html?type=year_1" connectionId="715" xr16:uid="{5CAC9ADA-EAA9-49C3-9564-A281D1B347BE}"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xjllb_300498.html?type=year_5" connectionId="528" xr16:uid="{49F1DBD2-997F-41C6-9B6A-AF6F89836B3A}"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xjllb_000581.html?type=year" connectionId="640" xr16:uid="{FBF27C5C-79F8-463B-84D4-76C5AA4F9FF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xjllb_600050.html?type=year" connectionId="489" xr16:uid="{4C8D88FA-8292-4496-9054-94079DC86BE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xjllb_600801.html?type=year_1" connectionId="446" xr16:uid="{568BA93B-B046-433E-8DD4-CE8B5A16043D}"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xjllb_000725.html?type=year" connectionId="777" xr16:uid="{E7B8E4D2-307D-4B98-8C37-BAABAE435F1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xjllb_600801.html?type=year" connectionId="442" xr16:uid="{D7756EBE-BB2B-42CD-A302-4DD967320A2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xjllb_300417.html?type=year_1" connectionId="674" xr16:uid="{48B05D1B-EB4F-4008-B9D8-94D2D7D3573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xjllb_601668.html?type=year" connectionId="686" xr16:uid="{7CA76384-0B8C-43BC-859D-4C17E18CEF2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zcfzb_600031.html?type=year_1" connectionId="380" xr16:uid="{C5FDE179-B8CC-4DF8-A5E4-6930961E4CF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zcfzb_600031.html?type=year" connectionId="260" xr16:uid="{10BFD87A-CFDD-45CC-B580-47AB4FDDF7C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lrb_600031.html?type=year_1" connectionId="56" xr16:uid="{CDC26AB2-A802-4289-9FC6-DC1286073F7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lrb_600031.html?type=year" connectionId="25" xr16:uid="{9DC227E9-E390-46FD-AC7A-AB97437DF20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xjllb_600031.html?type=year_1" connectionId="96" xr16:uid="{4DA2A869-C19D-46C8-8C73-6A53E511949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xjllb_600031.html?type=year" connectionId="76" xr16:uid="{5A82ACF7-37E6-4E93-BE3D-59D11CD7DD2A}" autoFormatId="16" applyNumberFormats="0" applyBorderFormats="0" applyFontFormats="1" applyPatternFormats="1" applyAlignmentFormats="0" applyWidthHeightFormats="0"/>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102" Type="http://schemas.openxmlformats.org/officeDocument/2006/relationships/queryTable" Target="../queryTables/queryTable102.xml"/><Relationship Id="rId5" Type="http://schemas.openxmlformats.org/officeDocument/2006/relationships/queryTable" Target="../queryTables/queryTable5.xml"/><Relationship Id="rId90" Type="http://schemas.openxmlformats.org/officeDocument/2006/relationships/queryTable" Target="../queryTables/queryTable90.xml"/><Relationship Id="rId95" Type="http://schemas.openxmlformats.org/officeDocument/2006/relationships/queryTable" Target="../queryTables/queryTable95.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0" Type="http://schemas.openxmlformats.org/officeDocument/2006/relationships/queryTable" Target="../queryTables/queryTable80.xml"/><Relationship Id="rId85" Type="http://schemas.openxmlformats.org/officeDocument/2006/relationships/queryTable" Target="../queryTables/queryTable85.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96" Type="http://schemas.openxmlformats.org/officeDocument/2006/relationships/queryTable" Target="../queryTables/queryTable96.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94" Type="http://schemas.openxmlformats.org/officeDocument/2006/relationships/queryTable" Target="../queryTables/queryTable94.xml"/><Relationship Id="rId99" Type="http://schemas.openxmlformats.org/officeDocument/2006/relationships/queryTable" Target="../queryTables/queryTable99.xml"/><Relationship Id="rId101" Type="http://schemas.openxmlformats.org/officeDocument/2006/relationships/queryTable" Target="../queryTables/queryTable101.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98" Type="http://schemas.openxmlformats.org/officeDocument/2006/relationships/queryTable" Target="../queryTables/queryTable98.xml"/><Relationship Id="rId3"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6" Type="http://schemas.openxmlformats.org/officeDocument/2006/relationships/queryTable" Target="../queryTables/queryTable128.xml"/><Relationship Id="rId21" Type="http://schemas.openxmlformats.org/officeDocument/2006/relationships/queryTable" Target="../queryTables/queryTable123.xml"/><Relationship Id="rId42" Type="http://schemas.openxmlformats.org/officeDocument/2006/relationships/queryTable" Target="../queryTables/queryTable144.xml"/><Relationship Id="rId47" Type="http://schemas.openxmlformats.org/officeDocument/2006/relationships/queryTable" Target="../queryTables/queryTable149.xml"/><Relationship Id="rId63" Type="http://schemas.openxmlformats.org/officeDocument/2006/relationships/queryTable" Target="../queryTables/queryTable165.xml"/><Relationship Id="rId68" Type="http://schemas.openxmlformats.org/officeDocument/2006/relationships/queryTable" Target="../queryTables/queryTable170.xml"/><Relationship Id="rId84" Type="http://schemas.openxmlformats.org/officeDocument/2006/relationships/queryTable" Target="../queryTables/queryTable186.xml"/><Relationship Id="rId89" Type="http://schemas.openxmlformats.org/officeDocument/2006/relationships/queryTable" Target="../queryTables/queryTable191.xml"/><Relationship Id="rId112" Type="http://schemas.openxmlformats.org/officeDocument/2006/relationships/queryTable" Target="../queryTables/queryTable214.xml"/><Relationship Id="rId16" Type="http://schemas.openxmlformats.org/officeDocument/2006/relationships/queryTable" Target="../queryTables/queryTable118.xml"/><Relationship Id="rId107" Type="http://schemas.openxmlformats.org/officeDocument/2006/relationships/queryTable" Target="../queryTables/queryTable209.xml"/><Relationship Id="rId11" Type="http://schemas.openxmlformats.org/officeDocument/2006/relationships/queryTable" Target="../queryTables/queryTable113.xml"/><Relationship Id="rId32" Type="http://schemas.openxmlformats.org/officeDocument/2006/relationships/queryTable" Target="../queryTables/queryTable134.xml"/><Relationship Id="rId37" Type="http://schemas.openxmlformats.org/officeDocument/2006/relationships/queryTable" Target="../queryTables/queryTable139.xml"/><Relationship Id="rId53" Type="http://schemas.openxmlformats.org/officeDocument/2006/relationships/queryTable" Target="../queryTables/queryTable155.xml"/><Relationship Id="rId58" Type="http://schemas.openxmlformats.org/officeDocument/2006/relationships/queryTable" Target="../queryTables/queryTable160.xml"/><Relationship Id="rId74" Type="http://schemas.openxmlformats.org/officeDocument/2006/relationships/queryTable" Target="../queryTables/queryTable176.xml"/><Relationship Id="rId79" Type="http://schemas.openxmlformats.org/officeDocument/2006/relationships/queryTable" Target="../queryTables/queryTable181.xml"/><Relationship Id="rId102" Type="http://schemas.openxmlformats.org/officeDocument/2006/relationships/queryTable" Target="../queryTables/queryTable204.xml"/><Relationship Id="rId5" Type="http://schemas.openxmlformats.org/officeDocument/2006/relationships/queryTable" Target="../queryTables/queryTable107.xml"/><Relationship Id="rId90" Type="http://schemas.openxmlformats.org/officeDocument/2006/relationships/queryTable" Target="../queryTables/queryTable192.xml"/><Relationship Id="rId95" Type="http://schemas.openxmlformats.org/officeDocument/2006/relationships/queryTable" Target="../queryTables/queryTable197.xml"/><Relationship Id="rId22" Type="http://schemas.openxmlformats.org/officeDocument/2006/relationships/queryTable" Target="../queryTables/queryTable124.xml"/><Relationship Id="rId27" Type="http://schemas.openxmlformats.org/officeDocument/2006/relationships/queryTable" Target="../queryTables/queryTable129.xml"/><Relationship Id="rId43" Type="http://schemas.openxmlformats.org/officeDocument/2006/relationships/queryTable" Target="../queryTables/queryTable145.xml"/><Relationship Id="rId48" Type="http://schemas.openxmlformats.org/officeDocument/2006/relationships/queryTable" Target="../queryTables/queryTable150.xml"/><Relationship Id="rId64" Type="http://schemas.openxmlformats.org/officeDocument/2006/relationships/queryTable" Target="../queryTables/queryTable166.xml"/><Relationship Id="rId69" Type="http://schemas.openxmlformats.org/officeDocument/2006/relationships/queryTable" Target="../queryTables/queryTable171.xml"/><Relationship Id="rId80" Type="http://schemas.openxmlformats.org/officeDocument/2006/relationships/queryTable" Target="../queryTables/queryTable182.xml"/><Relationship Id="rId85" Type="http://schemas.openxmlformats.org/officeDocument/2006/relationships/queryTable" Target="../queryTables/queryTable187.xml"/><Relationship Id="rId12" Type="http://schemas.openxmlformats.org/officeDocument/2006/relationships/queryTable" Target="../queryTables/queryTable114.xml"/><Relationship Id="rId17" Type="http://schemas.openxmlformats.org/officeDocument/2006/relationships/queryTable" Target="../queryTables/queryTable119.xml"/><Relationship Id="rId33" Type="http://schemas.openxmlformats.org/officeDocument/2006/relationships/queryTable" Target="../queryTables/queryTable135.xml"/><Relationship Id="rId38" Type="http://schemas.openxmlformats.org/officeDocument/2006/relationships/queryTable" Target="../queryTables/queryTable140.xml"/><Relationship Id="rId59" Type="http://schemas.openxmlformats.org/officeDocument/2006/relationships/queryTable" Target="../queryTables/queryTable161.xml"/><Relationship Id="rId103" Type="http://schemas.openxmlformats.org/officeDocument/2006/relationships/queryTable" Target="../queryTables/queryTable205.xml"/><Relationship Id="rId108" Type="http://schemas.openxmlformats.org/officeDocument/2006/relationships/queryTable" Target="../queryTables/queryTable210.xml"/><Relationship Id="rId54" Type="http://schemas.openxmlformats.org/officeDocument/2006/relationships/queryTable" Target="../queryTables/queryTable156.xml"/><Relationship Id="rId70" Type="http://schemas.openxmlformats.org/officeDocument/2006/relationships/queryTable" Target="../queryTables/queryTable172.xml"/><Relationship Id="rId75" Type="http://schemas.openxmlformats.org/officeDocument/2006/relationships/queryTable" Target="../queryTables/queryTable177.xml"/><Relationship Id="rId91" Type="http://schemas.openxmlformats.org/officeDocument/2006/relationships/queryTable" Target="../queryTables/queryTable193.xml"/><Relationship Id="rId96" Type="http://schemas.openxmlformats.org/officeDocument/2006/relationships/queryTable" Target="../queryTables/queryTable198.xml"/><Relationship Id="rId1" Type="http://schemas.openxmlformats.org/officeDocument/2006/relationships/queryTable" Target="../queryTables/queryTable103.xml"/><Relationship Id="rId6" Type="http://schemas.openxmlformats.org/officeDocument/2006/relationships/queryTable" Target="../queryTables/queryTable108.xml"/><Relationship Id="rId15" Type="http://schemas.openxmlformats.org/officeDocument/2006/relationships/queryTable" Target="../queryTables/queryTable117.xml"/><Relationship Id="rId23" Type="http://schemas.openxmlformats.org/officeDocument/2006/relationships/queryTable" Target="../queryTables/queryTable125.xml"/><Relationship Id="rId28" Type="http://schemas.openxmlformats.org/officeDocument/2006/relationships/queryTable" Target="../queryTables/queryTable130.xml"/><Relationship Id="rId36" Type="http://schemas.openxmlformats.org/officeDocument/2006/relationships/queryTable" Target="../queryTables/queryTable138.xml"/><Relationship Id="rId49" Type="http://schemas.openxmlformats.org/officeDocument/2006/relationships/queryTable" Target="../queryTables/queryTable151.xml"/><Relationship Id="rId57" Type="http://schemas.openxmlformats.org/officeDocument/2006/relationships/queryTable" Target="../queryTables/queryTable159.xml"/><Relationship Id="rId106" Type="http://schemas.openxmlformats.org/officeDocument/2006/relationships/queryTable" Target="../queryTables/queryTable208.xml"/><Relationship Id="rId10" Type="http://schemas.openxmlformats.org/officeDocument/2006/relationships/queryTable" Target="../queryTables/queryTable112.xml"/><Relationship Id="rId31" Type="http://schemas.openxmlformats.org/officeDocument/2006/relationships/queryTable" Target="../queryTables/queryTable133.xml"/><Relationship Id="rId44" Type="http://schemas.openxmlformats.org/officeDocument/2006/relationships/queryTable" Target="../queryTables/queryTable146.xml"/><Relationship Id="rId52" Type="http://schemas.openxmlformats.org/officeDocument/2006/relationships/queryTable" Target="../queryTables/queryTable154.xml"/><Relationship Id="rId60" Type="http://schemas.openxmlformats.org/officeDocument/2006/relationships/queryTable" Target="../queryTables/queryTable162.xml"/><Relationship Id="rId65" Type="http://schemas.openxmlformats.org/officeDocument/2006/relationships/queryTable" Target="../queryTables/queryTable167.xml"/><Relationship Id="rId73" Type="http://schemas.openxmlformats.org/officeDocument/2006/relationships/queryTable" Target="../queryTables/queryTable175.xml"/><Relationship Id="rId78" Type="http://schemas.openxmlformats.org/officeDocument/2006/relationships/queryTable" Target="../queryTables/queryTable180.xml"/><Relationship Id="rId81" Type="http://schemas.openxmlformats.org/officeDocument/2006/relationships/queryTable" Target="../queryTables/queryTable183.xml"/><Relationship Id="rId86" Type="http://schemas.openxmlformats.org/officeDocument/2006/relationships/queryTable" Target="../queryTables/queryTable188.xml"/><Relationship Id="rId94" Type="http://schemas.openxmlformats.org/officeDocument/2006/relationships/queryTable" Target="../queryTables/queryTable196.xml"/><Relationship Id="rId99" Type="http://schemas.openxmlformats.org/officeDocument/2006/relationships/queryTable" Target="../queryTables/queryTable201.xml"/><Relationship Id="rId101" Type="http://schemas.openxmlformats.org/officeDocument/2006/relationships/queryTable" Target="../queryTables/queryTable203.xml"/><Relationship Id="rId4" Type="http://schemas.openxmlformats.org/officeDocument/2006/relationships/queryTable" Target="../queryTables/queryTable106.xml"/><Relationship Id="rId9" Type="http://schemas.openxmlformats.org/officeDocument/2006/relationships/queryTable" Target="../queryTables/queryTable111.xml"/><Relationship Id="rId13" Type="http://schemas.openxmlformats.org/officeDocument/2006/relationships/queryTable" Target="../queryTables/queryTable115.xml"/><Relationship Id="rId18" Type="http://schemas.openxmlformats.org/officeDocument/2006/relationships/queryTable" Target="../queryTables/queryTable120.xml"/><Relationship Id="rId39" Type="http://schemas.openxmlformats.org/officeDocument/2006/relationships/queryTable" Target="../queryTables/queryTable141.xml"/><Relationship Id="rId109" Type="http://schemas.openxmlformats.org/officeDocument/2006/relationships/queryTable" Target="../queryTables/queryTable211.xml"/><Relationship Id="rId34" Type="http://schemas.openxmlformats.org/officeDocument/2006/relationships/queryTable" Target="../queryTables/queryTable136.xml"/><Relationship Id="rId50" Type="http://schemas.openxmlformats.org/officeDocument/2006/relationships/queryTable" Target="../queryTables/queryTable152.xml"/><Relationship Id="rId55" Type="http://schemas.openxmlformats.org/officeDocument/2006/relationships/queryTable" Target="../queryTables/queryTable157.xml"/><Relationship Id="rId76" Type="http://schemas.openxmlformats.org/officeDocument/2006/relationships/queryTable" Target="../queryTables/queryTable178.xml"/><Relationship Id="rId97" Type="http://schemas.openxmlformats.org/officeDocument/2006/relationships/queryTable" Target="../queryTables/queryTable199.xml"/><Relationship Id="rId104" Type="http://schemas.openxmlformats.org/officeDocument/2006/relationships/queryTable" Target="../queryTables/queryTable206.xml"/><Relationship Id="rId7" Type="http://schemas.openxmlformats.org/officeDocument/2006/relationships/queryTable" Target="../queryTables/queryTable109.xml"/><Relationship Id="rId71" Type="http://schemas.openxmlformats.org/officeDocument/2006/relationships/queryTable" Target="../queryTables/queryTable173.xml"/><Relationship Id="rId92" Type="http://schemas.openxmlformats.org/officeDocument/2006/relationships/queryTable" Target="../queryTables/queryTable194.xml"/><Relationship Id="rId2" Type="http://schemas.openxmlformats.org/officeDocument/2006/relationships/queryTable" Target="../queryTables/queryTable104.xml"/><Relationship Id="rId29" Type="http://schemas.openxmlformats.org/officeDocument/2006/relationships/queryTable" Target="../queryTables/queryTable131.xml"/><Relationship Id="rId24" Type="http://schemas.openxmlformats.org/officeDocument/2006/relationships/queryTable" Target="../queryTables/queryTable126.xml"/><Relationship Id="rId40" Type="http://schemas.openxmlformats.org/officeDocument/2006/relationships/queryTable" Target="../queryTables/queryTable142.xml"/><Relationship Id="rId45" Type="http://schemas.openxmlformats.org/officeDocument/2006/relationships/queryTable" Target="../queryTables/queryTable147.xml"/><Relationship Id="rId66" Type="http://schemas.openxmlformats.org/officeDocument/2006/relationships/queryTable" Target="../queryTables/queryTable168.xml"/><Relationship Id="rId87" Type="http://schemas.openxmlformats.org/officeDocument/2006/relationships/queryTable" Target="../queryTables/queryTable189.xml"/><Relationship Id="rId110" Type="http://schemas.openxmlformats.org/officeDocument/2006/relationships/queryTable" Target="../queryTables/queryTable212.xml"/><Relationship Id="rId61" Type="http://schemas.openxmlformats.org/officeDocument/2006/relationships/queryTable" Target="../queryTables/queryTable163.xml"/><Relationship Id="rId82" Type="http://schemas.openxmlformats.org/officeDocument/2006/relationships/queryTable" Target="../queryTables/queryTable184.xml"/><Relationship Id="rId19" Type="http://schemas.openxmlformats.org/officeDocument/2006/relationships/queryTable" Target="../queryTables/queryTable121.xml"/><Relationship Id="rId14" Type="http://schemas.openxmlformats.org/officeDocument/2006/relationships/queryTable" Target="../queryTables/queryTable116.xml"/><Relationship Id="rId30" Type="http://schemas.openxmlformats.org/officeDocument/2006/relationships/queryTable" Target="../queryTables/queryTable132.xml"/><Relationship Id="rId35" Type="http://schemas.openxmlformats.org/officeDocument/2006/relationships/queryTable" Target="../queryTables/queryTable137.xml"/><Relationship Id="rId56" Type="http://schemas.openxmlformats.org/officeDocument/2006/relationships/queryTable" Target="../queryTables/queryTable158.xml"/><Relationship Id="rId77" Type="http://schemas.openxmlformats.org/officeDocument/2006/relationships/queryTable" Target="../queryTables/queryTable179.xml"/><Relationship Id="rId100" Type="http://schemas.openxmlformats.org/officeDocument/2006/relationships/queryTable" Target="../queryTables/queryTable202.xml"/><Relationship Id="rId105" Type="http://schemas.openxmlformats.org/officeDocument/2006/relationships/queryTable" Target="../queryTables/queryTable207.xml"/><Relationship Id="rId8" Type="http://schemas.openxmlformats.org/officeDocument/2006/relationships/queryTable" Target="../queryTables/queryTable110.xml"/><Relationship Id="rId51" Type="http://schemas.openxmlformats.org/officeDocument/2006/relationships/queryTable" Target="../queryTables/queryTable153.xml"/><Relationship Id="rId72" Type="http://schemas.openxmlformats.org/officeDocument/2006/relationships/queryTable" Target="../queryTables/queryTable174.xml"/><Relationship Id="rId93" Type="http://schemas.openxmlformats.org/officeDocument/2006/relationships/queryTable" Target="../queryTables/queryTable195.xml"/><Relationship Id="rId98" Type="http://schemas.openxmlformats.org/officeDocument/2006/relationships/queryTable" Target="../queryTables/queryTable200.xml"/><Relationship Id="rId3" Type="http://schemas.openxmlformats.org/officeDocument/2006/relationships/queryTable" Target="../queryTables/queryTable105.xml"/><Relationship Id="rId25" Type="http://schemas.openxmlformats.org/officeDocument/2006/relationships/queryTable" Target="../queryTables/queryTable127.xml"/><Relationship Id="rId46" Type="http://schemas.openxmlformats.org/officeDocument/2006/relationships/queryTable" Target="../queryTables/queryTable148.xml"/><Relationship Id="rId67" Type="http://schemas.openxmlformats.org/officeDocument/2006/relationships/queryTable" Target="../queryTables/queryTable169.xml"/><Relationship Id="rId20" Type="http://schemas.openxmlformats.org/officeDocument/2006/relationships/queryTable" Target="../queryTables/queryTable122.xml"/><Relationship Id="rId41" Type="http://schemas.openxmlformats.org/officeDocument/2006/relationships/queryTable" Target="../queryTables/queryTable143.xml"/><Relationship Id="rId62" Type="http://schemas.openxmlformats.org/officeDocument/2006/relationships/queryTable" Target="../queryTables/queryTable164.xml"/><Relationship Id="rId83" Type="http://schemas.openxmlformats.org/officeDocument/2006/relationships/queryTable" Target="../queryTables/queryTable185.xml"/><Relationship Id="rId88" Type="http://schemas.openxmlformats.org/officeDocument/2006/relationships/queryTable" Target="../queryTables/queryTable190.xml"/><Relationship Id="rId111" Type="http://schemas.openxmlformats.org/officeDocument/2006/relationships/queryTable" Target="../queryTables/queryTable213.xml"/></Relationships>
</file>

<file path=xl/worksheets/_rels/sheet17.xml.rels><?xml version="1.0" encoding="UTF-8" standalone="yes"?>
<Relationships xmlns="http://schemas.openxmlformats.org/package/2006/relationships"><Relationship Id="rId26" Type="http://schemas.openxmlformats.org/officeDocument/2006/relationships/queryTable" Target="../queryTables/queryTable240.xml"/><Relationship Id="rId21" Type="http://schemas.openxmlformats.org/officeDocument/2006/relationships/queryTable" Target="../queryTables/queryTable235.xml"/><Relationship Id="rId42" Type="http://schemas.openxmlformats.org/officeDocument/2006/relationships/queryTable" Target="../queryTables/queryTable256.xml"/><Relationship Id="rId47" Type="http://schemas.openxmlformats.org/officeDocument/2006/relationships/queryTable" Target="../queryTables/queryTable261.xml"/><Relationship Id="rId63" Type="http://schemas.openxmlformats.org/officeDocument/2006/relationships/queryTable" Target="../queryTables/queryTable277.xml"/><Relationship Id="rId68" Type="http://schemas.openxmlformats.org/officeDocument/2006/relationships/queryTable" Target="../queryTables/queryTable282.xml"/><Relationship Id="rId84" Type="http://schemas.openxmlformats.org/officeDocument/2006/relationships/queryTable" Target="../queryTables/queryTable298.xml"/><Relationship Id="rId89" Type="http://schemas.openxmlformats.org/officeDocument/2006/relationships/queryTable" Target="../queryTables/queryTable303.xml"/><Relationship Id="rId112" Type="http://schemas.openxmlformats.org/officeDocument/2006/relationships/queryTable" Target="../queryTables/queryTable326.xml"/><Relationship Id="rId16" Type="http://schemas.openxmlformats.org/officeDocument/2006/relationships/queryTable" Target="../queryTables/queryTable230.xml"/><Relationship Id="rId107" Type="http://schemas.openxmlformats.org/officeDocument/2006/relationships/queryTable" Target="../queryTables/queryTable321.xml"/><Relationship Id="rId11" Type="http://schemas.openxmlformats.org/officeDocument/2006/relationships/queryTable" Target="../queryTables/queryTable225.xml"/><Relationship Id="rId32" Type="http://schemas.openxmlformats.org/officeDocument/2006/relationships/queryTable" Target="../queryTables/queryTable246.xml"/><Relationship Id="rId37" Type="http://schemas.openxmlformats.org/officeDocument/2006/relationships/queryTable" Target="../queryTables/queryTable251.xml"/><Relationship Id="rId53" Type="http://schemas.openxmlformats.org/officeDocument/2006/relationships/queryTable" Target="../queryTables/queryTable267.xml"/><Relationship Id="rId58" Type="http://schemas.openxmlformats.org/officeDocument/2006/relationships/queryTable" Target="../queryTables/queryTable272.xml"/><Relationship Id="rId74" Type="http://schemas.openxmlformats.org/officeDocument/2006/relationships/queryTable" Target="../queryTables/queryTable288.xml"/><Relationship Id="rId79" Type="http://schemas.openxmlformats.org/officeDocument/2006/relationships/queryTable" Target="../queryTables/queryTable293.xml"/><Relationship Id="rId102" Type="http://schemas.openxmlformats.org/officeDocument/2006/relationships/queryTable" Target="../queryTables/queryTable316.xml"/><Relationship Id="rId5" Type="http://schemas.openxmlformats.org/officeDocument/2006/relationships/queryTable" Target="../queryTables/queryTable219.xml"/><Relationship Id="rId90" Type="http://schemas.openxmlformats.org/officeDocument/2006/relationships/queryTable" Target="../queryTables/queryTable304.xml"/><Relationship Id="rId95" Type="http://schemas.openxmlformats.org/officeDocument/2006/relationships/queryTable" Target="../queryTables/queryTable309.xml"/><Relationship Id="rId22" Type="http://schemas.openxmlformats.org/officeDocument/2006/relationships/queryTable" Target="../queryTables/queryTable236.xml"/><Relationship Id="rId27" Type="http://schemas.openxmlformats.org/officeDocument/2006/relationships/queryTable" Target="../queryTables/queryTable241.xml"/><Relationship Id="rId43" Type="http://schemas.openxmlformats.org/officeDocument/2006/relationships/queryTable" Target="../queryTables/queryTable257.xml"/><Relationship Id="rId48" Type="http://schemas.openxmlformats.org/officeDocument/2006/relationships/queryTable" Target="../queryTables/queryTable262.xml"/><Relationship Id="rId64" Type="http://schemas.openxmlformats.org/officeDocument/2006/relationships/queryTable" Target="../queryTables/queryTable278.xml"/><Relationship Id="rId69" Type="http://schemas.openxmlformats.org/officeDocument/2006/relationships/queryTable" Target="../queryTables/queryTable283.xml"/><Relationship Id="rId80" Type="http://schemas.openxmlformats.org/officeDocument/2006/relationships/queryTable" Target="../queryTables/queryTable294.xml"/><Relationship Id="rId85" Type="http://schemas.openxmlformats.org/officeDocument/2006/relationships/queryTable" Target="../queryTables/queryTable299.xml"/><Relationship Id="rId12" Type="http://schemas.openxmlformats.org/officeDocument/2006/relationships/queryTable" Target="../queryTables/queryTable226.xml"/><Relationship Id="rId17" Type="http://schemas.openxmlformats.org/officeDocument/2006/relationships/queryTable" Target="../queryTables/queryTable231.xml"/><Relationship Id="rId33" Type="http://schemas.openxmlformats.org/officeDocument/2006/relationships/queryTable" Target="../queryTables/queryTable247.xml"/><Relationship Id="rId38" Type="http://schemas.openxmlformats.org/officeDocument/2006/relationships/queryTable" Target="../queryTables/queryTable252.xml"/><Relationship Id="rId59" Type="http://schemas.openxmlformats.org/officeDocument/2006/relationships/queryTable" Target="../queryTables/queryTable273.xml"/><Relationship Id="rId103" Type="http://schemas.openxmlformats.org/officeDocument/2006/relationships/queryTable" Target="../queryTables/queryTable317.xml"/><Relationship Id="rId108" Type="http://schemas.openxmlformats.org/officeDocument/2006/relationships/queryTable" Target="../queryTables/queryTable322.xml"/><Relationship Id="rId54" Type="http://schemas.openxmlformats.org/officeDocument/2006/relationships/queryTable" Target="../queryTables/queryTable268.xml"/><Relationship Id="rId70" Type="http://schemas.openxmlformats.org/officeDocument/2006/relationships/queryTable" Target="../queryTables/queryTable284.xml"/><Relationship Id="rId75" Type="http://schemas.openxmlformats.org/officeDocument/2006/relationships/queryTable" Target="../queryTables/queryTable289.xml"/><Relationship Id="rId91" Type="http://schemas.openxmlformats.org/officeDocument/2006/relationships/queryTable" Target="../queryTables/queryTable305.xml"/><Relationship Id="rId96" Type="http://schemas.openxmlformats.org/officeDocument/2006/relationships/queryTable" Target="../queryTables/queryTable310.xml"/><Relationship Id="rId1" Type="http://schemas.openxmlformats.org/officeDocument/2006/relationships/queryTable" Target="../queryTables/queryTable215.xml"/><Relationship Id="rId6" Type="http://schemas.openxmlformats.org/officeDocument/2006/relationships/queryTable" Target="../queryTables/queryTable220.xml"/><Relationship Id="rId15" Type="http://schemas.openxmlformats.org/officeDocument/2006/relationships/queryTable" Target="../queryTables/queryTable229.xml"/><Relationship Id="rId23" Type="http://schemas.openxmlformats.org/officeDocument/2006/relationships/queryTable" Target="../queryTables/queryTable237.xml"/><Relationship Id="rId28" Type="http://schemas.openxmlformats.org/officeDocument/2006/relationships/queryTable" Target="../queryTables/queryTable242.xml"/><Relationship Id="rId36" Type="http://schemas.openxmlformats.org/officeDocument/2006/relationships/queryTable" Target="../queryTables/queryTable250.xml"/><Relationship Id="rId49" Type="http://schemas.openxmlformats.org/officeDocument/2006/relationships/queryTable" Target="../queryTables/queryTable263.xml"/><Relationship Id="rId57" Type="http://schemas.openxmlformats.org/officeDocument/2006/relationships/queryTable" Target="../queryTables/queryTable271.xml"/><Relationship Id="rId106" Type="http://schemas.openxmlformats.org/officeDocument/2006/relationships/queryTable" Target="../queryTables/queryTable320.xml"/><Relationship Id="rId10" Type="http://schemas.openxmlformats.org/officeDocument/2006/relationships/queryTable" Target="../queryTables/queryTable224.xml"/><Relationship Id="rId31" Type="http://schemas.openxmlformats.org/officeDocument/2006/relationships/queryTable" Target="../queryTables/queryTable245.xml"/><Relationship Id="rId44" Type="http://schemas.openxmlformats.org/officeDocument/2006/relationships/queryTable" Target="../queryTables/queryTable258.xml"/><Relationship Id="rId52" Type="http://schemas.openxmlformats.org/officeDocument/2006/relationships/queryTable" Target="../queryTables/queryTable266.xml"/><Relationship Id="rId60" Type="http://schemas.openxmlformats.org/officeDocument/2006/relationships/queryTable" Target="../queryTables/queryTable274.xml"/><Relationship Id="rId65" Type="http://schemas.openxmlformats.org/officeDocument/2006/relationships/queryTable" Target="../queryTables/queryTable279.xml"/><Relationship Id="rId73" Type="http://schemas.openxmlformats.org/officeDocument/2006/relationships/queryTable" Target="../queryTables/queryTable287.xml"/><Relationship Id="rId78" Type="http://schemas.openxmlformats.org/officeDocument/2006/relationships/queryTable" Target="../queryTables/queryTable292.xml"/><Relationship Id="rId81" Type="http://schemas.openxmlformats.org/officeDocument/2006/relationships/queryTable" Target="../queryTables/queryTable295.xml"/><Relationship Id="rId86" Type="http://schemas.openxmlformats.org/officeDocument/2006/relationships/queryTable" Target="../queryTables/queryTable300.xml"/><Relationship Id="rId94" Type="http://schemas.openxmlformats.org/officeDocument/2006/relationships/queryTable" Target="../queryTables/queryTable308.xml"/><Relationship Id="rId99" Type="http://schemas.openxmlformats.org/officeDocument/2006/relationships/queryTable" Target="../queryTables/queryTable313.xml"/><Relationship Id="rId101" Type="http://schemas.openxmlformats.org/officeDocument/2006/relationships/queryTable" Target="../queryTables/queryTable315.xml"/><Relationship Id="rId4" Type="http://schemas.openxmlformats.org/officeDocument/2006/relationships/queryTable" Target="../queryTables/queryTable218.xml"/><Relationship Id="rId9" Type="http://schemas.openxmlformats.org/officeDocument/2006/relationships/queryTable" Target="../queryTables/queryTable223.xml"/><Relationship Id="rId13" Type="http://schemas.openxmlformats.org/officeDocument/2006/relationships/queryTable" Target="../queryTables/queryTable227.xml"/><Relationship Id="rId18" Type="http://schemas.openxmlformats.org/officeDocument/2006/relationships/queryTable" Target="../queryTables/queryTable232.xml"/><Relationship Id="rId39" Type="http://schemas.openxmlformats.org/officeDocument/2006/relationships/queryTable" Target="../queryTables/queryTable253.xml"/><Relationship Id="rId109" Type="http://schemas.openxmlformats.org/officeDocument/2006/relationships/queryTable" Target="../queryTables/queryTable323.xml"/><Relationship Id="rId34" Type="http://schemas.openxmlformats.org/officeDocument/2006/relationships/queryTable" Target="../queryTables/queryTable248.xml"/><Relationship Id="rId50" Type="http://schemas.openxmlformats.org/officeDocument/2006/relationships/queryTable" Target="../queryTables/queryTable264.xml"/><Relationship Id="rId55" Type="http://schemas.openxmlformats.org/officeDocument/2006/relationships/queryTable" Target="../queryTables/queryTable269.xml"/><Relationship Id="rId76" Type="http://schemas.openxmlformats.org/officeDocument/2006/relationships/queryTable" Target="../queryTables/queryTable290.xml"/><Relationship Id="rId97" Type="http://schemas.openxmlformats.org/officeDocument/2006/relationships/queryTable" Target="../queryTables/queryTable311.xml"/><Relationship Id="rId104" Type="http://schemas.openxmlformats.org/officeDocument/2006/relationships/queryTable" Target="../queryTables/queryTable318.xml"/><Relationship Id="rId7" Type="http://schemas.openxmlformats.org/officeDocument/2006/relationships/queryTable" Target="../queryTables/queryTable221.xml"/><Relationship Id="rId71" Type="http://schemas.openxmlformats.org/officeDocument/2006/relationships/queryTable" Target="../queryTables/queryTable285.xml"/><Relationship Id="rId92" Type="http://schemas.openxmlformats.org/officeDocument/2006/relationships/queryTable" Target="../queryTables/queryTable306.xml"/><Relationship Id="rId2" Type="http://schemas.openxmlformats.org/officeDocument/2006/relationships/queryTable" Target="../queryTables/queryTable216.xml"/><Relationship Id="rId29" Type="http://schemas.openxmlformats.org/officeDocument/2006/relationships/queryTable" Target="../queryTables/queryTable243.xml"/><Relationship Id="rId24" Type="http://schemas.openxmlformats.org/officeDocument/2006/relationships/queryTable" Target="../queryTables/queryTable238.xml"/><Relationship Id="rId40" Type="http://schemas.openxmlformats.org/officeDocument/2006/relationships/queryTable" Target="../queryTables/queryTable254.xml"/><Relationship Id="rId45" Type="http://schemas.openxmlformats.org/officeDocument/2006/relationships/queryTable" Target="../queryTables/queryTable259.xml"/><Relationship Id="rId66" Type="http://schemas.openxmlformats.org/officeDocument/2006/relationships/queryTable" Target="../queryTables/queryTable280.xml"/><Relationship Id="rId87" Type="http://schemas.openxmlformats.org/officeDocument/2006/relationships/queryTable" Target="../queryTables/queryTable301.xml"/><Relationship Id="rId110" Type="http://schemas.openxmlformats.org/officeDocument/2006/relationships/queryTable" Target="../queryTables/queryTable324.xml"/><Relationship Id="rId61" Type="http://schemas.openxmlformats.org/officeDocument/2006/relationships/queryTable" Target="../queryTables/queryTable275.xml"/><Relationship Id="rId82" Type="http://schemas.openxmlformats.org/officeDocument/2006/relationships/queryTable" Target="../queryTables/queryTable296.xml"/><Relationship Id="rId19" Type="http://schemas.openxmlformats.org/officeDocument/2006/relationships/queryTable" Target="../queryTables/queryTable233.xml"/><Relationship Id="rId14" Type="http://schemas.openxmlformats.org/officeDocument/2006/relationships/queryTable" Target="../queryTables/queryTable228.xml"/><Relationship Id="rId30" Type="http://schemas.openxmlformats.org/officeDocument/2006/relationships/queryTable" Target="../queryTables/queryTable244.xml"/><Relationship Id="rId35" Type="http://schemas.openxmlformats.org/officeDocument/2006/relationships/queryTable" Target="../queryTables/queryTable249.xml"/><Relationship Id="rId56" Type="http://schemas.openxmlformats.org/officeDocument/2006/relationships/queryTable" Target="../queryTables/queryTable270.xml"/><Relationship Id="rId77" Type="http://schemas.openxmlformats.org/officeDocument/2006/relationships/queryTable" Target="../queryTables/queryTable291.xml"/><Relationship Id="rId100" Type="http://schemas.openxmlformats.org/officeDocument/2006/relationships/queryTable" Target="../queryTables/queryTable314.xml"/><Relationship Id="rId105" Type="http://schemas.openxmlformats.org/officeDocument/2006/relationships/queryTable" Target="../queryTables/queryTable319.xml"/><Relationship Id="rId8" Type="http://schemas.openxmlformats.org/officeDocument/2006/relationships/queryTable" Target="../queryTables/queryTable222.xml"/><Relationship Id="rId51" Type="http://schemas.openxmlformats.org/officeDocument/2006/relationships/queryTable" Target="../queryTables/queryTable265.xml"/><Relationship Id="rId72" Type="http://schemas.openxmlformats.org/officeDocument/2006/relationships/queryTable" Target="../queryTables/queryTable286.xml"/><Relationship Id="rId93" Type="http://schemas.openxmlformats.org/officeDocument/2006/relationships/queryTable" Target="../queryTables/queryTable307.xml"/><Relationship Id="rId98" Type="http://schemas.openxmlformats.org/officeDocument/2006/relationships/queryTable" Target="../queryTables/queryTable312.xml"/><Relationship Id="rId3" Type="http://schemas.openxmlformats.org/officeDocument/2006/relationships/queryTable" Target="../queryTables/queryTable217.xml"/><Relationship Id="rId25" Type="http://schemas.openxmlformats.org/officeDocument/2006/relationships/queryTable" Target="../queryTables/queryTable239.xml"/><Relationship Id="rId46" Type="http://schemas.openxmlformats.org/officeDocument/2006/relationships/queryTable" Target="../queryTables/queryTable260.xml"/><Relationship Id="rId67" Type="http://schemas.openxmlformats.org/officeDocument/2006/relationships/queryTable" Target="../queryTables/queryTable281.xml"/><Relationship Id="rId20" Type="http://schemas.openxmlformats.org/officeDocument/2006/relationships/queryTable" Target="../queryTables/queryTable234.xml"/><Relationship Id="rId41" Type="http://schemas.openxmlformats.org/officeDocument/2006/relationships/queryTable" Target="../queryTables/queryTable255.xml"/><Relationship Id="rId62" Type="http://schemas.openxmlformats.org/officeDocument/2006/relationships/queryTable" Target="../queryTables/queryTable276.xml"/><Relationship Id="rId83" Type="http://schemas.openxmlformats.org/officeDocument/2006/relationships/queryTable" Target="../queryTables/queryTable297.xml"/><Relationship Id="rId88" Type="http://schemas.openxmlformats.org/officeDocument/2006/relationships/queryTable" Target="../queryTables/queryTable302.xml"/><Relationship Id="rId111" Type="http://schemas.openxmlformats.org/officeDocument/2006/relationships/queryTable" Target="../queryTables/queryTable325.xml"/></Relationships>
</file>

<file path=xl/worksheets/_rels/sheet18.xml.rels><?xml version="1.0" encoding="UTF-8" standalone="yes"?>
<Relationships xmlns="http://schemas.openxmlformats.org/package/2006/relationships"><Relationship Id="rId26" Type="http://schemas.openxmlformats.org/officeDocument/2006/relationships/queryTable" Target="../queryTables/queryTable352.xml"/><Relationship Id="rId21" Type="http://schemas.openxmlformats.org/officeDocument/2006/relationships/queryTable" Target="../queryTables/queryTable347.xml"/><Relationship Id="rId42" Type="http://schemas.openxmlformats.org/officeDocument/2006/relationships/queryTable" Target="../queryTables/queryTable368.xml"/><Relationship Id="rId47" Type="http://schemas.openxmlformats.org/officeDocument/2006/relationships/queryTable" Target="../queryTables/queryTable373.xml"/><Relationship Id="rId63" Type="http://schemas.openxmlformats.org/officeDocument/2006/relationships/queryTable" Target="../queryTables/queryTable389.xml"/><Relationship Id="rId68" Type="http://schemas.openxmlformats.org/officeDocument/2006/relationships/queryTable" Target="../queryTables/queryTable394.xml"/><Relationship Id="rId84" Type="http://schemas.openxmlformats.org/officeDocument/2006/relationships/queryTable" Target="../queryTables/queryTable410.xml"/><Relationship Id="rId89" Type="http://schemas.openxmlformats.org/officeDocument/2006/relationships/queryTable" Target="../queryTables/queryTable415.xml"/><Relationship Id="rId112" Type="http://schemas.openxmlformats.org/officeDocument/2006/relationships/queryTable" Target="../queryTables/queryTable438.xml"/><Relationship Id="rId16" Type="http://schemas.openxmlformats.org/officeDocument/2006/relationships/queryTable" Target="../queryTables/queryTable342.xml"/><Relationship Id="rId107" Type="http://schemas.openxmlformats.org/officeDocument/2006/relationships/queryTable" Target="../queryTables/queryTable433.xml"/><Relationship Id="rId11" Type="http://schemas.openxmlformats.org/officeDocument/2006/relationships/queryTable" Target="../queryTables/queryTable337.xml"/><Relationship Id="rId32" Type="http://schemas.openxmlformats.org/officeDocument/2006/relationships/queryTable" Target="../queryTables/queryTable358.xml"/><Relationship Id="rId37" Type="http://schemas.openxmlformats.org/officeDocument/2006/relationships/queryTable" Target="../queryTables/queryTable363.xml"/><Relationship Id="rId53" Type="http://schemas.openxmlformats.org/officeDocument/2006/relationships/queryTable" Target="../queryTables/queryTable379.xml"/><Relationship Id="rId58" Type="http://schemas.openxmlformats.org/officeDocument/2006/relationships/queryTable" Target="../queryTables/queryTable384.xml"/><Relationship Id="rId74" Type="http://schemas.openxmlformats.org/officeDocument/2006/relationships/queryTable" Target="../queryTables/queryTable400.xml"/><Relationship Id="rId79" Type="http://schemas.openxmlformats.org/officeDocument/2006/relationships/queryTable" Target="../queryTables/queryTable405.xml"/><Relationship Id="rId102" Type="http://schemas.openxmlformats.org/officeDocument/2006/relationships/queryTable" Target="../queryTables/queryTable428.xml"/><Relationship Id="rId5" Type="http://schemas.openxmlformats.org/officeDocument/2006/relationships/queryTable" Target="../queryTables/queryTable331.xml"/><Relationship Id="rId90" Type="http://schemas.openxmlformats.org/officeDocument/2006/relationships/queryTable" Target="../queryTables/queryTable416.xml"/><Relationship Id="rId95" Type="http://schemas.openxmlformats.org/officeDocument/2006/relationships/queryTable" Target="../queryTables/queryTable421.xml"/><Relationship Id="rId22" Type="http://schemas.openxmlformats.org/officeDocument/2006/relationships/queryTable" Target="../queryTables/queryTable348.xml"/><Relationship Id="rId27" Type="http://schemas.openxmlformats.org/officeDocument/2006/relationships/queryTable" Target="../queryTables/queryTable353.xml"/><Relationship Id="rId43" Type="http://schemas.openxmlformats.org/officeDocument/2006/relationships/queryTable" Target="../queryTables/queryTable369.xml"/><Relationship Id="rId48" Type="http://schemas.openxmlformats.org/officeDocument/2006/relationships/queryTable" Target="../queryTables/queryTable374.xml"/><Relationship Id="rId64" Type="http://schemas.openxmlformats.org/officeDocument/2006/relationships/queryTable" Target="../queryTables/queryTable390.xml"/><Relationship Id="rId69" Type="http://schemas.openxmlformats.org/officeDocument/2006/relationships/queryTable" Target="../queryTables/queryTable395.xml"/><Relationship Id="rId80" Type="http://schemas.openxmlformats.org/officeDocument/2006/relationships/queryTable" Target="../queryTables/queryTable406.xml"/><Relationship Id="rId85" Type="http://schemas.openxmlformats.org/officeDocument/2006/relationships/queryTable" Target="../queryTables/queryTable411.xml"/><Relationship Id="rId12" Type="http://schemas.openxmlformats.org/officeDocument/2006/relationships/queryTable" Target="../queryTables/queryTable338.xml"/><Relationship Id="rId17" Type="http://schemas.openxmlformats.org/officeDocument/2006/relationships/queryTable" Target="../queryTables/queryTable343.xml"/><Relationship Id="rId33" Type="http://schemas.openxmlformats.org/officeDocument/2006/relationships/queryTable" Target="../queryTables/queryTable359.xml"/><Relationship Id="rId38" Type="http://schemas.openxmlformats.org/officeDocument/2006/relationships/queryTable" Target="../queryTables/queryTable364.xml"/><Relationship Id="rId59" Type="http://schemas.openxmlformats.org/officeDocument/2006/relationships/queryTable" Target="../queryTables/queryTable385.xml"/><Relationship Id="rId103" Type="http://schemas.openxmlformats.org/officeDocument/2006/relationships/queryTable" Target="../queryTables/queryTable429.xml"/><Relationship Id="rId108" Type="http://schemas.openxmlformats.org/officeDocument/2006/relationships/queryTable" Target="../queryTables/queryTable434.xml"/><Relationship Id="rId54" Type="http://schemas.openxmlformats.org/officeDocument/2006/relationships/queryTable" Target="../queryTables/queryTable380.xml"/><Relationship Id="rId70" Type="http://schemas.openxmlformats.org/officeDocument/2006/relationships/queryTable" Target="../queryTables/queryTable396.xml"/><Relationship Id="rId75" Type="http://schemas.openxmlformats.org/officeDocument/2006/relationships/queryTable" Target="../queryTables/queryTable401.xml"/><Relationship Id="rId91" Type="http://schemas.openxmlformats.org/officeDocument/2006/relationships/queryTable" Target="../queryTables/queryTable417.xml"/><Relationship Id="rId96" Type="http://schemas.openxmlformats.org/officeDocument/2006/relationships/queryTable" Target="../queryTables/queryTable422.xml"/><Relationship Id="rId1" Type="http://schemas.openxmlformats.org/officeDocument/2006/relationships/queryTable" Target="../queryTables/queryTable327.xml"/><Relationship Id="rId6" Type="http://schemas.openxmlformats.org/officeDocument/2006/relationships/queryTable" Target="../queryTables/queryTable332.xml"/><Relationship Id="rId15" Type="http://schemas.openxmlformats.org/officeDocument/2006/relationships/queryTable" Target="../queryTables/queryTable341.xml"/><Relationship Id="rId23" Type="http://schemas.openxmlformats.org/officeDocument/2006/relationships/queryTable" Target="../queryTables/queryTable349.xml"/><Relationship Id="rId28" Type="http://schemas.openxmlformats.org/officeDocument/2006/relationships/queryTable" Target="../queryTables/queryTable354.xml"/><Relationship Id="rId36" Type="http://schemas.openxmlformats.org/officeDocument/2006/relationships/queryTable" Target="../queryTables/queryTable362.xml"/><Relationship Id="rId49" Type="http://schemas.openxmlformats.org/officeDocument/2006/relationships/queryTable" Target="../queryTables/queryTable375.xml"/><Relationship Id="rId57" Type="http://schemas.openxmlformats.org/officeDocument/2006/relationships/queryTable" Target="../queryTables/queryTable383.xml"/><Relationship Id="rId106" Type="http://schemas.openxmlformats.org/officeDocument/2006/relationships/queryTable" Target="../queryTables/queryTable432.xml"/><Relationship Id="rId10" Type="http://schemas.openxmlformats.org/officeDocument/2006/relationships/queryTable" Target="../queryTables/queryTable336.xml"/><Relationship Id="rId31" Type="http://schemas.openxmlformats.org/officeDocument/2006/relationships/queryTable" Target="../queryTables/queryTable357.xml"/><Relationship Id="rId44" Type="http://schemas.openxmlformats.org/officeDocument/2006/relationships/queryTable" Target="../queryTables/queryTable370.xml"/><Relationship Id="rId52" Type="http://schemas.openxmlformats.org/officeDocument/2006/relationships/queryTable" Target="../queryTables/queryTable378.xml"/><Relationship Id="rId60" Type="http://schemas.openxmlformats.org/officeDocument/2006/relationships/queryTable" Target="../queryTables/queryTable386.xml"/><Relationship Id="rId65" Type="http://schemas.openxmlformats.org/officeDocument/2006/relationships/queryTable" Target="../queryTables/queryTable391.xml"/><Relationship Id="rId73" Type="http://schemas.openxmlformats.org/officeDocument/2006/relationships/queryTable" Target="../queryTables/queryTable399.xml"/><Relationship Id="rId78" Type="http://schemas.openxmlformats.org/officeDocument/2006/relationships/queryTable" Target="../queryTables/queryTable404.xml"/><Relationship Id="rId81" Type="http://schemas.openxmlformats.org/officeDocument/2006/relationships/queryTable" Target="../queryTables/queryTable407.xml"/><Relationship Id="rId86" Type="http://schemas.openxmlformats.org/officeDocument/2006/relationships/queryTable" Target="../queryTables/queryTable412.xml"/><Relationship Id="rId94" Type="http://schemas.openxmlformats.org/officeDocument/2006/relationships/queryTable" Target="../queryTables/queryTable420.xml"/><Relationship Id="rId99" Type="http://schemas.openxmlformats.org/officeDocument/2006/relationships/queryTable" Target="../queryTables/queryTable425.xml"/><Relationship Id="rId101" Type="http://schemas.openxmlformats.org/officeDocument/2006/relationships/queryTable" Target="../queryTables/queryTable427.xml"/><Relationship Id="rId4" Type="http://schemas.openxmlformats.org/officeDocument/2006/relationships/queryTable" Target="../queryTables/queryTable330.xml"/><Relationship Id="rId9" Type="http://schemas.openxmlformats.org/officeDocument/2006/relationships/queryTable" Target="../queryTables/queryTable335.xml"/><Relationship Id="rId13" Type="http://schemas.openxmlformats.org/officeDocument/2006/relationships/queryTable" Target="../queryTables/queryTable339.xml"/><Relationship Id="rId18" Type="http://schemas.openxmlformats.org/officeDocument/2006/relationships/queryTable" Target="../queryTables/queryTable344.xml"/><Relationship Id="rId39" Type="http://schemas.openxmlformats.org/officeDocument/2006/relationships/queryTable" Target="../queryTables/queryTable365.xml"/><Relationship Id="rId109" Type="http://schemas.openxmlformats.org/officeDocument/2006/relationships/queryTable" Target="../queryTables/queryTable435.xml"/><Relationship Id="rId34" Type="http://schemas.openxmlformats.org/officeDocument/2006/relationships/queryTable" Target="../queryTables/queryTable360.xml"/><Relationship Id="rId50" Type="http://schemas.openxmlformats.org/officeDocument/2006/relationships/queryTable" Target="../queryTables/queryTable376.xml"/><Relationship Id="rId55" Type="http://schemas.openxmlformats.org/officeDocument/2006/relationships/queryTable" Target="../queryTables/queryTable381.xml"/><Relationship Id="rId76" Type="http://schemas.openxmlformats.org/officeDocument/2006/relationships/queryTable" Target="../queryTables/queryTable402.xml"/><Relationship Id="rId97" Type="http://schemas.openxmlformats.org/officeDocument/2006/relationships/queryTable" Target="../queryTables/queryTable423.xml"/><Relationship Id="rId104" Type="http://schemas.openxmlformats.org/officeDocument/2006/relationships/queryTable" Target="../queryTables/queryTable430.xml"/><Relationship Id="rId7" Type="http://schemas.openxmlformats.org/officeDocument/2006/relationships/queryTable" Target="../queryTables/queryTable333.xml"/><Relationship Id="rId71" Type="http://schemas.openxmlformats.org/officeDocument/2006/relationships/queryTable" Target="../queryTables/queryTable397.xml"/><Relationship Id="rId92" Type="http://schemas.openxmlformats.org/officeDocument/2006/relationships/queryTable" Target="../queryTables/queryTable418.xml"/><Relationship Id="rId2" Type="http://schemas.openxmlformats.org/officeDocument/2006/relationships/queryTable" Target="../queryTables/queryTable328.xml"/><Relationship Id="rId29" Type="http://schemas.openxmlformats.org/officeDocument/2006/relationships/queryTable" Target="../queryTables/queryTable355.xml"/><Relationship Id="rId24" Type="http://schemas.openxmlformats.org/officeDocument/2006/relationships/queryTable" Target="../queryTables/queryTable350.xml"/><Relationship Id="rId40" Type="http://schemas.openxmlformats.org/officeDocument/2006/relationships/queryTable" Target="../queryTables/queryTable366.xml"/><Relationship Id="rId45" Type="http://schemas.openxmlformats.org/officeDocument/2006/relationships/queryTable" Target="../queryTables/queryTable371.xml"/><Relationship Id="rId66" Type="http://schemas.openxmlformats.org/officeDocument/2006/relationships/queryTable" Target="../queryTables/queryTable392.xml"/><Relationship Id="rId87" Type="http://schemas.openxmlformats.org/officeDocument/2006/relationships/queryTable" Target="../queryTables/queryTable413.xml"/><Relationship Id="rId110" Type="http://schemas.openxmlformats.org/officeDocument/2006/relationships/queryTable" Target="../queryTables/queryTable436.xml"/><Relationship Id="rId61" Type="http://schemas.openxmlformats.org/officeDocument/2006/relationships/queryTable" Target="../queryTables/queryTable387.xml"/><Relationship Id="rId82" Type="http://schemas.openxmlformats.org/officeDocument/2006/relationships/queryTable" Target="../queryTables/queryTable408.xml"/><Relationship Id="rId19" Type="http://schemas.openxmlformats.org/officeDocument/2006/relationships/queryTable" Target="../queryTables/queryTable345.xml"/><Relationship Id="rId14" Type="http://schemas.openxmlformats.org/officeDocument/2006/relationships/queryTable" Target="../queryTables/queryTable340.xml"/><Relationship Id="rId30" Type="http://schemas.openxmlformats.org/officeDocument/2006/relationships/queryTable" Target="../queryTables/queryTable356.xml"/><Relationship Id="rId35" Type="http://schemas.openxmlformats.org/officeDocument/2006/relationships/queryTable" Target="../queryTables/queryTable361.xml"/><Relationship Id="rId56" Type="http://schemas.openxmlformats.org/officeDocument/2006/relationships/queryTable" Target="../queryTables/queryTable382.xml"/><Relationship Id="rId77" Type="http://schemas.openxmlformats.org/officeDocument/2006/relationships/queryTable" Target="../queryTables/queryTable403.xml"/><Relationship Id="rId100" Type="http://schemas.openxmlformats.org/officeDocument/2006/relationships/queryTable" Target="../queryTables/queryTable426.xml"/><Relationship Id="rId105" Type="http://schemas.openxmlformats.org/officeDocument/2006/relationships/queryTable" Target="../queryTables/queryTable431.xml"/><Relationship Id="rId8" Type="http://schemas.openxmlformats.org/officeDocument/2006/relationships/queryTable" Target="../queryTables/queryTable334.xml"/><Relationship Id="rId51" Type="http://schemas.openxmlformats.org/officeDocument/2006/relationships/queryTable" Target="../queryTables/queryTable377.xml"/><Relationship Id="rId72" Type="http://schemas.openxmlformats.org/officeDocument/2006/relationships/queryTable" Target="../queryTables/queryTable398.xml"/><Relationship Id="rId93" Type="http://schemas.openxmlformats.org/officeDocument/2006/relationships/queryTable" Target="../queryTables/queryTable419.xml"/><Relationship Id="rId98" Type="http://schemas.openxmlformats.org/officeDocument/2006/relationships/queryTable" Target="../queryTables/queryTable424.xml"/><Relationship Id="rId3" Type="http://schemas.openxmlformats.org/officeDocument/2006/relationships/queryTable" Target="../queryTables/queryTable329.xml"/><Relationship Id="rId25" Type="http://schemas.openxmlformats.org/officeDocument/2006/relationships/queryTable" Target="../queryTables/queryTable351.xml"/><Relationship Id="rId46" Type="http://schemas.openxmlformats.org/officeDocument/2006/relationships/queryTable" Target="../queryTables/queryTable372.xml"/><Relationship Id="rId67" Type="http://schemas.openxmlformats.org/officeDocument/2006/relationships/queryTable" Target="../queryTables/queryTable393.xml"/><Relationship Id="rId20" Type="http://schemas.openxmlformats.org/officeDocument/2006/relationships/queryTable" Target="../queryTables/queryTable346.xml"/><Relationship Id="rId41" Type="http://schemas.openxmlformats.org/officeDocument/2006/relationships/queryTable" Target="../queryTables/queryTable367.xml"/><Relationship Id="rId62" Type="http://schemas.openxmlformats.org/officeDocument/2006/relationships/queryTable" Target="../queryTables/queryTable388.xml"/><Relationship Id="rId83" Type="http://schemas.openxmlformats.org/officeDocument/2006/relationships/queryTable" Target="../queryTables/queryTable409.xml"/><Relationship Id="rId88" Type="http://schemas.openxmlformats.org/officeDocument/2006/relationships/queryTable" Target="../queryTables/queryTable414.xml"/><Relationship Id="rId111" Type="http://schemas.openxmlformats.org/officeDocument/2006/relationships/queryTable" Target="../queryTables/queryTable437.xml"/></Relationships>
</file>

<file path=xl/worksheets/_rels/sheet19.xml.rels><?xml version="1.0" encoding="UTF-8" standalone="yes"?>
<Relationships xmlns="http://schemas.openxmlformats.org/package/2006/relationships"><Relationship Id="rId3" Type="http://schemas.openxmlformats.org/officeDocument/2006/relationships/queryTable" Target="../queryTables/queryTable440.xml"/><Relationship Id="rId2" Type="http://schemas.openxmlformats.org/officeDocument/2006/relationships/queryTable" Target="../queryTables/queryTable439.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442.xml"/><Relationship Id="rId1" Type="http://schemas.openxmlformats.org/officeDocument/2006/relationships/queryTable" Target="../queryTables/queryTable441.xml"/></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444.xml"/><Relationship Id="rId1" Type="http://schemas.openxmlformats.org/officeDocument/2006/relationships/queryTable" Target="../queryTables/queryTable443.xml"/></Relationships>
</file>

<file path=xl/worksheets/_rels/sheet2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32"/>
  <sheetViews>
    <sheetView workbookViewId="0">
      <selection activeCell="B3" sqref="B3"/>
    </sheetView>
  </sheetViews>
  <sheetFormatPr defaultRowHeight="14" x14ac:dyDescent="0.25"/>
  <cols>
    <col min="1" max="1" width="17.26953125" bestFit="1" customWidth="1"/>
    <col min="2" max="4" width="25.7265625" style="56" bestFit="1" customWidth="1"/>
    <col min="5" max="5" width="18.6328125" customWidth="1"/>
    <col min="6" max="6" width="17.6328125" customWidth="1"/>
  </cols>
  <sheetData>
    <row r="1" spans="1:6" x14ac:dyDescent="0.25">
      <c r="B1" s="62">
        <v>43830</v>
      </c>
      <c r="C1" s="62">
        <v>43465</v>
      </c>
      <c r="D1" s="62">
        <v>43100</v>
      </c>
      <c r="E1" s="62">
        <v>42735</v>
      </c>
      <c r="F1" s="62">
        <v>42369</v>
      </c>
    </row>
    <row r="3" spans="1:6" x14ac:dyDescent="0.25">
      <c r="B3"/>
      <c r="C3"/>
      <c r="D3"/>
    </row>
    <row r="4" spans="1:6" x14ac:dyDescent="0.25">
      <c r="B4"/>
      <c r="C4"/>
      <c r="D4"/>
    </row>
    <row r="5" spans="1:6" x14ac:dyDescent="0.25">
      <c r="A5" t="s">
        <v>135</v>
      </c>
      <c r="B5" s="64">
        <f>SUMIFS(BS!C$1:C$240,BS!$A$1:$A$240,TRIM($A5))</f>
        <v>6022343</v>
      </c>
      <c r="C5" s="64">
        <f>SUMIFS(BS!D$1:D$240,BS!$A$1:$A$240,TRIM($A5))</f>
        <v>4896892</v>
      </c>
      <c r="D5" s="64">
        <f>SUMIFS(BS!E$1:E$240,BS!$A$1:$A$240,TRIM($A5))</f>
        <v>3427577</v>
      </c>
      <c r="E5" s="64">
        <f>SUMIFS(BS!F$1:F$240,BS!$A$1:$A$240,TRIM($A5))</f>
        <v>3762420</v>
      </c>
      <c r="F5" s="64">
        <f>SUMIFS(BS!G$1:G$240,BS!$A$1:$A$240,TRIM($A5))</f>
        <v>3641493</v>
      </c>
    </row>
    <row r="6" spans="1:6" x14ac:dyDescent="0.25">
      <c r="A6" t="s">
        <v>134</v>
      </c>
      <c r="B6" s="64">
        <f>SUMIFS(BS!C$1:C$240,BS!$A$1:$A$240,TRIM($A6))</f>
        <v>2076928</v>
      </c>
      <c r="C6" s="64">
        <f>SUMIFS(BS!D$1:D$240,BS!$A$1:$A$240,TRIM($A6))</f>
        <v>2070815</v>
      </c>
      <c r="D6" s="64">
        <f>SUMIFS(BS!E$1:E$240,BS!$A$1:$A$240,TRIM($A6))</f>
        <v>2131130</v>
      </c>
      <c r="E6" s="64">
        <f>SUMIFS(BS!F$1:F$240,BS!$A$1:$A$240,TRIM($A6))</f>
        <v>2291019</v>
      </c>
      <c r="F6" s="64">
        <f>SUMIFS(BS!G$1:G$240,BS!$A$1:$A$240,TRIM($A6))</f>
        <v>2350287</v>
      </c>
    </row>
    <row r="7" spans="1:6" x14ac:dyDescent="0.25">
      <c r="A7" t="s">
        <v>133</v>
      </c>
      <c r="B7" s="64">
        <f>SUMIFS(BS!C$1:C$240,BS!$A$1:$A$240,TRIM($A7))</f>
        <v>2357757</v>
      </c>
      <c r="C7" s="64">
        <f>SUMIFS(BS!D$1:D$240,BS!$A$1:$A$240,TRIM($A7))</f>
        <v>1689427</v>
      </c>
      <c r="D7" s="64">
        <f>SUMIFS(BS!E$1:E$240,BS!$A$1:$A$240,TRIM($A7))</f>
        <v>1268249</v>
      </c>
      <c r="E7" s="64">
        <f>SUMIFS(BS!F$1:F$240,BS!$A$1:$A$240,TRIM($A7))</f>
        <v>953383</v>
      </c>
      <c r="F7" s="64">
        <f>SUMIFS(BS!G$1:G$240,BS!$A$1:$A$240,TRIM($A7))</f>
        <v>752853</v>
      </c>
    </row>
    <row r="8" spans="1:6" x14ac:dyDescent="0.25">
      <c r="A8" t="s">
        <v>132</v>
      </c>
      <c r="B8" s="64">
        <f>SUMIFS(BS!C$1:C$240,BS!$A$1:$A$240,TRIM($A8))</f>
        <v>881745</v>
      </c>
      <c r="C8" s="64">
        <f>SUMIFS(BS!D$1:D$240,BS!$A$1:$A$240,TRIM($A8))</f>
        <v>409764</v>
      </c>
      <c r="D8" s="64">
        <f>SUMIFS(BS!E$1:E$240,BS!$A$1:$A$240,TRIM($A8))</f>
        <v>265064</v>
      </c>
      <c r="E8" s="64">
        <f>SUMIFS(BS!F$1:F$240,BS!$A$1:$A$240,TRIM($A8))</f>
        <v>102058</v>
      </c>
      <c r="F8" s="64">
        <f>SUMIFS(BS!G$1:G$240,BS!$A$1:$A$240,TRIM($A8))</f>
        <v>130996</v>
      </c>
    </row>
    <row r="9" spans="1:6" x14ac:dyDescent="0.25">
      <c r="A9" t="s">
        <v>131</v>
      </c>
      <c r="B9" s="64">
        <f>SUMIFS(BS!C$1:C$240,BS!$A$1:$A$240,TRIM($A9))</f>
        <v>2072850</v>
      </c>
      <c r="C9" s="64">
        <f>SUMIFS(BS!D$1:D$240,BS!$A$1:$A$240,TRIM($A9))</f>
        <v>2315809</v>
      </c>
      <c r="D9" s="64">
        <f>SUMIFS(BS!E$1:E$240,BS!$A$1:$A$240,TRIM($A9))</f>
        <v>1792326</v>
      </c>
      <c r="E9" s="64">
        <f>SUMIFS(BS!F$1:F$240,BS!$A$1:$A$240,TRIM($A9))</f>
        <v>2792728</v>
      </c>
      <c r="F9" s="64">
        <f>SUMIFS(BS!G$1:G$240,BS!$A$1:$A$240,TRIM($A9))</f>
        <v>2983763</v>
      </c>
    </row>
    <row r="10" spans="1:6" x14ac:dyDescent="0.25">
      <c r="A10" t="s">
        <v>115</v>
      </c>
      <c r="B10" s="64">
        <f>SUMIFS(BS!C$1:C$240,BS!$A$1:$A$240,TRIM($A10))</f>
        <v>5299592</v>
      </c>
      <c r="C10" s="64">
        <f>SUMIFS(BS!D$1:D$240,BS!$A$1:$A$240,TRIM($A10))</f>
        <v>3894144</v>
      </c>
      <c r="D10" s="64">
        <f>SUMIFS(BS!E$1:E$240,BS!$A$1:$A$240,TRIM($A10))</f>
        <v>3291221</v>
      </c>
      <c r="E10" s="64">
        <f>SUMIFS(BS!F$1:F$240,BS!$A$1:$A$240,TRIM($A10))</f>
        <v>3048583</v>
      </c>
      <c r="F10" s="64">
        <f>SUMIFS(BS!G$1:G$240,BS!$A$1:$A$240,TRIM($A10))</f>
        <v>3076463</v>
      </c>
    </row>
    <row r="11" spans="1:6" x14ac:dyDescent="0.25">
      <c r="B11"/>
      <c r="C11"/>
      <c r="D11"/>
    </row>
    <row r="12" spans="1:6" x14ac:dyDescent="0.25">
      <c r="B12"/>
      <c r="C12"/>
      <c r="D12"/>
    </row>
    <row r="15" spans="1:6" x14ac:dyDescent="0.25">
      <c r="A15" s="51" t="s">
        <v>193</v>
      </c>
      <c r="B15" s="64">
        <f>B5+B6-B7</f>
        <v>5741514</v>
      </c>
      <c r="C15" s="64">
        <f t="shared" ref="C15:F15" si="0">C5+C6-C7</f>
        <v>5278280</v>
      </c>
      <c r="D15" s="64">
        <f t="shared" si="0"/>
        <v>4290458</v>
      </c>
      <c r="E15" s="64">
        <f t="shared" si="0"/>
        <v>5100056</v>
      </c>
      <c r="F15" s="64">
        <f t="shared" si="0"/>
        <v>5238927</v>
      </c>
    </row>
    <row r="16" spans="1:6" x14ac:dyDescent="0.25">
      <c r="A16" s="51" t="s">
        <v>194</v>
      </c>
      <c r="B16" s="64">
        <f>B9-B8</f>
        <v>1191105</v>
      </c>
      <c r="C16" s="64">
        <f t="shared" ref="C16:F16" si="1">C9-C8</f>
        <v>1906045</v>
      </c>
      <c r="D16" s="64">
        <f t="shared" si="1"/>
        <v>1527262</v>
      </c>
      <c r="E16" s="64">
        <f t="shared" si="1"/>
        <v>2690670</v>
      </c>
      <c r="F16" s="64">
        <f t="shared" si="1"/>
        <v>2852767</v>
      </c>
    </row>
    <row r="17" spans="1:6" x14ac:dyDescent="0.25">
      <c r="A17" s="51" t="s">
        <v>195</v>
      </c>
      <c r="B17" s="64">
        <f>B9-B8+B10</f>
        <v>6490697</v>
      </c>
      <c r="C17" s="64">
        <f t="shared" ref="C17:F17" si="2">C9-C8+C10</f>
        <v>5800189</v>
      </c>
      <c r="D17" s="64">
        <f t="shared" si="2"/>
        <v>4818483</v>
      </c>
      <c r="E17" s="64">
        <f t="shared" si="2"/>
        <v>5739253</v>
      </c>
      <c r="F17" s="64">
        <f t="shared" si="2"/>
        <v>5929230</v>
      </c>
    </row>
    <row r="18" spans="1:6" x14ac:dyDescent="0.25">
      <c r="A18" s="51" t="s">
        <v>196</v>
      </c>
      <c r="B18" s="64">
        <f>B15-B17</f>
        <v>-749183</v>
      </c>
      <c r="C18" s="64">
        <f t="shared" ref="C18:F18" si="3">C15-C17</f>
        <v>-521909</v>
      </c>
      <c r="D18" s="64">
        <f t="shared" si="3"/>
        <v>-528025</v>
      </c>
      <c r="E18" s="64">
        <f t="shared" si="3"/>
        <v>-639197</v>
      </c>
      <c r="F18" s="64">
        <f t="shared" si="3"/>
        <v>-690303</v>
      </c>
    </row>
    <row r="19" spans="1:6" x14ac:dyDescent="0.25">
      <c r="B19" s="64"/>
      <c r="C19" s="64"/>
      <c r="D19" s="64"/>
      <c r="E19" s="126"/>
      <c r="F19" s="126"/>
    </row>
    <row r="20" spans="1:6" x14ac:dyDescent="0.25">
      <c r="A20" s="51" t="s">
        <v>197</v>
      </c>
      <c r="B20" s="64">
        <f>B5+B6+B8</f>
        <v>8981016</v>
      </c>
      <c r="C20" s="64">
        <f t="shared" ref="C20:F20" si="4">C5+C6+C8</f>
        <v>7377471</v>
      </c>
      <c r="D20" s="64">
        <f t="shared" si="4"/>
        <v>5823771</v>
      </c>
      <c r="E20" s="64">
        <f t="shared" si="4"/>
        <v>6155497</v>
      </c>
      <c r="F20" s="64">
        <f t="shared" si="4"/>
        <v>6122776</v>
      </c>
    </row>
    <row r="21" spans="1:6" x14ac:dyDescent="0.25">
      <c r="A21" s="51" t="s">
        <v>198</v>
      </c>
      <c r="B21" s="64">
        <f>B7+B9</f>
        <v>4430607</v>
      </c>
      <c r="C21" s="64">
        <f t="shared" ref="C21:F21" si="5">C7+C9</f>
        <v>4005236</v>
      </c>
      <c r="D21" s="64">
        <f t="shared" si="5"/>
        <v>3060575</v>
      </c>
      <c r="E21" s="64">
        <f t="shared" si="5"/>
        <v>3746111</v>
      </c>
      <c r="F21" s="64">
        <f t="shared" si="5"/>
        <v>3736616</v>
      </c>
    </row>
    <row r="22" spans="1:6" x14ac:dyDescent="0.25">
      <c r="A22" s="51" t="s">
        <v>199</v>
      </c>
      <c r="B22" s="64">
        <f>B10+B9+B7</f>
        <v>9730199</v>
      </c>
      <c r="C22" s="64">
        <f t="shared" ref="C22:F22" si="6">C10+C9+C7</f>
        <v>7899380</v>
      </c>
      <c r="D22" s="64">
        <f t="shared" si="6"/>
        <v>6351796</v>
      </c>
      <c r="E22" s="64">
        <f t="shared" si="6"/>
        <v>6794694</v>
      </c>
      <c r="F22" s="64">
        <f t="shared" si="6"/>
        <v>6813079</v>
      </c>
    </row>
    <row r="23" spans="1:6" x14ac:dyDescent="0.25">
      <c r="A23" s="51" t="s">
        <v>196</v>
      </c>
      <c r="B23" s="64">
        <f>B20-B22</f>
        <v>-749183</v>
      </c>
      <c r="C23" s="64">
        <f t="shared" ref="C23:F23" si="7">C20-C22</f>
        <v>-521909</v>
      </c>
      <c r="D23" s="64">
        <f t="shared" si="7"/>
        <v>-528025</v>
      </c>
      <c r="E23" s="64">
        <f t="shared" si="7"/>
        <v>-639197</v>
      </c>
      <c r="F23" s="64">
        <f t="shared" si="7"/>
        <v>-690303</v>
      </c>
    </row>
    <row r="24" spans="1:6" x14ac:dyDescent="0.25">
      <c r="B24" s="64"/>
      <c r="C24" s="64"/>
      <c r="D24" s="64"/>
      <c r="E24" s="126"/>
      <c r="F24" s="126"/>
    </row>
    <row r="25" spans="1:6" x14ac:dyDescent="0.25">
      <c r="B25" s="64"/>
      <c r="C25" s="64"/>
      <c r="D25" s="64"/>
      <c r="E25" s="126"/>
      <c r="F25" s="126"/>
    </row>
    <row r="26" spans="1:6" x14ac:dyDescent="0.25">
      <c r="B26" s="64"/>
      <c r="C26" s="64"/>
      <c r="D26" s="64"/>
      <c r="E26" s="126"/>
      <c r="F26" s="126"/>
    </row>
    <row r="27" spans="1:6" x14ac:dyDescent="0.25">
      <c r="A27" t="s">
        <v>1383</v>
      </c>
      <c r="B27" s="126">
        <f>SUMIFS(BS!C$1:C$240,BS!$B$1:$B$240,TRIM($A27))</f>
        <v>8981016</v>
      </c>
      <c r="C27" s="126">
        <f>SUMIFS(BS!D$1:D$240,BS!$B$1:$B$240,TRIM($A27))</f>
        <v>7377471</v>
      </c>
      <c r="D27" s="126">
        <f>SUMIFS(BS!E$1:E$240,BS!$B$1:$B$240,TRIM($A27))</f>
        <v>5823771</v>
      </c>
      <c r="E27" s="126">
        <f>SUMIFS(BS!F$1:F$240,BS!$B$1:$B$240,TRIM($A27))</f>
        <v>6155497</v>
      </c>
      <c r="F27" s="126">
        <f>SUMIFS(BS!G$1:G$240,BS!$B$1:$B$240,TRIM($A27))</f>
        <v>6122776</v>
      </c>
    </row>
    <row r="28" spans="1:6" x14ac:dyDescent="0.25">
      <c r="A28" t="s">
        <v>269</v>
      </c>
      <c r="B28" s="127">
        <f>B20-B27</f>
        <v>0</v>
      </c>
      <c r="C28" s="127">
        <f>C20-C27</f>
        <v>0</v>
      </c>
      <c r="D28" s="127">
        <f>D20-D27</f>
        <v>0</v>
      </c>
      <c r="E28" s="127">
        <f>E20-E27</f>
        <v>0</v>
      </c>
      <c r="F28" s="127">
        <f>F20-F27</f>
        <v>0</v>
      </c>
    </row>
    <row r="29" spans="1:6" x14ac:dyDescent="0.25">
      <c r="A29" t="s">
        <v>1425</v>
      </c>
      <c r="B29" s="126">
        <f>SUMIFS(BS!C$1:C$240,BS!$B$1:$B$240,TRIM($A29))</f>
        <v>4430607</v>
      </c>
      <c r="C29" s="126">
        <f>SUMIFS(BS!D$1:D$240,BS!$B$1:$B$240,TRIM($A29))</f>
        <v>4005236</v>
      </c>
      <c r="D29" s="126">
        <f>SUMIFS(BS!E$1:E$240,BS!$B$1:$B$240,TRIM($A29))</f>
        <v>3060575</v>
      </c>
      <c r="E29" s="126">
        <f>SUMIFS(BS!F$1:F$240,BS!$B$1:$B$240,TRIM($A29))</f>
        <v>3746111</v>
      </c>
      <c r="F29" s="126">
        <f>SUMIFS(BS!G$1:G$240,BS!$B$1:$B$240,TRIM($A29))</f>
        <v>3736616</v>
      </c>
    </row>
    <row r="30" spans="1:6" x14ac:dyDescent="0.25">
      <c r="A30" t="s">
        <v>270</v>
      </c>
      <c r="B30" s="64">
        <f>B21-B29</f>
        <v>0</v>
      </c>
      <c r="C30" s="64">
        <f>C21-C29</f>
        <v>0</v>
      </c>
      <c r="D30" s="64">
        <f>D21-D29</f>
        <v>0</v>
      </c>
      <c r="E30" s="64">
        <f>E21-E29</f>
        <v>0</v>
      </c>
      <c r="F30" s="64">
        <f>F21-F29</f>
        <v>0</v>
      </c>
    </row>
    <row r="31" spans="1:6" x14ac:dyDescent="0.25">
      <c r="A31" t="s">
        <v>1438</v>
      </c>
      <c r="B31" s="126">
        <f>SUMIFS(BS!C$1:C$240,BS!$B$1:$B$240,TRIM($A31))</f>
        <v>5215637</v>
      </c>
      <c r="C31" s="126">
        <f>SUMIFS(BS!D$1:D$240,BS!$B$1:$B$240,TRIM($A31))</f>
        <v>3883033</v>
      </c>
      <c r="D31" s="126">
        <f>SUMIFS(BS!E$1:E$240,BS!$B$1:$B$240,TRIM($A31))</f>
        <v>3273639</v>
      </c>
      <c r="E31" s="126">
        <f>SUMIFS(BS!F$1:F$240,BS!$B$1:$B$240,TRIM($A31))</f>
        <v>3035307</v>
      </c>
      <c r="F31" s="126">
        <f>SUMIFS(BS!G$1:G$240,BS!$B$1:$B$240,TRIM($A31))</f>
        <v>3076463</v>
      </c>
    </row>
    <row r="32" spans="1:6" x14ac:dyDescent="0.25">
      <c r="A32" t="s">
        <v>268</v>
      </c>
      <c r="B32" s="127">
        <f>B10-B31</f>
        <v>83955</v>
      </c>
      <c r="C32" s="127">
        <f>C10-C31</f>
        <v>11111</v>
      </c>
      <c r="D32" s="127">
        <f>D10-D31</f>
        <v>17582</v>
      </c>
      <c r="E32" s="127">
        <f>E10-E31</f>
        <v>13276</v>
      </c>
      <c r="F32" s="127">
        <f>F10-F31</f>
        <v>0</v>
      </c>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B050"/>
  </sheetPr>
  <dimension ref="A1:AB146"/>
  <sheetViews>
    <sheetView zoomScale="85" zoomScaleNormal="85" workbookViewId="0">
      <pane xSplit="2" ySplit="1" topLeftCell="C89" activePane="bottomRight" state="frozen"/>
      <selection pane="topRight" activeCell="C1" sqref="C1"/>
      <selection pane="bottomLeft" activeCell="A2" sqref="A2"/>
      <selection pane="bottomRight" activeCell="B98" sqref="B98"/>
    </sheetView>
  </sheetViews>
  <sheetFormatPr defaultColWidth="9" defaultRowHeight="14" x14ac:dyDescent="0.25"/>
  <cols>
    <col min="1" max="1" width="18.453125" style="61" customWidth="1"/>
    <col min="2" max="2" width="20.6328125" style="61" customWidth="1"/>
    <col min="3" max="4" width="19.453125" style="63" bestFit="1" customWidth="1"/>
    <col min="5" max="17" width="15.6328125" style="63" customWidth="1"/>
    <col min="18" max="18" width="9.26953125" style="61" customWidth="1"/>
    <col min="19" max="19" width="9.36328125" style="61" customWidth="1"/>
    <col min="20" max="20" width="10.36328125" style="61" customWidth="1"/>
    <col min="21" max="21" width="12.08984375" style="61" customWidth="1"/>
    <col min="22" max="22" width="9.6328125" style="61" customWidth="1"/>
    <col min="23" max="23" width="10.26953125" style="61" customWidth="1"/>
    <col min="24" max="27" width="9" style="61"/>
    <col min="28" max="28" width="16.36328125" style="61" customWidth="1"/>
    <col min="29" max="16384" width="9" style="61"/>
  </cols>
  <sheetData>
    <row r="1" spans="1:23" x14ac:dyDescent="0.25">
      <c r="A1" s="61" t="s">
        <v>117</v>
      </c>
      <c r="B1" s="61" t="s">
        <v>116</v>
      </c>
      <c r="C1" s="62">
        <v>43830</v>
      </c>
      <c r="D1" s="62">
        <v>43465</v>
      </c>
      <c r="E1" s="62">
        <v>43100</v>
      </c>
      <c r="F1" s="62">
        <v>42735</v>
      </c>
      <c r="G1" s="62">
        <v>42369</v>
      </c>
      <c r="H1" s="62">
        <v>41640</v>
      </c>
      <c r="I1" s="62">
        <v>40911</v>
      </c>
      <c r="J1" s="62">
        <v>40182</v>
      </c>
      <c r="K1" s="62">
        <v>39453</v>
      </c>
      <c r="L1" s="62">
        <v>38724</v>
      </c>
      <c r="M1" s="62">
        <v>37995</v>
      </c>
      <c r="N1" s="62">
        <v>37266</v>
      </c>
      <c r="O1" s="62">
        <v>36537</v>
      </c>
      <c r="P1" s="62"/>
      <c r="Q1" s="62"/>
      <c r="R1" s="61" t="s">
        <v>1749</v>
      </c>
      <c r="S1" s="61" t="s">
        <v>310</v>
      </c>
      <c r="T1" s="61" t="s">
        <v>311</v>
      </c>
      <c r="U1" s="61" t="s">
        <v>315</v>
      </c>
      <c r="V1" s="61" t="s">
        <v>316</v>
      </c>
      <c r="W1" s="61" t="s">
        <v>317</v>
      </c>
    </row>
    <row r="2" spans="1:23" x14ac:dyDescent="0.25">
      <c r="B2" s="61" t="s">
        <v>0</v>
      </c>
      <c r="C2" s="63" t="s">
        <v>1</v>
      </c>
      <c r="D2" s="63" t="s">
        <v>1</v>
      </c>
      <c r="E2" s="63" t="s">
        <v>1</v>
      </c>
    </row>
    <row r="3" spans="1:23" x14ac:dyDescent="0.25">
      <c r="B3" s="61" t="s">
        <v>2</v>
      </c>
      <c r="R3" s="68">
        <f>SUM(C3:G3)/10000</f>
        <v>0</v>
      </c>
    </row>
    <row r="4" spans="1:23" x14ac:dyDescent="0.25">
      <c r="B4" s="61" t="str">
        <f>BS数据!A3</f>
        <v>流动资产</v>
      </c>
      <c r="C4" s="66"/>
      <c r="D4" s="66"/>
      <c r="E4" s="66"/>
      <c r="F4" s="66"/>
      <c r="G4" s="66"/>
      <c r="H4" s="66"/>
      <c r="I4" s="66"/>
      <c r="J4" s="66"/>
      <c r="K4" s="66"/>
      <c r="L4" s="66"/>
      <c r="M4" s="66"/>
      <c r="N4" s="66"/>
      <c r="O4" s="66"/>
      <c r="P4" s="66"/>
      <c r="Q4" s="66"/>
      <c r="R4" s="68">
        <f t="shared" ref="R4:R67" si="0">SUM(C4:G4)/10000</f>
        <v>0</v>
      </c>
      <c r="S4" s="67"/>
      <c r="T4" s="67"/>
    </row>
    <row r="5" spans="1:23" x14ac:dyDescent="0.25">
      <c r="A5" s="61" t="str">
        <f t="shared" ref="A5:A36" si="1">IF(ISERROR(VLOOKUP(TRIM($B5),管理名称,2,0)),"",VLOOKUP(TRIM($B5),管理名称,2,0))</f>
        <v>经营性流动资产</v>
      </c>
      <c r="B5" s="61" t="str">
        <f>BS数据!A4</f>
        <v>货币资金(万元)</v>
      </c>
      <c r="C5" s="66">
        <f>IFERROR(SUMIFS(BS数据!B:B,BS数据!$A:$A,BS!$B5),0)</f>
        <v>1352674</v>
      </c>
      <c r="D5" s="66">
        <f>IFERROR(SUMIFS(BS数据!C:C,BS数据!$A:$A,BS!$B5),0)</f>
        <v>1198504</v>
      </c>
      <c r="E5" s="66">
        <f>IFERROR(SUMIFS(BS数据!D:D,BS数据!$A:$A,BS!$B5),0)</f>
        <v>410365</v>
      </c>
      <c r="F5" s="66">
        <f>IFERROR(SUMIFS(BS数据!E:E,BS数据!$A:$A,BS!$B5),0)</f>
        <v>744206</v>
      </c>
      <c r="G5" s="66">
        <f>IFERROR(SUMIFS(BS数据!F:F,BS数据!$A:$A,BS!$B5),0)</f>
        <v>684088</v>
      </c>
      <c r="H5" s="66">
        <f>IFERROR(SUMIFS(BS数据!G:G,BS数据!$A:$A,BS!$B5),0)</f>
        <v>604927</v>
      </c>
      <c r="I5" s="66">
        <f>IFERROR(SUMIFS(BS数据!H:H,BS数据!$A:$A,BS!$B5),0)</f>
        <v>638029</v>
      </c>
      <c r="J5" s="66">
        <f>IFERROR(SUMIFS(BS数据!I:I,BS数据!$A:$A,BS!$B5),0)</f>
        <v>963111</v>
      </c>
      <c r="K5" s="66">
        <f>IFERROR(SUMIFS(BS数据!J:J,BS数据!$A:$A,BS!$B5),0)</f>
        <v>1024699</v>
      </c>
      <c r="L5" s="66">
        <f>IFERROR(SUMIFS(BS数据!K:K,BS数据!$A:$A,BS!$B5),0)</f>
        <v>597040</v>
      </c>
      <c r="M5" s="66">
        <f>IFERROR(SUMIFS(BS数据!L:L,BS数据!$A:$A,BS!$B5),0)</f>
        <v>307693</v>
      </c>
      <c r="N5" s="66">
        <f>IFERROR(SUMIFS(BS数据!M:M,BS数据!$A:$A,BS!$B5),0)</f>
        <v>293756</v>
      </c>
      <c r="O5" s="66">
        <f>IFERROR(SUMIFS(BS数据!N:N,BS数据!$A:$A,BS!$B5),0)</f>
        <v>260545</v>
      </c>
      <c r="P5" s="66"/>
      <c r="Q5" s="66"/>
      <c r="R5" s="68">
        <f t="shared" si="0"/>
        <v>438.9837</v>
      </c>
      <c r="S5" s="109">
        <f>IFERROR(C5/D5-1,0)</f>
        <v>0.12863536542222631</v>
      </c>
      <c r="T5" s="109">
        <f>IFERROR(D5/E5-1,0)</f>
        <v>1.9205804588597957</v>
      </c>
      <c r="U5" s="111">
        <f>C5/C$37</f>
        <v>107.08312222925902</v>
      </c>
      <c r="V5" s="111">
        <f t="shared" ref="V5:W5" si="2">D5/D$37</f>
        <v>239.17461584514069</v>
      </c>
      <c r="W5" s="111">
        <f t="shared" si="2"/>
        <v>108.85013262599469</v>
      </c>
    </row>
    <row r="6" spans="1:23" x14ac:dyDescent="0.25">
      <c r="A6" s="61" t="str">
        <f t="shared" si="1"/>
        <v>金融资产</v>
      </c>
      <c r="B6" s="61" t="str">
        <f>BS数据!A5</f>
        <v>结算备付金(万元)</v>
      </c>
      <c r="C6" s="66">
        <f>IFERROR(SUMIFS(BS数据!B:B,BS数据!$A:$A,BS!$B6),0)</f>
        <v>0</v>
      </c>
      <c r="D6" s="66">
        <f>IFERROR(SUMIFS(BS数据!C:C,BS数据!$A:$A,BS!$B6),0)</f>
        <v>0</v>
      </c>
      <c r="E6" s="66">
        <f>IFERROR(SUMIFS(BS数据!D:D,BS数据!$A:$A,BS!$B6),0)</f>
        <v>0</v>
      </c>
      <c r="F6" s="66">
        <f>IFERROR(SUMIFS(BS数据!E:E,BS数据!$A:$A,BS!$B6),0)</f>
        <v>0</v>
      </c>
      <c r="G6" s="66">
        <f>IFERROR(SUMIFS(BS数据!F:F,BS数据!$A:$A,BS!$B6),0)</f>
        <v>0</v>
      </c>
      <c r="H6" s="66">
        <f>IFERROR(SUMIFS(BS数据!G:G,BS数据!$A:$A,BS!$B6),0)</f>
        <v>0</v>
      </c>
      <c r="I6" s="66">
        <f>IFERROR(SUMIFS(BS数据!H:H,BS数据!$A:$A,BS!$B6),0)</f>
        <v>0</v>
      </c>
      <c r="J6" s="66">
        <f>IFERROR(SUMIFS(BS数据!I:I,BS数据!$A:$A,BS!$B6),0)</f>
        <v>0</v>
      </c>
      <c r="K6" s="66">
        <f>IFERROR(SUMIFS(BS数据!J:J,BS数据!$A:$A,BS!$B6),0)</f>
        <v>0</v>
      </c>
      <c r="L6" s="66">
        <f>IFERROR(SUMIFS(BS数据!K:K,BS数据!$A:$A,BS!$B6),0)</f>
        <v>0</v>
      </c>
      <c r="M6" s="66">
        <f>IFERROR(SUMIFS(BS数据!L:L,BS数据!$A:$A,BS!$B6),0)</f>
        <v>0</v>
      </c>
      <c r="N6" s="66">
        <f>IFERROR(SUMIFS(BS数据!M:M,BS数据!$A:$A,BS!$B6),0)</f>
        <v>0</v>
      </c>
      <c r="O6" s="66">
        <f>IFERROR(SUMIFS(BS数据!N:N,BS数据!$A:$A,BS!$B6),0)</f>
        <v>0</v>
      </c>
      <c r="P6" s="66"/>
      <c r="Q6" s="66"/>
      <c r="R6" s="68">
        <f t="shared" si="0"/>
        <v>0</v>
      </c>
      <c r="S6" s="109">
        <f t="shared" ref="S6:S69" si="3">IFERROR(C6/D6-1,0)</f>
        <v>0</v>
      </c>
      <c r="T6" s="109">
        <f t="shared" ref="T6:T69" si="4">IFERROR(D6/E6-1,0)</f>
        <v>0</v>
      </c>
      <c r="U6" s="111">
        <f t="shared" ref="U6:U69" si="5">C6/C$37</f>
        <v>0</v>
      </c>
      <c r="V6" s="111">
        <f t="shared" ref="V6:V69" si="6">D6/D$37</f>
        <v>0</v>
      </c>
      <c r="W6" s="111">
        <f t="shared" ref="W6:W69" si="7">E6/E$37</f>
        <v>0</v>
      </c>
    </row>
    <row r="7" spans="1:23" x14ac:dyDescent="0.25">
      <c r="A7" s="61" t="str">
        <f t="shared" si="1"/>
        <v>金融资产</v>
      </c>
      <c r="B7" s="61" t="str">
        <f>BS数据!A6</f>
        <v>拆出资金(万元)</v>
      </c>
      <c r="C7" s="66">
        <f>IFERROR(SUMIFS(BS数据!B:B,BS数据!$A:$A,BS!$B7),0)</f>
        <v>0</v>
      </c>
      <c r="D7" s="66">
        <f>IFERROR(SUMIFS(BS数据!C:C,BS数据!$A:$A,BS!$B7),0)</f>
        <v>0</v>
      </c>
      <c r="E7" s="66">
        <f>IFERROR(SUMIFS(BS数据!D:D,BS数据!$A:$A,BS!$B7),0)</f>
        <v>0</v>
      </c>
      <c r="F7" s="66">
        <f>IFERROR(SUMIFS(BS数据!E:E,BS数据!$A:$A,BS!$B7),0)</f>
        <v>0</v>
      </c>
      <c r="G7" s="66">
        <f>IFERROR(SUMIFS(BS数据!F:F,BS数据!$A:$A,BS!$B7),0)</f>
        <v>0</v>
      </c>
      <c r="H7" s="66">
        <f>IFERROR(SUMIFS(BS数据!G:G,BS数据!$A:$A,BS!$B7),0)</f>
        <v>0</v>
      </c>
      <c r="I7" s="66">
        <f>IFERROR(SUMIFS(BS数据!H:H,BS数据!$A:$A,BS!$B7),0)</f>
        <v>0</v>
      </c>
      <c r="J7" s="66">
        <f>IFERROR(SUMIFS(BS数据!I:I,BS数据!$A:$A,BS!$B7),0)</f>
        <v>0</v>
      </c>
      <c r="K7" s="66">
        <f>IFERROR(SUMIFS(BS数据!J:J,BS数据!$A:$A,BS!$B7),0)</f>
        <v>0</v>
      </c>
      <c r="L7" s="66">
        <f>IFERROR(SUMIFS(BS数据!K:K,BS数据!$A:$A,BS!$B7),0)</f>
        <v>0</v>
      </c>
      <c r="M7" s="66">
        <f>IFERROR(SUMIFS(BS数据!L:L,BS数据!$A:$A,BS!$B7),0)</f>
        <v>0</v>
      </c>
      <c r="N7" s="66">
        <f>IFERROR(SUMIFS(BS数据!M:M,BS数据!$A:$A,BS!$B7),0)</f>
        <v>0</v>
      </c>
      <c r="O7" s="66">
        <f>IFERROR(SUMIFS(BS数据!N:N,BS数据!$A:$A,BS!$B7),0)</f>
        <v>0</v>
      </c>
      <c r="P7" s="66"/>
      <c r="Q7" s="66"/>
      <c r="R7" s="68">
        <f t="shared" si="0"/>
        <v>0</v>
      </c>
      <c r="S7" s="109">
        <f t="shared" si="3"/>
        <v>0</v>
      </c>
      <c r="T7" s="109">
        <f t="shared" si="4"/>
        <v>0</v>
      </c>
      <c r="U7" s="111">
        <f t="shared" si="5"/>
        <v>0</v>
      </c>
      <c r="V7" s="111">
        <f t="shared" si="6"/>
        <v>0</v>
      </c>
      <c r="W7" s="111">
        <f t="shared" si="7"/>
        <v>0</v>
      </c>
    </row>
    <row r="8" spans="1:23" x14ac:dyDescent="0.25">
      <c r="A8" s="61" t="str">
        <f t="shared" si="1"/>
        <v>金融资产</v>
      </c>
      <c r="B8" s="61" t="str">
        <f>BS数据!A7</f>
        <v>交易性金融资产(万元)</v>
      </c>
      <c r="C8" s="66">
        <f>IFERROR(SUMIFS(BS数据!B:B,BS数据!$A:$A,BS!$B8),0)</f>
        <v>836740</v>
      </c>
      <c r="D8" s="66">
        <f>IFERROR(SUMIFS(BS数据!C:C,BS数据!$A:$A,BS!$B8),0)</f>
        <v>155672</v>
      </c>
      <c r="E8" s="66">
        <f>IFERROR(SUMIFS(BS数据!D:D,BS数据!$A:$A,BS!$B8),0)</f>
        <v>4007</v>
      </c>
      <c r="F8" s="66">
        <f>IFERROR(SUMIFS(BS数据!E:E,BS数据!$A:$A,BS!$B8),0)</f>
        <v>3076</v>
      </c>
      <c r="G8" s="66">
        <f>IFERROR(SUMIFS(BS数据!F:F,BS数据!$A:$A,BS!$B8),0)</f>
        <v>3116</v>
      </c>
      <c r="H8" s="66">
        <f>IFERROR(SUMIFS(BS数据!G:G,BS数据!$A:$A,BS!$B8),0)</f>
        <v>3578</v>
      </c>
      <c r="I8" s="66">
        <f>IFERROR(SUMIFS(BS数据!H:H,BS数据!$A:$A,BS!$B8),0)</f>
        <v>34412</v>
      </c>
      <c r="J8" s="66">
        <f>IFERROR(SUMIFS(BS数据!I:I,BS数据!$A:$A,BS!$B8),0)</f>
        <v>8089</v>
      </c>
      <c r="K8" s="66">
        <f>IFERROR(SUMIFS(BS数据!J:J,BS数据!$A:$A,BS!$B8),0)</f>
        <v>2073</v>
      </c>
      <c r="L8" s="66">
        <f>IFERROR(SUMIFS(BS数据!K:K,BS数据!$A:$A,BS!$B8),0)</f>
        <v>5314</v>
      </c>
      <c r="M8" s="66">
        <f>IFERROR(SUMIFS(BS数据!L:L,BS数据!$A:$A,BS!$B8),0)</f>
        <v>258</v>
      </c>
      <c r="N8" s="66">
        <f>IFERROR(SUMIFS(BS数据!M:M,BS数据!$A:$A,BS!$B8),0)</f>
        <v>1444</v>
      </c>
      <c r="O8" s="66">
        <f>IFERROR(SUMIFS(BS数据!N:N,BS数据!$A:$A,BS!$B8),0)</f>
        <v>41920</v>
      </c>
      <c r="P8" s="66"/>
      <c r="Q8" s="66"/>
      <c r="R8" s="68">
        <f t="shared" si="0"/>
        <v>100.2611</v>
      </c>
      <c r="S8" s="109">
        <f t="shared" si="3"/>
        <v>4.37501927128835</v>
      </c>
      <c r="T8" s="109">
        <f t="shared" si="4"/>
        <v>37.850012478163215</v>
      </c>
      <c r="U8" s="111">
        <f t="shared" si="5"/>
        <v>66.239708676377461</v>
      </c>
      <c r="V8" s="111">
        <f t="shared" si="6"/>
        <v>31.066054679704649</v>
      </c>
      <c r="W8" s="111">
        <f t="shared" si="7"/>
        <v>1.0628647214854112</v>
      </c>
    </row>
    <row r="9" spans="1:23" x14ac:dyDescent="0.25">
      <c r="A9" s="61" t="str">
        <f t="shared" si="1"/>
        <v>金融资产</v>
      </c>
      <c r="B9" s="61" t="str">
        <f>BS数据!A8</f>
        <v>衍生金融资产(万元)</v>
      </c>
      <c r="C9" s="66">
        <f>IFERROR(SUMIFS(BS数据!B:B,BS数据!$A:$A,BS!$B9),0)</f>
        <v>32373</v>
      </c>
      <c r="D9" s="66">
        <f>IFERROR(SUMIFS(BS数据!C:C,BS数据!$A:$A,BS!$B9),0)</f>
        <v>55907</v>
      </c>
      <c r="E9" s="66">
        <f>IFERROR(SUMIFS(BS数据!D:D,BS数据!$A:$A,BS!$B9),0)</f>
        <v>101318</v>
      </c>
      <c r="F9" s="66">
        <f>IFERROR(SUMIFS(BS数据!E:E,BS数据!$A:$A,BS!$B9),0)</f>
        <v>5086</v>
      </c>
      <c r="G9" s="66">
        <f>IFERROR(SUMIFS(BS数据!F:F,BS数据!$A:$A,BS!$B9),0)</f>
        <v>33444</v>
      </c>
      <c r="H9" s="66">
        <f>IFERROR(SUMIFS(BS数据!G:G,BS数据!$A:$A,BS!$B9),0)</f>
        <v>1991</v>
      </c>
      <c r="I9" s="66">
        <f>IFERROR(SUMIFS(BS数据!H:H,BS数据!$A:$A,BS!$B9),0)</f>
        <v>0</v>
      </c>
      <c r="J9" s="66">
        <f>IFERROR(SUMIFS(BS数据!I:I,BS数据!$A:$A,BS!$B9),0)</f>
        <v>0</v>
      </c>
      <c r="K9" s="66">
        <f>IFERROR(SUMIFS(BS数据!J:J,BS数据!$A:$A,BS!$B9),0)</f>
        <v>0</v>
      </c>
      <c r="L9" s="66">
        <f>IFERROR(SUMIFS(BS数据!K:K,BS数据!$A:$A,BS!$B9),0)</f>
        <v>0</v>
      </c>
      <c r="M9" s="66">
        <f>IFERROR(SUMIFS(BS数据!L:L,BS数据!$A:$A,BS!$B9),0)</f>
        <v>0</v>
      </c>
      <c r="N9" s="66">
        <f>IFERROR(SUMIFS(BS数据!M:M,BS数据!$A:$A,BS!$B9),0)</f>
        <v>0</v>
      </c>
      <c r="O9" s="66">
        <f>IFERROR(SUMIFS(BS数据!N:N,BS数据!$A:$A,BS!$B9),0)</f>
        <v>0</v>
      </c>
      <c r="P9" s="66"/>
      <c r="Q9" s="66"/>
      <c r="R9" s="68">
        <f t="shared" si="0"/>
        <v>22.812799999999999</v>
      </c>
      <c r="S9" s="109">
        <f t="shared" si="3"/>
        <v>-0.4209490761443111</v>
      </c>
      <c r="T9" s="109">
        <f t="shared" si="4"/>
        <v>-0.44820268856471701</v>
      </c>
      <c r="U9" s="111">
        <f t="shared" si="5"/>
        <v>2.56277707409753</v>
      </c>
      <c r="V9" s="111">
        <f t="shared" si="6"/>
        <v>11.156854919177809</v>
      </c>
      <c r="W9" s="111">
        <f t="shared" si="7"/>
        <v>26.874801061007958</v>
      </c>
    </row>
    <row r="10" spans="1:23" x14ac:dyDescent="0.25">
      <c r="A10" s="61" t="str">
        <f t="shared" si="1"/>
        <v>金融资产</v>
      </c>
      <c r="B10" s="61" t="str">
        <f>BS数据!A9</f>
        <v>应收票据(万元)</v>
      </c>
      <c r="C10" s="66">
        <f>IFERROR(SUMIFS(BS数据!B:B,BS数据!$A:$A,BS!$B10),0)</f>
        <v>0</v>
      </c>
      <c r="D10" s="66">
        <f>IFERROR(SUMIFS(BS数据!C:C,BS数据!$A:$A,BS!$B10),0)</f>
        <v>66864</v>
      </c>
      <c r="E10" s="66">
        <f>IFERROR(SUMIFS(BS数据!D:D,BS数据!$A:$A,BS!$B10),0)</f>
        <v>87377</v>
      </c>
      <c r="F10" s="66">
        <f>IFERROR(SUMIFS(BS数据!E:E,BS数据!$A:$A,BS!$B10),0)</f>
        <v>28301</v>
      </c>
      <c r="G10" s="66">
        <f>IFERROR(SUMIFS(BS数据!F:F,BS数据!$A:$A,BS!$B10),0)</f>
        <v>54732</v>
      </c>
      <c r="H10" s="66">
        <f>IFERROR(SUMIFS(BS数据!G:G,BS数据!$A:$A,BS!$B10),0)</f>
        <v>121498</v>
      </c>
      <c r="I10" s="66">
        <f>IFERROR(SUMIFS(BS数据!H:H,BS数据!$A:$A,BS!$B10),0)</f>
        <v>106586</v>
      </c>
      <c r="J10" s="66">
        <f>IFERROR(SUMIFS(BS数据!I:I,BS数据!$A:$A,BS!$B10),0)</f>
        <v>170678</v>
      </c>
      <c r="K10" s="66">
        <f>IFERROR(SUMIFS(BS数据!J:J,BS数据!$A:$A,BS!$B10),0)</f>
        <v>105092</v>
      </c>
      <c r="L10" s="66">
        <f>IFERROR(SUMIFS(BS数据!K:K,BS数据!$A:$A,BS!$B10),0)</f>
        <v>111317</v>
      </c>
      <c r="M10" s="66">
        <f>IFERROR(SUMIFS(BS数据!L:L,BS数据!$A:$A,BS!$B10),0)</f>
        <v>18387</v>
      </c>
      <c r="N10" s="66">
        <f>IFERROR(SUMIFS(BS数据!M:M,BS数据!$A:$A,BS!$B10),0)</f>
        <v>18956</v>
      </c>
      <c r="O10" s="66">
        <f>IFERROR(SUMIFS(BS数据!N:N,BS数据!$A:$A,BS!$B10),0)</f>
        <v>33188</v>
      </c>
      <c r="P10" s="66"/>
      <c r="Q10" s="66"/>
      <c r="R10" s="68">
        <f t="shared" si="0"/>
        <v>23.727399999999999</v>
      </c>
      <c r="S10" s="109">
        <f t="shared" si="3"/>
        <v>-1</v>
      </c>
      <c r="T10" s="109">
        <f t="shared" si="4"/>
        <v>-0.23476429724069259</v>
      </c>
      <c r="U10" s="111">
        <f t="shared" si="5"/>
        <v>0</v>
      </c>
      <c r="V10" s="111">
        <f t="shared" si="6"/>
        <v>13.343444422271004</v>
      </c>
      <c r="W10" s="111">
        <f t="shared" si="7"/>
        <v>23.176923076923078</v>
      </c>
    </row>
    <row r="11" spans="1:23" x14ac:dyDescent="0.25">
      <c r="A11" s="61" t="str">
        <f t="shared" si="1"/>
        <v>经营性流动资产</v>
      </c>
      <c r="B11" s="61" t="str">
        <f>BS数据!A10</f>
        <v>应收账款(万元)</v>
      </c>
      <c r="C11" s="66">
        <f>IFERROR(SUMIFS(BS数据!B:B,BS数据!$A:$A,BS!$B11),0)</f>
        <v>2179289</v>
      </c>
      <c r="D11" s="66">
        <f>IFERROR(SUMIFS(BS数据!C:C,BS数据!$A:$A,BS!$B11),0)</f>
        <v>2013336</v>
      </c>
      <c r="E11" s="66">
        <f>IFERROR(SUMIFS(BS数据!D:D,BS数据!$A:$A,BS!$B11),0)</f>
        <v>1836563</v>
      </c>
      <c r="F11" s="66">
        <f>IFERROR(SUMIFS(BS数据!E:E,BS数据!$A:$A,BS!$B11),0)</f>
        <v>1808479</v>
      </c>
      <c r="G11" s="66">
        <f>IFERROR(SUMIFS(BS数据!F:F,BS数据!$A:$A,BS!$B11),0)</f>
        <v>2096139</v>
      </c>
      <c r="H11" s="66">
        <f>IFERROR(SUMIFS(BS数据!G:G,BS数据!$A:$A,BS!$B11),0)</f>
        <v>1985131</v>
      </c>
      <c r="I11" s="66">
        <f>IFERROR(SUMIFS(BS数据!H:H,BS数据!$A:$A,BS!$B11),0)</f>
        <v>1872766</v>
      </c>
      <c r="J11" s="66">
        <f>IFERROR(SUMIFS(BS数据!I:I,BS数据!$A:$A,BS!$B11),0)</f>
        <v>1497445</v>
      </c>
      <c r="K11" s="66">
        <f>IFERROR(SUMIFS(BS数据!J:J,BS数据!$A:$A,BS!$B11),0)</f>
        <v>1130487</v>
      </c>
      <c r="L11" s="66">
        <f>IFERROR(SUMIFS(BS数据!K:K,BS数据!$A:$A,BS!$B11),0)</f>
        <v>572791</v>
      </c>
      <c r="M11" s="66">
        <f>IFERROR(SUMIFS(BS数据!L:L,BS数据!$A:$A,BS!$B11),0)</f>
        <v>385152</v>
      </c>
      <c r="N11" s="66">
        <f>IFERROR(SUMIFS(BS数据!M:M,BS数据!$A:$A,BS!$B11),0)</f>
        <v>310186</v>
      </c>
      <c r="O11" s="66">
        <f>IFERROR(SUMIFS(BS数据!N:N,BS数据!$A:$A,BS!$B11),0)</f>
        <v>206650</v>
      </c>
      <c r="P11" s="66"/>
      <c r="Q11" s="66"/>
      <c r="R11" s="68">
        <f t="shared" si="0"/>
        <v>993.38059999999996</v>
      </c>
      <c r="S11" s="109">
        <f t="shared" si="3"/>
        <v>8.2426877580294544E-2</v>
      </c>
      <c r="T11" s="109">
        <f t="shared" si="4"/>
        <v>9.6252075207874599E-2</v>
      </c>
      <c r="U11" s="111">
        <f t="shared" si="5"/>
        <v>172.52129512349589</v>
      </c>
      <c r="V11" s="111">
        <f t="shared" si="6"/>
        <v>401.78327679105968</v>
      </c>
      <c r="W11" s="111">
        <f t="shared" si="7"/>
        <v>487.1519893899204</v>
      </c>
    </row>
    <row r="12" spans="1:23" x14ac:dyDescent="0.25">
      <c r="A12" s="61" t="str">
        <f t="shared" si="1"/>
        <v>经营性流动资产</v>
      </c>
      <c r="B12" s="61" t="str">
        <f>BS数据!A11</f>
        <v>预付款项(万元)</v>
      </c>
      <c r="C12" s="66">
        <f>IFERROR(SUMIFS(BS数据!B:B,BS数据!$A:$A,BS!$B12),0)</f>
        <v>63359</v>
      </c>
      <c r="D12" s="66">
        <f>IFERROR(SUMIFS(BS数据!C:C,BS数据!$A:$A,BS!$B12),0)</f>
        <v>98165</v>
      </c>
      <c r="E12" s="66">
        <f>IFERROR(SUMIFS(BS数据!D:D,BS数据!$A:$A,BS!$B12),0)</f>
        <v>69744</v>
      </c>
      <c r="F12" s="66">
        <f>IFERROR(SUMIFS(BS数据!E:E,BS数据!$A:$A,BS!$B12),0)</f>
        <v>33741</v>
      </c>
      <c r="G12" s="66">
        <f>IFERROR(SUMIFS(BS数据!F:F,BS数据!$A:$A,BS!$B12),0)</f>
        <v>25039</v>
      </c>
      <c r="H12" s="66">
        <f>IFERROR(SUMIFS(BS数据!G:G,BS数据!$A:$A,BS!$B12),0)</f>
        <v>28838</v>
      </c>
      <c r="I12" s="66">
        <f>IFERROR(SUMIFS(BS数据!H:H,BS数据!$A:$A,BS!$B12),0)</f>
        <v>56659</v>
      </c>
      <c r="J12" s="66">
        <f>IFERROR(SUMIFS(BS数据!I:I,BS数据!$A:$A,BS!$B12),0)</f>
        <v>99725</v>
      </c>
      <c r="K12" s="66">
        <f>IFERROR(SUMIFS(BS数据!J:J,BS数据!$A:$A,BS!$B12),0)</f>
        <v>197712</v>
      </c>
      <c r="L12" s="66">
        <f>IFERROR(SUMIFS(BS数据!K:K,BS数据!$A:$A,BS!$B12),0)</f>
        <v>133536</v>
      </c>
      <c r="M12" s="66">
        <f>IFERROR(SUMIFS(BS数据!L:L,BS数据!$A:$A,BS!$B12),0)</f>
        <v>51180</v>
      </c>
      <c r="N12" s="66">
        <f>IFERROR(SUMIFS(BS数据!M:M,BS数据!$A:$A,BS!$B12),0)</f>
        <v>66942</v>
      </c>
      <c r="O12" s="66">
        <f>IFERROR(SUMIFS(BS数据!N:N,BS数据!$A:$A,BS!$B12),0)</f>
        <v>49126</v>
      </c>
      <c r="P12" s="66"/>
      <c r="Q12" s="66"/>
      <c r="R12" s="68">
        <f t="shared" si="0"/>
        <v>29.004799999999999</v>
      </c>
      <c r="S12" s="109">
        <f t="shared" si="3"/>
        <v>-0.35456629144807217</v>
      </c>
      <c r="T12" s="109">
        <f t="shared" si="4"/>
        <v>0.4075045882083046</v>
      </c>
      <c r="U12" s="111">
        <f t="shared" si="5"/>
        <v>5.0157536415452819</v>
      </c>
      <c r="V12" s="111">
        <f t="shared" si="6"/>
        <v>19.58990221512672</v>
      </c>
      <c r="W12" s="111">
        <f t="shared" si="7"/>
        <v>18.49973474801061</v>
      </c>
    </row>
    <row r="13" spans="1:23" x14ac:dyDescent="0.25">
      <c r="A13" s="61" t="str">
        <f t="shared" si="1"/>
        <v>经营性流动资产</v>
      </c>
      <c r="B13" s="150" t="s">
        <v>1753</v>
      </c>
      <c r="C13" s="157">
        <v>145180</v>
      </c>
      <c r="D13" s="157"/>
      <c r="E13" s="157"/>
      <c r="F13" s="157"/>
      <c r="G13" s="157"/>
      <c r="H13" s="157"/>
      <c r="I13" s="157"/>
      <c r="J13" s="157"/>
      <c r="K13" s="157"/>
      <c r="L13" s="157"/>
      <c r="M13" s="157"/>
      <c r="N13" s="157"/>
      <c r="O13" s="157"/>
      <c r="P13" s="157"/>
      <c r="Q13" s="157"/>
      <c r="R13" s="158">
        <f t="shared" si="0"/>
        <v>14.518000000000001</v>
      </c>
      <c r="S13" s="109">
        <f t="shared" si="3"/>
        <v>0</v>
      </c>
      <c r="T13" s="109">
        <f t="shared" si="4"/>
        <v>0</v>
      </c>
      <c r="U13" s="111">
        <f t="shared" si="5"/>
        <v>11.493033565547815</v>
      </c>
      <c r="V13" s="111">
        <f t="shared" si="6"/>
        <v>0</v>
      </c>
      <c r="W13" s="111">
        <f t="shared" si="7"/>
        <v>0</v>
      </c>
    </row>
    <row r="14" spans="1:23" x14ac:dyDescent="0.25">
      <c r="A14" s="61" t="str">
        <f t="shared" si="1"/>
        <v>金融资产</v>
      </c>
      <c r="B14" s="61" t="str">
        <f>BS数据!A13</f>
        <v>应收分保账款(万元)</v>
      </c>
      <c r="C14" s="66">
        <f>IFERROR(SUMIFS(BS数据!B:B,BS数据!$A:$A,BS!$B14),0)</f>
        <v>0</v>
      </c>
      <c r="D14" s="66">
        <f>IFERROR(SUMIFS(BS数据!C:C,BS数据!$A:$A,BS!$B14),0)</f>
        <v>0</v>
      </c>
      <c r="E14" s="66">
        <f>IFERROR(SUMIFS(BS数据!D:D,BS数据!$A:$A,BS!$B14),0)</f>
        <v>0</v>
      </c>
      <c r="F14" s="66">
        <f>IFERROR(SUMIFS(BS数据!E:E,BS数据!$A:$A,BS!$B14),0)</f>
        <v>0</v>
      </c>
      <c r="G14" s="66">
        <f>IFERROR(SUMIFS(BS数据!F:F,BS数据!$A:$A,BS!$B14),0)</f>
        <v>0</v>
      </c>
      <c r="H14" s="66">
        <f>IFERROR(SUMIFS(BS数据!G:G,BS数据!$A:$A,BS!$B14),0)</f>
        <v>0</v>
      </c>
      <c r="I14" s="66">
        <f>IFERROR(SUMIFS(BS数据!H:H,BS数据!$A:$A,BS!$B14),0)</f>
        <v>0</v>
      </c>
      <c r="J14" s="66">
        <f>IFERROR(SUMIFS(BS数据!I:I,BS数据!$A:$A,BS!$B14),0)</f>
        <v>0</v>
      </c>
      <c r="K14" s="66">
        <f>IFERROR(SUMIFS(BS数据!J:J,BS数据!$A:$A,BS!$B14),0)</f>
        <v>0</v>
      </c>
      <c r="L14" s="66">
        <f>IFERROR(SUMIFS(BS数据!K:K,BS数据!$A:$A,BS!$B14),0)</f>
        <v>0</v>
      </c>
      <c r="M14" s="66">
        <f>IFERROR(SUMIFS(BS数据!L:L,BS数据!$A:$A,BS!$B14),0)</f>
        <v>0</v>
      </c>
      <c r="N14" s="66">
        <f>IFERROR(SUMIFS(BS数据!M:M,BS数据!$A:$A,BS!$B14),0)</f>
        <v>0</v>
      </c>
      <c r="O14" s="66">
        <f>IFERROR(SUMIFS(BS数据!N:N,BS数据!$A:$A,BS!$B14),0)</f>
        <v>0</v>
      </c>
      <c r="P14" s="66"/>
      <c r="Q14" s="66"/>
      <c r="R14" s="68">
        <f t="shared" si="0"/>
        <v>0</v>
      </c>
      <c r="S14" s="109">
        <f t="shared" si="3"/>
        <v>0</v>
      </c>
      <c r="T14" s="109">
        <f t="shared" si="4"/>
        <v>0</v>
      </c>
      <c r="U14" s="111">
        <f t="shared" si="5"/>
        <v>0</v>
      </c>
      <c r="V14" s="111">
        <f t="shared" si="6"/>
        <v>0</v>
      </c>
      <c r="W14" s="111">
        <f t="shared" si="7"/>
        <v>0</v>
      </c>
    </row>
    <row r="15" spans="1:23" x14ac:dyDescent="0.25">
      <c r="A15" s="61" t="str">
        <f t="shared" si="1"/>
        <v>金融资产</v>
      </c>
      <c r="B15" s="61" t="str">
        <f>BS数据!A14</f>
        <v>应收分保合同准备金(万元)</v>
      </c>
      <c r="C15" s="66">
        <f>IFERROR(SUMIFS(BS数据!B:B,BS数据!$A:$A,BS!$B15),0)</f>
        <v>0</v>
      </c>
      <c r="D15" s="66">
        <f>IFERROR(SUMIFS(BS数据!C:C,BS数据!$A:$A,BS!$B15),0)</f>
        <v>0</v>
      </c>
      <c r="E15" s="66">
        <f>IFERROR(SUMIFS(BS数据!D:D,BS数据!$A:$A,BS!$B15),0)</f>
        <v>0</v>
      </c>
      <c r="F15" s="66">
        <f>IFERROR(SUMIFS(BS数据!E:E,BS数据!$A:$A,BS!$B15),0)</f>
        <v>0</v>
      </c>
      <c r="G15" s="66">
        <f>IFERROR(SUMIFS(BS数据!F:F,BS数据!$A:$A,BS!$B15),0)</f>
        <v>0</v>
      </c>
      <c r="H15" s="66">
        <f>IFERROR(SUMIFS(BS数据!G:G,BS数据!$A:$A,BS!$B15),0)</f>
        <v>0</v>
      </c>
      <c r="I15" s="66">
        <f>IFERROR(SUMIFS(BS数据!H:H,BS数据!$A:$A,BS!$B15),0)</f>
        <v>0</v>
      </c>
      <c r="J15" s="66">
        <f>IFERROR(SUMIFS(BS数据!I:I,BS数据!$A:$A,BS!$B15),0)</f>
        <v>0</v>
      </c>
      <c r="K15" s="66">
        <f>IFERROR(SUMIFS(BS数据!J:J,BS数据!$A:$A,BS!$B15),0)</f>
        <v>0</v>
      </c>
      <c r="L15" s="66">
        <f>IFERROR(SUMIFS(BS数据!K:K,BS数据!$A:$A,BS!$B15),0)</f>
        <v>0</v>
      </c>
      <c r="M15" s="66">
        <f>IFERROR(SUMIFS(BS数据!L:L,BS数据!$A:$A,BS!$B15),0)</f>
        <v>0</v>
      </c>
      <c r="N15" s="66">
        <f>IFERROR(SUMIFS(BS数据!M:M,BS数据!$A:$A,BS!$B15),0)</f>
        <v>0</v>
      </c>
      <c r="O15" s="66">
        <f>IFERROR(SUMIFS(BS数据!N:N,BS数据!$A:$A,BS!$B15),0)</f>
        <v>0</v>
      </c>
      <c r="P15" s="66"/>
      <c r="Q15" s="66"/>
      <c r="R15" s="68">
        <f t="shared" si="0"/>
        <v>0</v>
      </c>
      <c r="S15" s="109">
        <f t="shared" si="3"/>
        <v>0</v>
      </c>
      <c r="T15" s="109">
        <f t="shared" si="4"/>
        <v>0</v>
      </c>
      <c r="U15" s="111">
        <f t="shared" si="5"/>
        <v>0</v>
      </c>
      <c r="V15" s="111">
        <f t="shared" si="6"/>
        <v>0</v>
      </c>
      <c r="W15" s="111">
        <f t="shared" si="7"/>
        <v>0</v>
      </c>
    </row>
    <row r="16" spans="1:23" x14ac:dyDescent="0.25">
      <c r="A16" s="61" t="str">
        <f t="shared" si="1"/>
        <v>金融资产</v>
      </c>
      <c r="B16" s="61" t="str">
        <f>BS数据!A15</f>
        <v>应收利息(万元)</v>
      </c>
      <c r="C16" s="66">
        <f>IFERROR(SUMIFS(BS数据!B:B,BS数据!$A:$A,BS!$B16),0)</f>
        <v>0</v>
      </c>
      <c r="D16" s="66">
        <f>IFERROR(SUMIFS(BS数据!C:C,BS数据!$A:$A,BS!$B16),0)</f>
        <v>14259</v>
      </c>
      <c r="E16" s="66">
        <f>IFERROR(SUMIFS(BS数据!D:D,BS数据!$A:$A,BS!$B16),0)</f>
        <v>468</v>
      </c>
      <c r="F16" s="66">
        <f>IFERROR(SUMIFS(BS数据!E:E,BS数据!$A:$A,BS!$B16),0)</f>
        <v>344</v>
      </c>
      <c r="G16" s="66">
        <f>IFERROR(SUMIFS(BS数据!F:F,BS数据!$A:$A,BS!$B16),0)</f>
        <v>99</v>
      </c>
      <c r="H16" s="66">
        <f>IFERROR(SUMIFS(BS数据!G:G,BS数据!$A:$A,BS!$B16),0)</f>
        <v>28</v>
      </c>
      <c r="I16" s="66">
        <f>IFERROR(SUMIFS(BS数据!H:H,BS数据!$A:$A,BS!$B16),0)</f>
        <v>241</v>
      </c>
      <c r="J16" s="66">
        <f>IFERROR(SUMIFS(BS数据!I:I,BS数据!$A:$A,BS!$B16),0)</f>
        <v>0</v>
      </c>
      <c r="K16" s="66">
        <f>IFERROR(SUMIFS(BS数据!J:J,BS数据!$A:$A,BS!$B16),0)</f>
        <v>0</v>
      </c>
      <c r="L16" s="66">
        <f>IFERROR(SUMIFS(BS数据!K:K,BS数据!$A:$A,BS!$B16),0)</f>
        <v>0</v>
      </c>
      <c r="M16" s="66">
        <f>IFERROR(SUMIFS(BS数据!L:L,BS数据!$A:$A,BS!$B16),0)</f>
        <v>0</v>
      </c>
      <c r="N16" s="66">
        <f>IFERROR(SUMIFS(BS数据!M:M,BS数据!$A:$A,BS!$B16),0)</f>
        <v>0</v>
      </c>
      <c r="O16" s="66">
        <f>IFERROR(SUMIFS(BS数据!N:N,BS数据!$A:$A,BS!$B16),0)</f>
        <v>0</v>
      </c>
      <c r="P16" s="66"/>
      <c r="Q16" s="66"/>
      <c r="R16" s="68">
        <f t="shared" si="0"/>
        <v>1.5169999999999999</v>
      </c>
      <c r="S16" s="109">
        <f t="shared" si="3"/>
        <v>-1</v>
      </c>
      <c r="T16" s="109">
        <f t="shared" si="4"/>
        <v>29.467948717948719</v>
      </c>
      <c r="U16" s="111">
        <f t="shared" si="5"/>
        <v>0</v>
      </c>
      <c r="V16" s="111">
        <f t="shared" si="6"/>
        <v>2.8455398124126923</v>
      </c>
      <c r="W16" s="111">
        <f t="shared" si="7"/>
        <v>0.12413793103448276</v>
      </c>
    </row>
    <row r="17" spans="1:23" x14ac:dyDescent="0.25">
      <c r="A17" s="61" t="str">
        <f t="shared" si="1"/>
        <v>经营性流动资产</v>
      </c>
      <c r="B17" s="61" t="str">
        <f>BS数据!A16</f>
        <v>应收股利(万元)</v>
      </c>
      <c r="C17" s="66">
        <f>IFERROR(SUMIFS(BS数据!B:B,BS数据!$A:$A,BS!$B17),0)</f>
        <v>0</v>
      </c>
      <c r="D17" s="66">
        <f>IFERROR(SUMIFS(BS数据!C:C,BS数据!$A:$A,BS!$B17),0)</f>
        <v>0</v>
      </c>
      <c r="E17" s="66">
        <f>IFERROR(SUMIFS(BS数据!D:D,BS数据!$A:$A,BS!$B17),0)</f>
        <v>0</v>
      </c>
      <c r="F17" s="66">
        <f>IFERROR(SUMIFS(BS数据!E:E,BS数据!$A:$A,BS!$B17),0)</f>
        <v>0</v>
      </c>
      <c r="G17" s="66">
        <f>IFERROR(SUMIFS(BS数据!F:F,BS数据!$A:$A,BS!$B17),0)</f>
        <v>0</v>
      </c>
      <c r="H17" s="66">
        <f>IFERROR(SUMIFS(BS数据!G:G,BS数据!$A:$A,BS!$B17),0)</f>
        <v>0</v>
      </c>
      <c r="I17" s="66">
        <f>IFERROR(SUMIFS(BS数据!H:H,BS数据!$A:$A,BS!$B17),0)</f>
        <v>0</v>
      </c>
      <c r="J17" s="66">
        <f>IFERROR(SUMIFS(BS数据!I:I,BS数据!$A:$A,BS!$B17),0)</f>
        <v>0</v>
      </c>
      <c r="K17" s="66">
        <f>IFERROR(SUMIFS(BS数据!J:J,BS数据!$A:$A,BS!$B17),0)</f>
        <v>0</v>
      </c>
      <c r="L17" s="66">
        <f>IFERROR(SUMIFS(BS数据!K:K,BS数据!$A:$A,BS!$B17),0)</f>
        <v>0</v>
      </c>
      <c r="M17" s="66">
        <f>IFERROR(SUMIFS(BS数据!L:L,BS数据!$A:$A,BS!$B17),0)</f>
        <v>0</v>
      </c>
      <c r="N17" s="66">
        <f>IFERROR(SUMIFS(BS数据!M:M,BS数据!$A:$A,BS!$B17),0)</f>
        <v>0</v>
      </c>
      <c r="O17" s="66">
        <f>IFERROR(SUMIFS(BS数据!N:N,BS数据!$A:$A,BS!$B17),0)</f>
        <v>0</v>
      </c>
      <c r="P17" s="66"/>
      <c r="Q17" s="66"/>
      <c r="R17" s="68">
        <f t="shared" si="0"/>
        <v>0</v>
      </c>
      <c r="S17" s="109">
        <f t="shared" si="3"/>
        <v>0</v>
      </c>
      <c r="T17" s="109">
        <f t="shared" si="4"/>
        <v>0</v>
      </c>
      <c r="U17" s="111">
        <f t="shared" si="5"/>
        <v>0</v>
      </c>
      <c r="V17" s="111">
        <f t="shared" si="6"/>
        <v>0</v>
      </c>
      <c r="W17" s="111">
        <f t="shared" si="7"/>
        <v>0</v>
      </c>
    </row>
    <row r="18" spans="1:23" x14ac:dyDescent="0.25">
      <c r="A18" s="61" t="str">
        <f t="shared" si="1"/>
        <v>经营性流动资产</v>
      </c>
      <c r="B18" s="61" t="str">
        <f>BS数据!A17</f>
        <v>其他应收款(万元)</v>
      </c>
      <c r="C18" s="66">
        <f>IFERROR(SUMIFS(BS数据!B:B,BS数据!$A:$A,BS!$B18),0)</f>
        <v>278650</v>
      </c>
      <c r="D18" s="66">
        <f>IFERROR(SUMIFS(BS数据!C:C,BS数据!$A:$A,BS!$B18),0)</f>
        <v>156102</v>
      </c>
      <c r="E18" s="66">
        <f>IFERROR(SUMIFS(BS数据!D:D,BS数据!$A:$A,BS!$B18),0)</f>
        <v>178416</v>
      </c>
      <c r="F18" s="66">
        <f>IFERROR(SUMIFS(BS数据!E:E,BS数据!$A:$A,BS!$B18),0)</f>
        <v>478153</v>
      </c>
      <c r="G18" s="66">
        <f>IFERROR(SUMIFS(BS数据!F:F,BS数据!$A:$A,BS!$B18),0)</f>
        <v>225971</v>
      </c>
      <c r="H18" s="66">
        <f>IFERROR(SUMIFS(BS数据!G:G,BS数据!$A:$A,BS!$B18),0)</f>
        <v>240529</v>
      </c>
      <c r="I18" s="66">
        <f>IFERROR(SUMIFS(BS数据!H:H,BS数据!$A:$A,BS!$B18),0)</f>
        <v>173392</v>
      </c>
      <c r="J18" s="66">
        <f>IFERROR(SUMIFS(BS数据!I:I,BS数据!$A:$A,BS!$B18),0)</f>
        <v>133974</v>
      </c>
      <c r="K18" s="66">
        <f>IFERROR(SUMIFS(BS数据!J:J,BS数据!$A:$A,BS!$B18),0)</f>
        <v>78386</v>
      </c>
      <c r="L18" s="66">
        <f>IFERROR(SUMIFS(BS数据!K:K,BS数据!$A:$A,BS!$B18),0)</f>
        <v>54951</v>
      </c>
      <c r="M18" s="66">
        <f>IFERROR(SUMIFS(BS数据!L:L,BS数据!$A:$A,BS!$B18),0)</f>
        <v>16629</v>
      </c>
      <c r="N18" s="66">
        <f>IFERROR(SUMIFS(BS数据!M:M,BS数据!$A:$A,BS!$B18),0)</f>
        <v>15043</v>
      </c>
      <c r="O18" s="66">
        <f>IFERROR(SUMIFS(BS数据!N:N,BS数据!$A:$A,BS!$B18),0)</f>
        <v>12451</v>
      </c>
      <c r="P18" s="66"/>
      <c r="Q18" s="66"/>
      <c r="R18" s="68">
        <f t="shared" si="0"/>
        <v>131.72919999999999</v>
      </c>
      <c r="S18" s="109">
        <f t="shared" si="3"/>
        <v>0.78505080011787154</v>
      </c>
      <c r="T18" s="109">
        <f t="shared" si="4"/>
        <v>-0.12506725854183476</v>
      </c>
      <c r="U18" s="111">
        <f t="shared" si="5"/>
        <v>22.059056364787839</v>
      </c>
      <c r="V18" s="111">
        <f t="shared" si="6"/>
        <v>31.15186589503093</v>
      </c>
      <c r="W18" s="111">
        <f t="shared" si="7"/>
        <v>47.325198938992045</v>
      </c>
    </row>
    <row r="19" spans="1:23" x14ac:dyDescent="0.25">
      <c r="A19" s="61" t="str">
        <f t="shared" si="1"/>
        <v>经营性流动资产</v>
      </c>
      <c r="B19" s="61" t="str">
        <f>BS数据!A18</f>
        <v>应收出口退税(万元)</v>
      </c>
      <c r="C19" s="66">
        <f>IFERROR(SUMIFS(BS数据!B:B,BS数据!$A:$A,BS!$B19),0)</f>
        <v>0</v>
      </c>
      <c r="D19" s="66">
        <f>IFERROR(SUMIFS(BS数据!C:C,BS数据!$A:$A,BS!$B19),0)</f>
        <v>0</v>
      </c>
      <c r="E19" s="66">
        <f>IFERROR(SUMIFS(BS数据!D:D,BS数据!$A:$A,BS!$B19),0)</f>
        <v>0</v>
      </c>
      <c r="F19" s="66">
        <f>IFERROR(SUMIFS(BS数据!E:E,BS数据!$A:$A,BS!$B19),0)</f>
        <v>0</v>
      </c>
      <c r="G19" s="66">
        <f>IFERROR(SUMIFS(BS数据!F:F,BS数据!$A:$A,BS!$B19),0)</f>
        <v>0</v>
      </c>
      <c r="H19" s="66">
        <f>IFERROR(SUMIFS(BS数据!G:G,BS数据!$A:$A,BS!$B19),0)</f>
        <v>0</v>
      </c>
      <c r="I19" s="66">
        <f>IFERROR(SUMIFS(BS数据!H:H,BS数据!$A:$A,BS!$B19),0)</f>
        <v>0</v>
      </c>
      <c r="J19" s="66">
        <f>IFERROR(SUMIFS(BS数据!I:I,BS数据!$A:$A,BS!$B19),0)</f>
        <v>0</v>
      </c>
      <c r="K19" s="66">
        <f>IFERROR(SUMIFS(BS数据!J:J,BS数据!$A:$A,BS!$B19),0)</f>
        <v>0</v>
      </c>
      <c r="L19" s="66">
        <f>IFERROR(SUMIFS(BS数据!K:K,BS数据!$A:$A,BS!$B19),0)</f>
        <v>0</v>
      </c>
      <c r="M19" s="66">
        <f>IFERROR(SUMIFS(BS数据!L:L,BS数据!$A:$A,BS!$B19),0)</f>
        <v>0</v>
      </c>
      <c r="N19" s="66">
        <f>IFERROR(SUMIFS(BS数据!M:M,BS数据!$A:$A,BS!$B19),0)</f>
        <v>0</v>
      </c>
      <c r="O19" s="66">
        <f>IFERROR(SUMIFS(BS数据!N:N,BS数据!$A:$A,BS!$B19),0)</f>
        <v>0</v>
      </c>
      <c r="P19" s="66"/>
      <c r="Q19" s="66"/>
      <c r="R19" s="68">
        <f t="shared" si="0"/>
        <v>0</v>
      </c>
      <c r="S19" s="109">
        <f t="shared" si="3"/>
        <v>0</v>
      </c>
      <c r="T19" s="109">
        <f t="shared" si="4"/>
        <v>0</v>
      </c>
      <c r="U19" s="111">
        <f t="shared" si="5"/>
        <v>0</v>
      </c>
      <c r="V19" s="111">
        <f t="shared" si="6"/>
        <v>0</v>
      </c>
      <c r="W19" s="111">
        <f t="shared" si="7"/>
        <v>0</v>
      </c>
    </row>
    <row r="20" spans="1:23" x14ac:dyDescent="0.25">
      <c r="A20" s="61" t="str">
        <f t="shared" si="1"/>
        <v>经营性流动资产</v>
      </c>
      <c r="B20" s="61" t="str">
        <f>BS数据!A19</f>
        <v>应收补贴款(万元)</v>
      </c>
      <c r="C20" s="66">
        <f>IFERROR(SUMIFS(BS数据!B:B,BS数据!$A:$A,BS!$B20),0)</f>
        <v>0</v>
      </c>
      <c r="D20" s="66">
        <f>IFERROR(SUMIFS(BS数据!C:C,BS数据!$A:$A,BS!$B20),0)</f>
        <v>0</v>
      </c>
      <c r="E20" s="66">
        <f>IFERROR(SUMIFS(BS数据!D:D,BS数据!$A:$A,BS!$B20),0)</f>
        <v>0</v>
      </c>
      <c r="F20" s="66">
        <f>IFERROR(SUMIFS(BS数据!E:E,BS数据!$A:$A,BS!$B20),0)</f>
        <v>0</v>
      </c>
      <c r="G20" s="66">
        <f>IFERROR(SUMIFS(BS数据!F:F,BS数据!$A:$A,BS!$B20),0)</f>
        <v>0</v>
      </c>
      <c r="H20" s="66">
        <f>IFERROR(SUMIFS(BS数据!G:G,BS数据!$A:$A,BS!$B20),0)</f>
        <v>0</v>
      </c>
      <c r="I20" s="66">
        <f>IFERROR(SUMIFS(BS数据!H:H,BS数据!$A:$A,BS!$B20),0)</f>
        <v>0</v>
      </c>
      <c r="J20" s="66">
        <f>IFERROR(SUMIFS(BS数据!I:I,BS数据!$A:$A,BS!$B20),0)</f>
        <v>0</v>
      </c>
      <c r="K20" s="66">
        <f>IFERROR(SUMIFS(BS数据!J:J,BS数据!$A:$A,BS!$B20),0)</f>
        <v>0</v>
      </c>
      <c r="L20" s="66">
        <f>IFERROR(SUMIFS(BS数据!K:K,BS数据!$A:$A,BS!$B20),0)</f>
        <v>0</v>
      </c>
      <c r="M20" s="66">
        <f>IFERROR(SUMIFS(BS数据!L:L,BS数据!$A:$A,BS!$B20),0)</f>
        <v>0</v>
      </c>
      <c r="N20" s="66">
        <f>IFERROR(SUMIFS(BS数据!M:M,BS数据!$A:$A,BS!$B20),0)</f>
        <v>0</v>
      </c>
      <c r="O20" s="66">
        <f>IFERROR(SUMIFS(BS数据!N:N,BS数据!$A:$A,BS!$B20),0)</f>
        <v>0</v>
      </c>
      <c r="P20" s="66"/>
      <c r="Q20" s="66"/>
      <c r="R20" s="68">
        <f t="shared" si="0"/>
        <v>0</v>
      </c>
      <c r="S20" s="109">
        <f t="shared" si="3"/>
        <v>0</v>
      </c>
      <c r="T20" s="109">
        <f t="shared" si="4"/>
        <v>0</v>
      </c>
      <c r="U20" s="111">
        <f t="shared" si="5"/>
        <v>0</v>
      </c>
      <c r="V20" s="111">
        <f t="shared" si="6"/>
        <v>0</v>
      </c>
      <c r="W20" s="111">
        <f t="shared" si="7"/>
        <v>0</v>
      </c>
    </row>
    <row r="21" spans="1:23" x14ac:dyDescent="0.25">
      <c r="A21" s="61" t="str">
        <f t="shared" si="1"/>
        <v>金融资产</v>
      </c>
      <c r="B21" s="61" t="str">
        <f>BS数据!A20</f>
        <v>应收保证金(万元)</v>
      </c>
      <c r="C21" s="66">
        <f>IFERROR(SUMIFS(BS数据!B:B,BS数据!$A:$A,BS!$B21),0)</f>
        <v>0</v>
      </c>
      <c r="D21" s="66">
        <f>IFERROR(SUMIFS(BS数据!C:C,BS数据!$A:$A,BS!$B21),0)</f>
        <v>0</v>
      </c>
      <c r="E21" s="66">
        <f>IFERROR(SUMIFS(BS数据!D:D,BS数据!$A:$A,BS!$B21),0)</f>
        <v>0</v>
      </c>
      <c r="F21" s="66">
        <f>IFERROR(SUMIFS(BS数据!E:E,BS数据!$A:$A,BS!$B21),0)</f>
        <v>0</v>
      </c>
      <c r="G21" s="66">
        <f>IFERROR(SUMIFS(BS数据!F:F,BS数据!$A:$A,BS!$B21),0)</f>
        <v>0</v>
      </c>
      <c r="H21" s="66">
        <f>IFERROR(SUMIFS(BS数据!G:G,BS数据!$A:$A,BS!$B21),0)</f>
        <v>0</v>
      </c>
      <c r="I21" s="66">
        <f>IFERROR(SUMIFS(BS数据!H:H,BS数据!$A:$A,BS!$B21),0)</f>
        <v>0</v>
      </c>
      <c r="J21" s="66">
        <f>IFERROR(SUMIFS(BS数据!I:I,BS数据!$A:$A,BS!$B21),0)</f>
        <v>0</v>
      </c>
      <c r="K21" s="66">
        <f>IFERROR(SUMIFS(BS数据!J:J,BS数据!$A:$A,BS!$B21),0)</f>
        <v>0</v>
      </c>
      <c r="L21" s="66">
        <f>IFERROR(SUMIFS(BS数据!K:K,BS数据!$A:$A,BS!$B21),0)</f>
        <v>0</v>
      </c>
      <c r="M21" s="66">
        <f>IFERROR(SUMIFS(BS数据!L:L,BS数据!$A:$A,BS!$B21),0)</f>
        <v>0</v>
      </c>
      <c r="N21" s="66">
        <f>IFERROR(SUMIFS(BS数据!M:M,BS数据!$A:$A,BS!$B21),0)</f>
        <v>0</v>
      </c>
      <c r="O21" s="66">
        <f>IFERROR(SUMIFS(BS数据!N:N,BS数据!$A:$A,BS!$B21),0)</f>
        <v>0</v>
      </c>
      <c r="P21" s="66"/>
      <c r="Q21" s="66"/>
      <c r="R21" s="68">
        <f t="shared" si="0"/>
        <v>0</v>
      </c>
      <c r="S21" s="109">
        <f t="shared" si="3"/>
        <v>0</v>
      </c>
      <c r="T21" s="109">
        <f t="shared" si="4"/>
        <v>0</v>
      </c>
      <c r="U21" s="111">
        <f t="shared" si="5"/>
        <v>0</v>
      </c>
      <c r="V21" s="111">
        <f t="shared" si="6"/>
        <v>0</v>
      </c>
      <c r="W21" s="111">
        <f t="shared" si="7"/>
        <v>0</v>
      </c>
    </row>
    <row r="22" spans="1:23" x14ac:dyDescent="0.25">
      <c r="A22" s="61" t="str">
        <f t="shared" si="1"/>
        <v>经营性流动资产</v>
      </c>
      <c r="B22" s="61" t="str">
        <f>BS数据!A21</f>
        <v>内部应收款(万元)</v>
      </c>
      <c r="C22" s="66">
        <f>IFERROR(SUMIFS(BS数据!B:B,BS数据!$A:$A,BS!$B22),0)</f>
        <v>0</v>
      </c>
      <c r="D22" s="66">
        <f>IFERROR(SUMIFS(BS数据!C:C,BS数据!$A:$A,BS!$B22),0)</f>
        <v>0</v>
      </c>
      <c r="E22" s="66">
        <f>IFERROR(SUMIFS(BS数据!D:D,BS数据!$A:$A,BS!$B22),0)</f>
        <v>0</v>
      </c>
      <c r="F22" s="66">
        <f>IFERROR(SUMIFS(BS数据!E:E,BS数据!$A:$A,BS!$B22),0)</f>
        <v>0</v>
      </c>
      <c r="G22" s="66">
        <f>IFERROR(SUMIFS(BS数据!F:F,BS数据!$A:$A,BS!$B22),0)</f>
        <v>0</v>
      </c>
      <c r="H22" s="66">
        <f>IFERROR(SUMIFS(BS数据!G:G,BS数据!$A:$A,BS!$B22),0)</f>
        <v>0</v>
      </c>
      <c r="I22" s="66">
        <f>IFERROR(SUMIFS(BS数据!H:H,BS数据!$A:$A,BS!$B22),0)</f>
        <v>0</v>
      </c>
      <c r="J22" s="66">
        <f>IFERROR(SUMIFS(BS数据!I:I,BS数据!$A:$A,BS!$B22),0)</f>
        <v>0</v>
      </c>
      <c r="K22" s="66">
        <f>IFERROR(SUMIFS(BS数据!J:J,BS数据!$A:$A,BS!$B22),0)</f>
        <v>0</v>
      </c>
      <c r="L22" s="66">
        <f>IFERROR(SUMIFS(BS数据!K:K,BS数据!$A:$A,BS!$B22),0)</f>
        <v>0</v>
      </c>
      <c r="M22" s="66">
        <f>IFERROR(SUMIFS(BS数据!L:L,BS数据!$A:$A,BS!$B22),0)</f>
        <v>0</v>
      </c>
      <c r="N22" s="66">
        <f>IFERROR(SUMIFS(BS数据!M:M,BS数据!$A:$A,BS!$B22),0)</f>
        <v>0</v>
      </c>
      <c r="O22" s="66">
        <f>IFERROR(SUMIFS(BS数据!N:N,BS数据!$A:$A,BS!$B22),0)</f>
        <v>0</v>
      </c>
      <c r="P22" s="66"/>
      <c r="Q22" s="66"/>
      <c r="R22" s="68">
        <f t="shared" si="0"/>
        <v>0</v>
      </c>
      <c r="S22" s="109">
        <f t="shared" si="3"/>
        <v>0</v>
      </c>
      <c r="T22" s="109">
        <f t="shared" si="4"/>
        <v>0</v>
      </c>
      <c r="U22" s="111">
        <f t="shared" si="5"/>
        <v>0</v>
      </c>
      <c r="V22" s="111">
        <f t="shared" si="6"/>
        <v>0</v>
      </c>
      <c r="W22" s="111">
        <f t="shared" si="7"/>
        <v>0</v>
      </c>
    </row>
    <row r="23" spans="1:23" x14ac:dyDescent="0.25">
      <c r="A23" s="61" t="str">
        <f t="shared" si="1"/>
        <v>金融资产</v>
      </c>
      <c r="B23" s="61" t="str">
        <f>BS数据!A22</f>
        <v>买入返售金融资产(万元)</v>
      </c>
      <c r="C23" s="66">
        <f>IFERROR(SUMIFS(BS数据!B:B,BS数据!$A:$A,BS!$B23),0)</f>
        <v>0</v>
      </c>
      <c r="D23" s="66">
        <f>IFERROR(SUMIFS(BS数据!C:C,BS数据!$A:$A,BS!$B23),0)</f>
        <v>0</v>
      </c>
      <c r="E23" s="66">
        <f>IFERROR(SUMIFS(BS数据!D:D,BS数据!$A:$A,BS!$B23),0)</f>
        <v>0</v>
      </c>
      <c r="F23" s="66">
        <f>IFERROR(SUMIFS(BS数据!E:E,BS数据!$A:$A,BS!$B23),0)</f>
        <v>0</v>
      </c>
      <c r="G23" s="66">
        <f>IFERROR(SUMIFS(BS数据!F:F,BS数据!$A:$A,BS!$B23),0)</f>
        <v>0</v>
      </c>
      <c r="H23" s="66">
        <f>IFERROR(SUMIFS(BS数据!G:G,BS数据!$A:$A,BS!$B23),0)</f>
        <v>0</v>
      </c>
      <c r="I23" s="66">
        <f>IFERROR(SUMIFS(BS数据!H:H,BS数据!$A:$A,BS!$B23),0)</f>
        <v>0</v>
      </c>
      <c r="J23" s="66">
        <f>IFERROR(SUMIFS(BS数据!I:I,BS数据!$A:$A,BS!$B23),0)</f>
        <v>0</v>
      </c>
      <c r="K23" s="66">
        <f>IFERROR(SUMIFS(BS数据!J:J,BS数据!$A:$A,BS!$B23),0)</f>
        <v>0</v>
      </c>
      <c r="L23" s="66">
        <f>IFERROR(SUMIFS(BS数据!K:K,BS数据!$A:$A,BS!$B23),0)</f>
        <v>0</v>
      </c>
      <c r="M23" s="66">
        <f>IFERROR(SUMIFS(BS数据!L:L,BS数据!$A:$A,BS!$B23),0)</f>
        <v>0</v>
      </c>
      <c r="N23" s="66">
        <f>IFERROR(SUMIFS(BS数据!M:M,BS数据!$A:$A,BS!$B23),0)</f>
        <v>0</v>
      </c>
      <c r="O23" s="66">
        <f>IFERROR(SUMIFS(BS数据!N:N,BS数据!$A:$A,BS!$B23),0)</f>
        <v>0</v>
      </c>
      <c r="P23" s="66"/>
      <c r="Q23" s="66"/>
      <c r="R23" s="68">
        <f t="shared" si="0"/>
        <v>0</v>
      </c>
      <c r="S23" s="109">
        <f t="shared" si="3"/>
        <v>0</v>
      </c>
      <c r="T23" s="109">
        <f t="shared" si="4"/>
        <v>0</v>
      </c>
      <c r="U23" s="111">
        <f t="shared" si="5"/>
        <v>0</v>
      </c>
      <c r="V23" s="111">
        <f t="shared" si="6"/>
        <v>0</v>
      </c>
      <c r="W23" s="111">
        <f t="shared" si="7"/>
        <v>0</v>
      </c>
    </row>
    <row r="24" spans="1:23" x14ac:dyDescent="0.25">
      <c r="A24" s="61" t="str">
        <f t="shared" si="1"/>
        <v>经营性流动资产</v>
      </c>
      <c r="B24" s="61" t="str">
        <f>BS数据!A23</f>
        <v>存货(万元)</v>
      </c>
      <c r="C24" s="66">
        <f>IFERROR(SUMIFS(BS数据!B:B,BS数据!$A:$A,BS!$B24),0)</f>
        <v>1425174</v>
      </c>
      <c r="D24" s="66">
        <f>IFERROR(SUMIFS(BS数据!C:C,BS数据!$A:$A,BS!$B24),0)</f>
        <v>1159463</v>
      </c>
      <c r="E24" s="66">
        <f>IFERROR(SUMIFS(BS数据!D:D,BS数据!$A:$A,BS!$B24),0)</f>
        <v>764189</v>
      </c>
      <c r="F24" s="66">
        <f>IFERROR(SUMIFS(BS数据!E:E,BS数据!$A:$A,BS!$B24),0)</f>
        <v>622030</v>
      </c>
      <c r="G24" s="66">
        <f>IFERROR(SUMIFS(BS数据!F:F,BS数据!$A:$A,BS!$B24),0)</f>
        <v>552085</v>
      </c>
      <c r="H24" s="66">
        <f>IFERROR(SUMIFS(BS数据!G:G,BS数据!$A:$A,BS!$B24),0)</f>
        <v>726915</v>
      </c>
      <c r="I24" s="66">
        <f>IFERROR(SUMIFS(BS数据!H:H,BS数据!$A:$A,BS!$B24),0)</f>
        <v>941684</v>
      </c>
      <c r="J24" s="66">
        <f>IFERROR(SUMIFS(BS数据!I:I,BS数据!$A:$A,BS!$B24),0)</f>
        <v>1051136</v>
      </c>
      <c r="K24" s="66">
        <f>IFERROR(SUMIFS(BS数据!J:J,BS数据!$A:$A,BS!$B24),0)</f>
        <v>813441</v>
      </c>
      <c r="L24" s="66">
        <f>IFERROR(SUMIFS(BS数据!K:K,BS数据!$A:$A,BS!$B24),0)</f>
        <v>568727</v>
      </c>
      <c r="M24" s="66">
        <f>IFERROR(SUMIFS(BS数据!L:L,BS数据!$A:$A,BS!$B24),0)</f>
        <v>293953</v>
      </c>
      <c r="N24" s="66">
        <f>IFERROR(SUMIFS(BS数据!M:M,BS数据!$A:$A,BS!$B24),0)</f>
        <v>301258</v>
      </c>
      <c r="O24" s="66">
        <f>IFERROR(SUMIFS(BS数据!N:N,BS数据!$A:$A,BS!$B24),0)</f>
        <v>234290</v>
      </c>
      <c r="P24" s="66"/>
      <c r="Q24" s="66"/>
      <c r="R24" s="68">
        <f t="shared" si="0"/>
        <v>452.29410000000001</v>
      </c>
      <c r="S24" s="109">
        <f t="shared" si="3"/>
        <v>0.22916729554975013</v>
      </c>
      <c r="T24" s="109">
        <f t="shared" si="4"/>
        <v>0.51724638800087419</v>
      </c>
      <c r="U24" s="111">
        <f t="shared" si="5"/>
        <v>112.82251424952501</v>
      </c>
      <c r="V24" s="111">
        <f t="shared" si="6"/>
        <v>231.3835561764119</v>
      </c>
      <c r="W24" s="111">
        <f t="shared" si="7"/>
        <v>202.70265251989389</v>
      </c>
    </row>
    <row r="25" spans="1:23" x14ac:dyDescent="0.25">
      <c r="A25" s="61" t="str">
        <f t="shared" si="1"/>
        <v>经营性流动资产</v>
      </c>
      <c r="B25" s="82" t="s">
        <v>1754</v>
      </c>
      <c r="C25" s="127"/>
      <c r="D25" s="127"/>
      <c r="E25" s="127">
        <f>IFERROR(SUMIFS(BS数据!D:D,BS数据!$A:$A,BS!$B25),0)</f>
        <v>0</v>
      </c>
      <c r="F25" s="66">
        <f>IFERROR(SUMIFS(BS数据!E:E,BS数据!$A:$A,BS!$B25),0)</f>
        <v>0</v>
      </c>
      <c r="G25" s="66">
        <f>IFERROR(SUMIFS(BS数据!F:F,BS数据!$A:$A,BS!$B25),0)</f>
        <v>0</v>
      </c>
      <c r="H25" s="66">
        <f>IFERROR(SUMIFS(BS数据!G:G,BS数据!$A:$A,BS!$B25),0)</f>
        <v>0</v>
      </c>
      <c r="I25" s="66">
        <f>IFERROR(SUMIFS(BS数据!H:H,BS数据!$A:$A,BS!$B25),0)</f>
        <v>0</v>
      </c>
      <c r="J25" s="66">
        <f>IFERROR(SUMIFS(BS数据!I:I,BS数据!$A:$A,BS!$B25),0)</f>
        <v>0</v>
      </c>
      <c r="K25" s="66">
        <f>IFERROR(SUMIFS(BS数据!J:J,BS数据!$A:$A,BS!$B25),0)</f>
        <v>0</v>
      </c>
      <c r="L25" s="66">
        <f>IFERROR(SUMIFS(BS数据!K:K,BS数据!$A:$A,BS!$B25),0)</f>
        <v>0</v>
      </c>
      <c r="M25" s="66">
        <f>IFERROR(SUMIFS(BS数据!L:L,BS数据!$A:$A,BS!$B25),0)</f>
        <v>0</v>
      </c>
      <c r="N25" s="66">
        <f>IFERROR(SUMIFS(BS数据!M:M,BS数据!$A:$A,BS!$B25),0)</f>
        <v>0</v>
      </c>
      <c r="O25" s="66">
        <f>IFERROR(SUMIFS(BS数据!N:N,BS数据!$A:$A,BS!$B25),0)</f>
        <v>0</v>
      </c>
      <c r="P25" s="66"/>
      <c r="Q25" s="66"/>
      <c r="R25" s="68">
        <f t="shared" si="0"/>
        <v>0</v>
      </c>
      <c r="S25" s="109">
        <f t="shared" si="3"/>
        <v>0</v>
      </c>
      <c r="T25" s="109">
        <f t="shared" si="4"/>
        <v>0</v>
      </c>
      <c r="U25" s="111">
        <f t="shared" si="5"/>
        <v>0</v>
      </c>
      <c r="V25" s="111">
        <f t="shared" si="6"/>
        <v>0</v>
      </c>
      <c r="W25" s="111">
        <f t="shared" si="7"/>
        <v>0</v>
      </c>
    </row>
    <row r="26" spans="1:23" x14ac:dyDescent="0.25">
      <c r="A26" s="61" t="str">
        <f t="shared" si="1"/>
        <v>经营性流动资产</v>
      </c>
      <c r="B26" s="61" t="str">
        <f>BS数据!A25</f>
        <v>待处理流动资产损益(万元)</v>
      </c>
      <c r="C26" s="66">
        <f>IFERROR(SUMIFS(BS数据!B:B,BS数据!$A:$A,BS!$B26),0)</f>
        <v>0</v>
      </c>
      <c r="D26" s="66">
        <f>IFERROR(SUMIFS(BS数据!C:C,BS数据!$A:$A,BS!$B26),0)</f>
        <v>0</v>
      </c>
      <c r="E26" s="66">
        <f>IFERROR(SUMIFS(BS数据!D:D,BS数据!$A:$A,BS!$B26),0)</f>
        <v>0</v>
      </c>
      <c r="F26" s="66">
        <f>IFERROR(SUMIFS(BS数据!E:E,BS数据!$A:$A,BS!$B26),0)</f>
        <v>0</v>
      </c>
      <c r="G26" s="66">
        <f>IFERROR(SUMIFS(BS数据!F:F,BS数据!$A:$A,BS!$B26),0)</f>
        <v>0</v>
      </c>
      <c r="H26" s="66">
        <f>IFERROR(SUMIFS(BS数据!G:G,BS数据!$A:$A,BS!$B26),0)</f>
        <v>0</v>
      </c>
      <c r="I26" s="66">
        <f>IFERROR(SUMIFS(BS数据!H:H,BS数据!$A:$A,BS!$B26),0)</f>
        <v>0</v>
      </c>
      <c r="J26" s="66">
        <f>IFERROR(SUMIFS(BS数据!I:I,BS数据!$A:$A,BS!$B26),0)</f>
        <v>0</v>
      </c>
      <c r="K26" s="66">
        <f>IFERROR(SUMIFS(BS数据!J:J,BS数据!$A:$A,BS!$B26),0)</f>
        <v>0</v>
      </c>
      <c r="L26" s="66">
        <f>IFERROR(SUMIFS(BS数据!K:K,BS数据!$A:$A,BS!$B26),0)</f>
        <v>0</v>
      </c>
      <c r="M26" s="66">
        <f>IFERROR(SUMIFS(BS数据!L:L,BS数据!$A:$A,BS!$B26),0)</f>
        <v>0</v>
      </c>
      <c r="N26" s="66">
        <f>IFERROR(SUMIFS(BS数据!M:M,BS数据!$A:$A,BS!$B26),0)</f>
        <v>0</v>
      </c>
      <c r="O26" s="66">
        <f>IFERROR(SUMIFS(BS数据!N:N,BS数据!$A:$A,BS!$B26),0)</f>
        <v>0</v>
      </c>
      <c r="P26" s="66"/>
      <c r="Q26" s="66"/>
      <c r="R26" s="68">
        <f t="shared" si="0"/>
        <v>0</v>
      </c>
      <c r="S26" s="109">
        <f t="shared" si="3"/>
        <v>0</v>
      </c>
      <c r="T26" s="109">
        <f t="shared" si="4"/>
        <v>0</v>
      </c>
      <c r="U26" s="111">
        <f t="shared" si="5"/>
        <v>0</v>
      </c>
      <c r="V26" s="111">
        <f t="shared" si="6"/>
        <v>0</v>
      </c>
      <c r="W26" s="111">
        <f t="shared" si="7"/>
        <v>0</v>
      </c>
    </row>
    <row r="27" spans="1:23" x14ac:dyDescent="0.25">
      <c r="A27" s="61" t="str">
        <f t="shared" si="1"/>
        <v>经营性流动资产</v>
      </c>
      <c r="B27" s="61" t="str">
        <f>BS数据!A26</f>
        <v>一年内到期的非流动资产(万元)</v>
      </c>
      <c r="C27" s="66">
        <f>IFERROR(SUMIFS(BS数据!B:B,BS数据!$A:$A,BS!$B27),0)</f>
        <v>50816</v>
      </c>
      <c r="D27" s="66">
        <f>IFERROR(SUMIFS(BS数据!C:C,BS数据!$A:$A,BS!$B27),0)</f>
        <v>23323</v>
      </c>
      <c r="E27" s="66">
        <f>IFERROR(SUMIFS(BS数据!D:D,BS数据!$A:$A,BS!$B27),0)</f>
        <v>20986</v>
      </c>
      <c r="F27" s="66">
        <f>IFERROR(SUMIFS(BS数据!E:E,BS数据!$A:$A,BS!$B27),0)</f>
        <v>15959</v>
      </c>
      <c r="G27" s="66">
        <f>IFERROR(SUMIFS(BS数据!F:F,BS数据!$A:$A,BS!$B27),0)</f>
        <v>18228</v>
      </c>
      <c r="H27" s="66">
        <f>IFERROR(SUMIFS(BS数据!G:G,BS数据!$A:$A,BS!$B27),0)</f>
        <v>8794</v>
      </c>
      <c r="I27" s="66">
        <f>IFERROR(SUMIFS(BS数据!H:H,BS数据!$A:$A,BS!$B27),0)</f>
        <v>7161</v>
      </c>
      <c r="J27" s="66">
        <f>IFERROR(SUMIFS(BS数据!I:I,BS数据!$A:$A,BS!$B27),0)</f>
        <v>0</v>
      </c>
      <c r="K27" s="66">
        <f>IFERROR(SUMIFS(BS数据!J:J,BS数据!$A:$A,BS!$B27),0)</f>
        <v>0</v>
      </c>
      <c r="L27" s="66">
        <f>IFERROR(SUMIFS(BS数据!K:K,BS数据!$A:$A,BS!$B27),0)</f>
        <v>0</v>
      </c>
      <c r="M27" s="66">
        <f>IFERROR(SUMIFS(BS数据!L:L,BS数据!$A:$A,BS!$B27),0)</f>
        <v>0</v>
      </c>
      <c r="N27" s="66">
        <f>IFERROR(SUMIFS(BS数据!M:M,BS数据!$A:$A,BS!$B27),0)</f>
        <v>0</v>
      </c>
      <c r="O27" s="66">
        <f>IFERROR(SUMIFS(BS数据!N:N,BS数据!$A:$A,BS!$B27),0)</f>
        <v>0</v>
      </c>
      <c r="P27" s="66"/>
      <c r="Q27" s="66"/>
      <c r="R27" s="68">
        <f t="shared" si="0"/>
        <v>12.9312</v>
      </c>
      <c r="S27" s="109">
        <f t="shared" si="3"/>
        <v>1.1787934656776571</v>
      </c>
      <c r="T27" s="109">
        <f t="shared" si="4"/>
        <v>0.11135995425521772</v>
      </c>
      <c r="U27" s="111">
        <f t="shared" si="5"/>
        <v>4.0227992400253321</v>
      </c>
      <c r="V27" s="111">
        <f t="shared" si="6"/>
        <v>4.6543604071043703</v>
      </c>
      <c r="W27" s="111">
        <f t="shared" si="7"/>
        <v>5.5665782493368701</v>
      </c>
    </row>
    <row r="28" spans="1:23" x14ac:dyDescent="0.25">
      <c r="A28" s="61" t="str">
        <f t="shared" si="1"/>
        <v>经营性流动资产</v>
      </c>
      <c r="B28" s="61" t="str">
        <f>BS数据!A27</f>
        <v>其他流动资产(万元)</v>
      </c>
      <c r="C28" s="66">
        <f>IFERROR(SUMIFS(BS数据!B:B,BS数据!$A:$A,BS!$B28),0)</f>
        <v>527201</v>
      </c>
      <c r="D28" s="66">
        <f>IFERROR(SUMIFS(BS数据!C:C,BS数据!$A:$A,BS!$B28),0)</f>
        <v>247999</v>
      </c>
      <c r="E28" s="66">
        <f>IFERROR(SUMIFS(BS数据!D:D,BS数据!$A:$A,BS!$B28),0)</f>
        <v>147314</v>
      </c>
      <c r="F28" s="66">
        <f>IFERROR(SUMIFS(BS数据!E:E,BS数据!$A:$A,BS!$B28),0)</f>
        <v>59852</v>
      </c>
      <c r="G28" s="66">
        <f>IFERROR(SUMIFS(BS数据!F:F,BS数据!$A:$A,BS!$B28),0)</f>
        <v>39943</v>
      </c>
      <c r="H28" s="66">
        <f>IFERROR(SUMIFS(BS数据!G:G,BS数据!$A:$A,BS!$B28),0)</f>
        <v>89007</v>
      </c>
      <c r="I28" s="66">
        <f>IFERROR(SUMIFS(BS数据!H:H,BS数据!$A:$A,BS!$B28),0)</f>
        <v>56052</v>
      </c>
      <c r="J28" s="66">
        <f>IFERROR(SUMIFS(BS数据!I:I,BS数据!$A:$A,BS!$B28),0)</f>
        <v>64158</v>
      </c>
      <c r="K28" s="66">
        <f>IFERROR(SUMIFS(BS数据!J:J,BS数据!$A:$A,BS!$B28),0)</f>
        <v>26489</v>
      </c>
      <c r="L28" s="66">
        <f>IFERROR(SUMIFS(BS数据!K:K,BS数据!$A:$A,BS!$B28),0)</f>
        <v>0</v>
      </c>
      <c r="M28" s="66">
        <f>IFERROR(SUMIFS(BS数据!L:L,BS数据!$A:$A,BS!$B28),0)</f>
        <v>0</v>
      </c>
      <c r="N28" s="66">
        <f>IFERROR(SUMIFS(BS数据!M:M,BS数据!$A:$A,BS!$B28),0)</f>
        <v>0</v>
      </c>
      <c r="O28" s="66">
        <f>IFERROR(SUMIFS(BS数据!N:N,BS数据!$A:$A,BS!$B28),0)</f>
        <v>0</v>
      </c>
      <c r="P28" s="66"/>
      <c r="Q28" s="66"/>
      <c r="R28" s="68">
        <f t="shared" si="0"/>
        <v>102.23090000000001</v>
      </c>
      <c r="S28" s="109">
        <f t="shared" si="3"/>
        <v>1.1258190557219989</v>
      </c>
      <c r="T28" s="109">
        <f t="shared" si="4"/>
        <v>0.68347203931737655</v>
      </c>
      <c r="U28" s="111">
        <f t="shared" si="5"/>
        <v>41.735354654844841</v>
      </c>
      <c r="V28" s="111">
        <f t="shared" si="6"/>
        <v>49.490919976052687</v>
      </c>
      <c r="W28" s="111">
        <f t="shared" si="7"/>
        <v>39.07533156498674</v>
      </c>
    </row>
    <row r="29" spans="1:23" x14ac:dyDescent="0.25">
      <c r="A29" s="61" t="str">
        <f t="shared" si="1"/>
        <v/>
      </c>
      <c r="B29" s="152" t="str">
        <f>BS数据!A28</f>
        <v>流动资产合计(万元)</v>
      </c>
      <c r="C29" s="66">
        <f>SUM(C5:C28)</f>
        <v>6891456</v>
      </c>
      <c r="D29" s="153">
        <f t="shared" ref="D29:G29" si="8">SUM(D5:D28)</f>
        <v>5189594</v>
      </c>
      <c r="E29" s="153">
        <f t="shared" si="8"/>
        <v>3620747</v>
      </c>
      <c r="F29" s="153">
        <f t="shared" si="8"/>
        <v>3799227</v>
      </c>
      <c r="G29" s="153">
        <f t="shared" si="8"/>
        <v>3732884</v>
      </c>
      <c r="H29" s="153">
        <f t="shared" ref="H29:I29" si="9">SUM(H5:H28)</f>
        <v>3811236</v>
      </c>
      <c r="I29" s="153">
        <f t="shared" si="9"/>
        <v>3886982</v>
      </c>
      <c r="J29" s="153">
        <f t="shared" ref="J29:O29" si="10">SUM(J5:J28)</f>
        <v>3988316</v>
      </c>
      <c r="K29" s="153">
        <f t="shared" si="10"/>
        <v>3378379</v>
      </c>
      <c r="L29" s="153">
        <f t="shared" si="10"/>
        <v>2043676</v>
      </c>
      <c r="M29" s="153">
        <f t="shared" si="10"/>
        <v>1073252</v>
      </c>
      <c r="N29" s="153">
        <f t="shared" si="10"/>
        <v>1007585</v>
      </c>
      <c r="O29" s="153">
        <f t="shared" si="10"/>
        <v>838170</v>
      </c>
      <c r="P29" s="153"/>
      <c r="Q29" s="153"/>
      <c r="R29" s="68">
        <f t="shared" si="0"/>
        <v>2323.3908000000001</v>
      </c>
      <c r="S29" s="109">
        <f t="shared" si="3"/>
        <v>0.32793740704956886</v>
      </c>
      <c r="T29" s="109">
        <f t="shared" si="4"/>
        <v>0.43329373745252009</v>
      </c>
      <c r="U29" s="111">
        <f t="shared" si="5"/>
        <v>545.55541481950604</v>
      </c>
      <c r="V29" s="111">
        <f t="shared" si="6"/>
        <v>1035.6403911394932</v>
      </c>
      <c r="W29" s="111">
        <f t="shared" si="7"/>
        <v>960.41034482758619</v>
      </c>
    </row>
    <row r="30" spans="1:23" x14ac:dyDescent="0.25">
      <c r="A30" s="61" t="str">
        <f t="shared" si="1"/>
        <v/>
      </c>
      <c r="B30" s="61" t="str">
        <f>BS数据!A29</f>
        <v>非流动资产</v>
      </c>
      <c r="C30" s="66">
        <f>IFERROR(SUMIFS(BS数据!B:B,BS数据!$A:$A,BS!$B30),0)</f>
        <v>0</v>
      </c>
      <c r="D30" s="66">
        <f>IFERROR(SUMIFS(BS数据!C:C,BS数据!$A:$A,BS!$B30),0)</f>
        <v>0</v>
      </c>
      <c r="E30" s="66">
        <f>IFERROR(SUMIFS(BS数据!D:D,BS数据!$A:$A,BS!$B30),0)</f>
        <v>0</v>
      </c>
      <c r="F30" s="66">
        <f>IFERROR(SUMIFS(BS数据!E:E,BS数据!$A:$A,BS!$B30),0)</f>
        <v>0</v>
      </c>
      <c r="G30" s="66">
        <f>IFERROR(SUMIFS(BS数据!F:F,BS数据!$A:$A,BS!$B30),0)</f>
        <v>0</v>
      </c>
      <c r="H30" s="66">
        <f>IFERROR(SUMIFS(BS数据!G:G,BS数据!$A:$A,BS!$B30),0)</f>
        <v>0</v>
      </c>
      <c r="I30" s="66">
        <f>IFERROR(SUMIFS(BS数据!H:H,BS数据!$A:$A,BS!$B30),0)</f>
        <v>0</v>
      </c>
      <c r="J30" s="66">
        <f>IFERROR(SUMIFS(BS数据!I:I,BS数据!$A:$A,BS!$B30),0)</f>
        <v>0</v>
      </c>
      <c r="K30" s="66">
        <f>IFERROR(SUMIFS(BS数据!J:J,BS数据!$A:$A,BS!$B30),0)</f>
        <v>0</v>
      </c>
      <c r="L30" s="66">
        <f>IFERROR(SUMIFS(BS数据!K:K,BS数据!$A:$A,BS!$B30),0)</f>
        <v>0</v>
      </c>
      <c r="M30" s="66">
        <f>IFERROR(SUMIFS(BS数据!L:L,BS数据!$A:$A,BS!$B30),0)</f>
        <v>0</v>
      </c>
      <c r="N30" s="66">
        <f>IFERROR(SUMIFS(BS数据!M:M,BS数据!$A:$A,BS!$B30),0)</f>
        <v>0</v>
      </c>
      <c r="O30" s="66">
        <f>IFERROR(SUMIFS(BS数据!N:N,BS数据!$A:$A,BS!$B30),0)</f>
        <v>0</v>
      </c>
      <c r="P30" s="66"/>
      <c r="Q30" s="66"/>
      <c r="R30" s="68">
        <f t="shared" si="0"/>
        <v>0</v>
      </c>
      <c r="S30" s="109">
        <f t="shared" si="3"/>
        <v>0</v>
      </c>
      <c r="T30" s="109">
        <f t="shared" si="4"/>
        <v>0</v>
      </c>
      <c r="U30" s="111">
        <f t="shared" si="5"/>
        <v>0</v>
      </c>
      <c r="V30" s="111">
        <f t="shared" si="6"/>
        <v>0</v>
      </c>
      <c r="W30" s="111">
        <f t="shared" si="7"/>
        <v>0</v>
      </c>
    </row>
    <row r="31" spans="1:23" x14ac:dyDescent="0.25">
      <c r="A31" s="61" t="str">
        <f t="shared" si="1"/>
        <v>金融资产</v>
      </c>
      <c r="B31" s="61" t="str">
        <f>BS数据!A30</f>
        <v>发放贷款及垫款(万元)</v>
      </c>
      <c r="C31" s="66">
        <f>IFERROR(SUMIFS(BS数据!B:B,BS数据!$A:$A,BS!$B31),0)</f>
        <v>0</v>
      </c>
      <c r="D31" s="66">
        <f>IFERROR(SUMIFS(BS数据!C:C,BS数据!$A:$A,BS!$B31),0)</f>
        <v>0</v>
      </c>
      <c r="E31" s="66">
        <f>IFERROR(SUMIFS(BS数据!D:D,BS数据!$A:$A,BS!$B31),0)</f>
        <v>0</v>
      </c>
      <c r="F31" s="66">
        <f>IFERROR(SUMIFS(BS数据!E:E,BS数据!$A:$A,BS!$B31),0)</f>
        <v>0</v>
      </c>
      <c r="G31" s="66">
        <f>IFERROR(SUMIFS(BS数据!F:F,BS数据!$A:$A,BS!$B31),0)</f>
        <v>0</v>
      </c>
      <c r="H31" s="66">
        <f>IFERROR(SUMIFS(BS数据!G:G,BS数据!$A:$A,BS!$B31),0)</f>
        <v>0</v>
      </c>
      <c r="I31" s="66">
        <f>IFERROR(SUMIFS(BS数据!H:H,BS数据!$A:$A,BS!$B31),0)</f>
        <v>0</v>
      </c>
      <c r="J31" s="66">
        <f>IFERROR(SUMIFS(BS数据!I:I,BS数据!$A:$A,BS!$B31),0)</f>
        <v>0</v>
      </c>
      <c r="K31" s="66">
        <f>IFERROR(SUMIFS(BS数据!J:J,BS数据!$A:$A,BS!$B31),0)</f>
        <v>0</v>
      </c>
      <c r="L31" s="66">
        <f>IFERROR(SUMIFS(BS数据!K:K,BS数据!$A:$A,BS!$B31),0)</f>
        <v>0</v>
      </c>
      <c r="M31" s="66">
        <f>IFERROR(SUMIFS(BS数据!L:L,BS数据!$A:$A,BS!$B31),0)</f>
        <v>0</v>
      </c>
      <c r="N31" s="66">
        <f>IFERROR(SUMIFS(BS数据!M:M,BS数据!$A:$A,BS!$B31),0)</f>
        <v>0</v>
      </c>
      <c r="O31" s="66">
        <f>IFERROR(SUMIFS(BS数据!N:N,BS数据!$A:$A,BS!$B31),0)</f>
        <v>0</v>
      </c>
      <c r="P31" s="66"/>
      <c r="Q31" s="66"/>
      <c r="R31" s="68">
        <f t="shared" si="0"/>
        <v>0</v>
      </c>
      <c r="S31" s="109">
        <f t="shared" si="3"/>
        <v>0</v>
      </c>
      <c r="T31" s="109">
        <f t="shared" si="4"/>
        <v>0</v>
      </c>
      <c r="U31" s="111">
        <f t="shared" si="5"/>
        <v>0</v>
      </c>
      <c r="V31" s="111">
        <f t="shared" si="6"/>
        <v>0</v>
      </c>
      <c r="W31" s="111">
        <f t="shared" si="7"/>
        <v>0</v>
      </c>
    </row>
    <row r="32" spans="1:23" x14ac:dyDescent="0.25">
      <c r="A32" s="61" t="str">
        <f t="shared" si="1"/>
        <v>金融资产</v>
      </c>
      <c r="B32" s="61" t="str">
        <f>BS数据!A31</f>
        <v>可供出售金融资产(万元)</v>
      </c>
      <c r="C32" s="66">
        <f>IFERROR(SUMIFS(BS数据!B:B,BS数据!$A:$A,BS!$B32),0)</f>
        <v>0</v>
      </c>
      <c r="D32" s="66">
        <f>IFERROR(SUMIFS(BS数据!C:C,BS数据!$A:$A,BS!$B32),0)</f>
        <v>112051</v>
      </c>
      <c r="E32" s="66">
        <f>IFERROR(SUMIFS(BS数据!D:D,BS数据!$A:$A,BS!$B32),0)</f>
        <v>68124</v>
      </c>
      <c r="F32" s="66">
        <f>IFERROR(SUMIFS(BS数据!E:E,BS数据!$A:$A,BS!$B32),0)</f>
        <v>65251</v>
      </c>
      <c r="G32" s="66">
        <f>IFERROR(SUMIFS(BS数据!F:F,BS数据!$A:$A,BS!$B32),0)</f>
        <v>39605</v>
      </c>
      <c r="H32" s="66">
        <f>IFERROR(SUMIFS(BS数据!G:G,BS数据!$A:$A,BS!$B32),0)</f>
        <v>51975</v>
      </c>
      <c r="I32" s="66">
        <f>IFERROR(SUMIFS(BS数据!H:H,BS数据!$A:$A,BS!$B32),0)</f>
        <v>40133</v>
      </c>
      <c r="J32" s="66">
        <f>IFERROR(SUMIFS(BS数据!I:I,BS数据!$A:$A,BS!$B32),0)</f>
        <v>29444</v>
      </c>
      <c r="K32" s="66">
        <f>IFERROR(SUMIFS(BS数据!J:J,BS数据!$A:$A,BS!$B32),0)</f>
        <v>0</v>
      </c>
      <c r="L32" s="66">
        <f>IFERROR(SUMIFS(BS数据!K:K,BS数据!$A:$A,BS!$B32),0)</f>
        <v>0</v>
      </c>
      <c r="M32" s="66">
        <f>IFERROR(SUMIFS(BS数据!L:L,BS数据!$A:$A,BS!$B32),0)</f>
        <v>0</v>
      </c>
      <c r="N32" s="66">
        <f>IFERROR(SUMIFS(BS数据!M:M,BS数据!$A:$A,BS!$B32),0)</f>
        <v>0</v>
      </c>
      <c r="O32" s="66">
        <f>IFERROR(SUMIFS(BS数据!N:N,BS数据!$A:$A,BS!$B32),0)</f>
        <v>0</v>
      </c>
      <c r="P32" s="66"/>
      <c r="Q32" s="66"/>
      <c r="R32" s="68">
        <f t="shared" si="0"/>
        <v>28.5031</v>
      </c>
      <c r="S32" s="109">
        <f t="shared" si="3"/>
        <v>-1</v>
      </c>
      <c r="T32" s="109">
        <f t="shared" si="4"/>
        <v>0.64480946509306558</v>
      </c>
      <c r="U32" s="111">
        <f t="shared" si="5"/>
        <v>0</v>
      </c>
      <c r="V32" s="111">
        <f t="shared" si="6"/>
        <v>22.361005787268009</v>
      </c>
      <c r="W32" s="111">
        <f t="shared" si="7"/>
        <v>18.070026525198941</v>
      </c>
    </row>
    <row r="33" spans="1:23" x14ac:dyDescent="0.25">
      <c r="A33" s="61" t="str">
        <f t="shared" si="1"/>
        <v>金融资产</v>
      </c>
      <c r="B33" s="61" t="str">
        <f>BS数据!A32</f>
        <v>持有至到期投资(万元)</v>
      </c>
      <c r="C33" s="66">
        <f>IFERROR(SUMIFS(BS数据!B:B,BS数据!$A:$A,BS!$B33),0)</f>
        <v>0</v>
      </c>
      <c r="D33" s="66">
        <f>IFERROR(SUMIFS(BS数据!C:C,BS数据!$A:$A,BS!$B33),0)</f>
        <v>0</v>
      </c>
      <c r="E33" s="66">
        <f>IFERROR(SUMIFS(BS数据!D:D,BS数据!$A:$A,BS!$B33),0)</f>
        <v>0</v>
      </c>
      <c r="F33" s="66">
        <f>IFERROR(SUMIFS(BS数据!E:E,BS数据!$A:$A,BS!$B33),0)</f>
        <v>0</v>
      </c>
      <c r="G33" s="66">
        <f>IFERROR(SUMIFS(BS数据!F:F,BS数据!$A:$A,BS!$B33),0)</f>
        <v>0</v>
      </c>
      <c r="H33" s="66">
        <f>IFERROR(SUMIFS(BS数据!G:G,BS数据!$A:$A,BS!$B33),0)</f>
        <v>0</v>
      </c>
      <c r="I33" s="66">
        <f>IFERROR(SUMIFS(BS数据!H:H,BS数据!$A:$A,BS!$B33),0)</f>
        <v>0</v>
      </c>
      <c r="J33" s="66">
        <f>IFERROR(SUMIFS(BS数据!I:I,BS数据!$A:$A,BS!$B33),0)</f>
        <v>0</v>
      </c>
      <c r="K33" s="66">
        <f>IFERROR(SUMIFS(BS数据!J:J,BS数据!$A:$A,BS!$B33),0)</f>
        <v>0</v>
      </c>
      <c r="L33" s="66">
        <f>IFERROR(SUMIFS(BS数据!K:K,BS数据!$A:$A,BS!$B33),0)</f>
        <v>0</v>
      </c>
      <c r="M33" s="66">
        <f>IFERROR(SUMIFS(BS数据!L:L,BS数据!$A:$A,BS!$B33),0)</f>
        <v>0</v>
      </c>
      <c r="N33" s="66">
        <f>IFERROR(SUMIFS(BS数据!M:M,BS数据!$A:$A,BS!$B33),0)</f>
        <v>0</v>
      </c>
      <c r="O33" s="66">
        <f>IFERROR(SUMIFS(BS数据!N:N,BS数据!$A:$A,BS!$B33),0)</f>
        <v>0</v>
      </c>
      <c r="P33" s="66"/>
      <c r="Q33" s="66"/>
      <c r="R33" s="68">
        <f t="shared" si="0"/>
        <v>0</v>
      </c>
      <c r="S33" s="109">
        <f t="shared" si="3"/>
        <v>0</v>
      </c>
      <c r="T33" s="109">
        <f t="shared" si="4"/>
        <v>0</v>
      </c>
      <c r="U33" s="111">
        <f t="shared" si="5"/>
        <v>0</v>
      </c>
      <c r="V33" s="111">
        <f t="shared" si="6"/>
        <v>0</v>
      </c>
      <c r="W33" s="111">
        <f t="shared" si="7"/>
        <v>0</v>
      </c>
    </row>
    <row r="34" spans="1:23" x14ac:dyDescent="0.25">
      <c r="A34" s="61" t="str">
        <f t="shared" si="1"/>
        <v>经营性非流动资产</v>
      </c>
      <c r="B34" s="61" t="str">
        <f>BS数据!A33</f>
        <v>长期应收款(万元)</v>
      </c>
      <c r="C34" s="66">
        <f>IFERROR(SUMIFS(BS数据!B:B,BS数据!$A:$A,BS!$B34),0)</f>
        <v>128589</v>
      </c>
      <c r="D34" s="66">
        <f>IFERROR(SUMIFS(BS数据!C:C,BS数据!$A:$A,BS!$B34),0)</f>
        <v>36579</v>
      </c>
      <c r="E34" s="66">
        <f>IFERROR(SUMIFS(BS数据!D:D,BS数据!$A:$A,BS!$B34),0)</f>
        <v>27324</v>
      </c>
      <c r="F34" s="66">
        <f>IFERROR(SUMIFS(BS数据!E:E,BS数据!$A:$A,BS!$B34),0)</f>
        <v>29759</v>
      </c>
      <c r="G34" s="66">
        <f>IFERROR(SUMIFS(BS数据!F:F,BS数据!$A:$A,BS!$B34),0)</f>
        <v>26217</v>
      </c>
      <c r="H34" s="66">
        <f>IFERROR(SUMIFS(BS数据!G:G,BS数据!$A:$A,BS!$B34),0)</f>
        <v>36416</v>
      </c>
      <c r="I34" s="66">
        <f>IFERROR(SUMIFS(BS数据!H:H,BS数据!$A:$A,BS!$B34),0)</f>
        <v>14532</v>
      </c>
      <c r="J34" s="66">
        <f>IFERROR(SUMIFS(BS数据!I:I,BS数据!$A:$A,BS!$B34),0)</f>
        <v>0</v>
      </c>
      <c r="K34" s="66">
        <f>IFERROR(SUMIFS(BS数据!J:J,BS数据!$A:$A,BS!$B34),0)</f>
        <v>0</v>
      </c>
      <c r="L34" s="66">
        <f>IFERROR(SUMIFS(BS数据!K:K,BS数据!$A:$A,BS!$B34),0)</f>
        <v>0</v>
      </c>
      <c r="M34" s="66">
        <f>IFERROR(SUMIFS(BS数据!L:L,BS数据!$A:$A,BS!$B34),0)</f>
        <v>0</v>
      </c>
      <c r="N34" s="66">
        <f>IFERROR(SUMIFS(BS数据!M:M,BS数据!$A:$A,BS!$B34),0)</f>
        <v>0</v>
      </c>
      <c r="O34" s="66">
        <f>IFERROR(SUMIFS(BS数据!N:N,BS数据!$A:$A,BS!$B34),0)</f>
        <v>0</v>
      </c>
      <c r="P34" s="66"/>
      <c r="Q34" s="66"/>
      <c r="R34" s="68">
        <f t="shared" si="0"/>
        <v>24.846800000000002</v>
      </c>
      <c r="S34" s="109">
        <f t="shared" si="3"/>
        <v>2.5153776757155746</v>
      </c>
      <c r="T34" s="109">
        <f t="shared" si="4"/>
        <v>0.33871321914800179</v>
      </c>
      <c r="U34" s="111">
        <f t="shared" si="5"/>
        <v>10.179623179227359</v>
      </c>
      <c r="V34" s="111">
        <f t="shared" si="6"/>
        <v>7.2997405707443628</v>
      </c>
      <c r="W34" s="111">
        <f t="shared" si="7"/>
        <v>7.2477453580901861</v>
      </c>
    </row>
    <row r="35" spans="1:23" x14ac:dyDescent="0.25">
      <c r="A35" s="61" t="str">
        <f t="shared" si="1"/>
        <v>经营性非流动资产</v>
      </c>
      <c r="B35" s="61" t="str">
        <f>BS数据!A34</f>
        <v>长期股权投资(万元)</v>
      </c>
      <c r="C35" s="66">
        <f>IFERROR(SUMIFS(BS数据!B:B,BS数据!$A:$A,BS!$B35),0)</f>
        <v>298544</v>
      </c>
      <c r="D35" s="66">
        <f>IFERROR(SUMIFS(BS数据!C:C,BS数据!$A:$A,BS!$B35),0)</f>
        <v>232835</v>
      </c>
      <c r="E35" s="66">
        <f>IFERROR(SUMIFS(BS数据!D:D,BS数据!$A:$A,BS!$B35),0)</f>
        <v>140427</v>
      </c>
      <c r="F35" s="66">
        <f>IFERROR(SUMIFS(BS数据!E:E,BS数据!$A:$A,BS!$B35),0)</f>
        <v>152794</v>
      </c>
      <c r="G35" s="66">
        <f>IFERROR(SUMIFS(BS数据!F:F,BS数据!$A:$A,BS!$B35),0)</f>
        <v>102553</v>
      </c>
      <c r="H35" s="66">
        <f>IFERROR(SUMIFS(BS数据!G:G,BS数据!$A:$A,BS!$B35),0)</f>
        <v>101724</v>
      </c>
      <c r="I35" s="66">
        <f>IFERROR(SUMIFS(BS数据!H:H,BS数据!$A:$A,BS!$B35),0)</f>
        <v>37550</v>
      </c>
      <c r="J35" s="66">
        <f>IFERROR(SUMIFS(BS数据!I:I,BS数据!$A:$A,BS!$B35),0)</f>
        <v>31041</v>
      </c>
      <c r="K35" s="66">
        <f>IFERROR(SUMIFS(BS数据!J:J,BS数据!$A:$A,BS!$B35),0)</f>
        <v>32890</v>
      </c>
      <c r="L35" s="66">
        <f>IFERROR(SUMIFS(BS数据!K:K,BS数据!$A:$A,BS!$B35),0)</f>
        <v>19794</v>
      </c>
      <c r="M35" s="66">
        <f>IFERROR(SUMIFS(BS数据!L:L,BS数据!$A:$A,BS!$B35),0)</f>
        <v>20667</v>
      </c>
      <c r="N35" s="66">
        <f>IFERROR(SUMIFS(BS数据!M:M,BS数据!$A:$A,BS!$B35),0)</f>
        <v>18621</v>
      </c>
      <c r="O35" s="66">
        <f>IFERROR(SUMIFS(BS数据!N:N,BS数据!$A:$A,BS!$B35),0)</f>
        <v>16941</v>
      </c>
      <c r="P35" s="66"/>
      <c r="Q35" s="66"/>
      <c r="R35" s="68">
        <f t="shared" si="0"/>
        <v>92.715299999999999</v>
      </c>
      <c r="S35" s="109">
        <f t="shared" si="3"/>
        <v>0.28221272574999468</v>
      </c>
      <c r="T35" s="109">
        <f t="shared" si="4"/>
        <v>0.65805009008239157</v>
      </c>
      <c r="U35" s="111">
        <f t="shared" si="5"/>
        <v>23.633945535148829</v>
      </c>
      <c r="V35" s="111">
        <f t="shared" si="6"/>
        <v>46.464777489523051</v>
      </c>
      <c r="W35" s="111">
        <f t="shared" si="7"/>
        <v>37.248541114058355</v>
      </c>
    </row>
    <row r="36" spans="1:23" x14ac:dyDescent="0.25">
      <c r="A36" s="61" t="str">
        <f t="shared" si="1"/>
        <v>金融资产</v>
      </c>
      <c r="B36" s="155" t="s">
        <v>1755</v>
      </c>
      <c r="C36" s="156"/>
      <c r="D36" s="156"/>
      <c r="E36" s="156"/>
      <c r="F36" s="66"/>
      <c r="G36" s="66"/>
      <c r="H36" s="66"/>
      <c r="I36" s="66"/>
      <c r="J36" s="66"/>
      <c r="K36" s="66"/>
      <c r="L36" s="66"/>
      <c r="M36" s="66"/>
      <c r="N36" s="66"/>
      <c r="O36" s="66"/>
      <c r="P36" s="66"/>
      <c r="Q36" s="66"/>
      <c r="R36" s="68">
        <f t="shared" si="0"/>
        <v>0</v>
      </c>
      <c r="S36" s="109">
        <f t="shared" si="3"/>
        <v>0</v>
      </c>
      <c r="T36" s="109">
        <f t="shared" si="4"/>
        <v>0</v>
      </c>
      <c r="U36" s="111">
        <f t="shared" si="5"/>
        <v>0</v>
      </c>
      <c r="V36" s="111">
        <f t="shared" si="6"/>
        <v>0</v>
      </c>
      <c r="W36" s="111">
        <f t="shared" si="7"/>
        <v>0</v>
      </c>
    </row>
    <row r="37" spans="1:23" x14ac:dyDescent="0.25">
      <c r="A37" s="61" t="str">
        <f t="shared" ref="A37:A68" si="11">IF(ISERROR(VLOOKUP(TRIM($B37),管理名称,2,0)),"",VLOOKUP(TRIM($B37),管理名称,2,0))</f>
        <v>金融资产</v>
      </c>
      <c r="B37" s="61" t="str">
        <f>BS数据!A36</f>
        <v>投资性房地产(万元)</v>
      </c>
      <c r="C37" s="66">
        <f>IFERROR(SUMIFS(BS数据!B:B,BS数据!$A:$A,BS!$B37),0)</f>
        <v>12632</v>
      </c>
      <c r="D37" s="66">
        <f>IFERROR(SUMIFS(BS数据!C:C,BS数据!$A:$A,BS!$B37),0)</f>
        <v>5011</v>
      </c>
      <c r="E37" s="66">
        <f>IFERROR(SUMIFS(BS数据!D:D,BS数据!$A:$A,BS!$B37),0)</f>
        <v>3770</v>
      </c>
      <c r="F37" s="66">
        <f>IFERROR(SUMIFS(BS数据!E:E,BS数据!$A:$A,BS!$B37),0)</f>
        <v>0</v>
      </c>
      <c r="G37" s="66">
        <f>IFERROR(SUMIFS(BS数据!F:F,BS数据!$A:$A,BS!$B37),0)</f>
        <v>0</v>
      </c>
      <c r="H37" s="66">
        <f>IFERROR(SUMIFS(BS数据!G:G,BS数据!$A:$A,BS!$B37),0)</f>
        <v>0</v>
      </c>
      <c r="I37" s="66">
        <f>IFERROR(SUMIFS(BS数据!H:H,BS数据!$A:$A,BS!$B37),0)</f>
        <v>0</v>
      </c>
      <c r="J37" s="66">
        <f>IFERROR(SUMIFS(BS数据!I:I,BS数据!$A:$A,BS!$B37),0)</f>
        <v>0</v>
      </c>
      <c r="K37" s="66">
        <f>IFERROR(SUMIFS(BS数据!J:J,BS数据!$A:$A,BS!$B37),0)</f>
        <v>0</v>
      </c>
      <c r="L37" s="66">
        <f>IFERROR(SUMIFS(BS数据!K:K,BS数据!$A:$A,BS!$B37),0)</f>
        <v>0</v>
      </c>
      <c r="M37" s="66">
        <f>IFERROR(SUMIFS(BS数据!L:L,BS数据!$A:$A,BS!$B37),0)</f>
        <v>0</v>
      </c>
      <c r="N37" s="66">
        <f>IFERROR(SUMIFS(BS数据!M:M,BS数据!$A:$A,BS!$B37),0)</f>
        <v>0</v>
      </c>
      <c r="O37" s="66">
        <f>IFERROR(SUMIFS(BS数据!N:N,BS数据!$A:$A,BS!$B37),0)</f>
        <v>0</v>
      </c>
      <c r="P37" s="66"/>
      <c r="Q37" s="66"/>
      <c r="R37" s="68">
        <f t="shared" si="0"/>
        <v>2.1413000000000002</v>
      </c>
      <c r="S37" s="109">
        <f t="shared" si="3"/>
        <v>1.5208541209339455</v>
      </c>
      <c r="T37" s="109">
        <f t="shared" si="4"/>
        <v>0.32917771883289126</v>
      </c>
      <c r="U37" s="111">
        <f t="shared" si="5"/>
        <v>1</v>
      </c>
      <c r="V37" s="111">
        <f t="shared" si="6"/>
        <v>1</v>
      </c>
      <c r="W37" s="111">
        <f t="shared" si="7"/>
        <v>1</v>
      </c>
    </row>
    <row r="38" spans="1:23" x14ac:dyDescent="0.25">
      <c r="A38" s="61" t="str">
        <f t="shared" si="11"/>
        <v>经营性非流动资产</v>
      </c>
      <c r="B38" s="61" t="str">
        <f>BS数据!A37</f>
        <v>固定资产原值(万元)</v>
      </c>
      <c r="C38" s="66"/>
      <c r="D38" s="66"/>
      <c r="E38" s="66"/>
      <c r="F38" s="66"/>
      <c r="G38" s="66"/>
      <c r="H38" s="66"/>
      <c r="I38" s="66"/>
      <c r="J38" s="66"/>
      <c r="K38" s="66"/>
      <c r="L38" s="66"/>
      <c r="M38" s="66"/>
      <c r="N38" s="66"/>
      <c r="O38" s="66"/>
      <c r="P38" s="66"/>
      <c r="Q38" s="66"/>
      <c r="R38" s="68">
        <f t="shared" si="0"/>
        <v>0</v>
      </c>
      <c r="S38" s="109">
        <f t="shared" si="3"/>
        <v>0</v>
      </c>
      <c r="T38" s="109">
        <f t="shared" si="4"/>
        <v>0</v>
      </c>
      <c r="U38" s="111">
        <f t="shared" si="5"/>
        <v>0</v>
      </c>
      <c r="V38" s="111">
        <f t="shared" si="6"/>
        <v>0</v>
      </c>
      <c r="W38" s="111">
        <f t="shared" si="7"/>
        <v>0</v>
      </c>
    </row>
    <row r="39" spans="1:23" x14ac:dyDescent="0.25">
      <c r="A39" s="61" t="str">
        <f t="shared" si="11"/>
        <v>经营性非流动资产</v>
      </c>
      <c r="B39" s="61" t="str">
        <f>BS数据!A38</f>
        <v>累计折旧(万元)</v>
      </c>
      <c r="C39" s="66"/>
      <c r="D39" s="66"/>
      <c r="E39" s="66"/>
      <c r="F39" s="66"/>
      <c r="G39" s="66"/>
      <c r="H39" s="66"/>
      <c r="I39" s="66"/>
      <c r="J39" s="66"/>
      <c r="K39" s="66"/>
      <c r="L39" s="66"/>
      <c r="M39" s="66"/>
      <c r="N39" s="66"/>
      <c r="O39" s="66"/>
      <c r="P39" s="66"/>
      <c r="Q39" s="66"/>
      <c r="R39" s="68">
        <f t="shared" si="0"/>
        <v>0</v>
      </c>
      <c r="S39" s="109">
        <f t="shared" si="3"/>
        <v>0</v>
      </c>
      <c r="T39" s="109">
        <f t="shared" si="4"/>
        <v>0</v>
      </c>
      <c r="U39" s="111">
        <f t="shared" si="5"/>
        <v>0</v>
      </c>
      <c r="V39" s="111">
        <f t="shared" si="6"/>
        <v>0</v>
      </c>
      <c r="W39" s="111">
        <f t="shared" si="7"/>
        <v>0</v>
      </c>
    </row>
    <row r="40" spans="1:23" x14ac:dyDescent="0.25">
      <c r="A40" s="61" t="str">
        <f t="shared" si="11"/>
        <v>经营性非流动资产</v>
      </c>
      <c r="B40" s="61" t="str">
        <f>BS数据!A39</f>
        <v>固定资产净值(万元)</v>
      </c>
      <c r="C40" s="66"/>
      <c r="D40" s="66"/>
      <c r="E40" s="66"/>
      <c r="F40" s="66"/>
      <c r="G40" s="66"/>
      <c r="H40" s="66"/>
      <c r="I40" s="66"/>
      <c r="J40" s="66"/>
      <c r="K40" s="66"/>
      <c r="L40" s="66"/>
      <c r="M40" s="66"/>
      <c r="N40" s="66"/>
      <c r="O40" s="66"/>
      <c r="P40" s="66"/>
      <c r="Q40" s="66"/>
      <c r="R40" s="68">
        <f t="shared" si="0"/>
        <v>0</v>
      </c>
      <c r="S40" s="109">
        <f t="shared" si="3"/>
        <v>0</v>
      </c>
      <c r="T40" s="109">
        <f t="shared" si="4"/>
        <v>0</v>
      </c>
      <c r="U40" s="111">
        <f t="shared" si="5"/>
        <v>0</v>
      </c>
      <c r="V40" s="111">
        <f t="shared" si="6"/>
        <v>0</v>
      </c>
      <c r="W40" s="111">
        <f t="shared" si="7"/>
        <v>0</v>
      </c>
    </row>
    <row r="41" spans="1:23" x14ac:dyDescent="0.25">
      <c r="A41" s="61" t="str">
        <f t="shared" si="11"/>
        <v>经营性非流动资产</v>
      </c>
      <c r="B41" s="61" t="str">
        <f>BS数据!A40</f>
        <v>固定资产减值准备(万元)</v>
      </c>
      <c r="C41" s="66"/>
      <c r="D41" s="66"/>
      <c r="E41" s="66"/>
      <c r="F41" s="66"/>
      <c r="G41" s="66"/>
      <c r="H41" s="66"/>
      <c r="I41" s="66"/>
      <c r="J41" s="66"/>
      <c r="K41" s="66"/>
      <c r="L41" s="66"/>
      <c r="M41" s="66"/>
      <c r="N41" s="66"/>
      <c r="O41" s="66"/>
      <c r="P41" s="66"/>
      <c r="Q41" s="66"/>
      <c r="R41" s="68">
        <f t="shared" si="0"/>
        <v>0</v>
      </c>
      <c r="S41" s="109">
        <f t="shared" si="3"/>
        <v>0</v>
      </c>
      <c r="T41" s="109">
        <f t="shared" si="4"/>
        <v>0</v>
      </c>
      <c r="U41" s="111">
        <f t="shared" si="5"/>
        <v>0</v>
      </c>
      <c r="V41" s="111">
        <f t="shared" si="6"/>
        <v>0</v>
      </c>
      <c r="W41" s="111">
        <f t="shared" si="7"/>
        <v>0</v>
      </c>
    </row>
    <row r="42" spans="1:23" x14ac:dyDescent="0.25">
      <c r="A42" s="61" t="str">
        <f t="shared" si="11"/>
        <v>经营性非流动资产</v>
      </c>
      <c r="B42" s="61" t="str">
        <f>BS数据!A41</f>
        <v>固定资产(万元)</v>
      </c>
      <c r="C42" s="66">
        <f>IFERROR(SUMIFS(BS数据!B:B,BS数据!$A:$A,BS!$B42),0)</f>
        <v>1061538</v>
      </c>
      <c r="D42" s="66">
        <f>IFERROR(SUMIFS(BS数据!C:C,BS数据!$A:$A,BS!$B42),0)</f>
        <v>1186724</v>
      </c>
      <c r="E42" s="66">
        <f>IFERROR(SUMIFS(BS数据!D:D,BS数据!$A:$A,BS!$B42),0)</f>
        <v>1280543</v>
      </c>
      <c r="F42" s="66">
        <f>IFERROR(SUMIFS(BS数据!E:E,BS数据!$A:$A,BS!$B42),0)</f>
        <v>1401442</v>
      </c>
      <c r="G42" s="66">
        <f>IFERROR(SUMIFS(BS数据!F:F,BS数据!$A:$A,BS!$B42),0)</f>
        <v>1522594</v>
      </c>
      <c r="H42" s="66">
        <f>IFERROR(SUMIFS(BS数据!G:G,BS数据!$A:$A,BS!$B42),0)</f>
        <v>1608232</v>
      </c>
      <c r="I42" s="66">
        <f>IFERROR(SUMIFS(BS数据!H:H,BS数据!$A:$A,BS!$B42),0)</f>
        <v>1618880</v>
      </c>
      <c r="J42" s="66">
        <f>IFERROR(SUMIFS(BS数据!I:I,BS数据!$A:$A,BS!$B42),0)</f>
        <v>1491739</v>
      </c>
      <c r="K42" s="66">
        <f>IFERROR(SUMIFS(BS数据!J:J,BS数据!$A:$A,BS!$B42),0)</f>
        <v>1052884</v>
      </c>
      <c r="L42" s="66">
        <f>IFERROR(SUMIFS(BS数据!K:K,BS数据!$A:$A,BS!$B42),0)</f>
        <v>614838</v>
      </c>
      <c r="M42" s="66">
        <f>IFERROR(SUMIFS(BS数据!L:L,BS数据!$A:$A,BS!$B42),0)</f>
        <v>294931</v>
      </c>
      <c r="N42" s="66">
        <f>IFERROR(SUMIFS(BS数据!M:M,BS数据!$A:$A,BS!$B42),0)</f>
        <v>241996</v>
      </c>
      <c r="O42" s="66">
        <f>IFERROR(SUMIFS(BS数据!N:N,BS数据!$A:$A,BS!$B42),0)</f>
        <v>165055</v>
      </c>
      <c r="P42" s="66"/>
      <c r="Q42" s="66"/>
      <c r="R42" s="68">
        <f t="shared" si="0"/>
        <v>645.28409999999997</v>
      </c>
      <c r="S42" s="109">
        <f t="shared" si="3"/>
        <v>-0.10548872357852368</v>
      </c>
      <c r="T42" s="109">
        <f t="shared" si="4"/>
        <v>-7.3265013357614706E-2</v>
      </c>
      <c r="U42" s="111">
        <f t="shared" si="5"/>
        <v>84.035623812539583</v>
      </c>
      <c r="V42" s="111">
        <f t="shared" si="6"/>
        <v>236.82378766713231</v>
      </c>
      <c r="W42" s="111">
        <f t="shared" si="7"/>
        <v>339.66657824933685</v>
      </c>
    </row>
    <row r="43" spans="1:23" x14ac:dyDescent="0.25">
      <c r="A43" s="61" t="str">
        <f t="shared" si="11"/>
        <v>经营性非流动资产</v>
      </c>
      <c r="B43" s="61" t="str">
        <f>BS数据!A42</f>
        <v>在建工程(万元)</v>
      </c>
      <c r="C43" s="66">
        <f>IFERROR(SUMIFS(BS数据!B:B,BS数据!$A:$A,BS!$B43),0)</f>
        <v>106714</v>
      </c>
      <c r="D43" s="66">
        <f>IFERROR(SUMIFS(BS数据!C:C,BS数据!$A:$A,BS!$B43),0)</f>
        <v>73000</v>
      </c>
      <c r="E43" s="66">
        <f>IFERROR(SUMIFS(BS数据!D:D,BS数据!$A:$A,BS!$B43),0)</f>
        <v>76102</v>
      </c>
      <c r="F43" s="66">
        <f>IFERROR(SUMIFS(BS数据!E:E,BS数据!$A:$A,BS!$B43),0)</f>
        <v>96581</v>
      </c>
      <c r="G43" s="66">
        <f>IFERROR(SUMIFS(BS数据!F:F,BS数据!$A:$A,BS!$B43),0)</f>
        <v>98308</v>
      </c>
      <c r="H43" s="66">
        <f>IFERROR(SUMIFS(BS数据!G:G,BS数据!$A:$A,BS!$B43),0)</f>
        <v>128173</v>
      </c>
      <c r="I43" s="66">
        <f>IFERROR(SUMIFS(BS数据!H:H,BS数据!$A:$A,BS!$B43),0)</f>
        <v>199369</v>
      </c>
      <c r="J43" s="66">
        <f>IFERROR(SUMIFS(BS数据!I:I,BS数据!$A:$A,BS!$B43),0)</f>
        <v>316865</v>
      </c>
      <c r="K43" s="66">
        <f>IFERROR(SUMIFS(BS数据!J:J,BS数据!$A:$A,BS!$B43),0)</f>
        <v>314231</v>
      </c>
      <c r="L43" s="66">
        <f>IFERROR(SUMIFS(BS数据!K:K,BS数据!$A:$A,BS!$B43),0)</f>
        <v>216649</v>
      </c>
      <c r="M43" s="66">
        <f>IFERROR(SUMIFS(BS数据!L:L,BS数据!$A:$A,BS!$B43),0)</f>
        <v>91663</v>
      </c>
      <c r="N43" s="66">
        <f>IFERROR(SUMIFS(BS数据!M:M,BS数据!$A:$A,BS!$B43),0)</f>
        <v>63317</v>
      </c>
      <c r="O43" s="66">
        <f>IFERROR(SUMIFS(BS数据!N:N,BS数据!$A:$A,BS!$B43),0)</f>
        <v>45961</v>
      </c>
      <c r="P43" s="66"/>
      <c r="Q43" s="66"/>
      <c r="R43" s="68">
        <f t="shared" si="0"/>
        <v>45.070500000000003</v>
      </c>
      <c r="S43" s="109">
        <f t="shared" si="3"/>
        <v>0.46183561643835613</v>
      </c>
      <c r="T43" s="109">
        <f t="shared" si="4"/>
        <v>-4.0761083808572685E-2</v>
      </c>
      <c r="U43" s="111">
        <f t="shared" si="5"/>
        <v>8.4479100696643439</v>
      </c>
      <c r="V43" s="111">
        <f t="shared" si="6"/>
        <v>14.567950508880463</v>
      </c>
      <c r="W43" s="111">
        <f t="shared" si="7"/>
        <v>20.186206896551724</v>
      </c>
    </row>
    <row r="44" spans="1:23" x14ac:dyDescent="0.25">
      <c r="A44" s="61" t="str">
        <f t="shared" si="11"/>
        <v>经营性非流动资产</v>
      </c>
      <c r="B44" s="61" t="str">
        <f>BS数据!A43</f>
        <v>工程物资(万元)</v>
      </c>
      <c r="C44" s="66">
        <f>IFERROR(SUMIFS(BS数据!B:B,BS数据!$A:$A,BS!$B44),0)</f>
        <v>3764</v>
      </c>
      <c r="D44" s="66">
        <f>IFERROR(SUMIFS(BS数据!C:C,BS数据!$A:$A,BS!$B44),0)</f>
        <v>6107</v>
      </c>
      <c r="E44" s="66">
        <f>IFERROR(SUMIFS(BS数据!D:D,BS数据!$A:$A,BS!$B44),0)</f>
        <v>7235</v>
      </c>
      <c r="F44" s="66">
        <f>IFERROR(SUMIFS(BS数据!E:E,BS数据!$A:$A,BS!$B44),0)</f>
        <v>11654</v>
      </c>
      <c r="G44" s="66">
        <f>IFERROR(SUMIFS(BS数据!F:F,BS数据!$A:$A,BS!$B44),0)</f>
        <v>11098</v>
      </c>
      <c r="H44" s="66">
        <f>IFERROR(SUMIFS(BS数据!G:G,BS数据!$A:$A,BS!$B44),0)</f>
        <v>21040</v>
      </c>
      <c r="I44" s="66">
        <f>IFERROR(SUMIFS(BS数据!H:H,BS数据!$A:$A,BS!$B44),0)</f>
        <v>23224</v>
      </c>
      <c r="J44" s="66">
        <f>IFERROR(SUMIFS(BS数据!I:I,BS数据!$A:$A,BS!$B44),0)</f>
        <v>68205</v>
      </c>
      <c r="K44" s="66">
        <f>IFERROR(SUMIFS(BS数据!J:J,BS数据!$A:$A,BS!$B44),0)</f>
        <v>116337</v>
      </c>
      <c r="L44" s="66">
        <f>IFERROR(SUMIFS(BS数据!K:K,BS数据!$A:$A,BS!$B44),0)</f>
        <v>67492</v>
      </c>
      <c r="M44" s="66">
        <f>IFERROR(SUMIFS(BS数据!L:L,BS数据!$A:$A,BS!$B44),0)</f>
        <v>14662</v>
      </c>
      <c r="N44" s="66">
        <f>IFERROR(SUMIFS(BS数据!M:M,BS数据!$A:$A,BS!$B44),0)</f>
        <v>9548</v>
      </c>
      <c r="O44" s="66">
        <f>IFERROR(SUMIFS(BS数据!N:N,BS数据!$A:$A,BS!$B44),0)</f>
        <v>5837</v>
      </c>
      <c r="P44" s="66"/>
      <c r="Q44" s="66"/>
      <c r="R44" s="68">
        <f t="shared" si="0"/>
        <v>3.9857999999999998</v>
      </c>
      <c r="S44" s="109">
        <f t="shared" si="3"/>
        <v>-0.3836580972654331</v>
      </c>
      <c r="T44" s="109">
        <f t="shared" si="4"/>
        <v>-0.15590877677954385</v>
      </c>
      <c r="U44" s="111">
        <f t="shared" si="5"/>
        <v>0.2979734008866371</v>
      </c>
      <c r="V44" s="111">
        <f t="shared" si="6"/>
        <v>1.218718818599082</v>
      </c>
      <c r="W44" s="111">
        <f t="shared" si="7"/>
        <v>1.9190981432360743</v>
      </c>
    </row>
    <row r="45" spans="1:23" x14ac:dyDescent="0.25">
      <c r="A45" s="61" t="str">
        <f t="shared" si="11"/>
        <v>经营性非流动资产</v>
      </c>
      <c r="B45" s="61" t="str">
        <f>BS数据!A44</f>
        <v>固定资产清理(万元)</v>
      </c>
      <c r="C45" s="66">
        <f>IFERROR(SUMIFS(BS数据!B:B,BS数据!$A:$A,BS!$B45),0)</f>
        <v>0</v>
      </c>
      <c r="D45" s="66">
        <f>IFERROR(SUMIFS(BS数据!C:C,BS数据!$A:$A,BS!$B45),0)</f>
        <v>0</v>
      </c>
      <c r="E45" s="66">
        <f>IFERROR(SUMIFS(BS数据!D:D,BS数据!$A:$A,BS!$B45),0)</f>
        <v>0</v>
      </c>
      <c r="F45" s="66">
        <f>IFERROR(SUMIFS(BS数据!E:E,BS数据!$A:$A,BS!$B45),0)</f>
        <v>0</v>
      </c>
      <c r="G45" s="66">
        <f>IFERROR(SUMIFS(BS数据!F:F,BS数据!$A:$A,BS!$B45),0)</f>
        <v>0</v>
      </c>
      <c r="H45" s="66">
        <f>IFERROR(SUMIFS(BS数据!G:G,BS数据!$A:$A,BS!$B45),0)</f>
        <v>0</v>
      </c>
      <c r="I45" s="66">
        <f>IFERROR(SUMIFS(BS数据!H:H,BS数据!$A:$A,BS!$B45),0)</f>
        <v>0</v>
      </c>
      <c r="J45" s="66">
        <f>IFERROR(SUMIFS(BS数据!I:I,BS数据!$A:$A,BS!$B45),0)</f>
        <v>0</v>
      </c>
      <c r="K45" s="66">
        <f>IFERROR(SUMIFS(BS数据!J:J,BS数据!$A:$A,BS!$B45),0)</f>
        <v>0</v>
      </c>
      <c r="L45" s="66">
        <f>IFERROR(SUMIFS(BS数据!K:K,BS数据!$A:$A,BS!$B45),0)</f>
        <v>0</v>
      </c>
      <c r="M45" s="66">
        <f>IFERROR(SUMIFS(BS数据!L:L,BS数据!$A:$A,BS!$B45),0)</f>
        <v>0</v>
      </c>
      <c r="N45" s="66">
        <f>IFERROR(SUMIFS(BS数据!M:M,BS数据!$A:$A,BS!$B45),0)</f>
        <v>0</v>
      </c>
      <c r="O45" s="66">
        <f>IFERROR(SUMIFS(BS数据!N:N,BS数据!$A:$A,BS!$B45),0)</f>
        <v>0</v>
      </c>
      <c r="P45" s="66"/>
      <c r="Q45" s="66"/>
      <c r="R45" s="68">
        <f t="shared" si="0"/>
        <v>0</v>
      </c>
      <c r="S45" s="109">
        <f t="shared" si="3"/>
        <v>0</v>
      </c>
      <c r="T45" s="109">
        <f t="shared" si="4"/>
        <v>0</v>
      </c>
      <c r="U45" s="111">
        <f t="shared" si="5"/>
        <v>0</v>
      </c>
      <c r="V45" s="111">
        <f t="shared" si="6"/>
        <v>0</v>
      </c>
      <c r="W45" s="111">
        <f t="shared" si="7"/>
        <v>0</v>
      </c>
    </row>
    <row r="46" spans="1:23" x14ac:dyDescent="0.25">
      <c r="A46" s="61" t="str">
        <f t="shared" si="11"/>
        <v>经营性非流动资产</v>
      </c>
      <c r="B46" s="61" t="str">
        <f>BS数据!A45</f>
        <v>生产性生物资产(万元)</v>
      </c>
      <c r="C46" s="66">
        <f>IFERROR(SUMIFS(BS数据!B:B,BS数据!$A:$A,BS!$B46),0)</f>
        <v>0</v>
      </c>
      <c r="D46" s="66">
        <f>IFERROR(SUMIFS(BS数据!C:C,BS数据!$A:$A,BS!$B46),0)</f>
        <v>0</v>
      </c>
      <c r="E46" s="66">
        <f>IFERROR(SUMIFS(BS数据!D:D,BS数据!$A:$A,BS!$B46),0)</f>
        <v>0</v>
      </c>
      <c r="F46" s="66">
        <f>IFERROR(SUMIFS(BS数据!E:E,BS数据!$A:$A,BS!$B46),0)</f>
        <v>0</v>
      </c>
      <c r="G46" s="66">
        <f>IFERROR(SUMIFS(BS数据!F:F,BS数据!$A:$A,BS!$B46),0)</f>
        <v>0</v>
      </c>
      <c r="H46" s="66">
        <f>IFERROR(SUMIFS(BS数据!G:G,BS数据!$A:$A,BS!$B46),0)</f>
        <v>0</v>
      </c>
      <c r="I46" s="66">
        <f>IFERROR(SUMIFS(BS数据!H:H,BS数据!$A:$A,BS!$B46),0)</f>
        <v>0</v>
      </c>
      <c r="J46" s="66">
        <f>IFERROR(SUMIFS(BS数据!I:I,BS数据!$A:$A,BS!$B46),0)</f>
        <v>0</v>
      </c>
      <c r="K46" s="66">
        <f>IFERROR(SUMIFS(BS数据!J:J,BS数据!$A:$A,BS!$B46),0)</f>
        <v>0</v>
      </c>
      <c r="L46" s="66">
        <f>IFERROR(SUMIFS(BS数据!K:K,BS数据!$A:$A,BS!$B46),0)</f>
        <v>0</v>
      </c>
      <c r="M46" s="66">
        <f>IFERROR(SUMIFS(BS数据!L:L,BS数据!$A:$A,BS!$B46),0)</f>
        <v>0</v>
      </c>
      <c r="N46" s="66">
        <f>IFERROR(SUMIFS(BS数据!M:M,BS数据!$A:$A,BS!$B46),0)</f>
        <v>0</v>
      </c>
      <c r="O46" s="66">
        <f>IFERROR(SUMIFS(BS数据!N:N,BS数据!$A:$A,BS!$B46),0)</f>
        <v>0</v>
      </c>
      <c r="P46" s="66"/>
      <c r="Q46" s="66"/>
      <c r="R46" s="68">
        <f t="shared" si="0"/>
        <v>0</v>
      </c>
      <c r="S46" s="109">
        <f t="shared" si="3"/>
        <v>0</v>
      </c>
      <c r="T46" s="109">
        <f t="shared" si="4"/>
        <v>0</v>
      </c>
      <c r="U46" s="111">
        <f t="shared" si="5"/>
        <v>0</v>
      </c>
      <c r="V46" s="111">
        <f t="shared" si="6"/>
        <v>0</v>
      </c>
      <c r="W46" s="111">
        <f t="shared" si="7"/>
        <v>0</v>
      </c>
    </row>
    <row r="47" spans="1:23" x14ac:dyDescent="0.25">
      <c r="A47" s="61" t="str">
        <f t="shared" si="11"/>
        <v>金融资产</v>
      </c>
      <c r="B47" s="155" t="s">
        <v>1777</v>
      </c>
      <c r="C47" s="156"/>
      <c r="D47" s="156"/>
      <c r="E47" s="156"/>
      <c r="F47" s="156"/>
      <c r="G47" s="66"/>
      <c r="H47" s="66"/>
      <c r="I47" s="66"/>
      <c r="J47" s="66"/>
      <c r="K47" s="66"/>
      <c r="L47" s="66"/>
      <c r="M47" s="66"/>
      <c r="N47" s="66"/>
      <c r="O47" s="66"/>
      <c r="P47" s="66"/>
      <c r="Q47" s="66"/>
      <c r="R47" s="68">
        <f t="shared" si="0"/>
        <v>0</v>
      </c>
      <c r="S47" s="109">
        <f t="shared" si="3"/>
        <v>0</v>
      </c>
      <c r="T47" s="109">
        <f t="shared" si="4"/>
        <v>0</v>
      </c>
      <c r="U47" s="111">
        <f t="shared" si="5"/>
        <v>0</v>
      </c>
      <c r="V47" s="111">
        <f t="shared" si="6"/>
        <v>0</v>
      </c>
      <c r="W47" s="111">
        <f t="shared" si="7"/>
        <v>0</v>
      </c>
    </row>
    <row r="48" spans="1:23" x14ac:dyDescent="0.25">
      <c r="A48" s="61" t="str">
        <f t="shared" si="11"/>
        <v>经营性非流动资产</v>
      </c>
      <c r="B48" s="61" t="str">
        <f>BS数据!A47</f>
        <v>油气资产(万元)</v>
      </c>
      <c r="C48" s="66">
        <f>IFERROR(SUMIFS(BS数据!B:B,BS数据!$A:$A,BS!$B48),0)</f>
        <v>0</v>
      </c>
      <c r="D48" s="66">
        <f>IFERROR(SUMIFS(BS数据!C:C,BS数据!$A:$A,BS!$B48),0)</f>
        <v>0</v>
      </c>
      <c r="E48" s="66">
        <f>IFERROR(SUMIFS(BS数据!D:D,BS数据!$A:$A,BS!$B48),0)</f>
        <v>0</v>
      </c>
      <c r="F48" s="66">
        <f>IFERROR(SUMIFS(BS数据!E:E,BS数据!$A:$A,BS!$B48),0)</f>
        <v>0</v>
      </c>
      <c r="G48" s="66">
        <f>IFERROR(SUMIFS(BS数据!F:F,BS数据!$A:$A,BS!$B48),0)</f>
        <v>0</v>
      </c>
      <c r="H48" s="66">
        <f>IFERROR(SUMIFS(BS数据!G:G,BS数据!$A:$A,BS!$B48),0)</f>
        <v>0</v>
      </c>
      <c r="I48" s="66">
        <f>IFERROR(SUMIFS(BS数据!H:H,BS数据!$A:$A,BS!$B48),0)</f>
        <v>0</v>
      </c>
      <c r="J48" s="66">
        <f>IFERROR(SUMIFS(BS数据!I:I,BS数据!$A:$A,BS!$B48),0)</f>
        <v>0</v>
      </c>
      <c r="K48" s="66">
        <f>IFERROR(SUMIFS(BS数据!J:J,BS数据!$A:$A,BS!$B48),0)</f>
        <v>0</v>
      </c>
      <c r="L48" s="66">
        <f>IFERROR(SUMIFS(BS数据!K:K,BS数据!$A:$A,BS!$B48),0)</f>
        <v>0</v>
      </c>
      <c r="M48" s="66">
        <f>IFERROR(SUMIFS(BS数据!L:L,BS数据!$A:$A,BS!$B48),0)</f>
        <v>0</v>
      </c>
      <c r="N48" s="66">
        <f>IFERROR(SUMIFS(BS数据!M:M,BS数据!$A:$A,BS!$B48),0)</f>
        <v>0</v>
      </c>
      <c r="O48" s="66">
        <f>IFERROR(SUMIFS(BS数据!N:N,BS数据!$A:$A,BS!$B48),0)</f>
        <v>0</v>
      </c>
      <c r="P48" s="66"/>
      <c r="Q48" s="66"/>
      <c r="R48" s="68">
        <f t="shared" si="0"/>
        <v>0</v>
      </c>
      <c r="S48" s="109">
        <f t="shared" si="3"/>
        <v>0</v>
      </c>
      <c r="T48" s="109">
        <f t="shared" si="4"/>
        <v>0</v>
      </c>
      <c r="U48" s="111">
        <f t="shared" si="5"/>
        <v>0</v>
      </c>
      <c r="V48" s="111">
        <f t="shared" si="6"/>
        <v>0</v>
      </c>
      <c r="W48" s="111">
        <f t="shared" si="7"/>
        <v>0</v>
      </c>
    </row>
    <row r="49" spans="1:23" x14ac:dyDescent="0.25">
      <c r="A49" s="61" t="str">
        <f t="shared" si="11"/>
        <v>经营性非流动资产</v>
      </c>
      <c r="B49" s="61" t="str">
        <f>BS数据!A48</f>
        <v>无形资产(万元)</v>
      </c>
      <c r="C49" s="66">
        <f>IFERROR(SUMIFS(BS数据!B:B,BS数据!$A:$A,BS!$B49),0)</f>
        <v>333931</v>
      </c>
      <c r="D49" s="66">
        <f>IFERROR(SUMIFS(BS数据!C:C,BS数据!$A:$A,BS!$B49),0)</f>
        <v>387950</v>
      </c>
      <c r="E49" s="66">
        <f>IFERROR(SUMIFS(BS数据!D:D,BS数据!$A:$A,BS!$B49),0)</f>
        <v>409181</v>
      </c>
      <c r="F49" s="66">
        <f>IFERROR(SUMIFS(BS数据!E:E,BS数据!$A:$A,BS!$B49),0)</f>
        <v>418778</v>
      </c>
      <c r="G49" s="66">
        <f>IFERROR(SUMIFS(BS数据!F:F,BS数据!$A:$A,BS!$B49),0)</f>
        <v>443624</v>
      </c>
      <c r="H49" s="66">
        <f>IFERROR(SUMIFS(BS数据!G:G,BS数据!$A:$A,BS!$B49),0)</f>
        <v>452577</v>
      </c>
      <c r="I49" s="66">
        <f>IFERROR(SUMIFS(BS数据!H:H,BS数据!$A:$A,BS!$B49),0)</f>
        <v>481345</v>
      </c>
      <c r="J49" s="66">
        <f>IFERROR(SUMIFS(BS数据!I:I,BS数据!$A:$A,BS!$B49),0)</f>
        <v>475457</v>
      </c>
      <c r="K49" s="66">
        <f>IFERROR(SUMIFS(BS数据!J:J,BS数据!$A:$A,BS!$B49),0)</f>
        <v>215994</v>
      </c>
      <c r="L49" s="66">
        <f>IFERROR(SUMIFS(BS数据!K:K,BS数据!$A:$A,BS!$B49),0)</f>
        <v>156010</v>
      </c>
      <c r="M49" s="66">
        <f>IFERROR(SUMIFS(BS数据!L:L,BS数据!$A:$A,BS!$B49),0)</f>
        <v>63136</v>
      </c>
      <c r="N49" s="66">
        <f>IFERROR(SUMIFS(BS数据!M:M,BS数据!$A:$A,BS!$B49),0)</f>
        <v>31395</v>
      </c>
      <c r="O49" s="66">
        <f>IFERROR(SUMIFS(BS数据!N:N,BS数据!$A:$A,BS!$B49),0)</f>
        <v>27903</v>
      </c>
      <c r="P49" s="66"/>
      <c r="Q49" s="66"/>
      <c r="R49" s="68">
        <f t="shared" si="0"/>
        <v>199.34639999999999</v>
      </c>
      <c r="S49" s="109">
        <f t="shared" si="3"/>
        <v>-0.13924217038278131</v>
      </c>
      <c r="T49" s="109">
        <f t="shared" si="4"/>
        <v>-5.1886573423497229E-2</v>
      </c>
      <c r="U49" s="111">
        <f t="shared" si="5"/>
        <v>26.435322989233693</v>
      </c>
      <c r="V49" s="111">
        <f t="shared" si="6"/>
        <v>77.419676711235283</v>
      </c>
      <c r="W49" s="111">
        <f t="shared" si="7"/>
        <v>108.53607427055702</v>
      </c>
    </row>
    <row r="50" spans="1:23" x14ac:dyDescent="0.25">
      <c r="A50" s="61" t="str">
        <f t="shared" si="11"/>
        <v>经营性非流动资产</v>
      </c>
      <c r="B50" s="61" t="str">
        <f>BS数据!A49</f>
        <v>开发支出(万元)</v>
      </c>
      <c r="C50" s="66">
        <f>IFERROR(SUMIFS(BS数据!B:B,BS数据!$A:$A,BS!$B50),0)</f>
        <v>5329</v>
      </c>
      <c r="D50" s="66">
        <f>IFERROR(SUMIFS(BS数据!C:C,BS数据!$A:$A,BS!$B50),0)</f>
        <v>14796</v>
      </c>
      <c r="E50" s="66">
        <f>IFERROR(SUMIFS(BS数据!D:D,BS数据!$A:$A,BS!$B50),0)</f>
        <v>29868</v>
      </c>
      <c r="F50" s="66">
        <f>IFERROR(SUMIFS(BS数据!E:E,BS数据!$A:$A,BS!$B50),0)</f>
        <v>48950</v>
      </c>
      <c r="G50" s="66">
        <f>IFERROR(SUMIFS(BS数据!F:F,BS数据!$A:$A,BS!$B50),0)</f>
        <v>42665</v>
      </c>
      <c r="H50" s="66">
        <f>IFERROR(SUMIFS(BS数据!G:G,BS数据!$A:$A,BS!$B50),0)</f>
        <v>34055</v>
      </c>
      <c r="I50" s="66">
        <f>IFERROR(SUMIFS(BS数据!H:H,BS数据!$A:$A,BS!$B50),0)</f>
        <v>26106</v>
      </c>
      <c r="J50" s="66">
        <f>IFERROR(SUMIFS(BS数据!I:I,BS数据!$A:$A,BS!$B50),0)</f>
        <v>15876</v>
      </c>
      <c r="K50" s="66">
        <f>IFERROR(SUMIFS(BS数据!J:J,BS数据!$A:$A,BS!$B50),0)</f>
        <v>91</v>
      </c>
      <c r="L50" s="66">
        <f>IFERROR(SUMIFS(BS数据!K:K,BS数据!$A:$A,BS!$B50),0)</f>
        <v>356</v>
      </c>
      <c r="M50" s="66">
        <f>IFERROR(SUMIFS(BS数据!L:L,BS数据!$A:$A,BS!$B50),0)</f>
        <v>86</v>
      </c>
      <c r="N50" s="66">
        <f>IFERROR(SUMIFS(BS数据!M:M,BS数据!$A:$A,BS!$B50),0)</f>
        <v>812</v>
      </c>
      <c r="O50" s="66">
        <f>IFERROR(SUMIFS(BS数据!N:N,BS数据!$A:$A,BS!$B50),0)</f>
        <v>0</v>
      </c>
      <c r="P50" s="66"/>
      <c r="Q50" s="66"/>
      <c r="R50" s="68">
        <f t="shared" si="0"/>
        <v>14.1608</v>
      </c>
      <c r="S50" s="109">
        <f t="shared" si="3"/>
        <v>-0.63983509056501764</v>
      </c>
      <c r="T50" s="109">
        <f t="shared" si="4"/>
        <v>-0.50462032944957813</v>
      </c>
      <c r="U50" s="111">
        <f t="shared" si="5"/>
        <v>0.42186510449651676</v>
      </c>
      <c r="V50" s="111">
        <f t="shared" si="6"/>
        <v>2.9527040510876073</v>
      </c>
      <c r="W50" s="111">
        <f t="shared" si="7"/>
        <v>7.9225464190981434</v>
      </c>
    </row>
    <row r="51" spans="1:23" x14ac:dyDescent="0.25">
      <c r="A51" s="61" t="str">
        <f t="shared" si="11"/>
        <v>经营性非流动资产</v>
      </c>
      <c r="B51" s="61" t="str">
        <f>BS数据!A50</f>
        <v>商誉(万元)</v>
      </c>
      <c r="C51" s="66">
        <f>IFERROR(SUMIFS(BS数据!B:B,BS数据!$A:$A,BS!$B51),0)</f>
        <v>4945</v>
      </c>
      <c r="D51" s="66">
        <f>IFERROR(SUMIFS(BS数据!C:C,BS数据!$A:$A,BS!$B51),0)</f>
        <v>5085</v>
      </c>
      <c r="E51" s="66">
        <f>IFERROR(SUMIFS(BS数据!D:D,BS数据!$A:$A,BS!$B51),0)</f>
        <v>5062</v>
      </c>
      <c r="F51" s="66">
        <f>IFERROR(SUMIFS(BS数据!E:E,BS数据!$A:$A,BS!$B51),0)</f>
        <v>3617</v>
      </c>
      <c r="G51" s="66">
        <f>IFERROR(SUMIFS(BS数据!F:F,BS数据!$A:$A,BS!$B51),0)</f>
        <v>3513</v>
      </c>
      <c r="H51" s="66">
        <f>IFERROR(SUMIFS(BS数据!G:G,BS数据!$A:$A,BS!$B51),0)</f>
        <v>3693</v>
      </c>
      <c r="I51" s="66">
        <f>IFERROR(SUMIFS(BS数据!H:H,BS数据!$A:$A,BS!$B51),0)</f>
        <v>4170</v>
      </c>
      <c r="J51" s="66">
        <f>IFERROR(SUMIFS(BS数据!I:I,BS数据!$A:$A,BS!$B51),0)</f>
        <v>4118</v>
      </c>
      <c r="K51" s="66">
        <f>IFERROR(SUMIFS(BS数据!J:J,BS数据!$A:$A,BS!$B51),0)</f>
        <v>0</v>
      </c>
      <c r="L51" s="66">
        <f>IFERROR(SUMIFS(BS数据!K:K,BS数据!$A:$A,BS!$B51),0)</f>
        <v>0</v>
      </c>
      <c r="M51" s="66">
        <f>IFERROR(SUMIFS(BS数据!L:L,BS数据!$A:$A,BS!$B51),0)</f>
        <v>0</v>
      </c>
      <c r="N51" s="66">
        <f>IFERROR(SUMIFS(BS数据!M:M,BS数据!$A:$A,BS!$B51),0)</f>
        <v>0</v>
      </c>
      <c r="O51" s="66">
        <f>IFERROR(SUMIFS(BS数据!N:N,BS数据!$A:$A,BS!$B51),0)</f>
        <v>0</v>
      </c>
      <c r="P51" s="66"/>
      <c r="Q51" s="66"/>
      <c r="R51" s="68">
        <f t="shared" si="0"/>
        <v>2.2222</v>
      </c>
      <c r="S51" s="109">
        <f t="shared" si="3"/>
        <v>-2.7531956735496577E-2</v>
      </c>
      <c r="T51" s="109">
        <f t="shared" si="4"/>
        <v>4.543658632951475E-3</v>
      </c>
      <c r="U51" s="111">
        <f t="shared" si="5"/>
        <v>0.39146611779607349</v>
      </c>
      <c r="V51" s="111">
        <f t="shared" si="6"/>
        <v>1.0147675114747556</v>
      </c>
      <c r="W51" s="111">
        <f t="shared" si="7"/>
        <v>1.3427055702917772</v>
      </c>
    </row>
    <row r="52" spans="1:23" x14ac:dyDescent="0.25">
      <c r="A52" s="61" t="str">
        <f t="shared" si="11"/>
        <v>经营性非流动资产</v>
      </c>
      <c r="B52" s="61" t="str">
        <f>BS数据!A51</f>
        <v>长期待摊费用(万元)</v>
      </c>
      <c r="C52" s="66">
        <f>IFERROR(SUMIFS(BS数据!B:B,BS数据!$A:$A,BS!$B52),0)</f>
        <v>7631</v>
      </c>
      <c r="D52" s="66">
        <f>IFERROR(SUMIFS(BS数据!C:C,BS数据!$A:$A,BS!$B52),0)</f>
        <v>2736</v>
      </c>
      <c r="E52" s="66">
        <f>IFERROR(SUMIFS(BS数据!D:D,BS数据!$A:$A,BS!$B52),0)</f>
        <v>1611</v>
      </c>
      <c r="F52" s="66">
        <f>IFERROR(SUMIFS(BS数据!E:E,BS数据!$A:$A,BS!$B52),0)</f>
        <v>3579</v>
      </c>
      <c r="G52" s="66">
        <f>IFERROR(SUMIFS(BS数据!F:F,BS数据!$A:$A,BS!$B52),0)</f>
        <v>1463</v>
      </c>
      <c r="H52" s="66">
        <f>IFERROR(SUMIFS(BS数据!G:G,BS数据!$A:$A,BS!$B52),0)</f>
        <v>1497</v>
      </c>
      <c r="I52" s="66">
        <f>IFERROR(SUMIFS(BS数据!H:H,BS数据!$A:$A,BS!$B52),0)</f>
        <v>1782</v>
      </c>
      <c r="J52" s="66">
        <f>IFERROR(SUMIFS(BS数据!I:I,BS数据!$A:$A,BS!$B52),0)</f>
        <v>1812</v>
      </c>
      <c r="K52" s="66">
        <f>IFERROR(SUMIFS(BS数据!J:J,BS数据!$A:$A,BS!$B52),0)</f>
        <v>1608</v>
      </c>
      <c r="L52" s="66">
        <f>IFERROR(SUMIFS(BS数据!K:K,BS数据!$A:$A,BS!$B52),0)</f>
        <v>218</v>
      </c>
      <c r="M52" s="66">
        <f>IFERROR(SUMIFS(BS数据!L:L,BS数据!$A:$A,BS!$B52),0)</f>
        <v>363</v>
      </c>
      <c r="N52" s="66">
        <f>IFERROR(SUMIFS(BS数据!M:M,BS数据!$A:$A,BS!$B52),0)</f>
        <v>213</v>
      </c>
      <c r="O52" s="66">
        <f>IFERROR(SUMIFS(BS数据!N:N,BS数据!$A:$A,BS!$B52),0)</f>
        <v>0</v>
      </c>
      <c r="P52" s="66"/>
      <c r="Q52" s="66"/>
      <c r="R52" s="68">
        <f t="shared" si="0"/>
        <v>1.702</v>
      </c>
      <c r="S52" s="109">
        <f t="shared" si="3"/>
        <v>1.7891081871345027</v>
      </c>
      <c r="T52" s="109">
        <f t="shared" si="4"/>
        <v>0.6983240223463687</v>
      </c>
      <c r="U52" s="111">
        <f t="shared" si="5"/>
        <v>0.60410069664344523</v>
      </c>
      <c r="V52" s="111">
        <f t="shared" si="6"/>
        <v>0.54599880263420475</v>
      </c>
      <c r="W52" s="111">
        <f t="shared" si="7"/>
        <v>0.42732095490716182</v>
      </c>
    </row>
    <row r="53" spans="1:23" x14ac:dyDescent="0.25">
      <c r="A53" s="61" t="str">
        <f t="shared" si="11"/>
        <v>金融资产</v>
      </c>
      <c r="B53" s="61" t="str">
        <f>BS数据!A52</f>
        <v>股权分置流通权(万元)</v>
      </c>
      <c r="C53" s="66">
        <f>IFERROR(SUMIFS(BS数据!B:B,BS数据!$A:$A,BS!$B53),0)</f>
        <v>0</v>
      </c>
      <c r="D53" s="66">
        <f>IFERROR(SUMIFS(BS数据!C:C,BS数据!$A:$A,BS!$B53),0)</f>
        <v>0</v>
      </c>
      <c r="E53" s="66">
        <f>IFERROR(SUMIFS(BS数据!D:D,BS数据!$A:$A,BS!$B53),0)</f>
        <v>0</v>
      </c>
      <c r="F53" s="66">
        <f>IFERROR(SUMIFS(BS数据!E:E,BS数据!$A:$A,BS!$B53),0)</f>
        <v>0</v>
      </c>
      <c r="G53" s="66">
        <f>IFERROR(SUMIFS(BS数据!F:F,BS数据!$A:$A,BS!$B53),0)</f>
        <v>0</v>
      </c>
      <c r="H53" s="66">
        <f>IFERROR(SUMIFS(BS数据!G:G,BS数据!$A:$A,BS!$B53),0)</f>
        <v>0</v>
      </c>
      <c r="I53" s="66">
        <f>IFERROR(SUMIFS(BS数据!H:H,BS数据!$A:$A,BS!$B53),0)</f>
        <v>0</v>
      </c>
      <c r="J53" s="66">
        <f>IFERROR(SUMIFS(BS数据!I:I,BS数据!$A:$A,BS!$B53),0)</f>
        <v>0</v>
      </c>
      <c r="K53" s="66">
        <f>IFERROR(SUMIFS(BS数据!J:J,BS数据!$A:$A,BS!$B53),0)</f>
        <v>0</v>
      </c>
      <c r="L53" s="66">
        <f>IFERROR(SUMIFS(BS数据!K:K,BS数据!$A:$A,BS!$B53),0)</f>
        <v>0</v>
      </c>
      <c r="M53" s="66">
        <f>IFERROR(SUMIFS(BS数据!L:L,BS数据!$A:$A,BS!$B53),0)</f>
        <v>0</v>
      </c>
      <c r="N53" s="66">
        <f>IFERROR(SUMIFS(BS数据!M:M,BS数据!$A:$A,BS!$B53),0)</f>
        <v>0</v>
      </c>
      <c r="O53" s="66">
        <f>IFERROR(SUMIFS(BS数据!N:N,BS数据!$A:$A,BS!$B53),0)</f>
        <v>0</v>
      </c>
      <c r="P53" s="66"/>
      <c r="Q53" s="66"/>
      <c r="R53" s="68">
        <f t="shared" si="0"/>
        <v>0</v>
      </c>
      <c r="S53" s="109">
        <f t="shared" si="3"/>
        <v>0</v>
      </c>
      <c r="T53" s="109">
        <f t="shared" si="4"/>
        <v>0</v>
      </c>
      <c r="U53" s="111">
        <f t="shared" si="5"/>
        <v>0</v>
      </c>
      <c r="V53" s="111">
        <f t="shared" si="6"/>
        <v>0</v>
      </c>
      <c r="W53" s="111">
        <f t="shared" si="7"/>
        <v>0</v>
      </c>
    </row>
    <row r="54" spans="1:23" x14ac:dyDescent="0.25">
      <c r="A54" s="61" t="str">
        <f t="shared" si="11"/>
        <v>经营性非流动资产</v>
      </c>
      <c r="B54" s="61" t="str">
        <f>BS数据!A53</f>
        <v>递延所得税资产(万元)</v>
      </c>
      <c r="C54" s="66">
        <f>IFERROR(SUMIFS(BS数据!B:B,BS数据!$A:$A,BS!$B54),0)</f>
        <v>110937</v>
      </c>
      <c r="D54" s="66">
        <f>IFERROR(SUMIFS(BS数据!C:C,BS数据!$A:$A,BS!$B54),0)</f>
        <v>115195</v>
      </c>
      <c r="E54" s="66">
        <f>IFERROR(SUMIFS(BS数据!D:D,BS数据!$A:$A,BS!$B54),0)</f>
        <v>145157</v>
      </c>
      <c r="F54" s="66">
        <f>IFERROR(SUMIFS(BS数据!E:E,BS数据!$A:$A,BS!$B54),0)</f>
        <v>116591</v>
      </c>
      <c r="G54" s="66">
        <f>IFERROR(SUMIFS(BS数据!F:F,BS数据!$A:$A,BS!$B54),0)</f>
        <v>90114</v>
      </c>
      <c r="H54" s="66">
        <f>IFERROR(SUMIFS(BS数据!G:G,BS数据!$A:$A,BS!$B54),0)</f>
        <v>43491</v>
      </c>
      <c r="I54" s="66">
        <f>IFERROR(SUMIFS(BS数据!H:H,BS数据!$A:$A,BS!$B54),0)</f>
        <v>47695</v>
      </c>
      <c r="J54" s="66">
        <f>IFERROR(SUMIFS(BS数据!I:I,BS数据!$A:$A,BS!$B54),0)</f>
        <v>18371</v>
      </c>
      <c r="K54" s="66">
        <f>IFERROR(SUMIFS(BS数据!J:J,BS数据!$A:$A,BS!$B54),0)</f>
        <v>18259</v>
      </c>
      <c r="L54" s="66">
        <f>IFERROR(SUMIFS(BS数据!K:K,BS数据!$A:$A,BS!$B54),0)</f>
        <v>15045</v>
      </c>
      <c r="M54" s="66">
        <f>IFERROR(SUMIFS(BS数据!L:L,BS数据!$A:$A,BS!$B54),0)</f>
        <v>24760</v>
      </c>
      <c r="N54" s="66">
        <f>IFERROR(SUMIFS(BS数据!M:M,BS数据!$A:$A,BS!$B54),0)</f>
        <v>23246</v>
      </c>
      <c r="O54" s="66">
        <f>IFERROR(SUMIFS(BS数据!N:N,BS数据!$A:$A,BS!$B54),0)</f>
        <v>18046</v>
      </c>
      <c r="P54" s="66"/>
      <c r="Q54" s="66"/>
      <c r="R54" s="68">
        <f t="shared" si="0"/>
        <v>57.799399999999999</v>
      </c>
      <c r="S54" s="109">
        <f t="shared" si="3"/>
        <v>-3.6963409870220065E-2</v>
      </c>
      <c r="T54" s="109">
        <f t="shared" si="4"/>
        <v>-0.20641098948035574</v>
      </c>
      <c r="U54" s="111">
        <f t="shared" si="5"/>
        <v>8.7822197593413556</v>
      </c>
      <c r="V54" s="111">
        <f t="shared" si="6"/>
        <v>22.988425463979247</v>
      </c>
      <c r="W54" s="111">
        <f t="shared" si="7"/>
        <v>38.50318302387268</v>
      </c>
    </row>
    <row r="55" spans="1:23" x14ac:dyDescent="0.25">
      <c r="A55" s="61" t="str">
        <f t="shared" si="11"/>
        <v>经营性非流动资产</v>
      </c>
      <c r="B55" s="61" t="str">
        <f>BS数据!A54</f>
        <v>其他非流动资产(万元)</v>
      </c>
      <c r="C55" s="66">
        <f>IFERROR(SUMIFS(BS数据!B:B,BS数据!$A:$A,BS!$B55),0)</f>
        <v>15006</v>
      </c>
      <c r="D55" s="66">
        <f>IFERROR(SUMIFS(BS数据!C:C,BS数据!$A:$A,BS!$B55),0)</f>
        <v>9808</v>
      </c>
      <c r="E55" s="66">
        <f>IFERROR(SUMIFS(BS数据!D:D,BS数据!$A:$A,BS!$B55),0)</f>
        <v>8620</v>
      </c>
      <c r="F55" s="66">
        <f>IFERROR(SUMIFS(BS数据!E:E,BS数据!$A:$A,BS!$B55),0)</f>
        <v>7274</v>
      </c>
      <c r="G55" s="66">
        <f>IFERROR(SUMIFS(BS数据!F:F,BS数据!$A:$A,BS!$B55),0)</f>
        <v>8138</v>
      </c>
      <c r="H55" s="66">
        <f>IFERROR(SUMIFS(BS数据!G:G,BS数据!$A:$A,BS!$B55),0)</f>
        <v>6837</v>
      </c>
      <c r="I55" s="66">
        <f>IFERROR(SUMIFS(BS数据!H:H,BS数据!$A:$A,BS!$B55),0)</f>
        <v>5012</v>
      </c>
      <c r="J55" s="66">
        <f>IFERROR(SUMIFS(BS数据!I:I,BS数据!$A:$A,BS!$B55),0)</f>
        <v>4898</v>
      </c>
      <c r="K55" s="66">
        <f>IFERROR(SUMIFS(BS数据!J:J,BS数据!$A:$A,BS!$B55),0)</f>
        <v>0</v>
      </c>
      <c r="L55" s="66">
        <f>IFERROR(SUMIFS(BS数据!K:K,BS数据!$A:$A,BS!$B55),0)</f>
        <v>0</v>
      </c>
      <c r="M55" s="66">
        <f>IFERROR(SUMIFS(BS数据!L:L,BS数据!$A:$A,BS!$B55),0)</f>
        <v>180</v>
      </c>
      <c r="N55" s="66">
        <f>IFERROR(SUMIFS(BS数据!M:M,BS数据!$A:$A,BS!$B55),0)</f>
        <v>0</v>
      </c>
      <c r="O55" s="66">
        <f>IFERROR(SUMIFS(BS数据!N:N,BS数据!$A:$A,BS!$B55),0)</f>
        <v>0</v>
      </c>
      <c r="P55" s="66"/>
      <c r="Q55" s="66"/>
      <c r="R55" s="68">
        <f t="shared" si="0"/>
        <v>4.8845999999999998</v>
      </c>
      <c r="S55" s="109">
        <f t="shared" si="3"/>
        <v>0.52997553017944532</v>
      </c>
      <c r="T55" s="109">
        <f t="shared" si="4"/>
        <v>0.13781902552204173</v>
      </c>
      <c r="U55" s="111">
        <f t="shared" si="5"/>
        <v>1.1879354021532615</v>
      </c>
      <c r="V55" s="111">
        <f t="shared" si="6"/>
        <v>1.957293953302734</v>
      </c>
      <c r="W55" s="111">
        <f t="shared" si="7"/>
        <v>2.2864721485411139</v>
      </c>
    </row>
    <row r="56" spans="1:23" x14ac:dyDescent="0.25">
      <c r="A56" s="61" t="str">
        <f t="shared" si="11"/>
        <v/>
      </c>
      <c r="B56" s="152" t="str">
        <f>BS数据!A55</f>
        <v>非流动资产合计(万元)</v>
      </c>
      <c r="C56" s="153">
        <f>SUM(C30:C55)-C38-C39-C40-C41</f>
        <v>2089560</v>
      </c>
      <c r="D56" s="153">
        <f t="shared" ref="D56:G56" si="12">SUM(D30:D55)-D38-D39-D40-D41</f>
        <v>2187877</v>
      </c>
      <c r="E56" s="153">
        <f t="shared" si="12"/>
        <v>2203024</v>
      </c>
      <c r="F56" s="153">
        <f t="shared" si="12"/>
        <v>2356270</v>
      </c>
      <c r="G56" s="153">
        <f t="shared" si="12"/>
        <v>2389892</v>
      </c>
      <c r="H56" s="153">
        <f t="shared" ref="H56:N56" si="13">SUM(H30:H55)-H38-H39-H40-H41</f>
        <v>2489710</v>
      </c>
      <c r="I56" s="153">
        <f t="shared" ref="I56" si="14">SUM(I30:I55)-I38-I39-I40-I41</f>
        <v>2499798</v>
      </c>
      <c r="J56" s="153">
        <f t="shared" si="13"/>
        <v>2457826</v>
      </c>
      <c r="K56" s="153">
        <f t="shared" ref="K56" si="15">SUM(K30:K55)-K38-K39-K40-K41</f>
        <v>1752294</v>
      </c>
      <c r="L56" s="153">
        <f t="shared" si="13"/>
        <v>1090402</v>
      </c>
      <c r="M56" s="153">
        <f t="shared" ref="M56" si="16">SUM(M30:M55)-M38-M39-M40-M41</f>
        <v>510448</v>
      </c>
      <c r="N56" s="153">
        <f t="shared" si="13"/>
        <v>389148</v>
      </c>
      <c r="O56" s="153">
        <f t="shared" ref="O56" si="17">SUM(O30:O55)-O38-O39-O40-O41</f>
        <v>279743</v>
      </c>
      <c r="P56" s="153"/>
      <c r="Q56" s="153"/>
      <c r="R56" s="68">
        <f t="shared" si="0"/>
        <v>1122.6623</v>
      </c>
      <c r="S56" s="109">
        <f t="shared" si="3"/>
        <v>-4.4937169685498768E-2</v>
      </c>
      <c r="T56" s="109">
        <f t="shared" si="4"/>
        <v>-6.8755492450377487E-3</v>
      </c>
      <c r="U56" s="111">
        <f t="shared" si="5"/>
        <v>165.4179860671311</v>
      </c>
      <c r="V56" s="111">
        <f t="shared" si="6"/>
        <v>436.6148473358611</v>
      </c>
      <c r="W56" s="111">
        <f t="shared" si="7"/>
        <v>584.35649867374002</v>
      </c>
    </row>
    <row r="57" spans="1:23" x14ac:dyDescent="0.25">
      <c r="A57" s="61" t="str">
        <f t="shared" si="11"/>
        <v/>
      </c>
      <c r="B57" s="152" t="str">
        <f>BS数据!A56</f>
        <v>资产总计(万元)</v>
      </c>
      <c r="C57" s="153">
        <f>C56+C29</f>
        <v>8981016</v>
      </c>
      <c r="D57" s="153">
        <f t="shared" ref="D57:G57" si="18">D56+D29</f>
        <v>7377471</v>
      </c>
      <c r="E57" s="153">
        <f t="shared" si="18"/>
        <v>5823771</v>
      </c>
      <c r="F57" s="153">
        <f t="shared" si="18"/>
        <v>6155497</v>
      </c>
      <c r="G57" s="153">
        <f t="shared" si="18"/>
        <v>6122776</v>
      </c>
      <c r="H57" s="153">
        <f t="shared" ref="H57:I57" si="19">H56+H29</f>
        <v>6300946</v>
      </c>
      <c r="I57" s="153">
        <f t="shared" si="19"/>
        <v>6386780</v>
      </c>
      <c r="J57" s="153">
        <f t="shared" ref="J57:O57" si="20">J56+J29</f>
        <v>6446142</v>
      </c>
      <c r="K57" s="153">
        <f t="shared" si="20"/>
        <v>5130673</v>
      </c>
      <c r="L57" s="153">
        <f t="shared" si="20"/>
        <v>3134078</v>
      </c>
      <c r="M57" s="153">
        <f t="shared" si="20"/>
        <v>1583700</v>
      </c>
      <c r="N57" s="153">
        <f t="shared" si="20"/>
        <v>1396733</v>
      </c>
      <c r="O57" s="153">
        <f t="shared" si="20"/>
        <v>1117913</v>
      </c>
      <c r="P57" s="153"/>
      <c r="Q57" s="153"/>
      <c r="R57" s="68">
        <f t="shared" si="0"/>
        <v>3446.0531000000001</v>
      </c>
      <c r="S57" s="109">
        <f t="shared" si="3"/>
        <v>0.21735700485979548</v>
      </c>
      <c r="T57" s="109">
        <f t="shared" si="4"/>
        <v>0.26678590212424225</v>
      </c>
      <c r="U57" s="111">
        <f t="shared" si="5"/>
        <v>710.97340088663714</v>
      </c>
      <c r="V57" s="111">
        <f t="shared" si="6"/>
        <v>1472.2552384753542</v>
      </c>
      <c r="W57" s="111">
        <f t="shared" si="7"/>
        <v>1544.7668435013263</v>
      </c>
    </row>
    <row r="58" spans="1:23" x14ac:dyDescent="0.25">
      <c r="A58" s="61" t="str">
        <f t="shared" si="11"/>
        <v/>
      </c>
      <c r="B58" s="61" t="str">
        <f>BS数据!A57</f>
        <v>负债</v>
      </c>
      <c r="C58" s="66">
        <f>IFERROR(SUMIFS(BS数据!B:B,BS数据!$A:$A,BS!$B58),0)</f>
        <v>0</v>
      </c>
      <c r="D58" s="66">
        <f>IFERROR(SUMIFS(BS数据!C:C,BS数据!$A:$A,BS!$B58),0)</f>
        <v>0</v>
      </c>
      <c r="E58" s="66">
        <f>IFERROR(SUMIFS(BS数据!D:D,BS数据!$A:$A,BS!$B58),0)</f>
        <v>0</v>
      </c>
      <c r="F58" s="66">
        <f>IFERROR(SUMIFS(BS数据!E:E,BS数据!$A:$A,BS!$B58),0)</f>
        <v>0</v>
      </c>
      <c r="G58" s="66">
        <f>IFERROR(SUMIFS(BS数据!F:F,BS数据!$A:$A,BS!$B58),0)</f>
        <v>0</v>
      </c>
      <c r="H58" s="66">
        <f>IFERROR(SUMIFS(BS数据!G:G,BS数据!$A:$A,BS!$B58),0)</f>
        <v>0</v>
      </c>
      <c r="I58" s="66">
        <f>IFERROR(SUMIFS(BS数据!H:H,BS数据!$A:$A,BS!$B58),0)</f>
        <v>0</v>
      </c>
      <c r="J58" s="66">
        <f>IFERROR(SUMIFS(BS数据!I:I,BS数据!$A:$A,BS!$B58),0)</f>
        <v>0</v>
      </c>
      <c r="K58" s="66">
        <f>IFERROR(SUMIFS(BS数据!J:J,BS数据!$A:$A,BS!$B58),0)</f>
        <v>0</v>
      </c>
      <c r="L58" s="66">
        <f>IFERROR(SUMIFS(BS数据!K:K,BS数据!$A:$A,BS!$B58),0)</f>
        <v>0</v>
      </c>
      <c r="M58" s="66">
        <f>IFERROR(SUMIFS(BS数据!L:L,BS数据!$A:$A,BS!$B58),0)</f>
        <v>0</v>
      </c>
      <c r="N58" s="66">
        <f>IFERROR(SUMIFS(BS数据!M:M,BS数据!$A:$A,BS!$B58),0)</f>
        <v>0</v>
      </c>
      <c r="O58" s="66">
        <f>IFERROR(SUMIFS(BS数据!N:N,BS数据!$A:$A,BS!$B58),0)</f>
        <v>0</v>
      </c>
      <c r="P58" s="66"/>
      <c r="Q58" s="66"/>
      <c r="R58" s="68">
        <f t="shared" si="0"/>
        <v>0</v>
      </c>
      <c r="S58" s="109">
        <f t="shared" si="3"/>
        <v>0</v>
      </c>
      <c r="T58" s="109">
        <f t="shared" si="4"/>
        <v>0</v>
      </c>
      <c r="U58" s="111">
        <f t="shared" si="5"/>
        <v>0</v>
      </c>
      <c r="V58" s="111">
        <f t="shared" si="6"/>
        <v>0</v>
      </c>
      <c r="W58" s="111">
        <f t="shared" si="7"/>
        <v>0</v>
      </c>
    </row>
    <row r="59" spans="1:23" x14ac:dyDescent="0.25">
      <c r="A59" s="61" t="str">
        <f t="shared" si="11"/>
        <v/>
      </c>
      <c r="B59" s="61" t="str">
        <f>BS数据!A58</f>
        <v>流动负债</v>
      </c>
      <c r="C59" s="66">
        <f>IFERROR(SUMIFS(BS数据!B:B,BS数据!$A:$A,BS!$B59),0)</f>
        <v>0</v>
      </c>
      <c r="D59" s="66">
        <f>IFERROR(SUMIFS(BS数据!C:C,BS数据!$A:$A,BS!$B59),0)</f>
        <v>0</v>
      </c>
      <c r="E59" s="66">
        <f>IFERROR(SUMIFS(BS数据!D:D,BS数据!$A:$A,BS!$B59),0)</f>
        <v>0</v>
      </c>
      <c r="F59" s="66">
        <f>IFERROR(SUMIFS(BS数据!E:E,BS数据!$A:$A,BS!$B59),0)</f>
        <v>0</v>
      </c>
      <c r="G59" s="66">
        <f>IFERROR(SUMIFS(BS数据!F:F,BS数据!$A:$A,BS!$B59),0)</f>
        <v>0</v>
      </c>
      <c r="H59" s="66">
        <f>IFERROR(SUMIFS(BS数据!G:G,BS数据!$A:$A,BS!$B59),0)</f>
        <v>0</v>
      </c>
      <c r="I59" s="66">
        <f>IFERROR(SUMIFS(BS数据!H:H,BS数据!$A:$A,BS!$B59),0)</f>
        <v>0</v>
      </c>
      <c r="J59" s="66">
        <f>IFERROR(SUMIFS(BS数据!I:I,BS数据!$A:$A,BS!$B59),0)</f>
        <v>0</v>
      </c>
      <c r="K59" s="66">
        <f>IFERROR(SUMIFS(BS数据!J:J,BS数据!$A:$A,BS!$B59),0)</f>
        <v>0</v>
      </c>
      <c r="L59" s="66">
        <f>IFERROR(SUMIFS(BS数据!K:K,BS数据!$A:$A,BS!$B59),0)</f>
        <v>0</v>
      </c>
      <c r="M59" s="66">
        <f>IFERROR(SUMIFS(BS数据!L:L,BS数据!$A:$A,BS!$B59),0)</f>
        <v>0</v>
      </c>
      <c r="N59" s="66">
        <f>IFERROR(SUMIFS(BS数据!M:M,BS数据!$A:$A,BS!$B59),0)</f>
        <v>0</v>
      </c>
      <c r="O59" s="66">
        <f>IFERROR(SUMIFS(BS数据!N:N,BS数据!$A:$A,BS!$B59),0)</f>
        <v>0</v>
      </c>
      <c r="P59" s="66"/>
      <c r="Q59" s="66"/>
      <c r="R59" s="68">
        <f t="shared" si="0"/>
        <v>0</v>
      </c>
      <c r="S59" s="109">
        <f t="shared" si="3"/>
        <v>0</v>
      </c>
      <c r="T59" s="109">
        <f t="shared" si="4"/>
        <v>0</v>
      </c>
      <c r="U59" s="111">
        <f t="shared" si="5"/>
        <v>0</v>
      </c>
      <c r="V59" s="111">
        <f t="shared" si="6"/>
        <v>0</v>
      </c>
      <c r="W59" s="111">
        <f t="shared" si="7"/>
        <v>0</v>
      </c>
    </row>
    <row r="60" spans="1:23" x14ac:dyDescent="0.25">
      <c r="A60" s="61" t="str">
        <f t="shared" si="11"/>
        <v>金融负债</v>
      </c>
      <c r="B60" s="61" t="str">
        <f>BS数据!A59</f>
        <v>短期借款(万元)</v>
      </c>
      <c r="C60" s="66">
        <f>IFERROR(SUMIFS(BS数据!B:B,BS数据!$A:$A,BS!$B60),0)</f>
        <v>864116</v>
      </c>
      <c r="D60" s="66">
        <f>IFERROR(SUMIFS(BS数据!C:C,BS数据!$A:$A,BS!$B60),0)</f>
        <v>541675</v>
      </c>
      <c r="E60" s="66">
        <f>IFERROR(SUMIFS(BS数据!D:D,BS数据!$A:$A,BS!$B60),0)</f>
        <v>225696</v>
      </c>
      <c r="F60" s="66">
        <f>IFERROR(SUMIFS(BS数据!E:E,BS数据!$A:$A,BS!$B60),0)</f>
        <v>890849</v>
      </c>
      <c r="G60" s="66">
        <f>IFERROR(SUMIFS(BS数据!F:F,BS数据!$A:$A,BS!$B60),0)</f>
        <v>1157052</v>
      </c>
      <c r="H60" s="66">
        <f>IFERROR(SUMIFS(BS数据!G:G,BS数据!$A:$A,BS!$B60),0)</f>
        <v>460192</v>
      </c>
      <c r="I60" s="66">
        <f>IFERROR(SUMIFS(BS数据!H:H,BS数据!$A:$A,BS!$B60),0)</f>
        <v>242376</v>
      </c>
      <c r="J60" s="66">
        <f>IFERROR(SUMIFS(BS数据!I:I,BS数据!$A:$A,BS!$B60),0)</f>
        <v>565856</v>
      </c>
      <c r="K60" s="66">
        <f>IFERROR(SUMIFS(BS数据!J:J,BS数据!$A:$A,BS!$B60),0)</f>
        <v>950213</v>
      </c>
      <c r="L60" s="66">
        <f>IFERROR(SUMIFS(BS数据!K:K,BS数据!$A:$A,BS!$B60),0)</f>
        <v>499444</v>
      </c>
      <c r="M60" s="66">
        <f>IFERROR(SUMIFS(BS数据!L:L,BS数据!$A:$A,BS!$B60),0)</f>
        <v>94060</v>
      </c>
      <c r="N60" s="66">
        <f>IFERROR(SUMIFS(BS数据!M:M,BS数据!$A:$A,BS!$B60),0)</f>
        <v>96176</v>
      </c>
      <c r="O60" s="66">
        <f>IFERROR(SUMIFS(BS数据!N:N,BS数据!$A:$A,BS!$B60),0)</f>
        <v>118729</v>
      </c>
      <c r="P60" s="66"/>
      <c r="Q60" s="66"/>
      <c r="R60" s="68">
        <f t="shared" si="0"/>
        <v>367.93880000000001</v>
      </c>
      <c r="S60" s="109">
        <f t="shared" si="3"/>
        <v>0.59526653436100974</v>
      </c>
      <c r="T60" s="109">
        <f t="shared" si="4"/>
        <v>1.4000203813979866</v>
      </c>
      <c r="U60" s="111">
        <f t="shared" si="5"/>
        <v>68.406903103229894</v>
      </c>
      <c r="V60" s="111">
        <f t="shared" si="6"/>
        <v>108.09718619038117</v>
      </c>
      <c r="W60" s="111">
        <f t="shared" si="7"/>
        <v>59.866312997347478</v>
      </c>
    </row>
    <row r="61" spans="1:23" x14ac:dyDescent="0.25">
      <c r="A61" s="61" t="str">
        <f t="shared" si="11"/>
        <v>金融负债</v>
      </c>
      <c r="B61" s="61" t="str">
        <f>BS数据!A60</f>
        <v>向中央银行借款(万元)</v>
      </c>
      <c r="C61" s="66">
        <f>IFERROR(SUMIFS(BS数据!B:B,BS数据!$A:$A,BS!$B61),0)</f>
        <v>0</v>
      </c>
      <c r="D61" s="66">
        <f>IFERROR(SUMIFS(BS数据!C:C,BS数据!$A:$A,BS!$B61),0)</f>
        <v>0</v>
      </c>
      <c r="E61" s="66">
        <f>IFERROR(SUMIFS(BS数据!D:D,BS数据!$A:$A,BS!$B61),0)</f>
        <v>0</v>
      </c>
      <c r="F61" s="66">
        <f>IFERROR(SUMIFS(BS数据!E:E,BS数据!$A:$A,BS!$B61),0)</f>
        <v>0</v>
      </c>
      <c r="G61" s="66">
        <f>IFERROR(SUMIFS(BS数据!F:F,BS数据!$A:$A,BS!$B61),0)</f>
        <v>0</v>
      </c>
      <c r="H61" s="66">
        <f>IFERROR(SUMIFS(BS数据!G:G,BS数据!$A:$A,BS!$B61),0)</f>
        <v>0</v>
      </c>
      <c r="I61" s="66">
        <f>IFERROR(SUMIFS(BS数据!H:H,BS数据!$A:$A,BS!$B61),0)</f>
        <v>0</v>
      </c>
      <c r="J61" s="66">
        <f>IFERROR(SUMIFS(BS数据!I:I,BS数据!$A:$A,BS!$B61),0)</f>
        <v>0</v>
      </c>
      <c r="K61" s="66">
        <f>IFERROR(SUMIFS(BS数据!J:J,BS数据!$A:$A,BS!$B61),0)</f>
        <v>0</v>
      </c>
      <c r="L61" s="66">
        <f>IFERROR(SUMIFS(BS数据!K:K,BS数据!$A:$A,BS!$B61),0)</f>
        <v>0</v>
      </c>
      <c r="M61" s="66">
        <f>IFERROR(SUMIFS(BS数据!L:L,BS数据!$A:$A,BS!$B61),0)</f>
        <v>0</v>
      </c>
      <c r="N61" s="66">
        <f>IFERROR(SUMIFS(BS数据!M:M,BS数据!$A:$A,BS!$B61),0)</f>
        <v>0</v>
      </c>
      <c r="O61" s="66">
        <f>IFERROR(SUMIFS(BS数据!N:N,BS数据!$A:$A,BS!$B61),0)</f>
        <v>0</v>
      </c>
      <c r="P61" s="66"/>
      <c r="Q61" s="66"/>
      <c r="R61" s="68">
        <f t="shared" si="0"/>
        <v>0</v>
      </c>
      <c r="S61" s="109">
        <f t="shared" si="3"/>
        <v>0</v>
      </c>
      <c r="T61" s="109">
        <f t="shared" si="4"/>
        <v>0</v>
      </c>
      <c r="U61" s="111">
        <f t="shared" si="5"/>
        <v>0</v>
      </c>
      <c r="V61" s="111">
        <f t="shared" si="6"/>
        <v>0</v>
      </c>
      <c r="W61" s="111">
        <f t="shared" si="7"/>
        <v>0</v>
      </c>
    </row>
    <row r="62" spans="1:23" x14ac:dyDescent="0.25">
      <c r="A62" s="61" t="str">
        <f t="shared" si="11"/>
        <v>金融负债</v>
      </c>
      <c r="B62" s="61" t="str">
        <f>BS数据!A61</f>
        <v>吸收存款及同业存放(万元)</v>
      </c>
      <c r="C62" s="66">
        <f>IFERROR(SUMIFS(BS数据!B:B,BS数据!$A:$A,BS!$B62),0)</f>
        <v>0</v>
      </c>
      <c r="D62" s="66">
        <f>IFERROR(SUMIFS(BS数据!C:C,BS数据!$A:$A,BS!$B62),0)</f>
        <v>0</v>
      </c>
      <c r="E62" s="66">
        <f>IFERROR(SUMIFS(BS数据!D:D,BS数据!$A:$A,BS!$B62),0)</f>
        <v>0</v>
      </c>
      <c r="F62" s="66">
        <f>IFERROR(SUMIFS(BS数据!E:E,BS数据!$A:$A,BS!$B62),0)</f>
        <v>0</v>
      </c>
      <c r="G62" s="66">
        <f>IFERROR(SUMIFS(BS数据!F:F,BS数据!$A:$A,BS!$B62),0)</f>
        <v>0</v>
      </c>
      <c r="H62" s="66">
        <f>IFERROR(SUMIFS(BS数据!G:G,BS数据!$A:$A,BS!$B62),0)</f>
        <v>0</v>
      </c>
      <c r="I62" s="66">
        <f>IFERROR(SUMIFS(BS数据!H:H,BS数据!$A:$A,BS!$B62),0)</f>
        <v>0</v>
      </c>
      <c r="J62" s="66">
        <f>IFERROR(SUMIFS(BS数据!I:I,BS数据!$A:$A,BS!$B62),0)</f>
        <v>0</v>
      </c>
      <c r="K62" s="66">
        <f>IFERROR(SUMIFS(BS数据!J:J,BS数据!$A:$A,BS!$B62),0)</f>
        <v>0</v>
      </c>
      <c r="L62" s="66">
        <f>IFERROR(SUMIFS(BS数据!K:K,BS数据!$A:$A,BS!$B62),0)</f>
        <v>0</v>
      </c>
      <c r="M62" s="66">
        <f>IFERROR(SUMIFS(BS数据!L:L,BS数据!$A:$A,BS!$B62),0)</f>
        <v>0</v>
      </c>
      <c r="N62" s="66">
        <f>IFERROR(SUMIFS(BS数据!M:M,BS数据!$A:$A,BS!$B62),0)</f>
        <v>0</v>
      </c>
      <c r="O62" s="66">
        <f>IFERROR(SUMIFS(BS数据!N:N,BS数据!$A:$A,BS!$B62),0)</f>
        <v>0</v>
      </c>
      <c r="P62" s="66"/>
      <c r="Q62" s="66"/>
      <c r="R62" s="68">
        <f t="shared" si="0"/>
        <v>0</v>
      </c>
      <c r="S62" s="109">
        <f t="shared" si="3"/>
        <v>0</v>
      </c>
      <c r="T62" s="109">
        <f t="shared" si="4"/>
        <v>0</v>
      </c>
      <c r="U62" s="111">
        <f t="shared" si="5"/>
        <v>0</v>
      </c>
      <c r="V62" s="111">
        <f t="shared" si="6"/>
        <v>0</v>
      </c>
      <c r="W62" s="111">
        <f t="shared" si="7"/>
        <v>0</v>
      </c>
    </row>
    <row r="63" spans="1:23" x14ac:dyDescent="0.25">
      <c r="A63" s="61" t="str">
        <f t="shared" si="11"/>
        <v>金融负债</v>
      </c>
      <c r="B63" s="61" t="str">
        <f>BS数据!A62</f>
        <v>拆入资金(万元)</v>
      </c>
      <c r="C63" s="66">
        <f>IFERROR(SUMIFS(BS数据!B:B,BS数据!$A:$A,BS!$B63),0)</f>
        <v>0</v>
      </c>
      <c r="D63" s="66">
        <f>IFERROR(SUMIFS(BS数据!C:C,BS数据!$A:$A,BS!$B63),0)</f>
        <v>0</v>
      </c>
      <c r="E63" s="66">
        <f>IFERROR(SUMIFS(BS数据!D:D,BS数据!$A:$A,BS!$B63),0)</f>
        <v>0</v>
      </c>
      <c r="F63" s="66">
        <f>IFERROR(SUMIFS(BS数据!E:E,BS数据!$A:$A,BS!$B63),0)</f>
        <v>0</v>
      </c>
      <c r="G63" s="66">
        <f>IFERROR(SUMIFS(BS数据!F:F,BS数据!$A:$A,BS!$B63),0)</f>
        <v>0</v>
      </c>
      <c r="H63" s="66">
        <f>IFERROR(SUMIFS(BS数据!G:G,BS数据!$A:$A,BS!$B63),0)</f>
        <v>0</v>
      </c>
      <c r="I63" s="66">
        <f>IFERROR(SUMIFS(BS数据!H:H,BS数据!$A:$A,BS!$B63),0)</f>
        <v>0</v>
      </c>
      <c r="J63" s="66">
        <f>IFERROR(SUMIFS(BS数据!I:I,BS数据!$A:$A,BS!$B63),0)</f>
        <v>0</v>
      </c>
      <c r="K63" s="66">
        <f>IFERROR(SUMIFS(BS数据!J:J,BS数据!$A:$A,BS!$B63),0)</f>
        <v>0</v>
      </c>
      <c r="L63" s="66">
        <f>IFERROR(SUMIFS(BS数据!K:K,BS数据!$A:$A,BS!$B63),0)</f>
        <v>0</v>
      </c>
      <c r="M63" s="66">
        <f>IFERROR(SUMIFS(BS数据!L:L,BS数据!$A:$A,BS!$B63),0)</f>
        <v>0</v>
      </c>
      <c r="N63" s="66">
        <f>IFERROR(SUMIFS(BS数据!M:M,BS数据!$A:$A,BS!$B63),0)</f>
        <v>0</v>
      </c>
      <c r="O63" s="66">
        <f>IFERROR(SUMIFS(BS数据!N:N,BS数据!$A:$A,BS!$B63),0)</f>
        <v>0</v>
      </c>
      <c r="P63" s="66"/>
      <c r="Q63" s="66"/>
      <c r="R63" s="68">
        <f t="shared" si="0"/>
        <v>0</v>
      </c>
      <c r="S63" s="109">
        <f t="shared" si="3"/>
        <v>0</v>
      </c>
      <c r="T63" s="109">
        <f t="shared" si="4"/>
        <v>0</v>
      </c>
      <c r="U63" s="111">
        <f t="shared" si="5"/>
        <v>0</v>
      </c>
      <c r="V63" s="111">
        <f t="shared" si="6"/>
        <v>0</v>
      </c>
      <c r="W63" s="111">
        <f t="shared" si="7"/>
        <v>0</v>
      </c>
    </row>
    <row r="64" spans="1:23" x14ac:dyDescent="0.25">
      <c r="A64" s="61" t="str">
        <f t="shared" si="11"/>
        <v>金融负债</v>
      </c>
      <c r="B64" s="61" t="str">
        <f>BS数据!A63</f>
        <v>交易性金融负债(万元)</v>
      </c>
      <c r="C64" s="66">
        <f>IFERROR(SUMIFS(BS数据!B:B,BS数据!$A:$A,BS!$B64),0)</f>
        <v>0</v>
      </c>
      <c r="D64" s="66">
        <f>IFERROR(SUMIFS(BS数据!C:C,BS数据!$A:$A,BS!$B64),0)</f>
        <v>0</v>
      </c>
      <c r="E64" s="66">
        <f>IFERROR(SUMIFS(BS数据!D:D,BS数据!$A:$A,BS!$B64),0)</f>
        <v>0</v>
      </c>
      <c r="F64" s="66">
        <f>IFERROR(SUMIFS(BS数据!E:E,BS数据!$A:$A,BS!$B64),0)</f>
        <v>0</v>
      </c>
      <c r="G64" s="66">
        <f>IFERROR(SUMIFS(BS数据!F:F,BS数据!$A:$A,BS!$B64),0)</f>
        <v>0</v>
      </c>
      <c r="H64" s="66">
        <f>IFERROR(SUMIFS(BS数据!G:G,BS数据!$A:$A,BS!$B64),0)</f>
        <v>0</v>
      </c>
      <c r="I64" s="66">
        <f>IFERROR(SUMIFS(BS数据!H:H,BS数据!$A:$A,BS!$B64),0)</f>
        <v>39905</v>
      </c>
      <c r="J64" s="66">
        <f>IFERROR(SUMIFS(BS数据!I:I,BS数据!$A:$A,BS!$B64),0)</f>
        <v>27931</v>
      </c>
      <c r="K64" s="66">
        <f>IFERROR(SUMIFS(BS数据!J:J,BS数据!$A:$A,BS!$B64),0)</f>
        <v>3646</v>
      </c>
      <c r="L64" s="66">
        <f>IFERROR(SUMIFS(BS数据!K:K,BS数据!$A:$A,BS!$B64),0)</f>
        <v>21</v>
      </c>
      <c r="M64" s="66">
        <f>IFERROR(SUMIFS(BS数据!L:L,BS数据!$A:$A,BS!$B64),0)</f>
        <v>0</v>
      </c>
      <c r="N64" s="66">
        <f>IFERROR(SUMIFS(BS数据!M:M,BS数据!$A:$A,BS!$B64),0)</f>
        <v>5636</v>
      </c>
      <c r="O64" s="66">
        <f>IFERROR(SUMIFS(BS数据!N:N,BS数据!$A:$A,BS!$B64),0)</f>
        <v>1042</v>
      </c>
      <c r="P64" s="66"/>
      <c r="Q64" s="66"/>
      <c r="R64" s="68">
        <f t="shared" si="0"/>
        <v>0</v>
      </c>
      <c r="S64" s="109">
        <f t="shared" si="3"/>
        <v>0</v>
      </c>
      <c r="T64" s="109">
        <f t="shared" si="4"/>
        <v>0</v>
      </c>
      <c r="U64" s="111">
        <f t="shared" si="5"/>
        <v>0</v>
      </c>
      <c r="V64" s="111">
        <f t="shared" si="6"/>
        <v>0</v>
      </c>
      <c r="W64" s="111">
        <f t="shared" si="7"/>
        <v>0</v>
      </c>
    </row>
    <row r="65" spans="1:23" x14ac:dyDescent="0.25">
      <c r="A65" s="61" t="str">
        <f t="shared" si="11"/>
        <v>经营负债</v>
      </c>
      <c r="B65" s="155" t="s">
        <v>1682</v>
      </c>
      <c r="C65" s="156"/>
      <c r="D65" s="156"/>
      <c r="E65" s="156"/>
      <c r="F65" s="156"/>
      <c r="G65" s="66"/>
      <c r="H65" s="66"/>
      <c r="I65" s="66"/>
      <c r="J65" s="66"/>
      <c r="K65" s="66"/>
      <c r="L65" s="66"/>
      <c r="M65" s="66"/>
      <c r="N65" s="66"/>
      <c r="O65" s="66"/>
      <c r="P65" s="66"/>
      <c r="Q65" s="66"/>
      <c r="R65" s="68">
        <f t="shared" si="0"/>
        <v>0</v>
      </c>
      <c r="S65" s="109">
        <f t="shared" si="3"/>
        <v>0</v>
      </c>
      <c r="T65" s="109">
        <f t="shared" si="4"/>
        <v>0</v>
      </c>
      <c r="U65" s="111">
        <f t="shared" si="5"/>
        <v>0</v>
      </c>
      <c r="V65" s="111">
        <f t="shared" si="6"/>
        <v>0</v>
      </c>
      <c r="W65" s="111">
        <f t="shared" si="7"/>
        <v>0</v>
      </c>
    </row>
    <row r="66" spans="1:23" x14ac:dyDescent="0.25">
      <c r="A66" s="61" t="str">
        <f t="shared" si="11"/>
        <v>金融负债</v>
      </c>
      <c r="B66" s="61" t="str">
        <f>BS数据!A65</f>
        <v>应付票据(万元)</v>
      </c>
      <c r="C66" s="66">
        <f>IFERROR(SUMIFS(BS数据!B:B,BS数据!$A:$A,BS!$B66),0)</f>
        <v>801839</v>
      </c>
      <c r="D66" s="66">
        <f>IFERROR(SUMIFS(BS数据!C:C,BS数据!$A:$A,BS!$B66),0)</f>
        <v>840500</v>
      </c>
      <c r="E66" s="66">
        <f>IFERROR(SUMIFS(BS数据!D:D,BS数据!$A:$A,BS!$B66),0)</f>
        <v>471992</v>
      </c>
      <c r="F66" s="66">
        <f>IFERROR(SUMIFS(BS数据!E:E,BS数据!$A:$A,BS!$B66),0)</f>
        <v>292322</v>
      </c>
      <c r="G66" s="66">
        <f>IFERROR(SUMIFS(BS数据!F:F,BS数据!$A:$A,BS!$B66),0)</f>
        <v>258654</v>
      </c>
      <c r="H66" s="66">
        <f>IFERROR(SUMIFS(BS数据!G:G,BS数据!$A:$A,BS!$B66),0)</f>
        <v>305373</v>
      </c>
      <c r="I66" s="66">
        <f>IFERROR(SUMIFS(BS数据!H:H,BS数据!$A:$A,BS!$B66),0)</f>
        <v>193020</v>
      </c>
      <c r="J66" s="66">
        <f>IFERROR(SUMIFS(BS数据!I:I,BS数据!$A:$A,BS!$B66),0)</f>
        <v>162878</v>
      </c>
      <c r="K66" s="66">
        <f>IFERROR(SUMIFS(BS数据!J:J,BS数据!$A:$A,BS!$B66),0)</f>
        <v>260348</v>
      </c>
      <c r="L66" s="66">
        <f>IFERROR(SUMIFS(BS数据!K:K,BS数据!$A:$A,BS!$B66),0)</f>
        <v>227700</v>
      </c>
      <c r="M66" s="66">
        <f>IFERROR(SUMIFS(BS数据!L:L,BS数据!$A:$A,BS!$B66),0)</f>
        <v>51638</v>
      </c>
      <c r="N66" s="66">
        <f>IFERROR(SUMIFS(BS数据!M:M,BS数据!$A:$A,BS!$B66),0)</f>
        <v>36909</v>
      </c>
      <c r="O66" s="66">
        <f>IFERROR(SUMIFS(BS数据!N:N,BS数据!$A:$A,BS!$B66),0)</f>
        <v>43373</v>
      </c>
      <c r="P66" s="66"/>
      <c r="Q66" s="66"/>
      <c r="R66" s="68">
        <f t="shared" si="0"/>
        <v>266.53070000000002</v>
      </c>
      <c r="S66" s="109">
        <f t="shared" si="3"/>
        <v>-4.599762046400957E-2</v>
      </c>
      <c r="T66" s="109">
        <f t="shared" si="4"/>
        <v>0.78075052119527455</v>
      </c>
      <c r="U66" s="111">
        <f t="shared" si="5"/>
        <v>63.47680493983534</v>
      </c>
      <c r="V66" s="111">
        <f t="shared" si="6"/>
        <v>167.7309918180004</v>
      </c>
      <c r="W66" s="111">
        <f t="shared" si="7"/>
        <v>125.19681697612732</v>
      </c>
    </row>
    <row r="67" spans="1:23" x14ac:dyDescent="0.25">
      <c r="A67" s="61" t="str">
        <f t="shared" si="11"/>
        <v>经营负债</v>
      </c>
      <c r="B67" s="61" t="str">
        <f>BS数据!A66</f>
        <v>应付账款(万元)</v>
      </c>
      <c r="C67" s="66">
        <f>IFERROR(SUMIFS(BS数据!B:B,BS数据!$A:$A,BS!$B67),0)</f>
        <v>1227623</v>
      </c>
      <c r="D67" s="66">
        <f>IFERROR(SUMIFS(BS数据!C:C,BS数据!$A:$A,BS!$B67),0)</f>
        <v>878571</v>
      </c>
      <c r="E67" s="66">
        <f>IFERROR(SUMIFS(BS数据!D:D,BS数据!$A:$A,BS!$B67),0)</f>
        <v>621783</v>
      </c>
      <c r="F67" s="66">
        <f>IFERROR(SUMIFS(BS数据!E:E,BS数据!$A:$A,BS!$B67),0)</f>
        <v>460535</v>
      </c>
      <c r="G67" s="66">
        <f>IFERROR(SUMIFS(BS数据!F:F,BS数据!$A:$A,BS!$B67),0)</f>
        <v>364212</v>
      </c>
      <c r="H67" s="66">
        <f>IFERROR(SUMIFS(BS数据!G:G,BS数据!$A:$A,BS!$B67),0)</f>
        <v>448794</v>
      </c>
      <c r="I67" s="66">
        <f>IFERROR(SUMIFS(BS数据!H:H,BS数据!$A:$A,BS!$B67),0)</f>
        <v>621781</v>
      </c>
      <c r="J67" s="66">
        <f>IFERROR(SUMIFS(BS数据!I:I,BS数据!$A:$A,BS!$B67),0)</f>
        <v>419206</v>
      </c>
      <c r="K67" s="66">
        <f>IFERROR(SUMIFS(BS数据!J:J,BS数据!$A:$A,BS!$B67),0)</f>
        <v>406682</v>
      </c>
      <c r="L67" s="66">
        <f>IFERROR(SUMIFS(BS数据!K:K,BS数据!$A:$A,BS!$B67),0)</f>
        <v>438874</v>
      </c>
      <c r="M67" s="66">
        <f>IFERROR(SUMIFS(BS数据!L:L,BS数据!$A:$A,BS!$B67),0)</f>
        <v>126416</v>
      </c>
      <c r="N67" s="66">
        <f>IFERROR(SUMIFS(BS数据!M:M,BS数据!$A:$A,BS!$B67),0)</f>
        <v>120146</v>
      </c>
      <c r="O67" s="66">
        <f>IFERROR(SUMIFS(BS数据!N:N,BS数据!$A:$A,BS!$B67),0)</f>
        <v>127174</v>
      </c>
      <c r="P67" s="66"/>
      <c r="Q67" s="66"/>
      <c r="R67" s="68">
        <f t="shared" si="0"/>
        <v>355.2724</v>
      </c>
      <c r="S67" s="109">
        <f t="shared" si="3"/>
        <v>0.39729515315210717</v>
      </c>
      <c r="T67" s="109">
        <f t="shared" si="4"/>
        <v>0.41298652423755544</v>
      </c>
      <c r="U67" s="111">
        <f t="shared" si="5"/>
        <v>97.183581380620652</v>
      </c>
      <c r="V67" s="111">
        <f t="shared" si="6"/>
        <v>175.32847734983037</v>
      </c>
      <c r="W67" s="111">
        <f t="shared" si="7"/>
        <v>164.9291777188329</v>
      </c>
    </row>
    <row r="68" spans="1:23" x14ac:dyDescent="0.25">
      <c r="A68" s="61" t="str">
        <f t="shared" si="11"/>
        <v>经营负债</v>
      </c>
      <c r="B68" s="61" t="str">
        <f>BS数据!A67</f>
        <v>预收账款(万元)</v>
      </c>
      <c r="C68" s="66">
        <f>IFERROR(SUMIFS(BS数据!B:B,BS数据!$A:$A,BS!$B68),0)</f>
        <v>128095</v>
      </c>
      <c r="D68" s="66">
        <f>IFERROR(SUMIFS(BS数据!C:C,BS数据!$A:$A,BS!$B68),0)</f>
        <v>135710</v>
      </c>
      <c r="E68" s="66">
        <f>IFERROR(SUMIFS(BS数据!D:D,BS数据!$A:$A,BS!$B68),0)</f>
        <v>147017</v>
      </c>
      <c r="F68" s="66">
        <f>IFERROR(SUMIFS(BS数据!E:E,BS数据!$A:$A,BS!$B68),0)</f>
        <v>106270</v>
      </c>
      <c r="G68" s="66">
        <f>IFERROR(SUMIFS(BS数据!F:F,BS数据!$A:$A,BS!$B68),0)</f>
        <v>89251</v>
      </c>
      <c r="H68" s="66">
        <f>IFERROR(SUMIFS(BS数据!G:G,BS数据!$A:$A,BS!$B68),0)</f>
        <v>164359</v>
      </c>
      <c r="I68" s="66">
        <f>IFERROR(SUMIFS(BS数据!H:H,BS数据!$A:$A,BS!$B68),0)</f>
        <v>103878</v>
      </c>
      <c r="J68" s="66">
        <f>IFERROR(SUMIFS(BS数据!I:I,BS数据!$A:$A,BS!$B68),0)</f>
        <v>188599</v>
      </c>
      <c r="K68" s="66">
        <f>IFERROR(SUMIFS(BS数据!J:J,BS数据!$A:$A,BS!$B68),0)</f>
        <v>89212</v>
      </c>
      <c r="L68" s="66">
        <f>IFERROR(SUMIFS(BS数据!K:K,BS数据!$A:$A,BS!$B68),0)</f>
        <v>95849</v>
      </c>
      <c r="M68" s="66">
        <f>IFERROR(SUMIFS(BS数据!L:L,BS数据!$A:$A,BS!$B68),0)</f>
        <v>44142</v>
      </c>
      <c r="N68" s="66">
        <f>IFERROR(SUMIFS(BS数据!M:M,BS数据!$A:$A,BS!$B68),0)</f>
        <v>59280</v>
      </c>
      <c r="O68" s="66">
        <f>IFERROR(SUMIFS(BS数据!N:N,BS数据!$A:$A,BS!$B68),0)</f>
        <v>32709</v>
      </c>
      <c r="P68" s="66"/>
      <c r="Q68" s="66"/>
      <c r="R68" s="68">
        <f t="shared" ref="R68:R120" si="21">SUM(C68:G68)/10000</f>
        <v>60.634300000000003</v>
      </c>
      <c r="S68" s="109">
        <f t="shared" si="3"/>
        <v>-5.6112298283103712E-2</v>
      </c>
      <c r="T68" s="109">
        <f t="shared" si="4"/>
        <v>-7.6909473054136646E-2</v>
      </c>
      <c r="U68" s="111">
        <f t="shared" si="5"/>
        <v>10.140516149461684</v>
      </c>
      <c r="V68" s="111">
        <f t="shared" si="6"/>
        <v>27.082418678906407</v>
      </c>
      <c r="W68" s="111">
        <f t="shared" si="7"/>
        <v>38.99655172413793</v>
      </c>
    </row>
    <row r="69" spans="1:23" x14ac:dyDescent="0.25">
      <c r="A69" s="61" t="str">
        <f t="shared" ref="A69:A132" si="22">IF(ISERROR(VLOOKUP(TRIM($B69),管理名称,2,0)),"",VLOOKUP(TRIM($B69),管理名称,2,0))</f>
        <v>金融负债</v>
      </c>
      <c r="B69" s="61" t="str">
        <f>BS数据!A68</f>
        <v>卖出回购金融资产款(万元)</v>
      </c>
      <c r="C69" s="66">
        <f>IFERROR(SUMIFS(BS数据!B:B,BS数据!$A:$A,BS!$B69),0)</f>
        <v>0</v>
      </c>
      <c r="D69" s="66">
        <f>IFERROR(SUMIFS(BS数据!C:C,BS数据!$A:$A,BS!$B69),0)</f>
        <v>0</v>
      </c>
      <c r="E69" s="66">
        <f>IFERROR(SUMIFS(BS数据!D:D,BS数据!$A:$A,BS!$B69),0)</f>
        <v>0</v>
      </c>
      <c r="F69" s="66">
        <f>IFERROR(SUMIFS(BS数据!E:E,BS数据!$A:$A,BS!$B69),0)</f>
        <v>0</v>
      </c>
      <c r="G69" s="66">
        <f>IFERROR(SUMIFS(BS数据!F:F,BS数据!$A:$A,BS!$B69),0)</f>
        <v>0</v>
      </c>
      <c r="H69" s="66">
        <f>IFERROR(SUMIFS(BS数据!G:G,BS数据!$A:$A,BS!$B69),0)</f>
        <v>0</v>
      </c>
      <c r="I69" s="66">
        <f>IFERROR(SUMIFS(BS数据!H:H,BS数据!$A:$A,BS!$B69),0)</f>
        <v>0</v>
      </c>
      <c r="J69" s="66">
        <f>IFERROR(SUMIFS(BS数据!I:I,BS数据!$A:$A,BS!$B69),0)</f>
        <v>0</v>
      </c>
      <c r="K69" s="66">
        <f>IFERROR(SUMIFS(BS数据!J:J,BS数据!$A:$A,BS!$B69),0)</f>
        <v>0</v>
      </c>
      <c r="L69" s="66">
        <f>IFERROR(SUMIFS(BS数据!K:K,BS数据!$A:$A,BS!$B69),0)</f>
        <v>0</v>
      </c>
      <c r="M69" s="66">
        <f>IFERROR(SUMIFS(BS数据!L:L,BS数据!$A:$A,BS!$B69),0)</f>
        <v>0</v>
      </c>
      <c r="N69" s="66">
        <f>IFERROR(SUMIFS(BS数据!M:M,BS数据!$A:$A,BS!$B69),0)</f>
        <v>0</v>
      </c>
      <c r="O69" s="66">
        <f>IFERROR(SUMIFS(BS数据!N:N,BS数据!$A:$A,BS!$B69),0)</f>
        <v>0</v>
      </c>
      <c r="P69" s="66"/>
      <c r="Q69" s="66"/>
      <c r="R69" s="68">
        <f t="shared" si="21"/>
        <v>0</v>
      </c>
      <c r="S69" s="109">
        <f t="shared" si="3"/>
        <v>0</v>
      </c>
      <c r="T69" s="109">
        <f t="shared" si="4"/>
        <v>0</v>
      </c>
      <c r="U69" s="111">
        <f t="shared" si="5"/>
        <v>0</v>
      </c>
      <c r="V69" s="111">
        <f t="shared" si="6"/>
        <v>0</v>
      </c>
      <c r="W69" s="111">
        <f t="shared" si="7"/>
        <v>0</v>
      </c>
    </row>
    <row r="70" spans="1:23" x14ac:dyDescent="0.25">
      <c r="A70" s="61" t="str">
        <f t="shared" si="22"/>
        <v>金融负债</v>
      </c>
      <c r="B70" s="61" t="str">
        <f>BS数据!A69</f>
        <v>应付手续费及佣金(万元)</v>
      </c>
      <c r="C70" s="66">
        <f>IFERROR(SUMIFS(BS数据!B:B,BS数据!$A:$A,BS!$B70),0)</f>
        <v>0</v>
      </c>
      <c r="D70" s="66">
        <f>IFERROR(SUMIFS(BS数据!C:C,BS数据!$A:$A,BS!$B70),0)</f>
        <v>0</v>
      </c>
      <c r="E70" s="66">
        <f>IFERROR(SUMIFS(BS数据!D:D,BS数据!$A:$A,BS!$B70),0)</f>
        <v>0</v>
      </c>
      <c r="F70" s="66">
        <f>IFERROR(SUMIFS(BS数据!E:E,BS数据!$A:$A,BS!$B70),0)</f>
        <v>0</v>
      </c>
      <c r="G70" s="66">
        <f>IFERROR(SUMIFS(BS数据!F:F,BS数据!$A:$A,BS!$B70),0)</f>
        <v>0</v>
      </c>
      <c r="H70" s="66">
        <f>IFERROR(SUMIFS(BS数据!G:G,BS数据!$A:$A,BS!$B70),0)</f>
        <v>0</v>
      </c>
      <c r="I70" s="66">
        <f>IFERROR(SUMIFS(BS数据!H:H,BS数据!$A:$A,BS!$B70),0)</f>
        <v>0</v>
      </c>
      <c r="J70" s="66">
        <f>IFERROR(SUMIFS(BS数据!I:I,BS数据!$A:$A,BS!$B70),0)</f>
        <v>0</v>
      </c>
      <c r="K70" s="66">
        <f>IFERROR(SUMIFS(BS数据!J:J,BS数据!$A:$A,BS!$B70),0)</f>
        <v>0</v>
      </c>
      <c r="L70" s="66">
        <f>IFERROR(SUMIFS(BS数据!K:K,BS数据!$A:$A,BS!$B70),0)</f>
        <v>0</v>
      </c>
      <c r="M70" s="66">
        <f>IFERROR(SUMIFS(BS数据!L:L,BS数据!$A:$A,BS!$B70),0)</f>
        <v>0</v>
      </c>
      <c r="N70" s="66">
        <f>IFERROR(SUMIFS(BS数据!M:M,BS数据!$A:$A,BS!$B70),0)</f>
        <v>0</v>
      </c>
      <c r="O70" s="66">
        <f>IFERROR(SUMIFS(BS数据!N:N,BS数据!$A:$A,BS!$B70),0)</f>
        <v>0</v>
      </c>
      <c r="P70" s="66"/>
      <c r="Q70" s="66"/>
      <c r="R70" s="68">
        <f t="shared" si="21"/>
        <v>0</v>
      </c>
      <c r="S70" s="109">
        <f t="shared" ref="S70:S71" si="23">IFERROR(C70/D70-1,0)</f>
        <v>0</v>
      </c>
      <c r="T70" s="109">
        <f t="shared" ref="T70:T71" si="24">IFERROR(D70/E70-1,0)</f>
        <v>0</v>
      </c>
      <c r="U70" s="111">
        <f t="shared" ref="U70:U71" si="25">C70/C$37</f>
        <v>0</v>
      </c>
      <c r="V70" s="111">
        <f t="shared" ref="V70:V71" si="26">D70/D$37</f>
        <v>0</v>
      </c>
      <c r="W70" s="111">
        <f t="shared" ref="W70:W71" si="27">E70/E$37</f>
        <v>0</v>
      </c>
    </row>
    <row r="71" spans="1:23" x14ac:dyDescent="0.25">
      <c r="A71" s="61" t="str">
        <f t="shared" si="22"/>
        <v>经营负债</v>
      </c>
      <c r="B71" s="61" t="str">
        <f>BS数据!A70</f>
        <v>应付职工薪酬(万元)</v>
      </c>
      <c r="C71" s="66">
        <f>IFERROR(SUMIFS(BS数据!B:B,BS数据!$A:$A,BS!$B71),0)</f>
        <v>128962</v>
      </c>
      <c r="D71" s="66">
        <f>IFERROR(SUMIFS(BS数据!C:C,BS数据!$A:$A,BS!$B71),0)</f>
        <v>104625</v>
      </c>
      <c r="E71" s="66">
        <f>IFERROR(SUMIFS(BS数据!D:D,BS数据!$A:$A,BS!$B71),0)</f>
        <v>48861</v>
      </c>
      <c r="F71" s="66">
        <f>IFERROR(SUMIFS(BS数据!E:E,BS数据!$A:$A,BS!$B71),0)</f>
        <v>30797</v>
      </c>
      <c r="G71" s="66">
        <f>IFERROR(SUMIFS(BS数据!F:F,BS数据!$A:$A,BS!$B71),0)</f>
        <v>29283</v>
      </c>
      <c r="H71" s="66">
        <f>IFERROR(SUMIFS(BS数据!G:G,BS数据!$A:$A,BS!$B71),0)</f>
        <v>29727</v>
      </c>
      <c r="I71" s="66">
        <f>IFERROR(SUMIFS(BS数据!H:H,BS数据!$A:$A,BS!$B71),0)</f>
        <v>33514</v>
      </c>
      <c r="J71" s="66">
        <f>IFERROR(SUMIFS(BS数据!I:I,BS数据!$A:$A,BS!$B71),0)</f>
        <v>33301</v>
      </c>
      <c r="K71" s="66">
        <f>IFERROR(SUMIFS(BS数据!J:J,BS数据!$A:$A,BS!$B71),0)</f>
        <v>30940</v>
      </c>
      <c r="L71" s="66">
        <f>IFERROR(SUMIFS(BS数据!K:K,BS数据!$A:$A,BS!$B71),0)</f>
        <v>31363</v>
      </c>
      <c r="M71" s="66">
        <f>IFERROR(SUMIFS(BS数据!L:L,BS数据!$A:$A,BS!$B71),0)</f>
        <v>4998</v>
      </c>
      <c r="N71" s="66">
        <f>IFERROR(SUMIFS(BS数据!M:M,BS数据!$A:$A,BS!$B71),0)</f>
        <v>3320</v>
      </c>
      <c r="O71" s="66">
        <f>IFERROR(SUMIFS(BS数据!N:N,BS数据!$A:$A,BS!$B71),0)</f>
        <v>2856</v>
      </c>
      <c r="P71" s="66"/>
      <c r="Q71" s="66"/>
      <c r="R71" s="68">
        <f t="shared" si="21"/>
        <v>34.252800000000001</v>
      </c>
      <c r="S71" s="109">
        <f t="shared" si="23"/>
        <v>0.2326117084826762</v>
      </c>
      <c r="T71" s="109">
        <f t="shared" si="24"/>
        <v>1.1412783201326211</v>
      </c>
      <c r="U71" s="111">
        <f t="shared" si="25"/>
        <v>10.209151361621279</v>
      </c>
      <c r="V71" s="111">
        <f t="shared" si="26"/>
        <v>20.879066054679704</v>
      </c>
      <c r="W71" s="111">
        <f t="shared" si="27"/>
        <v>12.960477453580902</v>
      </c>
    </row>
    <row r="72" spans="1:23" x14ac:dyDescent="0.25">
      <c r="A72" s="61" t="str">
        <f t="shared" si="22"/>
        <v>经营负债</v>
      </c>
      <c r="B72" s="61" t="str">
        <f>BS数据!A71</f>
        <v>应交税费(万元)</v>
      </c>
      <c r="C72" s="66">
        <f>IFERROR(SUMIFS(BS数据!B:B,BS数据!$A:$A,BS!$B72),0)</f>
        <v>149046</v>
      </c>
      <c r="D72" s="66">
        <f>IFERROR(SUMIFS(BS数据!C:C,BS数据!$A:$A,BS!$B72),0)</f>
        <v>52375</v>
      </c>
      <c r="E72" s="66">
        <f>IFERROR(SUMIFS(BS数据!D:D,BS数据!$A:$A,BS!$B72),0)</f>
        <v>53312</v>
      </c>
      <c r="F72" s="66">
        <f>IFERROR(SUMIFS(BS数据!E:E,BS数据!$A:$A,BS!$B72),0)</f>
        <v>35085</v>
      </c>
      <c r="G72" s="66">
        <f>IFERROR(SUMIFS(BS数据!F:F,BS数据!$A:$A,BS!$B72),0)</f>
        <v>17814</v>
      </c>
      <c r="H72" s="66">
        <f>IFERROR(SUMIFS(BS数据!G:G,BS数据!$A:$A,BS!$B72),0)</f>
        <v>20498</v>
      </c>
      <c r="I72" s="66">
        <f>IFERROR(SUMIFS(BS数据!H:H,BS数据!$A:$A,BS!$B72),0)</f>
        <v>52157</v>
      </c>
      <c r="J72" s="66">
        <f>IFERROR(SUMIFS(BS数据!I:I,BS数据!$A:$A,BS!$B72),0)</f>
        <v>37442</v>
      </c>
      <c r="K72" s="66">
        <f>IFERROR(SUMIFS(BS数据!J:J,BS数据!$A:$A,BS!$B72),0)</f>
        <v>100572</v>
      </c>
      <c r="L72" s="66">
        <f>IFERROR(SUMIFS(BS数据!K:K,BS数据!$A:$A,BS!$B72),0)</f>
        <v>73495</v>
      </c>
      <c r="M72" s="66">
        <f>IFERROR(SUMIFS(BS数据!L:L,BS数据!$A:$A,BS!$B72),0)</f>
        <v>33451</v>
      </c>
      <c r="N72" s="66">
        <f>IFERROR(SUMIFS(BS数据!M:M,BS数据!$A:$A,BS!$B72),0)</f>
        <v>22982</v>
      </c>
      <c r="O72" s="66">
        <f>IFERROR(SUMIFS(BS数据!N:N,BS数据!$A:$A,BS!$B72),0)</f>
        <v>7468</v>
      </c>
      <c r="P72" s="66"/>
      <c r="Q72" s="66"/>
      <c r="R72" s="68">
        <f t="shared" si="21"/>
        <v>30.763200000000001</v>
      </c>
      <c r="S72" s="67"/>
      <c r="T72" s="67"/>
    </row>
    <row r="73" spans="1:23" x14ac:dyDescent="0.25">
      <c r="A73" s="61" t="str">
        <f t="shared" si="22"/>
        <v>金融负债</v>
      </c>
      <c r="B73" s="61" t="str">
        <f>BS数据!A72</f>
        <v>应付利息(万元)</v>
      </c>
      <c r="C73" s="66">
        <f>IFERROR(SUMIFS(BS数据!B:B,BS数据!$A:$A,BS!$B73),0)</f>
        <v>0</v>
      </c>
      <c r="D73" s="66">
        <f>IFERROR(SUMIFS(BS数据!C:C,BS数据!$A:$A,BS!$B73),0)</f>
        <v>5412</v>
      </c>
      <c r="E73" s="66">
        <f>IFERROR(SUMIFS(BS数据!D:D,BS数据!$A:$A,BS!$B73),0)</f>
        <v>4800</v>
      </c>
      <c r="F73" s="66">
        <f>IFERROR(SUMIFS(BS数据!E:E,BS数据!$A:$A,BS!$B73),0)</f>
        <v>6963</v>
      </c>
      <c r="G73" s="66">
        <f>IFERROR(SUMIFS(BS数据!F:F,BS数据!$A:$A,BS!$B73),0)</f>
        <v>4470</v>
      </c>
      <c r="H73" s="66">
        <f>IFERROR(SUMIFS(BS数据!G:G,BS数据!$A:$A,BS!$B73),0)</f>
        <v>3885</v>
      </c>
      <c r="I73" s="66">
        <f>IFERROR(SUMIFS(BS数据!H:H,BS数据!$A:$A,BS!$B73),0)</f>
        <v>4893</v>
      </c>
      <c r="J73" s="66">
        <f>IFERROR(SUMIFS(BS数据!I:I,BS数据!$A:$A,BS!$B73),0)</f>
        <v>7592</v>
      </c>
      <c r="K73" s="66">
        <f>IFERROR(SUMIFS(BS数据!J:J,BS数据!$A:$A,BS!$B73),0)</f>
        <v>6926</v>
      </c>
      <c r="L73" s="66">
        <f>IFERROR(SUMIFS(BS数据!K:K,BS数据!$A:$A,BS!$B73),0)</f>
        <v>2077</v>
      </c>
      <c r="M73" s="66">
        <f>IFERROR(SUMIFS(BS数据!L:L,BS数据!$A:$A,BS!$B73),0)</f>
        <v>1388</v>
      </c>
      <c r="N73" s="66">
        <f>IFERROR(SUMIFS(BS数据!M:M,BS数据!$A:$A,BS!$B73),0)</f>
        <v>1980</v>
      </c>
      <c r="O73" s="66">
        <f>IFERROR(SUMIFS(BS数据!N:N,BS数据!$A:$A,BS!$B73),0)</f>
        <v>1199</v>
      </c>
      <c r="P73" s="66"/>
      <c r="Q73" s="66"/>
      <c r="R73" s="68">
        <f t="shared" si="21"/>
        <v>2.1644999999999999</v>
      </c>
      <c r="S73" s="67"/>
      <c r="T73" s="67"/>
    </row>
    <row r="74" spans="1:23" x14ac:dyDescent="0.25">
      <c r="A74" s="61" t="str">
        <f t="shared" si="22"/>
        <v>经营负债</v>
      </c>
      <c r="B74" s="61" t="str">
        <f>BS数据!A73</f>
        <v>应付股利(万元)</v>
      </c>
      <c r="C74" s="66">
        <f>IFERROR(SUMIFS(BS数据!B:B,BS数据!$A:$A,BS!$B74),0)</f>
        <v>10074</v>
      </c>
      <c r="D74" s="66">
        <f>IFERROR(SUMIFS(BS数据!C:C,BS数据!$A:$A,BS!$B74),0)</f>
        <v>9116</v>
      </c>
      <c r="E74" s="66">
        <f>IFERROR(SUMIFS(BS数据!D:D,BS数据!$A:$A,BS!$B74),0)</f>
        <v>8564</v>
      </c>
      <c r="F74" s="66">
        <f>IFERROR(SUMIFS(BS数据!E:E,BS数据!$A:$A,BS!$B74),0)</f>
        <v>11537</v>
      </c>
      <c r="G74" s="66">
        <f>IFERROR(SUMIFS(BS数据!F:F,BS数据!$A:$A,BS!$B74),0)</f>
        <v>10953</v>
      </c>
      <c r="H74" s="66">
        <f>IFERROR(SUMIFS(BS数据!G:G,BS数据!$A:$A,BS!$B74),0)</f>
        <v>10844</v>
      </c>
      <c r="I74" s="66">
        <f>IFERROR(SUMIFS(BS数据!H:H,BS数据!$A:$A,BS!$B74),0)</f>
        <v>26712</v>
      </c>
      <c r="J74" s="66">
        <f>IFERROR(SUMIFS(BS数据!I:I,BS数据!$A:$A,BS!$B74),0)</f>
        <v>10000</v>
      </c>
      <c r="K74" s="66">
        <f>IFERROR(SUMIFS(BS数据!J:J,BS数据!$A:$A,BS!$B74),0)</f>
        <v>10000</v>
      </c>
      <c r="L74" s="66">
        <f>IFERROR(SUMIFS(BS数据!K:K,BS数据!$A:$A,BS!$B74),0)</f>
        <v>51732</v>
      </c>
      <c r="M74" s="66">
        <f>IFERROR(SUMIFS(BS数据!L:L,BS数据!$A:$A,BS!$B74),0)</f>
        <v>0</v>
      </c>
      <c r="N74" s="66">
        <f>IFERROR(SUMIFS(BS数据!M:M,BS数据!$A:$A,BS!$B74),0)</f>
        <v>0</v>
      </c>
      <c r="O74" s="66">
        <f>IFERROR(SUMIFS(BS数据!N:N,BS数据!$A:$A,BS!$B74),0)</f>
        <v>438</v>
      </c>
      <c r="P74" s="66"/>
      <c r="Q74" s="66"/>
      <c r="R74" s="68">
        <f t="shared" si="21"/>
        <v>5.0244</v>
      </c>
      <c r="S74" s="67"/>
      <c r="T74" s="67"/>
    </row>
    <row r="75" spans="1:23" x14ac:dyDescent="0.25">
      <c r="A75" s="61" t="str">
        <f t="shared" si="22"/>
        <v>经营负债</v>
      </c>
      <c r="B75" s="61" t="str">
        <f>BS数据!A74</f>
        <v>其他应交款(万元)</v>
      </c>
      <c r="C75" s="66">
        <f>IFERROR(SUMIFS(BS数据!B:B,BS数据!$A:$A,BS!$B75),0)</f>
        <v>0</v>
      </c>
      <c r="D75" s="66">
        <f>IFERROR(SUMIFS(BS数据!C:C,BS数据!$A:$A,BS!$B75),0)</f>
        <v>0</v>
      </c>
      <c r="E75" s="66">
        <f>IFERROR(SUMIFS(BS数据!D:D,BS数据!$A:$A,BS!$B75),0)</f>
        <v>0</v>
      </c>
      <c r="F75" s="66">
        <f>IFERROR(SUMIFS(BS数据!E:E,BS数据!$A:$A,BS!$B75),0)</f>
        <v>0</v>
      </c>
      <c r="G75" s="66">
        <f>IFERROR(SUMIFS(BS数据!F:F,BS数据!$A:$A,BS!$B75),0)</f>
        <v>0</v>
      </c>
      <c r="H75" s="66">
        <f>IFERROR(SUMIFS(BS数据!G:G,BS数据!$A:$A,BS!$B75),0)</f>
        <v>0</v>
      </c>
      <c r="I75" s="66">
        <f>IFERROR(SUMIFS(BS数据!H:H,BS数据!$A:$A,BS!$B75),0)</f>
        <v>0</v>
      </c>
      <c r="J75" s="66">
        <f>IFERROR(SUMIFS(BS数据!I:I,BS数据!$A:$A,BS!$B75),0)</f>
        <v>0</v>
      </c>
      <c r="K75" s="66">
        <f>IFERROR(SUMIFS(BS数据!J:J,BS数据!$A:$A,BS!$B75),0)</f>
        <v>0</v>
      </c>
      <c r="L75" s="66">
        <f>IFERROR(SUMIFS(BS数据!K:K,BS数据!$A:$A,BS!$B75),0)</f>
        <v>0</v>
      </c>
      <c r="M75" s="66">
        <f>IFERROR(SUMIFS(BS数据!L:L,BS数据!$A:$A,BS!$B75),0)</f>
        <v>0</v>
      </c>
      <c r="N75" s="66">
        <f>IFERROR(SUMIFS(BS数据!M:M,BS数据!$A:$A,BS!$B75),0)</f>
        <v>0</v>
      </c>
      <c r="O75" s="66">
        <f>IFERROR(SUMIFS(BS数据!N:N,BS数据!$A:$A,BS!$B75),0)</f>
        <v>0</v>
      </c>
      <c r="P75" s="66"/>
      <c r="Q75" s="66"/>
      <c r="R75" s="68">
        <f t="shared" si="21"/>
        <v>0</v>
      </c>
      <c r="S75" s="66"/>
      <c r="T75" s="67"/>
    </row>
    <row r="76" spans="1:23" x14ac:dyDescent="0.25">
      <c r="A76" s="61" t="str">
        <f t="shared" si="22"/>
        <v>金融负债</v>
      </c>
      <c r="B76" s="61" t="str">
        <f>BS数据!A75</f>
        <v>应付保证金(万元)</v>
      </c>
      <c r="C76" s="66">
        <f>IFERROR(SUMIFS(BS数据!B:B,BS数据!$A:$A,BS!$B76),0)</f>
        <v>0</v>
      </c>
      <c r="D76" s="66">
        <f>IFERROR(SUMIFS(BS数据!C:C,BS数据!$A:$A,BS!$B76),0)</f>
        <v>0</v>
      </c>
      <c r="E76" s="66">
        <f>IFERROR(SUMIFS(BS数据!D:D,BS数据!$A:$A,BS!$B76),0)</f>
        <v>0</v>
      </c>
      <c r="F76" s="66">
        <f>IFERROR(SUMIFS(BS数据!E:E,BS数据!$A:$A,BS!$B76),0)</f>
        <v>0</v>
      </c>
      <c r="G76" s="66">
        <f>IFERROR(SUMIFS(BS数据!F:F,BS数据!$A:$A,BS!$B76),0)</f>
        <v>0</v>
      </c>
      <c r="H76" s="66">
        <f>IFERROR(SUMIFS(BS数据!G:G,BS数据!$A:$A,BS!$B76),0)</f>
        <v>0</v>
      </c>
      <c r="I76" s="66">
        <f>IFERROR(SUMIFS(BS数据!H:H,BS数据!$A:$A,BS!$B76),0)</f>
        <v>0</v>
      </c>
      <c r="J76" s="66">
        <f>IFERROR(SUMIFS(BS数据!I:I,BS数据!$A:$A,BS!$B76),0)</f>
        <v>0</v>
      </c>
      <c r="K76" s="66">
        <f>IFERROR(SUMIFS(BS数据!J:J,BS数据!$A:$A,BS!$B76),0)</f>
        <v>0</v>
      </c>
      <c r="L76" s="66">
        <f>IFERROR(SUMIFS(BS数据!K:K,BS数据!$A:$A,BS!$B76),0)</f>
        <v>0</v>
      </c>
      <c r="M76" s="66">
        <f>IFERROR(SUMIFS(BS数据!L:L,BS数据!$A:$A,BS!$B76),0)</f>
        <v>0</v>
      </c>
      <c r="N76" s="66">
        <f>IFERROR(SUMIFS(BS数据!M:M,BS数据!$A:$A,BS!$B76),0)</f>
        <v>0</v>
      </c>
      <c r="O76" s="66">
        <f>IFERROR(SUMIFS(BS数据!N:N,BS数据!$A:$A,BS!$B76),0)</f>
        <v>0</v>
      </c>
      <c r="P76" s="66"/>
      <c r="Q76" s="66"/>
      <c r="R76" s="68">
        <f t="shared" si="21"/>
        <v>0</v>
      </c>
      <c r="S76" s="109">
        <f t="shared" ref="S76" si="28">IFERROR(C76/D76-1,0)</f>
        <v>0</v>
      </c>
      <c r="T76" s="109">
        <f t="shared" ref="T76" si="29">IFERROR(D76/E76-1,0)</f>
        <v>0</v>
      </c>
      <c r="U76" s="111">
        <f t="shared" ref="U76" si="30">C76/C$37</f>
        <v>0</v>
      </c>
      <c r="V76" s="111">
        <f t="shared" ref="V76" si="31">D76/D$37</f>
        <v>0</v>
      </c>
      <c r="W76" s="111">
        <f t="shared" ref="W76" si="32">E76/E$37</f>
        <v>0</v>
      </c>
    </row>
    <row r="77" spans="1:23" x14ac:dyDescent="0.25">
      <c r="A77" s="61" t="str">
        <f t="shared" si="22"/>
        <v>经营负债</v>
      </c>
      <c r="B77" s="61" t="str">
        <f>BS数据!A76</f>
        <v>内部应付款(万元)</v>
      </c>
      <c r="C77" s="66">
        <f>IFERROR(SUMIFS(BS数据!B:B,BS数据!$A:$A,BS!$B77),0)</f>
        <v>0</v>
      </c>
      <c r="D77" s="66">
        <f>IFERROR(SUMIFS(BS数据!C:C,BS数据!$A:$A,BS!$B77),0)</f>
        <v>0</v>
      </c>
      <c r="E77" s="66">
        <f>IFERROR(SUMIFS(BS数据!D:D,BS数据!$A:$A,BS!$B77),0)</f>
        <v>0</v>
      </c>
      <c r="F77" s="66">
        <f>IFERROR(SUMIFS(BS数据!E:E,BS数据!$A:$A,BS!$B77),0)</f>
        <v>0</v>
      </c>
      <c r="G77" s="66">
        <f>IFERROR(SUMIFS(BS数据!F:F,BS数据!$A:$A,BS!$B77),0)</f>
        <v>0</v>
      </c>
      <c r="H77" s="66">
        <f>IFERROR(SUMIFS(BS数据!G:G,BS数据!$A:$A,BS!$B77),0)</f>
        <v>0</v>
      </c>
      <c r="I77" s="66">
        <f>IFERROR(SUMIFS(BS数据!H:H,BS数据!$A:$A,BS!$B77),0)</f>
        <v>0</v>
      </c>
      <c r="J77" s="66">
        <f>IFERROR(SUMIFS(BS数据!I:I,BS数据!$A:$A,BS!$B77),0)</f>
        <v>0</v>
      </c>
      <c r="K77" s="66">
        <f>IFERROR(SUMIFS(BS数据!J:J,BS数据!$A:$A,BS!$B77),0)</f>
        <v>0</v>
      </c>
      <c r="L77" s="66">
        <f>IFERROR(SUMIFS(BS数据!K:K,BS数据!$A:$A,BS!$B77),0)</f>
        <v>0</v>
      </c>
      <c r="M77" s="66">
        <f>IFERROR(SUMIFS(BS数据!L:L,BS数据!$A:$A,BS!$B77),0)</f>
        <v>0</v>
      </c>
      <c r="N77" s="66">
        <f>IFERROR(SUMIFS(BS数据!M:M,BS数据!$A:$A,BS!$B77),0)</f>
        <v>0</v>
      </c>
      <c r="O77" s="66">
        <f>IFERROR(SUMIFS(BS数据!N:N,BS数据!$A:$A,BS!$B77),0)</f>
        <v>0</v>
      </c>
      <c r="P77" s="66"/>
      <c r="Q77" s="66"/>
      <c r="R77" s="68">
        <f t="shared" si="21"/>
        <v>0</v>
      </c>
      <c r="S77" s="66"/>
      <c r="T77" s="66"/>
    </row>
    <row r="78" spans="1:23" x14ac:dyDescent="0.25">
      <c r="A78" s="61" t="str">
        <f t="shared" si="22"/>
        <v>经营负债</v>
      </c>
      <c r="B78" s="61" t="str">
        <f>BS数据!A77</f>
        <v>其他应付款(万元)</v>
      </c>
      <c r="C78" s="66">
        <f>IFERROR(SUMIFS(BS数据!B:B,BS数据!$A:$A,BS!$B78),0)</f>
        <v>404881</v>
      </c>
      <c r="D78" s="66">
        <f>IFERROR(SUMIFS(BS数据!C:C,BS数据!$A:$A,BS!$B78),0)</f>
        <v>281547</v>
      </c>
      <c r="E78" s="66">
        <f>IFERROR(SUMIFS(BS数据!D:D,BS数据!$A:$A,BS!$B78),0)</f>
        <v>220582</v>
      </c>
      <c r="F78" s="66">
        <f>IFERROR(SUMIFS(BS数据!E:E,BS数据!$A:$A,BS!$B78),0)</f>
        <v>229716</v>
      </c>
      <c r="G78" s="66">
        <f>IFERROR(SUMIFS(BS数据!F:F,BS数据!$A:$A,BS!$B78),0)</f>
        <v>216569</v>
      </c>
      <c r="H78" s="66">
        <f>IFERROR(SUMIFS(BS数据!G:G,BS数据!$A:$A,BS!$B78),0)</f>
        <v>241914</v>
      </c>
      <c r="I78" s="66">
        <f>IFERROR(SUMIFS(BS数据!H:H,BS数据!$A:$A,BS!$B78),0)</f>
        <v>389301</v>
      </c>
      <c r="J78" s="66">
        <f>IFERROR(SUMIFS(BS数据!I:I,BS数据!$A:$A,BS!$B78),0)</f>
        <v>650303</v>
      </c>
      <c r="K78" s="66">
        <f>IFERROR(SUMIFS(BS数据!J:J,BS数据!$A:$A,BS!$B78),0)</f>
        <v>308461</v>
      </c>
      <c r="L78" s="66">
        <f>IFERROR(SUMIFS(BS数据!K:K,BS数据!$A:$A,BS!$B78),0)</f>
        <v>229310</v>
      </c>
      <c r="M78" s="66">
        <f>IFERROR(SUMIFS(BS数据!L:L,BS数据!$A:$A,BS!$B78),0)</f>
        <v>149688</v>
      </c>
      <c r="N78" s="66">
        <f>IFERROR(SUMIFS(BS数据!M:M,BS数据!$A:$A,BS!$B78),0)</f>
        <v>104154</v>
      </c>
      <c r="O78" s="66">
        <f>IFERROR(SUMIFS(BS数据!N:N,BS数据!$A:$A,BS!$B78),0)</f>
        <v>65766</v>
      </c>
      <c r="P78" s="66"/>
      <c r="Q78" s="66"/>
      <c r="R78" s="68">
        <f t="shared" si="21"/>
        <v>135.3295</v>
      </c>
      <c r="S78" s="66"/>
      <c r="T78" s="66"/>
    </row>
    <row r="79" spans="1:23" x14ac:dyDescent="0.25">
      <c r="A79" s="61" t="str">
        <f t="shared" si="22"/>
        <v>经营负债</v>
      </c>
      <c r="B79" s="61" t="str">
        <f>BS数据!A78</f>
        <v>预提费用(万元)</v>
      </c>
      <c r="C79" s="66">
        <f>IFERROR(SUMIFS(BS数据!B:B,BS数据!$A:$A,BS!$B79),0)</f>
        <v>0</v>
      </c>
      <c r="D79" s="66">
        <f>IFERROR(SUMIFS(BS数据!C:C,BS数据!$A:$A,BS!$B79),0)</f>
        <v>0</v>
      </c>
      <c r="E79" s="66">
        <f>IFERROR(SUMIFS(BS数据!D:D,BS数据!$A:$A,BS!$B79),0)</f>
        <v>0</v>
      </c>
      <c r="F79" s="66">
        <f>IFERROR(SUMIFS(BS数据!E:E,BS数据!$A:$A,BS!$B79),0)</f>
        <v>0</v>
      </c>
      <c r="G79" s="66">
        <f>IFERROR(SUMIFS(BS数据!F:F,BS数据!$A:$A,BS!$B79),0)</f>
        <v>0</v>
      </c>
      <c r="H79" s="66">
        <f>IFERROR(SUMIFS(BS数据!G:G,BS数据!$A:$A,BS!$B79),0)</f>
        <v>0</v>
      </c>
      <c r="I79" s="66">
        <f>IFERROR(SUMIFS(BS数据!H:H,BS数据!$A:$A,BS!$B79),0)</f>
        <v>0</v>
      </c>
      <c r="J79" s="66">
        <f>IFERROR(SUMIFS(BS数据!I:I,BS数据!$A:$A,BS!$B79),0)</f>
        <v>0</v>
      </c>
      <c r="K79" s="66">
        <f>IFERROR(SUMIFS(BS数据!J:J,BS数据!$A:$A,BS!$B79),0)</f>
        <v>0</v>
      </c>
      <c r="L79" s="66">
        <f>IFERROR(SUMIFS(BS数据!K:K,BS数据!$A:$A,BS!$B79),0)</f>
        <v>0</v>
      </c>
      <c r="M79" s="66">
        <f>IFERROR(SUMIFS(BS数据!L:L,BS数据!$A:$A,BS!$B79),0)</f>
        <v>0</v>
      </c>
      <c r="N79" s="66">
        <f>IFERROR(SUMIFS(BS数据!M:M,BS数据!$A:$A,BS!$B79),0)</f>
        <v>0</v>
      </c>
      <c r="O79" s="66">
        <f>IFERROR(SUMIFS(BS数据!N:N,BS数据!$A:$A,BS!$B79),0)</f>
        <v>0</v>
      </c>
      <c r="P79" s="66"/>
      <c r="Q79" s="66"/>
      <c r="R79" s="68">
        <f t="shared" si="21"/>
        <v>0</v>
      </c>
      <c r="S79" s="66"/>
      <c r="T79" s="66"/>
    </row>
    <row r="80" spans="1:23" x14ac:dyDescent="0.25">
      <c r="A80" s="61" t="str">
        <f t="shared" si="22"/>
        <v>经营负债</v>
      </c>
      <c r="B80" s="61" t="str">
        <f>BS数据!A79</f>
        <v>预计流动负债(万元)</v>
      </c>
      <c r="C80" s="66">
        <f>IFERROR(SUMIFS(BS数据!B:B,BS数据!$A:$A,BS!$B80),0)</f>
        <v>0</v>
      </c>
      <c r="D80" s="66">
        <f>IFERROR(SUMIFS(BS数据!C:C,BS数据!$A:$A,BS!$B80),0)</f>
        <v>0</v>
      </c>
      <c r="E80" s="66">
        <f>IFERROR(SUMIFS(BS数据!D:D,BS数据!$A:$A,BS!$B80),0)</f>
        <v>0</v>
      </c>
      <c r="F80" s="66">
        <f>IFERROR(SUMIFS(BS数据!E:E,BS数据!$A:$A,BS!$B80),0)</f>
        <v>0</v>
      </c>
      <c r="G80" s="66">
        <f>IFERROR(SUMIFS(BS数据!F:F,BS数据!$A:$A,BS!$B80),0)</f>
        <v>0</v>
      </c>
      <c r="H80" s="66">
        <f>IFERROR(SUMIFS(BS数据!G:G,BS数据!$A:$A,BS!$B80),0)</f>
        <v>0</v>
      </c>
      <c r="I80" s="66">
        <f>IFERROR(SUMIFS(BS数据!H:H,BS数据!$A:$A,BS!$B80),0)</f>
        <v>0</v>
      </c>
      <c r="J80" s="66">
        <f>IFERROR(SUMIFS(BS数据!I:I,BS数据!$A:$A,BS!$B80),0)</f>
        <v>0</v>
      </c>
      <c r="K80" s="66">
        <f>IFERROR(SUMIFS(BS数据!J:J,BS数据!$A:$A,BS!$B80),0)</f>
        <v>0</v>
      </c>
      <c r="L80" s="66">
        <f>IFERROR(SUMIFS(BS数据!K:K,BS数据!$A:$A,BS!$B80),0)</f>
        <v>0</v>
      </c>
      <c r="M80" s="66">
        <f>IFERROR(SUMIFS(BS数据!L:L,BS数据!$A:$A,BS!$B80),0)</f>
        <v>0</v>
      </c>
      <c r="N80" s="66">
        <f>IFERROR(SUMIFS(BS数据!M:M,BS数据!$A:$A,BS!$B80),0)</f>
        <v>0</v>
      </c>
      <c r="O80" s="66">
        <f>IFERROR(SUMIFS(BS数据!N:N,BS数据!$A:$A,BS!$B80),0)</f>
        <v>0</v>
      </c>
      <c r="P80" s="66"/>
      <c r="Q80" s="66"/>
      <c r="R80" s="68">
        <f t="shared" si="21"/>
        <v>0</v>
      </c>
      <c r="S80" s="109">
        <f t="shared" ref="S80:S84" si="33">IFERROR(C80/D80-1,0)</f>
        <v>0</v>
      </c>
      <c r="T80" s="109">
        <f t="shared" ref="T80:T84" si="34">IFERROR(D80/E80-1,0)</f>
        <v>0</v>
      </c>
      <c r="U80" s="111">
        <f t="shared" ref="U80:U84" si="35">C80/C$37</f>
        <v>0</v>
      </c>
      <c r="V80" s="111">
        <f t="shared" ref="V80:V84" si="36">D80/D$37</f>
        <v>0</v>
      </c>
      <c r="W80" s="111">
        <f t="shared" ref="W80:W84" si="37">E80/E$37</f>
        <v>0</v>
      </c>
    </row>
    <row r="81" spans="1:23" x14ac:dyDescent="0.25">
      <c r="A81" s="61" t="str">
        <f t="shared" si="22"/>
        <v>金融负债</v>
      </c>
      <c r="B81" s="61" t="str">
        <f>BS数据!A80</f>
        <v>应付分保账款(万元)</v>
      </c>
      <c r="C81" s="66">
        <f>IFERROR(SUMIFS(BS数据!B:B,BS数据!$A:$A,BS!$B81),0)</f>
        <v>0</v>
      </c>
      <c r="D81" s="66">
        <f>IFERROR(SUMIFS(BS数据!C:C,BS数据!$A:$A,BS!$B81),0)</f>
        <v>0</v>
      </c>
      <c r="E81" s="66">
        <f>IFERROR(SUMIFS(BS数据!D:D,BS数据!$A:$A,BS!$B81),0)</f>
        <v>0</v>
      </c>
      <c r="F81" s="66">
        <f>IFERROR(SUMIFS(BS数据!E:E,BS数据!$A:$A,BS!$B81),0)</f>
        <v>0</v>
      </c>
      <c r="G81" s="66">
        <f>IFERROR(SUMIFS(BS数据!F:F,BS数据!$A:$A,BS!$B81),0)</f>
        <v>0</v>
      </c>
      <c r="H81" s="66">
        <f>IFERROR(SUMIFS(BS数据!G:G,BS数据!$A:$A,BS!$B81),0)</f>
        <v>0</v>
      </c>
      <c r="I81" s="66">
        <f>IFERROR(SUMIFS(BS数据!H:H,BS数据!$A:$A,BS!$B81),0)</f>
        <v>0</v>
      </c>
      <c r="J81" s="66">
        <f>IFERROR(SUMIFS(BS数据!I:I,BS数据!$A:$A,BS!$B81),0)</f>
        <v>0</v>
      </c>
      <c r="K81" s="66">
        <f>IFERROR(SUMIFS(BS数据!J:J,BS数据!$A:$A,BS!$B81),0)</f>
        <v>0</v>
      </c>
      <c r="L81" s="66">
        <f>IFERROR(SUMIFS(BS数据!K:K,BS数据!$A:$A,BS!$B81),0)</f>
        <v>0</v>
      </c>
      <c r="M81" s="66">
        <f>IFERROR(SUMIFS(BS数据!L:L,BS数据!$A:$A,BS!$B81),0)</f>
        <v>0</v>
      </c>
      <c r="N81" s="66">
        <f>IFERROR(SUMIFS(BS数据!M:M,BS数据!$A:$A,BS!$B81),0)</f>
        <v>0</v>
      </c>
      <c r="O81" s="66">
        <f>IFERROR(SUMIFS(BS数据!N:N,BS数据!$A:$A,BS!$B81),0)</f>
        <v>0</v>
      </c>
      <c r="P81" s="66"/>
      <c r="Q81" s="66"/>
      <c r="R81" s="68">
        <f t="shared" si="21"/>
        <v>0</v>
      </c>
      <c r="S81" s="109">
        <f t="shared" si="33"/>
        <v>0</v>
      </c>
      <c r="T81" s="109">
        <f t="shared" si="34"/>
        <v>0</v>
      </c>
      <c r="U81" s="111">
        <f t="shared" si="35"/>
        <v>0</v>
      </c>
      <c r="V81" s="111">
        <f t="shared" si="36"/>
        <v>0</v>
      </c>
      <c r="W81" s="111">
        <f t="shared" si="37"/>
        <v>0</v>
      </c>
    </row>
    <row r="82" spans="1:23" x14ac:dyDescent="0.25">
      <c r="A82" s="61" t="str">
        <f t="shared" si="22"/>
        <v>金融负债</v>
      </c>
      <c r="B82" s="61" t="str">
        <f>BS数据!A81</f>
        <v>保险合同准备金(万元)</v>
      </c>
      <c r="C82" s="66">
        <f>IFERROR(SUMIFS(BS数据!B:B,BS数据!$A:$A,BS!$B82),0)</f>
        <v>0</v>
      </c>
      <c r="D82" s="66">
        <f>IFERROR(SUMIFS(BS数据!C:C,BS数据!$A:$A,BS!$B82),0)</f>
        <v>0</v>
      </c>
      <c r="E82" s="66">
        <f>IFERROR(SUMIFS(BS数据!D:D,BS数据!$A:$A,BS!$B82),0)</f>
        <v>0</v>
      </c>
      <c r="F82" s="66">
        <f>IFERROR(SUMIFS(BS数据!E:E,BS数据!$A:$A,BS!$B82),0)</f>
        <v>0</v>
      </c>
      <c r="G82" s="66">
        <f>IFERROR(SUMIFS(BS数据!F:F,BS数据!$A:$A,BS!$B82),0)</f>
        <v>0</v>
      </c>
      <c r="H82" s="66">
        <f>IFERROR(SUMIFS(BS数据!G:G,BS数据!$A:$A,BS!$B82),0)</f>
        <v>0</v>
      </c>
      <c r="I82" s="66">
        <f>IFERROR(SUMIFS(BS数据!H:H,BS数据!$A:$A,BS!$B82),0)</f>
        <v>0</v>
      </c>
      <c r="J82" s="66">
        <f>IFERROR(SUMIFS(BS数据!I:I,BS数据!$A:$A,BS!$B82),0)</f>
        <v>0</v>
      </c>
      <c r="K82" s="66">
        <f>IFERROR(SUMIFS(BS数据!J:J,BS数据!$A:$A,BS!$B82),0)</f>
        <v>0</v>
      </c>
      <c r="L82" s="66">
        <f>IFERROR(SUMIFS(BS数据!K:K,BS数据!$A:$A,BS!$B82),0)</f>
        <v>0</v>
      </c>
      <c r="M82" s="66">
        <f>IFERROR(SUMIFS(BS数据!L:L,BS数据!$A:$A,BS!$B82),0)</f>
        <v>0</v>
      </c>
      <c r="N82" s="66">
        <f>IFERROR(SUMIFS(BS数据!M:M,BS数据!$A:$A,BS!$B82),0)</f>
        <v>0</v>
      </c>
      <c r="O82" s="66">
        <f>IFERROR(SUMIFS(BS数据!N:N,BS数据!$A:$A,BS!$B82),0)</f>
        <v>0</v>
      </c>
      <c r="P82" s="66"/>
      <c r="Q82" s="66"/>
      <c r="R82" s="68">
        <f t="shared" si="21"/>
        <v>0</v>
      </c>
      <c r="S82" s="109">
        <f t="shared" si="33"/>
        <v>0</v>
      </c>
      <c r="T82" s="109">
        <f t="shared" si="34"/>
        <v>0</v>
      </c>
      <c r="U82" s="111">
        <f t="shared" si="35"/>
        <v>0</v>
      </c>
      <c r="V82" s="111">
        <f t="shared" si="36"/>
        <v>0</v>
      </c>
      <c r="W82" s="111">
        <f t="shared" si="37"/>
        <v>0</v>
      </c>
    </row>
    <row r="83" spans="1:23" x14ac:dyDescent="0.25">
      <c r="A83" s="61" t="str">
        <f t="shared" si="22"/>
        <v>金融负债</v>
      </c>
      <c r="B83" s="61" t="str">
        <f>BS数据!A82</f>
        <v>代理买卖证券款(万元)</v>
      </c>
      <c r="C83" s="66">
        <f>IFERROR(SUMIFS(BS数据!B:B,BS数据!$A:$A,BS!$B83),0)</f>
        <v>0</v>
      </c>
      <c r="D83" s="66">
        <f>IFERROR(SUMIFS(BS数据!C:C,BS数据!$A:$A,BS!$B83),0)</f>
        <v>0</v>
      </c>
      <c r="E83" s="66">
        <f>IFERROR(SUMIFS(BS数据!D:D,BS数据!$A:$A,BS!$B83),0)</f>
        <v>0</v>
      </c>
      <c r="F83" s="66">
        <f>IFERROR(SUMIFS(BS数据!E:E,BS数据!$A:$A,BS!$B83),0)</f>
        <v>0</v>
      </c>
      <c r="G83" s="66">
        <f>IFERROR(SUMIFS(BS数据!F:F,BS数据!$A:$A,BS!$B83),0)</f>
        <v>0</v>
      </c>
      <c r="H83" s="66">
        <f>IFERROR(SUMIFS(BS数据!G:G,BS数据!$A:$A,BS!$B83),0)</f>
        <v>0</v>
      </c>
      <c r="I83" s="66">
        <f>IFERROR(SUMIFS(BS数据!H:H,BS数据!$A:$A,BS!$B83),0)</f>
        <v>0</v>
      </c>
      <c r="J83" s="66">
        <f>IFERROR(SUMIFS(BS数据!I:I,BS数据!$A:$A,BS!$B83),0)</f>
        <v>0</v>
      </c>
      <c r="K83" s="66">
        <f>IFERROR(SUMIFS(BS数据!J:J,BS数据!$A:$A,BS!$B83),0)</f>
        <v>0</v>
      </c>
      <c r="L83" s="66">
        <f>IFERROR(SUMIFS(BS数据!K:K,BS数据!$A:$A,BS!$B83),0)</f>
        <v>0</v>
      </c>
      <c r="M83" s="66">
        <f>IFERROR(SUMIFS(BS数据!L:L,BS数据!$A:$A,BS!$B83),0)</f>
        <v>0</v>
      </c>
      <c r="N83" s="66">
        <f>IFERROR(SUMIFS(BS数据!M:M,BS数据!$A:$A,BS!$B83),0)</f>
        <v>0</v>
      </c>
      <c r="O83" s="66">
        <f>IFERROR(SUMIFS(BS数据!N:N,BS数据!$A:$A,BS!$B83),0)</f>
        <v>0</v>
      </c>
      <c r="P83" s="66"/>
      <c r="Q83" s="66"/>
      <c r="R83" s="68">
        <f t="shared" si="21"/>
        <v>0</v>
      </c>
      <c r="S83" s="109">
        <f t="shared" si="33"/>
        <v>0</v>
      </c>
      <c r="T83" s="109">
        <f t="shared" si="34"/>
        <v>0</v>
      </c>
      <c r="U83" s="111">
        <f t="shared" si="35"/>
        <v>0</v>
      </c>
      <c r="V83" s="111">
        <f t="shared" si="36"/>
        <v>0</v>
      </c>
      <c r="W83" s="111">
        <f t="shared" si="37"/>
        <v>0</v>
      </c>
    </row>
    <row r="84" spans="1:23" x14ac:dyDescent="0.25">
      <c r="A84" s="61" t="str">
        <f t="shared" si="22"/>
        <v>金融负债</v>
      </c>
      <c r="B84" s="61" t="str">
        <f>BS数据!A83</f>
        <v>代理承销证券款(万元)</v>
      </c>
      <c r="C84" s="66">
        <f>IFERROR(SUMIFS(BS数据!B:B,BS数据!$A:$A,BS!$B84),0)</f>
        <v>0</v>
      </c>
      <c r="D84" s="66">
        <f>IFERROR(SUMIFS(BS数据!C:C,BS数据!$A:$A,BS!$B84),0)</f>
        <v>0</v>
      </c>
      <c r="E84" s="66">
        <f>IFERROR(SUMIFS(BS数据!D:D,BS数据!$A:$A,BS!$B84),0)</f>
        <v>0</v>
      </c>
      <c r="F84" s="66">
        <f>IFERROR(SUMIFS(BS数据!E:E,BS数据!$A:$A,BS!$B84),0)</f>
        <v>0</v>
      </c>
      <c r="G84" s="66">
        <f>IFERROR(SUMIFS(BS数据!F:F,BS数据!$A:$A,BS!$B84),0)</f>
        <v>0</v>
      </c>
      <c r="H84" s="66">
        <f>IFERROR(SUMIFS(BS数据!G:G,BS数据!$A:$A,BS!$B84),0)</f>
        <v>0</v>
      </c>
      <c r="I84" s="66">
        <f>IFERROR(SUMIFS(BS数据!H:H,BS数据!$A:$A,BS!$B84),0)</f>
        <v>0</v>
      </c>
      <c r="J84" s="66">
        <f>IFERROR(SUMIFS(BS数据!I:I,BS数据!$A:$A,BS!$B84),0)</f>
        <v>0</v>
      </c>
      <c r="K84" s="66">
        <f>IFERROR(SUMIFS(BS数据!J:J,BS数据!$A:$A,BS!$B84),0)</f>
        <v>0</v>
      </c>
      <c r="L84" s="66">
        <f>IFERROR(SUMIFS(BS数据!K:K,BS数据!$A:$A,BS!$B84),0)</f>
        <v>0</v>
      </c>
      <c r="M84" s="66">
        <f>IFERROR(SUMIFS(BS数据!L:L,BS数据!$A:$A,BS!$B84),0)</f>
        <v>0</v>
      </c>
      <c r="N84" s="66">
        <f>IFERROR(SUMIFS(BS数据!M:M,BS数据!$A:$A,BS!$B84),0)</f>
        <v>0</v>
      </c>
      <c r="O84" s="66">
        <f>IFERROR(SUMIFS(BS数据!N:N,BS数据!$A:$A,BS!$B84),0)</f>
        <v>0</v>
      </c>
      <c r="P84" s="66"/>
      <c r="Q84" s="66"/>
      <c r="R84" s="68">
        <f t="shared" si="21"/>
        <v>0</v>
      </c>
      <c r="S84" s="109">
        <f t="shared" si="33"/>
        <v>0</v>
      </c>
      <c r="T84" s="109">
        <f t="shared" si="34"/>
        <v>0</v>
      </c>
      <c r="U84" s="111">
        <f t="shared" si="35"/>
        <v>0</v>
      </c>
      <c r="V84" s="111">
        <f t="shared" si="36"/>
        <v>0</v>
      </c>
      <c r="W84" s="111">
        <f t="shared" si="37"/>
        <v>0</v>
      </c>
    </row>
    <row r="85" spans="1:23" x14ac:dyDescent="0.25">
      <c r="A85" s="61" t="str">
        <f t="shared" si="22"/>
        <v>经营负债</v>
      </c>
      <c r="B85" s="61" t="str">
        <f>BS数据!A84</f>
        <v>国际票证结算(万元)</v>
      </c>
      <c r="C85" s="66">
        <f>IFERROR(SUMIFS(BS数据!B:B,BS数据!$A:$A,BS!$B85),0)</f>
        <v>0</v>
      </c>
      <c r="D85" s="66">
        <f>IFERROR(SUMIFS(BS数据!C:C,BS数据!$A:$A,BS!$B85),0)</f>
        <v>0</v>
      </c>
      <c r="E85" s="66">
        <f>IFERROR(SUMIFS(BS数据!D:D,BS数据!$A:$A,BS!$B85),0)</f>
        <v>0</v>
      </c>
      <c r="F85" s="66">
        <f>IFERROR(SUMIFS(BS数据!E:E,BS数据!$A:$A,BS!$B85),0)</f>
        <v>0</v>
      </c>
      <c r="G85" s="66">
        <f>IFERROR(SUMIFS(BS数据!F:F,BS数据!$A:$A,BS!$B85),0)</f>
        <v>0</v>
      </c>
      <c r="H85" s="66">
        <f>IFERROR(SUMIFS(BS数据!G:G,BS数据!$A:$A,BS!$B85),0)</f>
        <v>0</v>
      </c>
      <c r="I85" s="66">
        <f>IFERROR(SUMIFS(BS数据!H:H,BS数据!$A:$A,BS!$B85),0)</f>
        <v>0</v>
      </c>
      <c r="J85" s="66">
        <f>IFERROR(SUMIFS(BS数据!I:I,BS数据!$A:$A,BS!$B85),0)</f>
        <v>0</v>
      </c>
      <c r="K85" s="66">
        <f>IFERROR(SUMIFS(BS数据!J:J,BS数据!$A:$A,BS!$B85),0)</f>
        <v>0</v>
      </c>
      <c r="L85" s="66">
        <f>IFERROR(SUMIFS(BS数据!K:K,BS数据!$A:$A,BS!$B85),0)</f>
        <v>0</v>
      </c>
      <c r="M85" s="66">
        <f>IFERROR(SUMIFS(BS数据!L:L,BS数据!$A:$A,BS!$B85),0)</f>
        <v>0</v>
      </c>
      <c r="N85" s="66">
        <f>IFERROR(SUMIFS(BS数据!M:M,BS数据!$A:$A,BS!$B85),0)</f>
        <v>0</v>
      </c>
      <c r="O85" s="66">
        <f>IFERROR(SUMIFS(BS数据!N:N,BS数据!$A:$A,BS!$B85),0)</f>
        <v>0</v>
      </c>
      <c r="P85" s="66"/>
      <c r="Q85" s="66"/>
      <c r="R85" s="68">
        <f t="shared" si="21"/>
        <v>0</v>
      </c>
      <c r="S85" s="67"/>
      <c r="T85" s="66"/>
    </row>
    <row r="86" spans="1:23" x14ac:dyDescent="0.25">
      <c r="A86" s="61" t="str">
        <f t="shared" si="22"/>
        <v>经营负债</v>
      </c>
      <c r="B86" s="61" t="str">
        <f>BS数据!A85</f>
        <v>国内票证结算(万元)</v>
      </c>
      <c r="C86" s="66">
        <f>IFERROR(SUMIFS(BS数据!B:B,BS数据!$A:$A,BS!$B86),0)</f>
        <v>0</v>
      </c>
      <c r="D86" s="66">
        <f>IFERROR(SUMIFS(BS数据!C:C,BS数据!$A:$A,BS!$B86),0)</f>
        <v>0</v>
      </c>
      <c r="E86" s="66">
        <f>IFERROR(SUMIFS(BS数据!D:D,BS数据!$A:$A,BS!$B86),0)</f>
        <v>0</v>
      </c>
      <c r="F86" s="66">
        <f>IFERROR(SUMIFS(BS数据!E:E,BS数据!$A:$A,BS!$B86),0)</f>
        <v>0</v>
      </c>
      <c r="G86" s="66">
        <f>IFERROR(SUMIFS(BS数据!F:F,BS数据!$A:$A,BS!$B86),0)</f>
        <v>0</v>
      </c>
      <c r="H86" s="66">
        <f>IFERROR(SUMIFS(BS数据!G:G,BS数据!$A:$A,BS!$B86),0)</f>
        <v>0</v>
      </c>
      <c r="I86" s="66">
        <f>IFERROR(SUMIFS(BS数据!H:H,BS数据!$A:$A,BS!$B86),0)</f>
        <v>0</v>
      </c>
      <c r="J86" s="66">
        <f>IFERROR(SUMIFS(BS数据!I:I,BS数据!$A:$A,BS!$B86),0)</f>
        <v>0</v>
      </c>
      <c r="K86" s="66">
        <f>IFERROR(SUMIFS(BS数据!J:J,BS数据!$A:$A,BS!$B86),0)</f>
        <v>0</v>
      </c>
      <c r="L86" s="66">
        <f>IFERROR(SUMIFS(BS数据!K:K,BS数据!$A:$A,BS!$B86),0)</f>
        <v>0</v>
      </c>
      <c r="M86" s="66">
        <f>IFERROR(SUMIFS(BS数据!L:L,BS数据!$A:$A,BS!$B86),0)</f>
        <v>0</v>
      </c>
      <c r="N86" s="66">
        <f>IFERROR(SUMIFS(BS数据!M:M,BS数据!$A:$A,BS!$B86),0)</f>
        <v>0</v>
      </c>
      <c r="O86" s="66">
        <f>IFERROR(SUMIFS(BS数据!N:N,BS数据!$A:$A,BS!$B86),0)</f>
        <v>0</v>
      </c>
      <c r="P86" s="66"/>
      <c r="Q86" s="66"/>
      <c r="R86" s="68">
        <f t="shared" si="21"/>
        <v>0</v>
      </c>
      <c r="S86" s="67"/>
      <c r="T86" s="66"/>
    </row>
    <row r="87" spans="1:23" x14ac:dyDescent="0.25">
      <c r="A87" s="61" t="str">
        <f t="shared" si="22"/>
        <v>经营负债</v>
      </c>
      <c r="B87" s="61" t="str">
        <f>BS数据!A86</f>
        <v>递延收益(万元)</v>
      </c>
      <c r="C87" s="66">
        <f>IFERROR(SUMIFS(BS数据!B:B,BS数据!$A:$A,BS!$B87),0)</f>
        <v>0</v>
      </c>
      <c r="D87" s="66">
        <f>IFERROR(SUMIFS(BS数据!C:C,BS数据!$A:$A,BS!$B87),0)</f>
        <v>0</v>
      </c>
      <c r="E87" s="66">
        <f>IFERROR(SUMIFS(BS数据!D:D,BS数据!$A:$A,BS!$B87),0)</f>
        <v>0</v>
      </c>
      <c r="F87" s="66">
        <f>IFERROR(SUMIFS(BS数据!E:E,BS数据!$A:$A,BS!$B87),0)</f>
        <v>0</v>
      </c>
      <c r="G87" s="66">
        <f>IFERROR(SUMIFS(BS数据!F:F,BS数据!$A:$A,BS!$B87),0)</f>
        <v>0</v>
      </c>
      <c r="H87" s="66">
        <f>IFERROR(SUMIFS(BS数据!G:G,BS数据!$A:$A,BS!$B87),0)</f>
        <v>0</v>
      </c>
      <c r="I87" s="66">
        <f>IFERROR(SUMIFS(BS数据!H:H,BS数据!$A:$A,BS!$B87),0)</f>
        <v>0</v>
      </c>
      <c r="J87" s="66">
        <f>IFERROR(SUMIFS(BS数据!I:I,BS数据!$A:$A,BS!$B87),0)</f>
        <v>0</v>
      </c>
      <c r="K87" s="66">
        <f>IFERROR(SUMIFS(BS数据!J:J,BS数据!$A:$A,BS!$B87),0)</f>
        <v>0</v>
      </c>
      <c r="L87" s="66">
        <f>IFERROR(SUMIFS(BS数据!K:K,BS数据!$A:$A,BS!$B87),0)</f>
        <v>0</v>
      </c>
      <c r="M87" s="66">
        <f>IFERROR(SUMIFS(BS数据!L:L,BS数据!$A:$A,BS!$B87),0)</f>
        <v>0</v>
      </c>
      <c r="N87" s="66">
        <f>IFERROR(SUMIFS(BS数据!M:M,BS数据!$A:$A,BS!$B87),0)</f>
        <v>0</v>
      </c>
      <c r="O87" s="66">
        <f>IFERROR(SUMIFS(BS数据!N:N,BS数据!$A:$A,BS!$B87),0)</f>
        <v>0</v>
      </c>
      <c r="P87" s="66"/>
      <c r="Q87" s="66"/>
      <c r="R87" s="68">
        <f t="shared" si="21"/>
        <v>0</v>
      </c>
      <c r="S87" s="67"/>
      <c r="T87" s="66"/>
    </row>
    <row r="88" spans="1:23" x14ac:dyDescent="0.25">
      <c r="A88" s="61" t="str">
        <f t="shared" si="22"/>
        <v>经营负债</v>
      </c>
      <c r="B88" s="61" t="str">
        <f>BS数据!A87</f>
        <v>应付短期债券(万元)</v>
      </c>
      <c r="C88" s="66">
        <f>IFERROR(SUMIFS(BS数据!B:B,BS数据!$A:$A,BS!$B88),0)</f>
        <v>0</v>
      </c>
      <c r="D88" s="66">
        <f>IFERROR(SUMIFS(BS数据!C:C,BS数据!$A:$A,BS!$B88),0)</f>
        <v>0</v>
      </c>
      <c r="E88" s="66">
        <f>IFERROR(SUMIFS(BS数据!D:D,BS数据!$A:$A,BS!$B88),0)</f>
        <v>0</v>
      </c>
      <c r="F88" s="66">
        <f>IFERROR(SUMIFS(BS数据!E:E,BS数据!$A:$A,BS!$B88),0)</f>
        <v>0</v>
      </c>
      <c r="G88" s="66">
        <f>IFERROR(SUMIFS(BS数据!F:F,BS数据!$A:$A,BS!$B88),0)</f>
        <v>0</v>
      </c>
      <c r="H88" s="66">
        <f>IFERROR(SUMIFS(BS数据!G:G,BS数据!$A:$A,BS!$B88),0)</f>
        <v>0</v>
      </c>
      <c r="I88" s="66">
        <f>IFERROR(SUMIFS(BS数据!H:H,BS数据!$A:$A,BS!$B88),0)</f>
        <v>0</v>
      </c>
      <c r="J88" s="66">
        <f>IFERROR(SUMIFS(BS数据!I:I,BS数据!$A:$A,BS!$B88),0)</f>
        <v>0</v>
      </c>
      <c r="K88" s="66">
        <f>IFERROR(SUMIFS(BS数据!J:J,BS数据!$A:$A,BS!$B88),0)</f>
        <v>0</v>
      </c>
      <c r="L88" s="66">
        <f>IFERROR(SUMIFS(BS数据!K:K,BS数据!$A:$A,BS!$B88),0)</f>
        <v>0</v>
      </c>
      <c r="M88" s="66">
        <f>IFERROR(SUMIFS(BS数据!L:L,BS数据!$A:$A,BS!$B88),0)</f>
        <v>0</v>
      </c>
      <c r="N88" s="66">
        <f>IFERROR(SUMIFS(BS数据!M:M,BS数据!$A:$A,BS!$B88),0)</f>
        <v>0</v>
      </c>
      <c r="O88" s="66">
        <f>IFERROR(SUMIFS(BS数据!N:N,BS数据!$A:$A,BS!$B88),0)</f>
        <v>0</v>
      </c>
      <c r="P88" s="66"/>
      <c r="Q88" s="66"/>
      <c r="R88" s="68">
        <f t="shared" si="21"/>
        <v>0</v>
      </c>
      <c r="S88" s="67"/>
      <c r="T88" s="68"/>
    </row>
    <row r="89" spans="1:23" x14ac:dyDescent="0.25">
      <c r="A89" s="61" t="str">
        <f t="shared" si="22"/>
        <v>金融负债</v>
      </c>
      <c r="B89" s="61" t="str">
        <f>BS数据!A88</f>
        <v>一年内到期的非流动负债(万元)</v>
      </c>
      <c r="C89" s="66">
        <f>IFERROR(SUMIFS(BS数据!B:B,BS数据!$A:$A,BS!$B89),0)</f>
        <v>212969</v>
      </c>
      <c r="D89" s="66">
        <f>IFERROR(SUMIFS(BS数据!C:C,BS数据!$A:$A,BS!$B89),0)</f>
        <v>291908</v>
      </c>
      <c r="E89" s="66">
        <f>IFERROR(SUMIFS(BS数据!D:D,BS数据!$A:$A,BS!$B89),0)</f>
        <v>299921</v>
      </c>
      <c r="F89" s="66">
        <f>IFERROR(SUMIFS(BS数据!E:E,BS数据!$A:$A,BS!$B89),0)</f>
        <v>219925</v>
      </c>
      <c r="G89" s="66">
        <f>IFERROR(SUMIFS(BS数据!F:F,BS数据!$A:$A,BS!$B89),0)</f>
        <v>621457</v>
      </c>
      <c r="H89" s="66">
        <f>IFERROR(SUMIFS(BS数据!G:G,BS数据!$A:$A,BS!$B89),0)</f>
        <v>386789</v>
      </c>
      <c r="I89" s="66">
        <f>IFERROR(SUMIFS(BS数据!H:H,BS数据!$A:$A,BS!$B89),0)</f>
        <v>87647</v>
      </c>
      <c r="J89" s="66">
        <f>IFERROR(SUMIFS(BS数据!I:I,BS数据!$A:$A,BS!$B89),0)</f>
        <v>166159</v>
      </c>
      <c r="K89" s="66">
        <f>IFERROR(SUMIFS(BS数据!J:J,BS数据!$A:$A,BS!$B89),0)</f>
        <v>146179</v>
      </c>
      <c r="L89" s="66">
        <f>IFERROR(SUMIFS(BS数据!K:K,BS数据!$A:$A,BS!$B89),0)</f>
        <v>103234</v>
      </c>
      <c r="M89" s="66">
        <f>IFERROR(SUMIFS(BS数据!L:L,BS数据!$A:$A,BS!$B89),0)</f>
        <v>46090</v>
      </c>
      <c r="N89" s="66">
        <f>IFERROR(SUMIFS(BS数据!M:M,BS数据!$A:$A,BS!$B89),0)</f>
        <v>6835</v>
      </c>
      <c r="O89" s="66">
        <f>IFERROR(SUMIFS(BS数据!N:N,BS数据!$A:$A,BS!$B89),0)</f>
        <v>5844</v>
      </c>
      <c r="P89" s="66"/>
      <c r="Q89" s="66"/>
      <c r="R89" s="68">
        <f t="shared" si="21"/>
        <v>164.61799999999999</v>
      </c>
      <c r="S89" s="67"/>
      <c r="T89" s="67"/>
    </row>
    <row r="90" spans="1:23" x14ac:dyDescent="0.25">
      <c r="A90" s="61" t="str">
        <f t="shared" si="22"/>
        <v>经营负债</v>
      </c>
      <c r="B90" s="61" t="str">
        <f>BS数据!A89</f>
        <v>其他流动负债(万元)</v>
      </c>
      <c r="C90" s="66">
        <f>IFERROR(SUMIFS(BS数据!B:B,BS数据!$A:$A,BS!$B90),0)</f>
        <v>236952</v>
      </c>
      <c r="D90" s="66">
        <f>IFERROR(SUMIFS(BS数据!C:C,BS数据!$A:$A,BS!$B90),0)</f>
        <v>162244</v>
      </c>
      <c r="E90" s="66">
        <f>IFERROR(SUMIFS(BS数据!D:D,BS数据!$A:$A,BS!$B90),0)</f>
        <v>103106</v>
      </c>
      <c r="F90" s="66">
        <f>IFERROR(SUMIFS(BS数据!E:E,BS数据!$A:$A,BS!$B90),0)</f>
        <v>57256</v>
      </c>
      <c r="G90" s="66">
        <f>IFERROR(SUMIFS(BS数据!F:F,BS数据!$A:$A,BS!$B90),0)</f>
        <v>0</v>
      </c>
      <c r="H90" s="66">
        <f>IFERROR(SUMIFS(BS数据!G:G,BS数据!$A:$A,BS!$B90),0)</f>
        <v>0</v>
      </c>
      <c r="I90" s="66">
        <f>IFERROR(SUMIFS(BS数据!H:H,BS数据!$A:$A,BS!$B90),0)</f>
        <v>0</v>
      </c>
      <c r="J90" s="66">
        <f>IFERROR(SUMIFS(BS数据!I:I,BS数据!$A:$A,BS!$B90),0)</f>
        <v>0</v>
      </c>
      <c r="K90" s="66">
        <f>IFERROR(SUMIFS(BS数据!J:J,BS数据!$A:$A,BS!$B90),0)</f>
        <v>0</v>
      </c>
      <c r="L90" s="66">
        <f>IFERROR(SUMIFS(BS数据!K:K,BS数据!$A:$A,BS!$B90),0)</f>
        <v>0</v>
      </c>
      <c r="M90" s="66">
        <f>IFERROR(SUMIFS(BS数据!L:L,BS数据!$A:$A,BS!$B90),0)</f>
        <v>0</v>
      </c>
      <c r="N90" s="66">
        <f>IFERROR(SUMIFS(BS数据!M:M,BS数据!$A:$A,BS!$B90),0)</f>
        <v>0</v>
      </c>
      <c r="O90" s="66">
        <f>IFERROR(SUMIFS(BS数据!N:N,BS数据!$A:$A,BS!$B90),0)</f>
        <v>0</v>
      </c>
      <c r="P90" s="66"/>
      <c r="Q90" s="66"/>
      <c r="R90" s="68">
        <f t="shared" si="21"/>
        <v>55.955800000000004</v>
      </c>
      <c r="S90" s="67"/>
      <c r="T90" s="67"/>
    </row>
    <row r="91" spans="1:23" x14ac:dyDescent="0.25">
      <c r="A91" s="61" t="str">
        <f t="shared" si="22"/>
        <v/>
      </c>
      <c r="B91" s="152" t="str">
        <f>BS数据!A90</f>
        <v>流动负债合计(万元)</v>
      </c>
      <c r="C91" s="153">
        <f>SUM(C60:C90)</f>
        <v>4164557</v>
      </c>
      <c r="D91" s="153">
        <f t="shared" ref="D91:G91" si="38">SUM(D60:D90)</f>
        <v>3303683</v>
      </c>
      <c r="E91" s="153">
        <f t="shared" si="38"/>
        <v>2205634</v>
      </c>
      <c r="F91" s="153">
        <f t="shared" si="38"/>
        <v>2341255</v>
      </c>
      <c r="G91" s="153">
        <f t="shared" si="38"/>
        <v>2769715</v>
      </c>
      <c r="H91" s="153">
        <f t="shared" ref="H91:I91" si="39">SUM(H60:H90)</f>
        <v>2072375</v>
      </c>
      <c r="I91" s="153">
        <f t="shared" si="39"/>
        <v>1795184</v>
      </c>
      <c r="J91" s="153">
        <f t="shared" ref="J91:O91" si="40">SUM(J60:J90)</f>
        <v>2269267</v>
      </c>
      <c r="K91" s="153">
        <f t="shared" si="40"/>
        <v>2313179</v>
      </c>
      <c r="L91" s="153">
        <f t="shared" si="40"/>
        <v>1753099</v>
      </c>
      <c r="M91" s="153">
        <f t="shared" si="40"/>
        <v>551871</v>
      </c>
      <c r="N91" s="153">
        <f t="shared" si="40"/>
        <v>457418</v>
      </c>
      <c r="O91" s="153">
        <f t="shared" si="40"/>
        <v>406598</v>
      </c>
      <c r="P91" s="153"/>
      <c r="Q91" s="153"/>
      <c r="R91" s="68">
        <f t="shared" si="21"/>
        <v>1478.4844000000001</v>
      </c>
      <c r="S91" s="109">
        <f t="shared" ref="S91:S92" si="41">IFERROR(C91/D91-1,0)</f>
        <v>0.26058008592228732</v>
      </c>
      <c r="T91" s="109">
        <f t="shared" ref="T91:T92" si="42">IFERROR(D91/E91-1,0)</f>
        <v>0.49783826328393554</v>
      </c>
      <c r="U91" s="111">
        <f t="shared" ref="U91:U92" si="43">C91/C$37</f>
        <v>329.68310639645347</v>
      </c>
      <c r="V91" s="111">
        <f t="shared" ref="V91:V92" si="44">D91/D$37</f>
        <v>659.28617042506482</v>
      </c>
      <c r="W91" s="111">
        <f t="shared" ref="W91:W92" si="45">E91/E$37</f>
        <v>585.04880636604776</v>
      </c>
    </row>
    <row r="92" spans="1:23" x14ac:dyDescent="0.25">
      <c r="A92" s="61" t="str">
        <f t="shared" si="22"/>
        <v/>
      </c>
      <c r="B92" s="61" t="str">
        <f>BS数据!A91</f>
        <v>非流动负债</v>
      </c>
      <c r="C92" s="66">
        <f>IFERROR(SUMIFS(BS数据!B:B,BS数据!$A:$A,BS!$B92),0)</f>
        <v>0</v>
      </c>
      <c r="D92" s="66">
        <f>IFERROR(SUMIFS(BS数据!C:C,BS数据!$A:$A,BS!$B92),0)</f>
        <v>0</v>
      </c>
      <c r="E92" s="66">
        <f>IFERROR(SUMIFS(BS数据!D:D,BS数据!$A:$A,BS!$B92),0)</f>
        <v>0</v>
      </c>
      <c r="F92" s="66">
        <f>IFERROR(SUMIFS(BS数据!E:E,BS数据!$A:$A,BS!$B92),0)</f>
        <v>0</v>
      </c>
      <c r="G92" s="66">
        <f>IFERROR(SUMIFS(BS数据!F:F,BS数据!$A:$A,BS!$B92),0)</f>
        <v>0</v>
      </c>
      <c r="H92" s="66">
        <f>IFERROR(SUMIFS(BS数据!G:G,BS数据!$A:$A,BS!$B92),0)</f>
        <v>0</v>
      </c>
      <c r="I92" s="66">
        <f>IFERROR(SUMIFS(BS数据!H:H,BS数据!$A:$A,BS!$B92),0)</f>
        <v>0</v>
      </c>
      <c r="J92" s="66">
        <f>IFERROR(SUMIFS(BS数据!I:I,BS数据!$A:$A,BS!$B92),0)</f>
        <v>0</v>
      </c>
      <c r="K92" s="66">
        <f>IFERROR(SUMIFS(BS数据!J:J,BS数据!$A:$A,BS!$B92),0)</f>
        <v>0</v>
      </c>
      <c r="L92" s="66">
        <f>IFERROR(SUMIFS(BS数据!K:K,BS数据!$A:$A,BS!$B92),0)</f>
        <v>0</v>
      </c>
      <c r="M92" s="66">
        <f>IFERROR(SUMIFS(BS数据!L:L,BS数据!$A:$A,BS!$B92),0)</f>
        <v>0</v>
      </c>
      <c r="N92" s="66">
        <f>IFERROR(SUMIFS(BS数据!M:M,BS数据!$A:$A,BS!$B92),0)</f>
        <v>0</v>
      </c>
      <c r="O92" s="66">
        <f>IFERROR(SUMIFS(BS数据!N:N,BS数据!$A:$A,BS!$B92),0)</f>
        <v>0</v>
      </c>
      <c r="P92" s="66"/>
      <c r="Q92" s="66"/>
      <c r="R92" s="68">
        <f t="shared" si="21"/>
        <v>0</v>
      </c>
      <c r="S92" s="109">
        <f t="shared" si="41"/>
        <v>0</v>
      </c>
      <c r="T92" s="109">
        <f t="shared" si="42"/>
        <v>0</v>
      </c>
      <c r="U92" s="111">
        <f t="shared" si="43"/>
        <v>0</v>
      </c>
      <c r="V92" s="111">
        <f t="shared" si="44"/>
        <v>0</v>
      </c>
      <c r="W92" s="111">
        <f t="shared" si="45"/>
        <v>0</v>
      </c>
    </row>
    <row r="93" spans="1:23" x14ac:dyDescent="0.25">
      <c r="A93" s="61" t="str">
        <f t="shared" si="22"/>
        <v>金融负债</v>
      </c>
      <c r="B93" s="61" t="str">
        <f>BS数据!A92</f>
        <v>长期借款(万元)</v>
      </c>
      <c r="C93" s="66">
        <f>IFERROR(SUMIFS(BS数据!B:B,BS数据!$A:$A,BS!$B93),0)</f>
        <v>130284</v>
      </c>
      <c r="D93" s="66">
        <f>IFERROR(SUMIFS(BS数据!C:C,BS数据!$A:$A,BS!$B93),0)</f>
        <v>194070</v>
      </c>
      <c r="E93" s="66">
        <f>IFERROR(SUMIFS(BS数据!D:D,BS数据!$A:$A,BS!$B93),0)</f>
        <v>336692</v>
      </c>
      <c r="F93" s="66">
        <f>IFERROR(SUMIFS(BS数据!E:E,BS数据!$A:$A,BS!$B93),0)</f>
        <v>941295</v>
      </c>
      <c r="G93" s="66">
        <f>IFERROR(SUMIFS(BS数据!F:F,BS数据!$A:$A,BS!$B93),0)</f>
        <v>870218</v>
      </c>
      <c r="H93" s="66">
        <f>IFERROR(SUMIFS(BS数据!G:G,BS数据!$A:$A,BS!$B93),0)</f>
        <v>1613159</v>
      </c>
      <c r="I93" s="66">
        <f>IFERROR(SUMIFS(BS数据!H:H,BS数据!$A:$A,BS!$B93),0)</f>
        <v>1961399</v>
      </c>
      <c r="J93" s="66">
        <f>IFERROR(SUMIFS(BS数据!I:I,BS数据!$A:$A,BS!$B93),0)</f>
        <v>1569231</v>
      </c>
      <c r="K93" s="66">
        <f>IFERROR(SUMIFS(BS数据!J:J,BS数据!$A:$A,BS!$B93),0)</f>
        <v>668038</v>
      </c>
      <c r="L93" s="66">
        <f>IFERROR(SUMIFS(BS数据!K:K,BS数据!$A:$A,BS!$B93),0)</f>
        <v>121223</v>
      </c>
      <c r="M93" s="66">
        <f>IFERROR(SUMIFS(BS数据!L:L,BS数据!$A:$A,BS!$B93),0)</f>
        <v>133568</v>
      </c>
      <c r="N93" s="66">
        <f>IFERROR(SUMIFS(BS数据!M:M,BS数据!$A:$A,BS!$B93),0)</f>
        <v>253156</v>
      </c>
      <c r="O93" s="66">
        <f>IFERROR(SUMIFS(BS数据!N:N,BS数据!$A:$A,BS!$B93),0)</f>
        <v>137944</v>
      </c>
      <c r="P93" s="66"/>
      <c r="Q93" s="66"/>
      <c r="R93" s="68">
        <f t="shared" si="21"/>
        <v>247.2559</v>
      </c>
      <c r="S93" s="66"/>
      <c r="T93" s="67"/>
    </row>
    <row r="94" spans="1:23" x14ac:dyDescent="0.25">
      <c r="A94" s="61" t="str">
        <f t="shared" si="22"/>
        <v>金融负债</v>
      </c>
      <c r="B94" s="61" t="str">
        <f>BS数据!A93</f>
        <v>应付债券(万元)</v>
      </c>
      <c r="C94" s="66">
        <f>IFERROR(SUMIFS(BS数据!B:B,BS数据!$A:$A,BS!$B94),0)</f>
        <v>0</v>
      </c>
      <c r="D94" s="66">
        <f>IFERROR(SUMIFS(BS数据!C:C,BS数据!$A:$A,BS!$B94),0)</f>
        <v>403348</v>
      </c>
      <c r="E94" s="66">
        <f>IFERROR(SUMIFS(BS数据!D:D,BS数据!$A:$A,BS!$B94),0)</f>
        <v>420962</v>
      </c>
      <c r="F94" s="66">
        <f>IFERROR(SUMIFS(BS数据!E:E,BS数据!$A:$A,BS!$B94),0)</f>
        <v>418417</v>
      </c>
      <c r="G94" s="66">
        <f>IFERROR(SUMIFS(BS数据!F:F,BS数据!$A:$A,BS!$B94),0)</f>
        <v>49696</v>
      </c>
      <c r="H94" s="66">
        <f>IFERROR(SUMIFS(BS数据!G:G,BS数据!$A:$A,BS!$B94),0)</f>
        <v>49513</v>
      </c>
      <c r="I94" s="66">
        <f>IFERROR(SUMIFS(BS数据!H:H,BS数据!$A:$A,BS!$B94),0)</f>
        <v>49336</v>
      </c>
      <c r="J94" s="66">
        <f>IFERROR(SUMIFS(BS数据!I:I,BS数据!$A:$A,BS!$B94),0)</f>
        <v>49168</v>
      </c>
      <c r="K94" s="66">
        <f>IFERROR(SUMIFS(BS数据!J:J,BS数据!$A:$A,BS!$B94),0)</f>
        <v>49009</v>
      </c>
      <c r="L94" s="66">
        <f>IFERROR(SUMIFS(BS数据!K:K,BS数据!$A:$A,BS!$B94),0)</f>
        <v>48856</v>
      </c>
      <c r="M94" s="66">
        <f>IFERROR(SUMIFS(BS数据!L:L,BS数据!$A:$A,BS!$B94),0)</f>
        <v>48710</v>
      </c>
      <c r="N94" s="66">
        <f>IFERROR(SUMIFS(BS数据!M:M,BS数据!$A:$A,BS!$B94),0)</f>
        <v>48575</v>
      </c>
      <c r="O94" s="66">
        <f>IFERROR(SUMIFS(BS数据!N:N,BS数据!$A:$A,BS!$B94),0)</f>
        <v>48442</v>
      </c>
      <c r="P94" s="66"/>
      <c r="Q94" s="66"/>
      <c r="R94" s="68">
        <f t="shared" si="21"/>
        <v>129.2423</v>
      </c>
      <c r="S94" s="66"/>
      <c r="T94" s="67"/>
    </row>
    <row r="95" spans="1:23" x14ac:dyDescent="0.25">
      <c r="A95" s="61" t="str">
        <f t="shared" si="22"/>
        <v>金融负债</v>
      </c>
      <c r="B95" s="155" t="str">
        <f>BS数据!A94</f>
        <v>长期应付款(万元)</v>
      </c>
      <c r="C95" s="156"/>
      <c r="D95" s="156"/>
      <c r="E95" s="156"/>
      <c r="F95" s="156"/>
      <c r="G95" s="66"/>
      <c r="H95" s="66"/>
      <c r="I95" s="66"/>
      <c r="J95" s="66"/>
      <c r="K95" s="66"/>
      <c r="L95" s="66"/>
      <c r="M95" s="66"/>
      <c r="N95" s="66"/>
      <c r="O95" s="66"/>
      <c r="P95" s="66"/>
      <c r="Q95" s="66"/>
      <c r="R95" s="68">
        <f t="shared" si="21"/>
        <v>0</v>
      </c>
      <c r="S95" s="68"/>
      <c r="T95" s="67"/>
    </row>
    <row r="96" spans="1:23" x14ac:dyDescent="0.25">
      <c r="A96" s="61" t="str">
        <f t="shared" si="22"/>
        <v>经营负债</v>
      </c>
      <c r="B96" s="159" t="s">
        <v>1782</v>
      </c>
      <c r="C96" s="127"/>
      <c r="D96" s="127"/>
      <c r="E96" s="127"/>
      <c r="F96" s="127"/>
      <c r="G96" s="66"/>
      <c r="H96" s="66"/>
      <c r="I96" s="66"/>
      <c r="J96" s="66"/>
      <c r="K96" s="66"/>
      <c r="L96" s="66"/>
      <c r="M96" s="66"/>
      <c r="N96" s="66"/>
      <c r="O96" s="66"/>
      <c r="P96" s="66"/>
      <c r="Q96" s="66"/>
      <c r="R96" s="68">
        <f t="shared" si="21"/>
        <v>0</v>
      </c>
      <c r="S96" s="67"/>
      <c r="T96" s="67"/>
    </row>
    <row r="97" spans="1:28" x14ac:dyDescent="0.25">
      <c r="A97" s="61" t="str">
        <f t="shared" si="22"/>
        <v>金融负债</v>
      </c>
      <c r="B97" s="61" t="str">
        <f>BS数据!A96</f>
        <v>预计非流动负债(万元)</v>
      </c>
      <c r="C97" s="66">
        <f>IFERROR(SUMIFS(BS数据!B:B,BS数据!$A:$A,BS!$B97),0)</f>
        <v>23451</v>
      </c>
      <c r="D97" s="66">
        <f>IFERROR(SUMIFS(BS数据!C:C,BS数据!$A:$A,BS!$B97),0)</f>
        <v>11721</v>
      </c>
      <c r="E97" s="66">
        <f>IFERROR(SUMIFS(BS数据!D:D,BS数据!$A:$A,BS!$B97),0)</f>
        <v>9228</v>
      </c>
      <c r="F97" s="66">
        <f>IFERROR(SUMIFS(BS数据!E:E,BS数据!$A:$A,BS!$B97),0)</f>
        <v>10251</v>
      </c>
      <c r="G97" s="66">
        <f>IFERROR(SUMIFS(BS数据!F:F,BS数据!$A:$A,BS!$B97),0)</f>
        <v>10863</v>
      </c>
      <c r="H97" s="66">
        <f>IFERROR(SUMIFS(BS数据!G:G,BS数据!$A:$A,BS!$B97),0)</f>
        <v>21629</v>
      </c>
      <c r="I97" s="66">
        <f>IFERROR(SUMIFS(BS数据!H:H,BS数据!$A:$A,BS!$B97),0)</f>
        <v>29111</v>
      </c>
      <c r="J97" s="66">
        <f>IFERROR(SUMIFS(BS数据!I:I,BS数据!$A:$A,BS!$B97),0)</f>
        <v>19478</v>
      </c>
      <c r="K97" s="66">
        <f>IFERROR(SUMIFS(BS数据!J:J,BS数据!$A:$A,BS!$B97),0)</f>
        <v>10511</v>
      </c>
      <c r="L97" s="66">
        <f>IFERROR(SUMIFS(BS数据!K:K,BS数据!$A:$A,BS!$B97),0)</f>
        <v>8717</v>
      </c>
      <c r="M97" s="66">
        <f>IFERROR(SUMIFS(BS数据!L:L,BS数据!$A:$A,BS!$B97),0)</f>
        <v>2624</v>
      </c>
      <c r="N97" s="66">
        <f>IFERROR(SUMIFS(BS数据!M:M,BS数据!$A:$A,BS!$B97),0)</f>
        <v>1742</v>
      </c>
      <c r="O97" s="66">
        <f>IFERROR(SUMIFS(BS数据!N:N,BS数据!$A:$A,BS!$B97),0)</f>
        <v>1114</v>
      </c>
      <c r="P97" s="66"/>
      <c r="Q97" s="66"/>
      <c r="R97" s="68">
        <f t="shared" si="21"/>
        <v>6.5514000000000001</v>
      </c>
      <c r="S97" s="109">
        <f t="shared" ref="S97:S98" si="46">IFERROR(C97/D97-1,0)</f>
        <v>1.0007678525723063</v>
      </c>
      <c r="T97" s="109">
        <f t="shared" ref="T97:T98" si="47">IFERROR(D97/E97-1,0)</f>
        <v>0.27015604681404426</v>
      </c>
      <c r="U97" s="111">
        <f t="shared" ref="U97:U98" si="48">C97/C$37</f>
        <v>1.8564756174794173</v>
      </c>
      <c r="V97" s="111">
        <f t="shared" ref="V97:V98" si="49">D97/D$37</f>
        <v>2.3390540810217519</v>
      </c>
      <c r="W97" s="111">
        <f t="shared" ref="W97:W98" si="50">E97/E$37</f>
        <v>2.4477453580901858</v>
      </c>
    </row>
    <row r="98" spans="1:28" x14ac:dyDescent="0.25">
      <c r="A98" s="61" t="str">
        <f t="shared" si="22"/>
        <v>金融负债</v>
      </c>
      <c r="B98" s="61" t="str">
        <f>BS数据!A97</f>
        <v>长期递延收益(万元)</v>
      </c>
      <c r="C98" s="66">
        <f>IFERROR(SUMIFS(BS数据!B:B,BS数据!$A:$A,BS!$B98),0)</f>
        <v>40191</v>
      </c>
      <c r="D98" s="66">
        <f>IFERROR(SUMIFS(BS数据!C:C,BS数据!$A:$A,BS!$B98),0)</f>
        <v>27175</v>
      </c>
      <c r="E98" s="66">
        <f>IFERROR(SUMIFS(BS数据!D:D,BS数据!$A:$A,BS!$B98),0)</f>
        <v>23035</v>
      </c>
      <c r="F98" s="66">
        <f>IFERROR(SUMIFS(BS数据!E:E,BS数据!$A:$A,BS!$B98),0)</f>
        <v>12706</v>
      </c>
      <c r="G98" s="66">
        <f>IFERROR(SUMIFS(BS数据!F:F,BS数据!$A:$A,BS!$B98),0)</f>
        <v>11353</v>
      </c>
      <c r="H98" s="66">
        <f>IFERROR(SUMIFS(BS数据!G:G,BS数据!$A:$A,BS!$B98),0)</f>
        <v>10408</v>
      </c>
      <c r="I98" s="66">
        <f>IFERROR(SUMIFS(BS数据!H:H,BS数据!$A:$A,BS!$B98),0)</f>
        <v>0</v>
      </c>
      <c r="J98" s="66">
        <f>IFERROR(SUMIFS(BS数据!I:I,BS数据!$A:$A,BS!$B98),0)</f>
        <v>0</v>
      </c>
      <c r="K98" s="66">
        <f>IFERROR(SUMIFS(BS数据!J:J,BS数据!$A:$A,BS!$B98),0)</f>
        <v>0</v>
      </c>
      <c r="L98" s="66">
        <f>IFERROR(SUMIFS(BS数据!K:K,BS数据!$A:$A,BS!$B98),0)</f>
        <v>0</v>
      </c>
      <c r="M98" s="66">
        <f>IFERROR(SUMIFS(BS数据!L:L,BS数据!$A:$A,BS!$B98),0)</f>
        <v>0</v>
      </c>
      <c r="N98" s="66">
        <f>IFERROR(SUMIFS(BS数据!M:M,BS数据!$A:$A,BS!$B98),0)</f>
        <v>0</v>
      </c>
      <c r="O98" s="66">
        <f>IFERROR(SUMIFS(BS数据!N:N,BS数据!$A:$A,BS!$B98),0)</f>
        <v>582</v>
      </c>
      <c r="P98" s="66"/>
      <c r="Q98" s="66"/>
      <c r="R98" s="68">
        <f t="shared" si="21"/>
        <v>11.446</v>
      </c>
      <c r="S98" s="109">
        <f t="shared" si="46"/>
        <v>0.47896964121435137</v>
      </c>
      <c r="T98" s="109">
        <f t="shared" si="47"/>
        <v>0.17972650314738448</v>
      </c>
      <c r="U98" s="111">
        <f t="shared" si="48"/>
        <v>3.1816814439518684</v>
      </c>
      <c r="V98" s="111">
        <f t="shared" si="49"/>
        <v>5.4230692476551585</v>
      </c>
      <c r="W98" s="111">
        <f t="shared" si="50"/>
        <v>6.1100795755968171</v>
      </c>
    </row>
    <row r="99" spans="1:28" x14ac:dyDescent="0.25">
      <c r="A99" s="61" t="str">
        <f t="shared" si="22"/>
        <v>经营负债</v>
      </c>
      <c r="B99" s="61" t="str">
        <f>BS数据!A98</f>
        <v>递延所得税负债(万元)</v>
      </c>
      <c r="C99" s="66">
        <f>IFERROR(SUMIFS(BS数据!B:B,BS数据!$A:$A,BS!$B99),0)</f>
        <v>71387</v>
      </c>
      <c r="D99" s="66">
        <f>IFERROR(SUMIFS(BS数据!C:C,BS数据!$A:$A,BS!$B99),0)</f>
        <v>64982</v>
      </c>
      <c r="E99" s="66">
        <f>IFERROR(SUMIFS(BS数据!D:D,BS数据!$A:$A,BS!$B99),0)</f>
        <v>64628</v>
      </c>
      <c r="F99" s="66">
        <f>IFERROR(SUMIFS(BS数据!E:E,BS数据!$A:$A,BS!$B99),0)</f>
        <v>21881</v>
      </c>
      <c r="G99" s="66">
        <f>IFERROR(SUMIFS(BS数据!F:F,BS数据!$A:$A,BS!$B99),0)</f>
        <v>24771</v>
      </c>
      <c r="H99" s="66">
        <f>IFERROR(SUMIFS(BS数据!G:G,BS数据!$A:$A,BS!$B99),0)</f>
        <v>29342</v>
      </c>
      <c r="I99" s="66">
        <f>IFERROR(SUMIFS(BS数据!H:H,BS数据!$A:$A,BS!$B99),0)</f>
        <v>29760</v>
      </c>
      <c r="J99" s="66">
        <f>IFERROR(SUMIFS(BS数据!I:I,BS数据!$A:$A,BS!$B99),0)</f>
        <v>50146</v>
      </c>
      <c r="K99" s="66">
        <f>IFERROR(SUMIFS(BS数据!J:J,BS数据!$A:$A,BS!$B99),0)</f>
        <v>4058</v>
      </c>
      <c r="L99" s="66">
        <f>IFERROR(SUMIFS(BS数据!K:K,BS数据!$A:$A,BS!$B99),0)</f>
        <v>3308</v>
      </c>
      <c r="M99" s="66">
        <f>IFERROR(SUMIFS(BS数据!L:L,BS数据!$A:$A,BS!$B99),0)</f>
        <v>17244</v>
      </c>
      <c r="N99" s="66">
        <f>IFERROR(SUMIFS(BS数据!M:M,BS数据!$A:$A,BS!$B99),0)</f>
        <v>16634</v>
      </c>
      <c r="O99" s="66">
        <f>IFERROR(SUMIFS(BS数据!N:N,BS数据!$A:$A,BS!$B99),0)</f>
        <v>18509</v>
      </c>
      <c r="P99" s="66"/>
      <c r="Q99" s="66"/>
      <c r="R99" s="68">
        <f t="shared" si="21"/>
        <v>24.764900000000001</v>
      </c>
      <c r="S99" s="67"/>
      <c r="T99" s="67"/>
    </row>
    <row r="100" spans="1:28" x14ac:dyDescent="0.25">
      <c r="A100" s="61" t="str">
        <f t="shared" si="22"/>
        <v>经营负债</v>
      </c>
      <c r="B100" s="61" t="str">
        <f>BS数据!A99</f>
        <v>其他非流动负债(万元)</v>
      </c>
      <c r="C100" s="66">
        <f>IFERROR(SUMIFS(BS数据!B:B,BS数据!$A:$A,BS!$B100),0)</f>
        <v>737</v>
      </c>
      <c r="D100" s="66">
        <f>IFERROR(SUMIFS(BS数据!C:C,BS数据!$A:$A,BS!$B100),0)</f>
        <v>257</v>
      </c>
      <c r="E100" s="66">
        <f>IFERROR(SUMIFS(BS数据!D:D,BS数据!$A:$A,BS!$B100),0)</f>
        <v>396</v>
      </c>
      <c r="F100" s="66">
        <f>IFERROR(SUMIFS(BS数据!E:E,BS数据!$A:$A,BS!$B100),0)</f>
        <v>306</v>
      </c>
      <c r="G100" s="66">
        <f>IFERROR(SUMIFS(BS数据!F:F,BS数据!$A:$A,BS!$B100),0)</f>
        <v>0</v>
      </c>
      <c r="H100" s="66">
        <f>IFERROR(SUMIFS(BS数据!G:G,BS数据!$A:$A,BS!$B100),0)</f>
        <v>1986</v>
      </c>
      <c r="I100" s="66">
        <f>IFERROR(SUMIFS(BS数据!H:H,BS数据!$A:$A,BS!$B100),0)</f>
        <v>13051</v>
      </c>
      <c r="J100" s="66">
        <f>IFERROR(SUMIFS(BS数据!I:I,BS数据!$A:$A,BS!$B100),0)</f>
        <v>22501</v>
      </c>
      <c r="K100" s="66">
        <f>IFERROR(SUMIFS(BS数据!J:J,BS数据!$A:$A,BS!$B100),0)</f>
        <v>10516</v>
      </c>
      <c r="L100" s="66">
        <f>IFERROR(SUMIFS(BS数据!K:K,BS数据!$A:$A,BS!$B100),0)</f>
        <v>7021</v>
      </c>
      <c r="M100" s="66">
        <f>IFERROR(SUMIFS(BS数据!L:L,BS数据!$A:$A,BS!$B100),0)</f>
        <v>1213</v>
      </c>
      <c r="N100" s="66">
        <f>IFERROR(SUMIFS(BS数据!M:M,BS数据!$A:$A,BS!$B100),0)</f>
        <v>722</v>
      </c>
      <c r="O100" s="66">
        <f>IFERROR(SUMIFS(BS数据!N:N,BS数据!$A:$A,BS!$B100),0)</f>
        <v>0</v>
      </c>
      <c r="P100" s="66"/>
      <c r="Q100" s="66"/>
      <c r="R100" s="68">
        <f t="shared" si="21"/>
        <v>0.1696</v>
      </c>
      <c r="S100" s="67"/>
      <c r="T100" s="67"/>
    </row>
    <row r="101" spans="1:28" x14ac:dyDescent="0.25">
      <c r="A101" s="61" t="str">
        <f t="shared" si="22"/>
        <v/>
      </c>
      <c r="B101" s="152" t="str">
        <f>BS数据!A100</f>
        <v>非流动负债合计(万元)</v>
      </c>
      <c r="C101" s="153">
        <f>SUM(C92:C100)</f>
        <v>266050</v>
      </c>
      <c r="D101" s="153">
        <f t="shared" ref="D101:G101" si="51">SUM(D92:D100)</f>
        <v>701553</v>
      </c>
      <c r="E101" s="153">
        <f t="shared" si="51"/>
        <v>854941</v>
      </c>
      <c r="F101" s="153">
        <f t="shared" si="51"/>
        <v>1404856</v>
      </c>
      <c r="G101" s="153">
        <f t="shared" si="51"/>
        <v>966901</v>
      </c>
      <c r="H101" s="153">
        <f t="shared" ref="H101:I101" si="52">SUM(H92:H100)</f>
        <v>1726037</v>
      </c>
      <c r="I101" s="153">
        <f t="shared" si="52"/>
        <v>2082657</v>
      </c>
      <c r="J101" s="153">
        <f t="shared" ref="J101:O101" si="53">SUM(J92:J100)</f>
        <v>1710524</v>
      </c>
      <c r="K101" s="153">
        <f t="shared" si="53"/>
        <v>742132</v>
      </c>
      <c r="L101" s="153">
        <f t="shared" si="53"/>
        <v>189125</v>
      </c>
      <c r="M101" s="153">
        <f t="shared" si="53"/>
        <v>203359</v>
      </c>
      <c r="N101" s="153">
        <f t="shared" si="53"/>
        <v>320829</v>
      </c>
      <c r="O101" s="153">
        <f t="shared" si="53"/>
        <v>206591</v>
      </c>
      <c r="P101" s="153"/>
      <c r="Q101" s="153"/>
      <c r="R101" s="68">
        <f t="shared" si="21"/>
        <v>419.43009999999998</v>
      </c>
      <c r="S101" s="109">
        <f t="shared" ref="S101:S103" si="54">IFERROR(C101/D101-1,0)</f>
        <v>-0.62076992044792056</v>
      </c>
      <c r="T101" s="109">
        <f t="shared" ref="T101:T103" si="55">IFERROR(D101/E101-1,0)</f>
        <v>-0.17941355017480742</v>
      </c>
      <c r="U101" s="111">
        <f t="shared" ref="U101:U103" si="56">C101/C$37</f>
        <v>21.061589613679544</v>
      </c>
      <c r="V101" s="111">
        <f t="shared" ref="V101:V103" si="57">D101/D$37</f>
        <v>140.00259429255638</v>
      </c>
      <c r="W101" s="111">
        <f t="shared" ref="W101:W103" si="58">E101/E$37</f>
        <v>226.77480106100796</v>
      </c>
    </row>
    <row r="102" spans="1:28" x14ac:dyDescent="0.25">
      <c r="A102" s="61" t="str">
        <f t="shared" si="22"/>
        <v/>
      </c>
      <c r="B102" s="152" t="str">
        <f>BS数据!A101</f>
        <v>负债合计(万元)</v>
      </c>
      <c r="C102" s="153">
        <f>C101+C91</f>
        <v>4430607</v>
      </c>
      <c r="D102" s="153">
        <f t="shared" ref="D102:G102" si="59">D101+D91</f>
        <v>4005236</v>
      </c>
      <c r="E102" s="153">
        <f t="shared" si="59"/>
        <v>3060575</v>
      </c>
      <c r="F102" s="153">
        <f t="shared" si="59"/>
        <v>3746111</v>
      </c>
      <c r="G102" s="153">
        <f t="shared" si="59"/>
        <v>3736616</v>
      </c>
      <c r="H102" s="153">
        <f t="shared" ref="H102:I102" si="60">H101+H91</f>
        <v>3798412</v>
      </c>
      <c r="I102" s="153">
        <f t="shared" si="60"/>
        <v>3877841</v>
      </c>
      <c r="J102" s="153">
        <f t="shared" ref="J102:O102" si="61">J101+J91</f>
        <v>3979791</v>
      </c>
      <c r="K102" s="153">
        <f t="shared" si="61"/>
        <v>3055311</v>
      </c>
      <c r="L102" s="153">
        <f t="shared" si="61"/>
        <v>1942224</v>
      </c>
      <c r="M102" s="153">
        <f t="shared" si="61"/>
        <v>755230</v>
      </c>
      <c r="N102" s="153">
        <f t="shared" si="61"/>
        <v>778247</v>
      </c>
      <c r="O102" s="153">
        <f t="shared" si="61"/>
        <v>613189</v>
      </c>
      <c r="P102" s="153"/>
      <c r="Q102" s="153"/>
      <c r="R102" s="68">
        <f t="shared" si="21"/>
        <v>1897.9145000000001</v>
      </c>
      <c r="S102" s="109">
        <f t="shared" si="54"/>
        <v>0.10620372931832223</v>
      </c>
      <c r="T102" s="109">
        <f t="shared" si="55"/>
        <v>0.3086547462486624</v>
      </c>
      <c r="U102" s="111">
        <f t="shared" si="56"/>
        <v>350.744696010133</v>
      </c>
      <c r="V102" s="111">
        <f t="shared" si="57"/>
        <v>799.28876471762123</v>
      </c>
      <c r="W102" s="111">
        <f t="shared" si="58"/>
        <v>811.82360742705566</v>
      </c>
    </row>
    <row r="103" spans="1:28" x14ac:dyDescent="0.25">
      <c r="A103" s="61" t="str">
        <f t="shared" si="22"/>
        <v/>
      </c>
      <c r="B103" s="61" t="str">
        <f>BS数据!A102</f>
        <v>股东权益</v>
      </c>
      <c r="C103" s="66">
        <f>IFERROR(SUMIFS(BS数据!B:B,BS数据!$A:$A,BS!$B103),0)</f>
        <v>0</v>
      </c>
      <c r="D103" s="66">
        <f>IFERROR(SUMIFS(BS数据!C:C,BS数据!$A:$A,BS!$B103),0)</f>
        <v>0</v>
      </c>
      <c r="E103" s="66">
        <f>IFERROR(SUMIFS(BS数据!D:D,BS数据!$A:$A,BS!$B103),0)</f>
        <v>0</v>
      </c>
      <c r="F103" s="66">
        <f>IFERROR(SUMIFS(BS数据!E:E,BS数据!$A:$A,BS!$B103),0)</f>
        <v>0</v>
      </c>
      <c r="G103" s="66">
        <f>IFERROR(SUMIFS(BS数据!F:F,BS数据!$A:$A,BS!$B103),0)</f>
        <v>0</v>
      </c>
      <c r="H103" s="66">
        <f>IFERROR(SUMIFS(BS数据!G:G,BS数据!$A:$A,BS!$B103),0)</f>
        <v>0</v>
      </c>
      <c r="I103" s="66">
        <f>IFERROR(SUMIFS(BS数据!H:H,BS数据!$A:$A,BS!$B103),0)</f>
        <v>0</v>
      </c>
      <c r="J103" s="66">
        <f>IFERROR(SUMIFS(BS数据!I:I,BS数据!$A:$A,BS!$B103),0)</f>
        <v>0</v>
      </c>
      <c r="K103" s="66">
        <f>IFERROR(SUMIFS(BS数据!J:J,BS数据!$A:$A,BS!$B103),0)</f>
        <v>0</v>
      </c>
      <c r="L103" s="66">
        <f>IFERROR(SUMIFS(BS数据!K:K,BS数据!$A:$A,BS!$B103),0)</f>
        <v>0</v>
      </c>
      <c r="M103" s="66">
        <f>IFERROR(SUMIFS(BS数据!L:L,BS数据!$A:$A,BS!$B103),0)</f>
        <v>0</v>
      </c>
      <c r="N103" s="66">
        <f>IFERROR(SUMIFS(BS数据!M:M,BS数据!$A:$A,BS!$B103),0)</f>
        <v>0</v>
      </c>
      <c r="O103" s="66">
        <f>IFERROR(SUMIFS(BS数据!N:N,BS数据!$A:$A,BS!$B103),0)</f>
        <v>0</v>
      </c>
      <c r="P103" s="66"/>
      <c r="Q103" s="66"/>
      <c r="R103" s="68">
        <f t="shared" si="21"/>
        <v>0</v>
      </c>
      <c r="S103" s="109">
        <f t="shared" si="54"/>
        <v>0</v>
      </c>
      <c r="T103" s="109">
        <f t="shared" si="55"/>
        <v>0</v>
      </c>
      <c r="U103" s="111">
        <f t="shared" si="56"/>
        <v>0</v>
      </c>
      <c r="V103" s="111">
        <f t="shared" si="57"/>
        <v>0</v>
      </c>
      <c r="W103" s="111">
        <f t="shared" si="58"/>
        <v>0</v>
      </c>
    </row>
    <row r="104" spans="1:28" x14ac:dyDescent="0.25">
      <c r="A104" s="61" t="str">
        <f t="shared" si="22"/>
        <v>股东权益</v>
      </c>
      <c r="B104" s="61" t="str">
        <f>BS数据!A103</f>
        <v>实收资本(或股本)(万元)</v>
      </c>
      <c r="C104" s="66">
        <f>IFERROR(SUMIFS(BS数据!B:B,BS数据!$A:$A,BS!$B104),0)</f>
        <v>842625</v>
      </c>
      <c r="D104" s="66">
        <f>IFERROR(SUMIFS(BS数据!C:C,BS数据!$A:$A,BS!$B104),0)</f>
        <v>780071</v>
      </c>
      <c r="E104" s="66">
        <f>IFERROR(SUMIFS(BS数据!D:D,BS数据!$A:$A,BS!$B104),0)</f>
        <v>766821</v>
      </c>
      <c r="F104" s="66">
        <f>IFERROR(SUMIFS(BS数据!E:E,BS数据!$A:$A,BS!$B104),0)</f>
        <v>765795</v>
      </c>
      <c r="G104" s="66">
        <f>IFERROR(SUMIFS(BS数据!F:F,BS数据!$A:$A,BS!$B104),0)</f>
        <v>761650</v>
      </c>
      <c r="H104" s="66">
        <f>IFERROR(SUMIFS(BS数据!G:G,BS数据!$A:$A,BS!$B104),0)</f>
        <v>761650</v>
      </c>
      <c r="I104" s="66">
        <f>IFERROR(SUMIFS(BS数据!H:H,BS数据!$A:$A,BS!$B104),0)</f>
        <v>761650</v>
      </c>
      <c r="J104" s="66">
        <f>IFERROR(SUMIFS(BS数据!I:I,BS数据!$A:$A,BS!$B104),0)</f>
        <v>759371</v>
      </c>
      <c r="K104" s="66">
        <f>IFERROR(SUMIFS(BS数据!J:J,BS数据!$A:$A,BS!$B104),0)</f>
        <v>759371</v>
      </c>
      <c r="L104" s="66">
        <f>IFERROR(SUMIFS(BS数据!K:K,BS数据!$A:$A,BS!$B104),0)</f>
        <v>506247</v>
      </c>
      <c r="M104" s="66">
        <f>IFERROR(SUMIFS(BS数据!L:L,BS数据!$A:$A,BS!$B104),0)</f>
        <v>148800</v>
      </c>
      <c r="N104" s="66">
        <f>IFERROR(SUMIFS(BS数据!M:M,BS数据!$A:$A,BS!$B104),0)</f>
        <v>148800</v>
      </c>
      <c r="O104" s="66">
        <f>IFERROR(SUMIFS(BS数据!N:N,BS数据!$A:$A,BS!$B104),0)</f>
        <v>99200</v>
      </c>
      <c r="P104" s="66"/>
      <c r="Q104" s="66"/>
      <c r="R104" s="68">
        <f t="shared" si="21"/>
        <v>391.69619999999998</v>
      </c>
      <c r="S104" s="67"/>
      <c r="T104" s="67"/>
      <c r="AB104" s="61">
        <v>494689876</v>
      </c>
    </row>
    <row r="105" spans="1:28" x14ac:dyDescent="0.25">
      <c r="A105" s="61" t="str">
        <f t="shared" si="22"/>
        <v>股东权益</v>
      </c>
      <c r="B105" s="61" t="str">
        <f>BS数据!A104</f>
        <v>资本公积(万元)</v>
      </c>
      <c r="C105" s="66">
        <f>IFERROR(SUMIFS(BS数据!B:B,BS数据!$A:$A,BS!$B105),0)</f>
        <v>594832</v>
      </c>
      <c r="D105" s="66">
        <f>IFERROR(SUMIFS(BS数据!C:C,BS数据!$A:$A,BS!$B105),0)</f>
        <v>188339</v>
      </c>
      <c r="E105" s="66">
        <f>IFERROR(SUMIFS(BS数据!D:D,BS数据!$A:$A,BS!$B105),0)</f>
        <v>104980</v>
      </c>
      <c r="F105" s="66">
        <f>IFERROR(SUMIFS(BS数据!E:E,BS数据!$A:$A,BS!$B105),0)</f>
        <v>59460</v>
      </c>
      <c r="G105" s="66">
        <f>IFERROR(SUMIFS(BS数据!F:F,BS数据!$A:$A,BS!$B105),0)</f>
        <v>76295</v>
      </c>
      <c r="H105" s="66">
        <f>IFERROR(SUMIFS(BS数据!G:G,BS数据!$A:$A,BS!$B105),0)</f>
        <v>76295</v>
      </c>
      <c r="I105" s="66">
        <f>IFERROR(SUMIFS(BS数据!H:H,BS数据!$A:$A,BS!$B105),0)</f>
        <v>12811</v>
      </c>
      <c r="J105" s="66">
        <f>IFERROR(SUMIFS(BS数据!I:I,BS数据!$A:$A,BS!$B105),0)</f>
        <v>284</v>
      </c>
      <c r="K105" s="66">
        <f>IFERROR(SUMIFS(BS数据!J:J,BS数据!$A:$A,BS!$B105),0)</f>
        <v>969</v>
      </c>
      <c r="L105" s="66">
        <f>IFERROR(SUMIFS(BS数据!K:K,BS数据!$A:$A,BS!$B105),0)</f>
        <v>969</v>
      </c>
      <c r="M105" s="66">
        <f>IFERROR(SUMIFS(BS数据!L:L,BS数据!$A:$A,BS!$B105),0)</f>
        <v>72111</v>
      </c>
      <c r="N105" s="66">
        <f>IFERROR(SUMIFS(BS数据!M:M,BS数据!$A:$A,BS!$B105),0)</f>
        <v>72111</v>
      </c>
      <c r="O105" s="66">
        <f>IFERROR(SUMIFS(BS数据!N:N,BS数据!$A:$A,BS!$B105),0)</f>
        <v>101871</v>
      </c>
      <c r="P105" s="66"/>
      <c r="Q105" s="66"/>
      <c r="R105" s="68">
        <f t="shared" si="21"/>
        <v>102.39060000000001</v>
      </c>
      <c r="AB105" s="61">
        <v>178112333</v>
      </c>
    </row>
    <row r="106" spans="1:28" x14ac:dyDescent="0.25">
      <c r="A106" s="61" t="str">
        <f t="shared" si="22"/>
        <v/>
      </c>
      <c r="B106" s="61" t="str">
        <f>BS数据!A105</f>
        <v>减:库存股(万元)</v>
      </c>
      <c r="C106" s="66">
        <f>--IFERROR(SUMIFS(BS数据!B:B,BS数据!$A:$A,BS!$B106),0)</f>
        <v>83955</v>
      </c>
      <c r="D106" s="66">
        <f>IFERROR(SUMIFS(BS数据!C:C,BS数据!$A:$A,BS!$B106),0)</f>
        <v>11111</v>
      </c>
      <c r="E106" s="66">
        <f>IFERROR(SUMIFS(BS数据!D:D,BS数据!$A:$A,BS!$B106),0)</f>
        <v>17582</v>
      </c>
      <c r="F106" s="66">
        <f>IFERROR(SUMIFS(BS数据!E:E,BS数据!$A:$A,BS!$B106),0)</f>
        <v>13276</v>
      </c>
      <c r="G106" s="66">
        <f>IFERROR(SUMIFS(BS数据!F:F,BS数据!$A:$A,BS!$B106),0)</f>
        <v>0</v>
      </c>
      <c r="H106" s="66">
        <f>IFERROR(SUMIFS(BS数据!G:G,BS数据!$A:$A,BS!$B106),0)</f>
        <v>0</v>
      </c>
      <c r="I106" s="66">
        <f>IFERROR(SUMIFS(BS数据!H:H,BS数据!$A:$A,BS!$B106),0)</f>
        <v>0</v>
      </c>
      <c r="J106" s="66">
        <f>IFERROR(SUMIFS(BS数据!I:I,BS数据!$A:$A,BS!$B106),0)</f>
        <v>0</v>
      </c>
      <c r="K106" s="66">
        <f>IFERROR(SUMIFS(BS数据!J:J,BS数据!$A:$A,BS!$B106),0)</f>
        <v>0</v>
      </c>
      <c r="L106" s="66">
        <f>IFERROR(SUMIFS(BS数据!K:K,BS数据!$A:$A,BS!$B106),0)</f>
        <v>0</v>
      </c>
      <c r="M106" s="66">
        <f>IFERROR(SUMIFS(BS数据!L:L,BS数据!$A:$A,BS!$B106),0)</f>
        <v>0</v>
      </c>
      <c r="N106" s="66">
        <f>IFERROR(SUMIFS(BS数据!M:M,BS数据!$A:$A,BS!$B106),0)</f>
        <v>0</v>
      </c>
      <c r="O106" s="66">
        <f>IFERROR(SUMIFS(BS数据!N:N,BS数据!$A:$A,BS!$B106),0)</f>
        <v>0</v>
      </c>
      <c r="P106" s="66"/>
      <c r="Q106" s="66"/>
      <c r="R106" s="68">
        <f t="shared" si="21"/>
        <v>12.5924</v>
      </c>
      <c r="S106" s="109">
        <f t="shared" ref="S106" si="62">IFERROR(C106/D106-1,0)</f>
        <v>6.5560255602556028</v>
      </c>
      <c r="T106" s="109">
        <f t="shared" ref="T106" si="63">IFERROR(D106/E106-1,0)</f>
        <v>-0.36804686611307014</v>
      </c>
      <c r="U106" s="111">
        <f t="shared" ref="U106" si="64">C106/C$37</f>
        <v>6.6462159594680177</v>
      </c>
      <c r="V106" s="111">
        <f t="shared" ref="V106" si="65">D106/D$37</f>
        <v>2.2173218918379565</v>
      </c>
      <c r="W106" s="111">
        <f t="shared" ref="W106" si="66">E106/E$37</f>
        <v>4.6636604774535808</v>
      </c>
      <c r="AB106" s="61">
        <v>26505000</v>
      </c>
    </row>
    <row r="107" spans="1:28" x14ac:dyDescent="0.25">
      <c r="A107" s="61" t="str">
        <f t="shared" si="22"/>
        <v>股东权益</v>
      </c>
      <c r="B107" s="61" t="str">
        <f>BS数据!A106</f>
        <v>专项储备(万元)</v>
      </c>
      <c r="C107" s="66">
        <f>IFERROR(SUMIFS(BS数据!B:B,BS数据!$A:$A,BS!$B107),0)</f>
        <v>0</v>
      </c>
      <c r="D107" s="66">
        <f>IFERROR(SUMIFS(BS数据!C:C,BS数据!$A:$A,BS!$B107),0)</f>
        <v>0</v>
      </c>
      <c r="E107" s="66">
        <f>IFERROR(SUMIFS(BS数据!D:D,BS数据!$A:$A,BS!$B107),0)</f>
        <v>0</v>
      </c>
      <c r="F107" s="66">
        <f>IFERROR(SUMIFS(BS数据!E:E,BS数据!$A:$A,BS!$B107),0)</f>
        <v>341</v>
      </c>
      <c r="G107" s="66">
        <f>IFERROR(SUMIFS(BS数据!F:F,BS数据!$A:$A,BS!$B107),0)</f>
        <v>456</v>
      </c>
      <c r="H107" s="66">
        <f>IFERROR(SUMIFS(BS数据!G:G,BS数据!$A:$A,BS!$B107),0)</f>
        <v>412</v>
      </c>
      <c r="I107" s="66">
        <f>IFERROR(SUMIFS(BS数据!H:H,BS数据!$A:$A,BS!$B107),0)</f>
        <v>348</v>
      </c>
      <c r="J107" s="66">
        <f>IFERROR(SUMIFS(BS数据!I:I,BS数据!$A:$A,BS!$B107),0)</f>
        <v>0</v>
      </c>
      <c r="K107" s="66">
        <f>IFERROR(SUMIFS(BS数据!J:J,BS数据!$A:$A,BS!$B107),0)</f>
        <v>0</v>
      </c>
      <c r="L107" s="66">
        <f>IFERROR(SUMIFS(BS数据!K:K,BS数据!$A:$A,BS!$B107),0)</f>
        <v>0</v>
      </c>
      <c r="M107" s="66">
        <f>IFERROR(SUMIFS(BS数据!L:L,BS数据!$A:$A,BS!$B107),0)</f>
        <v>0</v>
      </c>
      <c r="N107" s="66">
        <f>IFERROR(SUMIFS(BS数据!M:M,BS数据!$A:$A,BS!$B107),0)</f>
        <v>0</v>
      </c>
      <c r="O107" s="66">
        <f>IFERROR(SUMIFS(BS数据!N:N,BS数据!$A:$A,BS!$B107),0)</f>
        <v>0</v>
      </c>
      <c r="P107" s="66"/>
      <c r="Q107" s="66"/>
      <c r="R107" s="68">
        <f t="shared" si="21"/>
        <v>7.9699999999999993E-2</v>
      </c>
      <c r="AB107" s="61">
        <v>-1661015</v>
      </c>
    </row>
    <row r="108" spans="1:28" x14ac:dyDescent="0.25">
      <c r="A108" s="61" t="str">
        <f t="shared" si="22"/>
        <v>股东权益</v>
      </c>
      <c r="B108" s="61" t="str">
        <f>BS数据!A107</f>
        <v>盈余公积(万元)</v>
      </c>
      <c r="C108" s="66">
        <f>IFERROR(SUMIFS(BS数据!B:B,BS数据!$A:$A,BS!$B108),0)</f>
        <v>322514</v>
      </c>
      <c r="D108" s="66">
        <f>IFERROR(SUMIFS(BS数据!C:C,BS数据!$A:$A,BS!$B108),0)</f>
        <v>318181</v>
      </c>
      <c r="E108" s="66">
        <f>IFERROR(SUMIFS(BS数据!D:D,BS数据!$A:$A,BS!$B108),0)</f>
        <v>296576</v>
      </c>
      <c r="F108" s="66">
        <f>IFERROR(SUMIFS(BS数据!E:E,BS数据!$A:$A,BS!$B108),0)</f>
        <v>261265</v>
      </c>
      <c r="G108" s="66">
        <f>IFERROR(SUMIFS(BS数据!F:F,BS数据!$A:$A,BS!$B108),0)</f>
        <v>261265</v>
      </c>
      <c r="H108" s="66">
        <f>IFERROR(SUMIFS(BS数据!G:G,BS数据!$A:$A,BS!$B108),0)</f>
        <v>261265</v>
      </c>
      <c r="I108" s="66">
        <f>IFERROR(SUMIFS(BS数据!H:H,BS数据!$A:$A,BS!$B108),0)</f>
        <v>243708</v>
      </c>
      <c r="J108" s="66">
        <f>IFERROR(SUMIFS(BS数据!I:I,BS数据!$A:$A,BS!$B108),0)</f>
        <v>224295</v>
      </c>
      <c r="K108" s="66">
        <f>IFERROR(SUMIFS(BS数据!J:J,BS数据!$A:$A,BS!$B108),0)</f>
        <v>183500</v>
      </c>
      <c r="L108" s="66">
        <f>IFERROR(SUMIFS(BS数据!K:K,BS数据!$A:$A,BS!$B108),0)</f>
        <v>137188</v>
      </c>
      <c r="M108" s="66">
        <f>IFERROR(SUMIFS(BS数据!L:L,BS数据!$A:$A,BS!$B108),0)</f>
        <v>80494</v>
      </c>
      <c r="N108" s="66">
        <f>IFERROR(SUMIFS(BS数据!M:M,BS数据!$A:$A,BS!$B108),0)</f>
        <v>60868</v>
      </c>
      <c r="O108" s="66">
        <f>IFERROR(SUMIFS(BS数据!N:N,BS数据!$A:$A,BS!$B108),0)</f>
        <v>48546</v>
      </c>
      <c r="P108" s="66"/>
      <c r="Q108" s="66"/>
      <c r="R108" s="68">
        <f t="shared" si="21"/>
        <v>145.98009999999999</v>
      </c>
      <c r="AB108" s="61">
        <v>111005580</v>
      </c>
    </row>
    <row r="109" spans="1:28" x14ac:dyDescent="0.25">
      <c r="A109" s="61" t="str">
        <f t="shared" si="22"/>
        <v>股东权益</v>
      </c>
      <c r="B109" s="159" t="s">
        <v>1759</v>
      </c>
      <c r="C109" s="154">
        <v>533822</v>
      </c>
      <c r="D109" s="154">
        <v>527697</v>
      </c>
      <c r="E109" s="154">
        <v>522691</v>
      </c>
      <c r="F109" s="154">
        <v>526567</v>
      </c>
      <c r="G109" s="154">
        <v>525133</v>
      </c>
      <c r="H109" s="154">
        <v>527758</v>
      </c>
      <c r="I109" s="154">
        <v>550534</v>
      </c>
      <c r="J109" s="154">
        <v>532108</v>
      </c>
      <c r="K109" s="154">
        <v>549030</v>
      </c>
      <c r="L109" s="154">
        <v>52871</v>
      </c>
      <c r="M109" s="154">
        <v>75230</v>
      </c>
      <c r="N109" s="154">
        <v>209841</v>
      </c>
      <c r="O109" s="154">
        <v>877902</v>
      </c>
      <c r="P109" s="127"/>
      <c r="Q109" s="127"/>
      <c r="R109" s="68">
        <f t="shared" si="21"/>
        <v>263.59100000000001</v>
      </c>
      <c r="S109" s="109">
        <f t="shared" ref="S109:S110" si="67">IFERROR(C109/D109-1,0)</f>
        <v>1.1607039645857409E-2</v>
      </c>
      <c r="T109" s="109">
        <f t="shared" ref="T109:T110" si="68">IFERROR(D109/E109-1,0)</f>
        <v>9.5773602376929556E-3</v>
      </c>
      <c r="U109" s="111">
        <f t="shared" ref="U109:U110" si="69">C109/C$37</f>
        <v>42.25949968334389</v>
      </c>
      <c r="V109" s="111">
        <f t="shared" ref="V109:V110" si="70">D109/D$37</f>
        <v>105.30772300937936</v>
      </c>
      <c r="W109" s="111">
        <f t="shared" ref="W109:W110" si="71">E109/E$37</f>
        <v>138.6448275862069</v>
      </c>
      <c r="AB109" s="61">
        <v>694865327</v>
      </c>
    </row>
    <row r="110" spans="1:28" x14ac:dyDescent="0.25">
      <c r="A110" s="61" t="str">
        <f t="shared" si="22"/>
        <v/>
      </c>
      <c r="B110" s="61" t="str">
        <f>BS数据!A109</f>
        <v>未确定的投资损失(万元)</v>
      </c>
      <c r="C110" s="66">
        <f>IFERROR(SUMIFS(BS数据!B:B,BS数据!$A:$A,BS!$B110),0)</f>
        <v>0</v>
      </c>
      <c r="D110" s="66">
        <f>IFERROR(SUMIFS(BS数据!C:C,BS数据!$A:$A,BS!$B110),0)</f>
        <v>0</v>
      </c>
      <c r="E110" s="66">
        <f>IFERROR(SUMIFS(BS数据!D:D,BS数据!$A:$A,BS!$B110),0)</f>
        <v>0</v>
      </c>
      <c r="F110" s="66">
        <f>IFERROR(SUMIFS(BS数据!E:E,BS数据!$A:$A,BS!$B110),0)</f>
        <v>0</v>
      </c>
      <c r="G110" s="66">
        <f>IFERROR(SUMIFS(BS数据!F:F,BS数据!$A:$A,BS!$B110),0)</f>
        <v>0</v>
      </c>
      <c r="H110" s="66">
        <f>IFERROR(SUMIFS(BS数据!G:G,BS数据!$A:$A,BS!$B110),0)</f>
        <v>0</v>
      </c>
      <c r="I110" s="66">
        <f>IFERROR(SUMIFS(BS数据!H:H,BS数据!$A:$A,BS!$B110),0)</f>
        <v>0</v>
      </c>
      <c r="J110" s="66">
        <f>IFERROR(SUMIFS(BS数据!I:I,BS数据!$A:$A,BS!$B110),0)</f>
        <v>0</v>
      </c>
      <c r="K110" s="66">
        <f>IFERROR(SUMIFS(BS数据!J:J,BS数据!$A:$A,BS!$B110),0)</f>
        <v>0</v>
      </c>
      <c r="L110" s="66">
        <f>IFERROR(SUMIFS(BS数据!K:K,BS数据!$A:$A,BS!$B110),0)</f>
        <v>0</v>
      </c>
      <c r="M110" s="66">
        <f>IFERROR(SUMIFS(BS数据!L:L,BS数据!$A:$A,BS!$B110),0)</f>
        <v>0</v>
      </c>
      <c r="N110" s="66">
        <f>IFERROR(SUMIFS(BS数据!M:M,BS数据!$A:$A,BS!$B110),0)</f>
        <v>0</v>
      </c>
      <c r="O110" s="66">
        <f>IFERROR(SUMIFS(BS数据!N:N,BS数据!$A:$A,BS!$B110),0)</f>
        <v>0</v>
      </c>
      <c r="P110" s="66"/>
      <c r="Q110" s="66"/>
      <c r="R110" s="68">
        <f t="shared" si="21"/>
        <v>0</v>
      </c>
      <c r="S110" s="109">
        <f t="shared" si="67"/>
        <v>0</v>
      </c>
      <c r="T110" s="109">
        <f t="shared" si="68"/>
        <v>0</v>
      </c>
      <c r="U110" s="111">
        <f t="shared" si="69"/>
        <v>0</v>
      </c>
      <c r="V110" s="111">
        <f t="shared" si="70"/>
        <v>0</v>
      </c>
      <c r="W110" s="111">
        <f t="shared" si="71"/>
        <v>0</v>
      </c>
      <c r="AB110" s="61">
        <f>SUM(AB104:AB109)</f>
        <v>1503517101</v>
      </c>
    </row>
    <row r="111" spans="1:28" x14ac:dyDescent="0.25">
      <c r="A111" s="61" t="str">
        <f t="shared" si="22"/>
        <v>股东权益</v>
      </c>
      <c r="B111" s="61" t="str">
        <f>BS数据!A110</f>
        <v>未分配利润(万元)</v>
      </c>
      <c r="C111" s="66">
        <f>IFERROR(SUMIFS(BS数据!B:B,BS数据!$A:$A,BS!$B111),0)</f>
        <v>2895223</v>
      </c>
      <c r="D111" s="66">
        <f>IFERROR(SUMIFS(BS数据!C:C,BS数据!$A:$A,BS!$B111),0)</f>
        <v>1978135</v>
      </c>
      <c r="E111" s="66">
        <f>IFERROR(SUMIFS(BS数据!D:D,BS数据!$A:$A,BS!$B111),0)</f>
        <v>1512595</v>
      </c>
      <c r="F111" s="66">
        <f>IFERROR(SUMIFS(BS数据!E:E,BS数据!$A:$A,BS!$B111),0)</f>
        <v>1361625</v>
      </c>
      <c r="G111" s="66">
        <f>IFERROR(SUMIFS(BS数据!F:F,BS数据!$A:$A,BS!$B111),0)</f>
        <v>1355662</v>
      </c>
      <c r="H111" s="66">
        <f>IFERROR(SUMIFS(BS数据!G:G,BS数据!$A:$A,BS!$B111),0)</f>
        <v>1378362</v>
      </c>
      <c r="I111" s="66">
        <f>IFERROR(SUMIFS(BS数据!H:H,BS数据!$A:$A,BS!$B111),0)</f>
        <v>1416397</v>
      </c>
      <c r="J111" s="66">
        <f>IFERROR(SUMIFS(BS数据!I:I,BS数据!$A:$A,BS!$B111),0)</f>
        <v>1335863</v>
      </c>
      <c r="K111" s="66">
        <f>IFERROR(SUMIFS(BS数据!J:J,BS数据!$A:$A,BS!$B111),0)</f>
        <v>1035859</v>
      </c>
      <c r="L111" s="66">
        <f>IFERROR(SUMIFS(BS数据!K:K,BS数据!$A:$A,BS!$B111),0)</f>
        <v>500780</v>
      </c>
      <c r="M111" s="66">
        <f>IFERROR(SUMIFS(BS数据!L:L,BS数据!$A:$A,BS!$B111),0)</f>
        <v>461917</v>
      </c>
      <c r="N111" s="66">
        <f>IFERROR(SUMIFS(BS数据!M:M,BS数据!$A:$A,BS!$B111),0)</f>
        <v>312068</v>
      </c>
      <c r="O111" s="66">
        <f>IFERROR(SUMIFS(BS数据!N:N,BS数据!$A:$A,BS!$B111),0)</f>
        <v>225967</v>
      </c>
      <c r="P111" s="66"/>
      <c r="Q111" s="66"/>
      <c r="R111" s="68">
        <f t="shared" si="21"/>
        <v>910.32399999999996</v>
      </c>
    </row>
    <row r="112" spans="1:28" x14ac:dyDescent="0.25">
      <c r="A112" s="61" t="str">
        <f t="shared" si="22"/>
        <v/>
      </c>
      <c r="B112" s="61" t="str">
        <f>BS数据!A111</f>
        <v>拟分配现金股利(万元)</v>
      </c>
      <c r="C112" s="66">
        <f>IFERROR(SUMIFS(BS数据!B:B,BS数据!$A:$A,BS!$B112),0)</f>
        <v>0</v>
      </c>
      <c r="D112" s="66">
        <f>IFERROR(SUMIFS(BS数据!C:C,BS数据!$A:$A,BS!$B112),0)</f>
        <v>0</v>
      </c>
      <c r="E112" s="66">
        <f>IFERROR(SUMIFS(BS数据!D:D,BS数据!$A:$A,BS!$B112),0)</f>
        <v>0</v>
      </c>
      <c r="F112" s="66">
        <f>IFERROR(SUMIFS(BS数据!E:E,BS数据!$A:$A,BS!$B112),0)</f>
        <v>0</v>
      </c>
      <c r="G112" s="66">
        <f>IFERROR(SUMIFS(BS数据!F:F,BS数据!$A:$A,BS!$B112),0)</f>
        <v>0</v>
      </c>
      <c r="H112" s="66">
        <f>IFERROR(SUMIFS(BS数据!G:G,BS数据!$A:$A,BS!$B112),0)</f>
        <v>0</v>
      </c>
      <c r="I112" s="66">
        <f>IFERROR(SUMIFS(BS数据!H:H,BS数据!$A:$A,BS!$B112),0)</f>
        <v>0</v>
      </c>
      <c r="J112" s="66">
        <f>IFERROR(SUMIFS(BS数据!I:I,BS数据!$A:$A,BS!$B112),0)</f>
        <v>0</v>
      </c>
      <c r="K112" s="66">
        <f>IFERROR(SUMIFS(BS数据!J:J,BS数据!$A:$A,BS!$B112),0)</f>
        <v>0</v>
      </c>
      <c r="L112" s="66">
        <f>IFERROR(SUMIFS(BS数据!K:K,BS数据!$A:$A,BS!$B112),0)</f>
        <v>0</v>
      </c>
      <c r="M112" s="66">
        <f>IFERROR(SUMIFS(BS数据!L:L,BS数据!$A:$A,BS!$B112),0)</f>
        <v>0</v>
      </c>
      <c r="N112" s="66">
        <f>IFERROR(SUMIFS(BS数据!M:M,BS数据!$A:$A,BS!$B112),0)</f>
        <v>0</v>
      </c>
      <c r="O112" s="66">
        <f>IFERROR(SUMIFS(BS数据!N:N,BS数据!$A:$A,BS!$B112),0)</f>
        <v>0</v>
      </c>
      <c r="P112" s="66"/>
      <c r="Q112" s="66"/>
      <c r="R112" s="68">
        <f t="shared" si="21"/>
        <v>0</v>
      </c>
      <c r="S112" s="109">
        <f t="shared" ref="S112" si="72">IFERROR(C112/D112-1,0)</f>
        <v>0</v>
      </c>
      <c r="T112" s="109">
        <f t="shared" ref="T112" si="73">IFERROR(D112/E112-1,0)</f>
        <v>0</v>
      </c>
      <c r="U112" s="111">
        <f t="shared" ref="U112" si="74">C112/C$37</f>
        <v>0</v>
      </c>
      <c r="V112" s="111">
        <f t="shared" ref="V112" si="75">D112/D$37</f>
        <v>0</v>
      </c>
      <c r="W112" s="111">
        <f t="shared" ref="W112" si="76">E112/E$37</f>
        <v>0</v>
      </c>
    </row>
    <row r="113" spans="1:23" x14ac:dyDescent="0.25">
      <c r="A113" s="61" t="str">
        <f t="shared" si="22"/>
        <v>股东权益</v>
      </c>
      <c r="B113" s="61" t="str">
        <f>BS数据!A112</f>
        <v>外币报表折算差额(万元)</v>
      </c>
      <c r="C113" s="66">
        <f>IFERROR(SUMIFS(BS数据!B:B,BS数据!$A:$A,BS!$B113),0)</f>
        <v>0</v>
      </c>
      <c r="D113" s="66">
        <f>IFERROR(SUMIFS(BS数据!C:C,BS数据!$A:$A,BS!$B113),0)</f>
        <v>0</v>
      </c>
      <c r="E113" s="66">
        <f>IFERROR(SUMIFS(BS数据!D:D,BS数据!$A:$A,BS!$B113),0)</f>
        <v>0</v>
      </c>
      <c r="F113" s="66">
        <f>IFERROR(SUMIFS(BS数据!E:E,BS数据!$A:$A,BS!$B113),0)</f>
        <v>0</v>
      </c>
      <c r="G113" s="66">
        <f>IFERROR(SUMIFS(BS数据!F:F,BS数据!$A:$A,BS!$B113),0)</f>
        <v>0</v>
      </c>
      <c r="H113" s="66">
        <f>IFERROR(SUMIFS(BS数据!G:G,BS数据!$A:$A,BS!$B113),0)</f>
        <v>0</v>
      </c>
      <c r="I113" s="66">
        <f>IFERROR(SUMIFS(BS数据!H:H,BS数据!$A:$A,BS!$B113),0)</f>
        <v>-46142</v>
      </c>
      <c r="J113" s="66">
        <f>IFERROR(SUMIFS(BS数据!I:I,BS数据!$A:$A,BS!$B113),0)</f>
        <v>-17872</v>
      </c>
      <c r="K113" s="66">
        <f>IFERROR(SUMIFS(BS数据!J:J,BS数据!$A:$A,BS!$B113),0)</f>
        <v>-13428</v>
      </c>
      <c r="L113" s="66">
        <f>IFERROR(SUMIFS(BS数据!K:K,BS数据!$A:$A,BS!$B113),0)</f>
        <v>-10153</v>
      </c>
      <c r="M113" s="66">
        <f>IFERROR(SUMIFS(BS数据!L:L,BS数据!$A:$A,BS!$B113),0)</f>
        <v>-10610</v>
      </c>
      <c r="N113" s="66">
        <f>IFERROR(SUMIFS(BS数据!M:M,BS数据!$A:$A,BS!$B113),0)</f>
        <v>-10042</v>
      </c>
      <c r="O113" s="66">
        <f>IFERROR(SUMIFS(BS数据!N:N,BS数据!$A:$A,BS!$B113),0)</f>
        <v>-2431</v>
      </c>
      <c r="P113" s="66"/>
      <c r="Q113" s="66"/>
      <c r="R113" s="68">
        <f t="shared" si="21"/>
        <v>0</v>
      </c>
    </row>
    <row r="114" spans="1:23" x14ac:dyDescent="0.25">
      <c r="A114" s="61" t="str">
        <f t="shared" si="22"/>
        <v/>
      </c>
      <c r="B114" s="61" t="str">
        <f>BS数据!A113</f>
        <v>归属于母公司股东权益合计(万元)</v>
      </c>
      <c r="C114" s="66">
        <f>IFERROR(SUMIFS(BS数据!B:B,BS数据!$A:$A,BS!$B114),0)</f>
        <v>4442098</v>
      </c>
      <c r="D114" s="66">
        <f>IFERROR(SUMIFS(BS数据!C:C,BS数据!$A:$A,BS!$B114),0)</f>
        <v>3148491</v>
      </c>
      <c r="E114" s="66">
        <f>IFERROR(SUMIFS(BS数据!D:D,BS数据!$A:$A,BS!$B114),0)</f>
        <v>2549760</v>
      </c>
      <c r="F114" s="66">
        <f>IFERROR(SUMIFS(BS数据!E:E,BS数据!$A:$A,BS!$B114),0)</f>
        <v>2271740</v>
      </c>
      <c r="G114" s="66">
        <f>IFERROR(SUMIFS(BS数据!F:F,BS数据!$A:$A,BS!$B114),0)</f>
        <v>2267071</v>
      </c>
      <c r="H114" s="66">
        <f>IFERROR(SUMIFS(BS数据!G:G,BS数据!$A:$A,BS!$B114),0)</f>
        <v>2378543</v>
      </c>
      <c r="I114" s="66">
        <f>IFERROR(SUMIFS(BS数据!H:H,BS数据!$A:$A,BS!$B114),0)</f>
        <v>2388772</v>
      </c>
      <c r="J114" s="66">
        <f>IFERROR(SUMIFS(BS数据!I:I,BS数据!$A:$A,BS!$B114),0)</f>
        <v>2301941</v>
      </c>
      <c r="K114" s="66">
        <f>IFERROR(SUMIFS(BS数据!J:J,BS数据!$A:$A,BS!$B114),0)</f>
        <v>1966271</v>
      </c>
      <c r="L114" s="66">
        <f>IFERROR(SUMIFS(BS数据!K:K,BS数据!$A:$A,BS!$B114),0)</f>
        <v>1135032</v>
      </c>
      <c r="M114" s="66">
        <f>IFERROR(SUMIFS(BS数据!L:L,BS数据!$A:$A,BS!$B114),0)</f>
        <v>752711</v>
      </c>
      <c r="N114" s="66">
        <f>IFERROR(SUMIFS(BS数据!M:M,BS数据!$A:$A,BS!$B114),0)</f>
        <v>583806</v>
      </c>
      <c r="O114" s="66">
        <f>IFERROR(SUMIFS(BS数据!N:N,BS数据!$A:$A,BS!$B114),0)</f>
        <v>473153</v>
      </c>
      <c r="P114" s="66"/>
      <c r="Q114" s="66"/>
      <c r="R114" s="68">
        <f t="shared" si="21"/>
        <v>1467.9159999999999</v>
      </c>
      <c r="S114" s="109">
        <f t="shared" ref="S114" si="77">IFERROR(C114/D114-1,0)</f>
        <v>0.41086571313051246</v>
      </c>
      <c r="T114" s="109">
        <f t="shared" ref="T114" si="78">IFERROR(D114/E114-1,0)</f>
        <v>0.23481857115963845</v>
      </c>
      <c r="U114" s="111">
        <f t="shared" ref="U114" si="79">C114/C$37</f>
        <v>351.6543698543382</v>
      </c>
      <c r="V114" s="111">
        <f t="shared" ref="V114" si="80">D114/D$37</f>
        <v>628.31590500898028</v>
      </c>
      <c r="W114" s="111">
        <f t="shared" ref="W114" si="81">E114/E$37</f>
        <v>676.32891246684346</v>
      </c>
    </row>
    <row r="115" spans="1:23" x14ac:dyDescent="0.25">
      <c r="A115" s="61" t="str">
        <f t="shared" si="22"/>
        <v>股东权益</v>
      </c>
      <c r="B115" s="61" t="str">
        <f>BS数据!A114</f>
        <v>少数股东权益(万元)</v>
      </c>
      <c r="C115" s="66">
        <f>IFERROR(SUMIFS(BS数据!B:B,BS数据!$A:$A,BS!$B115),0)</f>
        <v>110576</v>
      </c>
      <c r="D115" s="66">
        <f>IFERROR(SUMIFS(BS数据!C:C,BS数据!$A:$A,BS!$B115),0)</f>
        <v>101721</v>
      </c>
      <c r="E115" s="66">
        <f>IFERROR(SUMIFS(BS数据!D:D,BS数据!$A:$A,BS!$B115),0)</f>
        <v>87558</v>
      </c>
      <c r="F115" s="66">
        <f>IFERROR(SUMIFS(BS数据!E:E,BS数据!$A:$A,BS!$B115),0)</f>
        <v>73530</v>
      </c>
      <c r="G115" s="66">
        <f>IFERROR(SUMIFS(BS数据!F:F,BS数据!$A:$A,BS!$B115),0)</f>
        <v>96002</v>
      </c>
      <c r="H115" s="66">
        <f>IFERROR(SUMIFS(BS数据!G:G,BS数据!$A:$A,BS!$B115),0)</f>
        <v>95540</v>
      </c>
      <c r="I115" s="66">
        <f>IFERROR(SUMIFS(BS数据!H:H,BS数据!$A:$A,BS!$B115),0)</f>
        <v>112112</v>
      </c>
      <c r="J115" s="66">
        <f>IFERROR(SUMIFS(BS数据!I:I,BS数据!$A:$A,BS!$B115),0)</f>
        <v>159405</v>
      </c>
      <c r="K115" s="66">
        <f>IFERROR(SUMIFS(BS数据!J:J,BS数据!$A:$A,BS!$B115),0)</f>
        <v>109090</v>
      </c>
      <c r="L115" s="66">
        <f>IFERROR(SUMIFS(BS数据!K:K,BS数据!$A:$A,BS!$B115),0)</f>
        <v>56821</v>
      </c>
      <c r="M115" s="66">
        <f>IFERROR(SUMIFS(BS数据!L:L,BS数据!$A:$A,BS!$B115),0)</f>
        <v>75757</v>
      </c>
      <c r="N115" s="66">
        <f>IFERROR(SUMIFS(BS数据!M:M,BS数据!$A:$A,BS!$B115),0)</f>
        <v>34682</v>
      </c>
      <c r="O115" s="66">
        <f>IFERROR(SUMIFS(BS数据!N:N,BS数据!$A:$A,BS!$B115),0)</f>
        <v>31569</v>
      </c>
      <c r="P115" s="66"/>
      <c r="Q115" s="66"/>
      <c r="R115" s="68">
        <f t="shared" si="21"/>
        <v>46.938699999999997</v>
      </c>
    </row>
    <row r="116" spans="1:23" x14ac:dyDescent="0.25">
      <c r="A116" s="61" t="str">
        <f t="shared" si="22"/>
        <v/>
      </c>
      <c r="B116" s="152" t="str">
        <f>BS数据!A115</f>
        <v>所有者权益(或股东权益)合计(万元)</v>
      </c>
      <c r="C116" s="153">
        <f>SUM(C104:C113)+C115-C106*2</f>
        <v>5215637</v>
      </c>
      <c r="D116" s="153">
        <f t="shared" ref="D116:H116" si="82">SUM(D104:D113)+D115-D106*2</f>
        <v>3883033</v>
      </c>
      <c r="E116" s="153">
        <f t="shared" si="82"/>
        <v>3273639</v>
      </c>
      <c r="F116" s="153">
        <f t="shared" si="82"/>
        <v>3035307</v>
      </c>
      <c r="G116" s="153">
        <f t="shared" si="82"/>
        <v>3076463</v>
      </c>
      <c r="H116" s="153">
        <f t="shared" si="82"/>
        <v>3101282</v>
      </c>
      <c r="I116" s="153">
        <f t="shared" ref="I116:O116" si="83">SUM(I104:I113)+I115-I106*2</f>
        <v>3051418</v>
      </c>
      <c r="J116" s="153">
        <f t="shared" si="83"/>
        <v>2993454</v>
      </c>
      <c r="K116" s="153">
        <f t="shared" si="83"/>
        <v>2624391</v>
      </c>
      <c r="L116" s="153">
        <f t="shared" si="83"/>
        <v>1244723</v>
      </c>
      <c r="M116" s="153">
        <f t="shared" si="83"/>
        <v>903699</v>
      </c>
      <c r="N116" s="153">
        <f t="shared" si="83"/>
        <v>828328</v>
      </c>
      <c r="O116" s="153">
        <f t="shared" si="83"/>
        <v>1382624</v>
      </c>
      <c r="P116" s="153"/>
      <c r="Q116" s="153"/>
      <c r="R116" s="68">
        <f t="shared" si="21"/>
        <v>1848.4078999999999</v>
      </c>
      <c r="S116" s="109">
        <f t="shared" ref="S116:S117" si="84">IFERROR(C116/D116-1,0)</f>
        <v>0.34318637003600028</v>
      </c>
      <c r="T116" s="109">
        <f t="shared" ref="T116:T117" si="85">IFERROR(D116/E116-1,0)</f>
        <v>0.18615186341560563</v>
      </c>
      <c r="U116" s="111">
        <f t="shared" ref="U116:U117" si="86">C116/C$37</f>
        <v>412.89083280557315</v>
      </c>
      <c r="V116" s="111">
        <f t="shared" ref="V116:V117" si="87">D116/D$37</f>
        <v>774.90181600478945</v>
      </c>
      <c r="W116" s="111">
        <f t="shared" ref="W116:W117" si="88">E116/E$37</f>
        <v>868.33925729442967</v>
      </c>
    </row>
    <row r="117" spans="1:23" x14ac:dyDescent="0.25">
      <c r="A117" s="61" t="str">
        <f t="shared" si="22"/>
        <v/>
      </c>
      <c r="B117" s="152" t="str">
        <f>BS数据!A116</f>
        <v>负债和所有者权益(或股东权益)总计(万元)</v>
      </c>
      <c r="C117" s="153">
        <f>C116+C102</f>
        <v>9646244</v>
      </c>
      <c r="D117" s="153">
        <f t="shared" ref="D117:G117" si="89">D116+D102</f>
        <v>7888269</v>
      </c>
      <c r="E117" s="153">
        <f t="shared" si="89"/>
        <v>6334214</v>
      </c>
      <c r="F117" s="153">
        <f t="shared" si="89"/>
        <v>6781418</v>
      </c>
      <c r="G117" s="153">
        <f t="shared" si="89"/>
        <v>6813079</v>
      </c>
      <c r="H117" s="153">
        <f t="shared" ref="H117:I117" si="90">H116+H102</f>
        <v>6899694</v>
      </c>
      <c r="I117" s="153">
        <f t="shared" si="90"/>
        <v>6929259</v>
      </c>
      <c r="J117" s="153">
        <f t="shared" ref="J117:O117" si="91">J116+J102</f>
        <v>6973245</v>
      </c>
      <c r="K117" s="153">
        <f t="shared" si="91"/>
        <v>5679702</v>
      </c>
      <c r="L117" s="153">
        <f t="shared" si="91"/>
        <v>3186947</v>
      </c>
      <c r="M117" s="153">
        <f t="shared" si="91"/>
        <v>1658929</v>
      </c>
      <c r="N117" s="153">
        <f t="shared" si="91"/>
        <v>1606575</v>
      </c>
      <c r="O117" s="153">
        <f t="shared" si="91"/>
        <v>1995813</v>
      </c>
      <c r="P117" s="153"/>
      <c r="Q117" s="153"/>
      <c r="R117" s="68">
        <f t="shared" si="21"/>
        <v>3746.3224</v>
      </c>
      <c r="S117" s="109">
        <f t="shared" si="84"/>
        <v>0.22285941313613922</v>
      </c>
      <c r="T117" s="109">
        <f t="shared" si="85"/>
        <v>0.24534298967480406</v>
      </c>
      <c r="U117" s="111">
        <f t="shared" si="86"/>
        <v>763.63552881570615</v>
      </c>
      <c r="V117" s="111">
        <f t="shared" si="87"/>
        <v>1574.1905807224107</v>
      </c>
      <c r="W117" s="111">
        <f t="shared" si="88"/>
        <v>1680.1628647214854</v>
      </c>
    </row>
    <row r="118" spans="1:23" x14ac:dyDescent="0.25">
      <c r="A118" s="61" t="str">
        <f t="shared" si="22"/>
        <v/>
      </c>
      <c r="B118" s="61">
        <f>BS数据!A117</f>
        <v>0</v>
      </c>
      <c r="R118" s="68">
        <f t="shared" si="21"/>
        <v>0</v>
      </c>
    </row>
    <row r="119" spans="1:23" x14ac:dyDescent="0.25">
      <c r="A119" s="61" t="str">
        <f t="shared" si="22"/>
        <v/>
      </c>
      <c r="B119" s="82" t="s">
        <v>192</v>
      </c>
      <c r="C119" s="154">
        <f>C117-C57</f>
        <v>665228</v>
      </c>
      <c r="D119" s="154">
        <f t="shared" ref="D119:O119" si="92">D117-D57</f>
        <v>510798</v>
      </c>
      <c r="E119" s="154">
        <f t="shared" si="92"/>
        <v>510443</v>
      </c>
      <c r="F119" s="154">
        <f t="shared" si="92"/>
        <v>625921</v>
      </c>
      <c r="G119" s="154">
        <f t="shared" si="92"/>
        <v>690303</v>
      </c>
      <c r="H119" s="154">
        <f t="shared" si="92"/>
        <v>598748</v>
      </c>
      <c r="I119" s="154">
        <f t="shared" si="92"/>
        <v>542479</v>
      </c>
      <c r="J119" s="154">
        <f t="shared" si="92"/>
        <v>527103</v>
      </c>
      <c r="K119" s="154">
        <f t="shared" si="92"/>
        <v>549029</v>
      </c>
      <c r="L119" s="154">
        <f t="shared" si="92"/>
        <v>52869</v>
      </c>
      <c r="M119" s="154">
        <f t="shared" si="92"/>
        <v>75229</v>
      </c>
      <c r="N119" s="154">
        <f t="shared" si="92"/>
        <v>209842</v>
      </c>
      <c r="O119" s="154">
        <f t="shared" si="92"/>
        <v>877900</v>
      </c>
      <c r="P119" s="154"/>
      <c r="Q119" s="154"/>
      <c r="R119" s="68">
        <f t="shared" si="21"/>
        <v>300.26929999999999</v>
      </c>
    </row>
    <row r="120" spans="1:23" x14ac:dyDescent="0.25">
      <c r="A120" s="61" t="str">
        <f t="shared" si="22"/>
        <v/>
      </c>
      <c r="B120" s="82" t="s">
        <v>1751</v>
      </c>
      <c r="C120" s="154">
        <f>-C117+BS数据!B116</f>
        <v>-592114</v>
      </c>
      <c r="D120" s="154">
        <f>-D117+BS数据!C116</f>
        <v>-510797</v>
      </c>
      <c r="E120" s="154">
        <f>-E117+BS数据!D116</f>
        <v>-510445</v>
      </c>
      <c r="F120" s="154">
        <f>-F117+BS数据!E116</f>
        <v>-625921</v>
      </c>
      <c r="G120" s="154">
        <f>-G117+BS数据!F116</f>
        <v>-690305</v>
      </c>
      <c r="H120" s="154">
        <f>-H117+BS数据!G116</f>
        <v>-598749</v>
      </c>
      <c r="I120" s="154">
        <f>-I117+BS数据!H116</f>
        <v>-542481</v>
      </c>
      <c r="J120" s="154">
        <f>-J117+BS数据!I116</f>
        <v>-527105</v>
      </c>
      <c r="K120" s="154">
        <f>-K117+BS数据!J116</f>
        <v>-549030</v>
      </c>
      <c r="L120" s="154">
        <f>-L117+BS数据!K116</f>
        <v>-52870</v>
      </c>
      <c r="M120" s="154">
        <f>-M117+BS数据!L116</f>
        <v>-75229</v>
      </c>
      <c r="N120" s="154">
        <f>-N117+BS数据!M116</f>
        <v>-209841</v>
      </c>
      <c r="O120" s="154">
        <f>-O117+BS数据!N116</f>
        <v>-877900</v>
      </c>
      <c r="P120" s="154"/>
      <c r="Q120" s="154"/>
      <c r="R120" s="68">
        <f t="shared" si="21"/>
        <v>-292.95819999999998</v>
      </c>
    </row>
    <row r="121" spans="1:23" x14ac:dyDescent="0.25">
      <c r="A121" s="61" t="str">
        <f t="shared" si="22"/>
        <v/>
      </c>
    </row>
    <row r="122" spans="1:23" x14ac:dyDescent="0.25">
      <c r="A122" s="61" t="str">
        <f t="shared" si="22"/>
        <v/>
      </c>
    </row>
    <row r="123" spans="1:23" x14ac:dyDescent="0.25">
      <c r="A123" s="61" t="str">
        <f t="shared" si="22"/>
        <v/>
      </c>
    </row>
    <row r="124" spans="1:23" x14ac:dyDescent="0.25">
      <c r="A124" s="61" t="str">
        <f t="shared" si="22"/>
        <v/>
      </c>
    </row>
    <row r="125" spans="1:23" x14ac:dyDescent="0.25">
      <c r="A125" s="61" t="str">
        <f t="shared" si="22"/>
        <v/>
      </c>
    </row>
    <row r="126" spans="1:23" x14ac:dyDescent="0.25">
      <c r="A126" s="61" t="str">
        <f t="shared" si="22"/>
        <v/>
      </c>
    </row>
    <row r="127" spans="1:23" x14ac:dyDescent="0.25">
      <c r="A127" s="61" t="str">
        <f t="shared" si="22"/>
        <v/>
      </c>
    </row>
    <row r="128" spans="1:23" x14ac:dyDescent="0.25">
      <c r="A128" s="61" t="str">
        <f t="shared" si="22"/>
        <v/>
      </c>
    </row>
    <row r="129" spans="1:2" x14ac:dyDescent="0.25">
      <c r="A129" s="61" t="str">
        <f t="shared" si="22"/>
        <v/>
      </c>
    </row>
    <row r="130" spans="1:2" x14ac:dyDescent="0.25">
      <c r="A130" s="61" t="str">
        <f t="shared" si="22"/>
        <v/>
      </c>
    </row>
    <row r="131" spans="1:2" x14ac:dyDescent="0.25">
      <c r="A131" s="61" t="str">
        <f t="shared" si="22"/>
        <v/>
      </c>
    </row>
    <row r="132" spans="1:2" x14ac:dyDescent="0.25">
      <c r="A132" s="61" t="str">
        <f t="shared" si="22"/>
        <v/>
      </c>
    </row>
    <row r="133" spans="1:2" x14ac:dyDescent="0.25">
      <c r="A133" s="61" t="str">
        <f t="shared" ref="A133:A141" si="93">IF(ISERROR(VLOOKUP(TRIM($B133),管理名称,2,0)),"",VLOOKUP(TRIM($B133),管理名称,2,0))</f>
        <v/>
      </c>
    </row>
    <row r="134" spans="1:2" x14ac:dyDescent="0.25">
      <c r="A134" s="61" t="str">
        <f t="shared" si="93"/>
        <v/>
      </c>
    </row>
    <row r="135" spans="1:2" x14ac:dyDescent="0.25">
      <c r="A135" s="61" t="str">
        <f t="shared" si="93"/>
        <v/>
      </c>
    </row>
    <row r="136" spans="1:2" x14ac:dyDescent="0.25">
      <c r="A136" s="61" t="str">
        <f t="shared" si="93"/>
        <v/>
      </c>
    </row>
    <row r="137" spans="1:2" x14ac:dyDescent="0.25">
      <c r="A137" s="61" t="str">
        <f t="shared" si="93"/>
        <v/>
      </c>
      <c r="B137" s="61">
        <f>BS数据!A136</f>
        <v>0</v>
      </c>
    </row>
    <row r="138" spans="1:2" x14ac:dyDescent="0.25">
      <c r="A138" s="61" t="str">
        <f t="shared" si="93"/>
        <v/>
      </c>
      <c r="B138" s="61">
        <f>BS数据!A137</f>
        <v>0</v>
      </c>
    </row>
    <row r="139" spans="1:2" x14ac:dyDescent="0.25">
      <c r="A139" s="61" t="str">
        <f t="shared" si="93"/>
        <v/>
      </c>
      <c r="B139" s="61">
        <f>BS数据!A138</f>
        <v>0</v>
      </c>
    </row>
    <row r="140" spans="1:2" x14ac:dyDescent="0.25">
      <c r="A140" s="61" t="str">
        <f t="shared" si="93"/>
        <v/>
      </c>
      <c r="B140" s="61">
        <f>BS数据!A139</f>
        <v>0</v>
      </c>
    </row>
    <row r="141" spans="1:2" x14ac:dyDescent="0.25">
      <c r="A141" s="61" t="str">
        <f t="shared" si="93"/>
        <v/>
      </c>
      <c r="B141" s="61">
        <f>BS数据!A140</f>
        <v>0</v>
      </c>
    </row>
    <row r="142" spans="1:2" x14ac:dyDescent="0.25">
      <c r="A142" s="61" t="str">
        <f t="shared" ref="A142:A146" si="94">IF(ISERROR(VLOOKUP(TRIM($B142),管理名称,2,0)),"",VLOOKUP(TRIM($B142),管理名称,2,0))</f>
        <v/>
      </c>
    </row>
    <row r="143" spans="1:2" x14ac:dyDescent="0.25">
      <c r="A143" s="61" t="str">
        <f t="shared" si="94"/>
        <v/>
      </c>
    </row>
    <row r="144" spans="1:2" x14ac:dyDescent="0.25">
      <c r="A144" s="61" t="str">
        <f t="shared" si="94"/>
        <v/>
      </c>
    </row>
    <row r="145" spans="1:1" x14ac:dyDescent="0.25">
      <c r="A145" s="61" t="str">
        <f t="shared" si="94"/>
        <v/>
      </c>
    </row>
    <row r="146" spans="1:1" x14ac:dyDescent="0.25">
      <c r="A146" s="61" t="str">
        <f t="shared" si="94"/>
        <v/>
      </c>
    </row>
  </sheetData>
  <phoneticPr fontId="3" type="noConversion"/>
  <conditionalFormatting sqref="S5:T71 S76:T76 S80:T84 S91:T92 S97:T98 S101:T103 S106:T106 S109:T110 S112:T112 S114:T114 S116:T117">
    <cfRule type="cellIs" dxfId="14" priority="2" operator="greaterThan">
      <formula>0.2</formula>
    </cfRule>
  </conditionalFormatting>
  <conditionalFormatting sqref="U5:W71 U76:W76 U80:W84 U91:W92 U97:W98 U101:W103 U106:W106 U109:W110 U112:W112 U114:W114 U116:W117">
    <cfRule type="cellIs" dxfId="13" priority="1" operator="greaterThan">
      <formula>0.1</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O53"/>
  <sheetViews>
    <sheetView workbookViewId="0">
      <pane xSplit="1" ySplit="1" topLeftCell="B2" activePane="bottomRight" state="frozen"/>
      <selection pane="topRight" activeCell="B1" sqref="B1"/>
      <selection pane="bottomLeft" activeCell="A2" sqref="A2"/>
      <selection pane="bottomRight" activeCell="B46" sqref="B46:F46"/>
    </sheetView>
  </sheetViews>
  <sheetFormatPr defaultRowHeight="14" x14ac:dyDescent="0.25"/>
  <cols>
    <col min="1" max="1" width="30.6328125" customWidth="1"/>
    <col min="2" max="2" width="15.6328125" style="59" customWidth="1"/>
    <col min="3" max="7" width="15.6328125" style="60" customWidth="1"/>
    <col min="8" max="9" width="9.453125" bestFit="1" customWidth="1"/>
  </cols>
  <sheetData>
    <row r="1" spans="1:15" x14ac:dyDescent="0.25">
      <c r="A1" t="s">
        <v>261</v>
      </c>
      <c r="B1" s="143">
        <v>43830</v>
      </c>
      <c r="C1" s="143">
        <v>43465</v>
      </c>
      <c r="D1" s="143">
        <v>43100</v>
      </c>
      <c r="E1" s="143">
        <v>42735</v>
      </c>
      <c r="F1" s="143">
        <v>42369</v>
      </c>
      <c r="G1" s="143">
        <v>42004</v>
      </c>
      <c r="H1" s="143">
        <v>41639</v>
      </c>
      <c r="I1" s="143">
        <v>41274</v>
      </c>
      <c r="J1" s="143">
        <v>40908</v>
      </c>
      <c r="K1" s="143">
        <v>40543</v>
      </c>
      <c r="L1" s="143">
        <v>40178</v>
      </c>
      <c r="M1" s="143">
        <v>39813</v>
      </c>
      <c r="N1" s="143">
        <v>39447</v>
      </c>
      <c r="O1" s="143">
        <v>39082</v>
      </c>
    </row>
    <row r="2" spans="1:15" x14ac:dyDescent="0.25">
      <c r="A2" t="str">
        <f>PL数据!A2</f>
        <v>营业总收入(万元)</v>
      </c>
      <c r="B2" s="141">
        <f>SUMIFS(PL数据!B:B,PL数据!$A:$A,$A2)</f>
        <v>7566576</v>
      </c>
      <c r="C2" s="141">
        <f>SUMIFS(PL数据!C:C,PL数据!$A:$A,$A2)</f>
        <v>5582150</v>
      </c>
      <c r="D2" s="141">
        <f>SUMIFS(PL数据!D:D,PL数据!$A:$A,$A2)</f>
        <v>3833509</v>
      </c>
      <c r="E2" s="141">
        <f>SUMIFS(PL数据!E:E,PL数据!$A:$A,$A2)</f>
        <v>2328007</v>
      </c>
      <c r="F2" s="141">
        <f>SUMIFS(PL数据!F:F,PL数据!$A:$A,$A2)</f>
        <v>2336687</v>
      </c>
      <c r="G2" s="141">
        <f>SUMIFS(PL数据!G:G,PL数据!$A:$A,$A2)</f>
        <v>3036472</v>
      </c>
      <c r="H2" s="141">
        <f>SUMIFS(PL数据!H:H,PL数据!$A:$A,$A2)</f>
        <v>3732789</v>
      </c>
      <c r="I2" s="141">
        <f>SUMIFS(PL数据!I:I,PL数据!$A:$A,$A2)</f>
        <v>4683054</v>
      </c>
      <c r="J2" s="141">
        <f>SUMIFS(PL数据!J:J,PL数据!$A:$A,$A2)</f>
        <v>5077630</v>
      </c>
      <c r="K2" s="141">
        <f>SUMIFS(PL数据!K:K,PL数据!$A:$A,$A2)</f>
        <v>3395494</v>
      </c>
      <c r="L2" s="141">
        <f>SUMIFS(PL数据!L:L,PL数据!$A:$A,$A2)</f>
        <v>1649588</v>
      </c>
      <c r="M2" s="141">
        <f>SUMIFS(PL数据!M:M,PL数据!$A:$A,$A2)</f>
        <v>1374526</v>
      </c>
      <c r="N2" s="141">
        <f>SUMIFS(PL数据!N:N,PL数据!$A:$A,$A2)</f>
        <v>914495</v>
      </c>
      <c r="O2" s="141">
        <f>SUMIFS(PL数据!O:O,PL数据!$A:$A,$A2)</f>
        <v>521019</v>
      </c>
    </row>
    <row r="3" spans="1:15" x14ac:dyDescent="0.25">
      <c r="A3" t="str">
        <f>PL数据!A3</f>
        <v>营业收入(万元)</v>
      </c>
      <c r="B3" s="141"/>
      <c r="C3" s="141"/>
      <c r="D3" s="141"/>
      <c r="E3" s="141"/>
      <c r="F3" s="141"/>
      <c r="G3" s="141"/>
      <c r="H3" s="141"/>
      <c r="I3" s="141"/>
      <c r="J3" s="141"/>
      <c r="K3" s="141"/>
      <c r="L3" s="141"/>
      <c r="M3" s="141"/>
      <c r="N3" s="141"/>
      <c r="O3" s="141"/>
    </row>
    <row r="4" spans="1:15" x14ac:dyDescent="0.25">
      <c r="A4" t="str">
        <f>PL数据!A4</f>
        <v>利息收入(万元)</v>
      </c>
      <c r="B4" s="141">
        <f>SUMIFS(PL数据!B:B,PL数据!$A:$A,$A4)</f>
        <v>0</v>
      </c>
      <c r="C4" s="141">
        <f>SUMIFS(PL数据!C:C,PL数据!$A:$A,$A4)</f>
        <v>0</v>
      </c>
      <c r="D4" s="141">
        <f>SUMIFS(PL数据!D:D,PL数据!$A:$A,$A4)</f>
        <v>0</v>
      </c>
      <c r="E4" s="141">
        <f>SUMIFS(PL数据!E:E,PL数据!$A:$A,$A4)</f>
        <v>0</v>
      </c>
      <c r="F4" s="141">
        <f>SUMIFS(PL数据!F:F,PL数据!$A:$A,$A4)</f>
        <v>0</v>
      </c>
      <c r="G4" s="141">
        <f>SUMIFS(PL数据!G:G,PL数据!$A:$A,$A4)</f>
        <v>0</v>
      </c>
      <c r="H4" s="141">
        <f>SUMIFS(PL数据!H:H,PL数据!$A:$A,$A4)</f>
        <v>0</v>
      </c>
      <c r="I4" s="141">
        <f>SUMIFS(PL数据!I:I,PL数据!$A:$A,$A4)</f>
        <v>0</v>
      </c>
      <c r="J4" s="141">
        <f>SUMIFS(PL数据!J:J,PL数据!$A:$A,$A4)</f>
        <v>0</v>
      </c>
      <c r="K4" s="141">
        <f>SUMIFS(PL数据!K:K,PL数据!$A:$A,$A4)</f>
        <v>0</v>
      </c>
      <c r="L4" s="141">
        <f>SUMIFS(PL数据!L:L,PL数据!$A:$A,$A4)</f>
        <v>0</v>
      </c>
      <c r="M4" s="141">
        <f>SUMIFS(PL数据!M:M,PL数据!$A:$A,$A4)</f>
        <v>0</v>
      </c>
      <c r="N4" s="141">
        <f>SUMIFS(PL数据!N:N,PL数据!$A:$A,$A4)</f>
        <v>0</v>
      </c>
      <c r="O4" s="141">
        <f>SUMIFS(PL数据!O:O,PL数据!$A:$A,$A4)</f>
        <v>0</v>
      </c>
    </row>
    <row r="5" spans="1:15" x14ac:dyDescent="0.25">
      <c r="A5" t="str">
        <f>PL数据!A5</f>
        <v>已赚保费(万元)</v>
      </c>
      <c r="B5" s="141">
        <f>SUMIFS(PL数据!B:B,PL数据!$A:$A,$A5)</f>
        <v>0</v>
      </c>
      <c r="C5" s="141">
        <f>SUMIFS(PL数据!C:C,PL数据!$A:$A,$A5)</f>
        <v>0</v>
      </c>
      <c r="D5" s="141">
        <f>SUMIFS(PL数据!D:D,PL数据!$A:$A,$A5)</f>
        <v>0</v>
      </c>
      <c r="E5" s="141">
        <f>SUMIFS(PL数据!E:E,PL数据!$A:$A,$A5)</f>
        <v>0</v>
      </c>
      <c r="F5" s="141">
        <f>SUMIFS(PL数据!F:F,PL数据!$A:$A,$A5)</f>
        <v>0</v>
      </c>
      <c r="G5" s="141">
        <f>SUMIFS(PL数据!G:G,PL数据!$A:$A,$A5)</f>
        <v>0</v>
      </c>
      <c r="H5" s="141">
        <f>SUMIFS(PL数据!H:H,PL数据!$A:$A,$A5)</f>
        <v>0</v>
      </c>
      <c r="I5" s="141">
        <f>SUMIFS(PL数据!I:I,PL数据!$A:$A,$A5)</f>
        <v>0</v>
      </c>
      <c r="J5" s="141">
        <f>SUMIFS(PL数据!J:J,PL数据!$A:$A,$A5)</f>
        <v>0</v>
      </c>
      <c r="K5" s="141">
        <f>SUMIFS(PL数据!K:K,PL数据!$A:$A,$A5)</f>
        <v>0</v>
      </c>
      <c r="L5" s="141">
        <f>SUMIFS(PL数据!L:L,PL数据!$A:$A,$A5)</f>
        <v>0</v>
      </c>
      <c r="M5" s="141">
        <f>SUMIFS(PL数据!M:M,PL数据!$A:$A,$A5)</f>
        <v>0</v>
      </c>
      <c r="N5" s="141">
        <f>SUMIFS(PL数据!N:N,PL数据!$A:$A,$A5)</f>
        <v>0</v>
      </c>
      <c r="O5" s="141">
        <f>SUMIFS(PL数据!O:O,PL数据!$A:$A,$A5)</f>
        <v>0</v>
      </c>
    </row>
    <row r="6" spans="1:15" x14ac:dyDescent="0.25">
      <c r="A6" t="str">
        <f>PL数据!A6</f>
        <v>手续费及佣金收入(万元)</v>
      </c>
      <c r="B6" s="141">
        <f>SUMIFS(PL数据!B:B,PL数据!$A:$A,$A6)</f>
        <v>0</v>
      </c>
      <c r="C6" s="141">
        <f>SUMIFS(PL数据!C:C,PL数据!$A:$A,$A6)</f>
        <v>0</v>
      </c>
      <c r="D6" s="141">
        <f>SUMIFS(PL数据!D:D,PL数据!$A:$A,$A6)</f>
        <v>0</v>
      </c>
      <c r="E6" s="141">
        <f>SUMIFS(PL数据!E:E,PL数据!$A:$A,$A6)</f>
        <v>0</v>
      </c>
      <c r="F6" s="141">
        <f>SUMIFS(PL数据!F:F,PL数据!$A:$A,$A6)</f>
        <v>0</v>
      </c>
      <c r="G6" s="141">
        <f>SUMIFS(PL数据!G:G,PL数据!$A:$A,$A6)</f>
        <v>0</v>
      </c>
      <c r="H6" s="141">
        <f>SUMIFS(PL数据!H:H,PL数据!$A:$A,$A6)</f>
        <v>0</v>
      </c>
      <c r="I6" s="141">
        <f>SUMIFS(PL数据!I:I,PL数据!$A:$A,$A6)</f>
        <v>0</v>
      </c>
      <c r="J6" s="141">
        <f>SUMIFS(PL数据!J:J,PL数据!$A:$A,$A6)</f>
        <v>0</v>
      </c>
      <c r="K6" s="141">
        <f>SUMIFS(PL数据!K:K,PL数据!$A:$A,$A6)</f>
        <v>0</v>
      </c>
      <c r="L6" s="141">
        <f>SUMIFS(PL数据!L:L,PL数据!$A:$A,$A6)</f>
        <v>0</v>
      </c>
      <c r="M6" s="141">
        <f>SUMIFS(PL数据!M:M,PL数据!$A:$A,$A6)</f>
        <v>0</v>
      </c>
      <c r="N6" s="141">
        <f>SUMIFS(PL数据!N:N,PL数据!$A:$A,$A6)</f>
        <v>0</v>
      </c>
      <c r="O6" s="141">
        <f>SUMIFS(PL数据!O:O,PL数据!$A:$A,$A6)</f>
        <v>0</v>
      </c>
    </row>
    <row r="7" spans="1:15" x14ac:dyDescent="0.25">
      <c r="A7" t="str">
        <f>PL数据!A7</f>
        <v>房地产销售收入(万元)</v>
      </c>
      <c r="B7" s="141">
        <f>SUMIFS(PL数据!B:B,PL数据!$A:$A,$A7)</f>
        <v>0</v>
      </c>
      <c r="C7" s="141">
        <f>SUMIFS(PL数据!C:C,PL数据!$A:$A,$A7)</f>
        <v>0</v>
      </c>
      <c r="D7" s="141">
        <f>SUMIFS(PL数据!D:D,PL数据!$A:$A,$A7)</f>
        <v>0</v>
      </c>
      <c r="E7" s="141">
        <f>SUMIFS(PL数据!E:E,PL数据!$A:$A,$A7)</f>
        <v>0</v>
      </c>
      <c r="F7" s="141">
        <f>SUMIFS(PL数据!F:F,PL数据!$A:$A,$A7)</f>
        <v>0</v>
      </c>
      <c r="G7" s="141">
        <f>SUMIFS(PL数据!G:G,PL数据!$A:$A,$A7)</f>
        <v>0</v>
      </c>
      <c r="H7" s="141">
        <f>SUMIFS(PL数据!H:H,PL数据!$A:$A,$A7)</f>
        <v>0</v>
      </c>
      <c r="I7" s="141">
        <f>SUMIFS(PL数据!I:I,PL数据!$A:$A,$A7)</f>
        <v>0</v>
      </c>
      <c r="J7" s="141">
        <f>SUMIFS(PL数据!J:J,PL数据!$A:$A,$A7)</f>
        <v>0</v>
      </c>
      <c r="K7" s="141">
        <f>SUMIFS(PL数据!K:K,PL数据!$A:$A,$A7)</f>
        <v>0</v>
      </c>
      <c r="L7" s="141">
        <f>SUMIFS(PL数据!L:L,PL数据!$A:$A,$A7)</f>
        <v>0</v>
      </c>
      <c r="M7" s="141">
        <f>SUMIFS(PL数据!M:M,PL数据!$A:$A,$A7)</f>
        <v>0</v>
      </c>
      <c r="N7" s="141">
        <f>SUMIFS(PL数据!N:N,PL数据!$A:$A,$A7)</f>
        <v>0</v>
      </c>
      <c r="O7" s="141">
        <f>SUMIFS(PL数据!O:O,PL数据!$A:$A,$A7)</f>
        <v>0</v>
      </c>
    </row>
    <row r="8" spans="1:15" x14ac:dyDescent="0.25">
      <c r="A8" t="str">
        <f>PL数据!A8</f>
        <v>其他业务收入(万元)</v>
      </c>
      <c r="B8" s="141">
        <f>SUMIFS(PL数据!B:B,PL数据!$A:$A,$A8)</f>
        <v>0</v>
      </c>
      <c r="C8" s="141">
        <f>SUMIFS(PL数据!C:C,PL数据!$A:$A,$A8)</f>
        <v>0</v>
      </c>
      <c r="D8" s="141">
        <f>SUMIFS(PL数据!D:D,PL数据!$A:$A,$A8)</f>
        <v>0</v>
      </c>
      <c r="E8" s="141">
        <f>SUMIFS(PL数据!E:E,PL数据!$A:$A,$A8)</f>
        <v>0</v>
      </c>
      <c r="F8" s="141">
        <f>SUMIFS(PL数据!F:F,PL数据!$A:$A,$A8)</f>
        <v>0</v>
      </c>
      <c r="G8" s="141">
        <f>SUMIFS(PL数据!G:G,PL数据!$A:$A,$A8)</f>
        <v>0</v>
      </c>
      <c r="H8" s="141">
        <f>SUMIFS(PL数据!H:H,PL数据!$A:$A,$A8)</f>
        <v>0</v>
      </c>
      <c r="I8" s="141">
        <f>SUMIFS(PL数据!I:I,PL数据!$A:$A,$A8)</f>
        <v>0</v>
      </c>
      <c r="J8" s="141">
        <f>SUMIFS(PL数据!J:J,PL数据!$A:$A,$A8)</f>
        <v>0</v>
      </c>
      <c r="K8" s="141">
        <f>SUMIFS(PL数据!K:K,PL数据!$A:$A,$A8)</f>
        <v>0</v>
      </c>
      <c r="L8" s="141">
        <f>SUMIFS(PL数据!L:L,PL数据!$A:$A,$A8)</f>
        <v>0</v>
      </c>
      <c r="M8" s="141">
        <f>SUMIFS(PL数据!M:M,PL数据!$A:$A,$A8)</f>
        <v>0</v>
      </c>
      <c r="N8" s="141">
        <f>SUMIFS(PL数据!N:N,PL数据!$A:$A,$A8)</f>
        <v>0</v>
      </c>
      <c r="O8" s="141">
        <f>SUMIFS(PL数据!O:O,PL数据!$A:$A,$A8)</f>
        <v>0</v>
      </c>
    </row>
    <row r="9" spans="1:15" x14ac:dyDescent="0.25">
      <c r="A9" t="str">
        <f>PL数据!A9</f>
        <v>营业总成本(万元)</v>
      </c>
      <c r="B9" s="141"/>
      <c r="C9" s="141"/>
      <c r="D9" s="141"/>
      <c r="E9" s="141"/>
      <c r="F9" s="141"/>
      <c r="G9" s="141"/>
      <c r="H9" s="141"/>
      <c r="I9" s="141"/>
      <c r="J9" s="141"/>
      <c r="K9" s="141"/>
      <c r="L9" s="141"/>
      <c r="M9" s="141"/>
      <c r="N9" s="141"/>
      <c r="O9" s="141"/>
    </row>
    <row r="10" spans="1:15" x14ac:dyDescent="0.25">
      <c r="A10" t="str">
        <f>PL数据!A10</f>
        <v>营业成本(万元)</v>
      </c>
      <c r="B10" s="141">
        <f>SUMIFS(PL数据!B:B,PL数据!$A:$A,$A10)</f>
        <v>5093227</v>
      </c>
      <c r="C10" s="141">
        <f>SUMIFS(PL数据!C:C,PL数据!$A:$A,$A10)</f>
        <v>3872796</v>
      </c>
      <c r="D10" s="141">
        <f>SUMIFS(PL数据!D:D,PL数据!$A:$A,$A10)</f>
        <v>2680585</v>
      </c>
      <c r="E10" s="141">
        <f>SUMIFS(PL数据!E:E,PL数据!$A:$A,$A10)</f>
        <v>1717940</v>
      </c>
      <c r="F10" s="141">
        <f>SUMIFS(PL数据!F:F,PL数据!$A:$A,$A10)</f>
        <v>1757677</v>
      </c>
      <c r="G10" s="141">
        <f>SUMIFS(PL数据!G:G,PL数据!$A:$A,$A10)</f>
        <v>2253867</v>
      </c>
      <c r="H10" s="141">
        <f>SUMIFS(PL数据!H:H,PL数据!$A:$A,$A10)</f>
        <v>2755269</v>
      </c>
      <c r="I10" s="141">
        <f>SUMIFS(PL数据!I:I,PL数据!$A:$A,$A10)</f>
        <v>3196325</v>
      </c>
      <c r="J10" s="141">
        <f>SUMIFS(PL数据!J:J,PL数据!$A:$A,$A10)</f>
        <v>3225223</v>
      </c>
      <c r="K10" s="141">
        <f>SUMIFS(PL数据!K:K,PL数据!$A:$A,$A10)</f>
        <v>2144184</v>
      </c>
      <c r="L10" s="141">
        <f>SUMIFS(PL数据!L:L,PL数据!$A:$A,$A10)</f>
        <v>1116108</v>
      </c>
      <c r="M10" s="141">
        <f>SUMIFS(PL数据!M:M,PL数据!$A:$A,$A10)</f>
        <v>962756</v>
      </c>
      <c r="N10" s="141">
        <f>SUMIFS(PL数据!N:N,PL数据!$A:$A,$A10)</f>
        <v>598420</v>
      </c>
      <c r="O10" s="141">
        <f>SUMIFS(PL数据!O:O,PL数据!$A:$A,$A10)</f>
        <v>339740</v>
      </c>
    </row>
    <row r="11" spans="1:15" x14ac:dyDescent="0.25">
      <c r="A11" t="str">
        <f>PL数据!A11</f>
        <v>利息支出(万元)</v>
      </c>
      <c r="B11" s="141">
        <f>SUMIFS(PL数据!B:B,PL数据!$A:$A,$A11)</f>
        <v>0</v>
      </c>
      <c r="C11" s="141">
        <f>SUMIFS(PL数据!C:C,PL数据!$A:$A,$A11)</f>
        <v>0</v>
      </c>
      <c r="D11" s="141">
        <f>SUMIFS(PL数据!D:D,PL数据!$A:$A,$A11)</f>
        <v>0</v>
      </c>
      <c r="E11" s="141">
        <f>SUMIFS(PL数据!E:E,PL数据!$A:$A,$A11)</f>
        <v>0</v>
      </c>
      <c r="F11" s="141">
        <f>SUMIFS(PL数据!F:F,PL数据!$A:$A,$A11)</f>
        <v>0</v>
      </c>
      <c r="G11" s="141">
        <f>SUMIFS(PL数据!G:G,PL数据!$A:$A,$A11)</f>
        <v>0</v>
      </c>
      <c r="H11" s="141">
        <f>SUMIFS(PL数据!H:H,PL数据!$A:$A,$A11)</f>
        <v>0</v>
      </c>
      <c r="I11" s="141">
        <f>SUMIFS(PL数据!I:I,PL数据!$A:$A,$A11)</f>
        <v>0</v>
      </c>
      <c r="J11" s="141">
        <f>SUMIFS(PL数据!J:J,PL数据!$A:$A,$A11)</f>
        <v>0</v>
      </c>
      <c r="K11" s="141">
        <f>SUMIFS(PL数据!K:K,PL数据!$A:$A,$A11)</f>
        <v>0</v>
      </c>
      <c r="L11" s="141">
        <f>SUMIFS(PL数据!L:L,PL数据!$A:$A,$A11)</f>
        <v>0</v>
      </c>
      <c r="M11" s="141">
        <f>SUMIFS(PL数据!M:M,PL数据!$A:$A,$A11)</f>
        <v>0</v>
      </c>
      <c r="N11" s="141">
        <f>SUMIFS(PL数据!N:N,PL数据!$A:$A,$A11)</f>
        <v>0</v>
      </c>
      <c r="O11" s="141">
        <f>SUMIFS(PL数据!O:O,PL数据!$A:$A,$A11)</f>
        <v>0</v>
      </c>
    </row>
    <row r="12" spans="1:15" x14ac:dyDescent="0.25">
      <c r="A12" t="str">
        <f>PL数据!A12</f>
        <v>手续费及佣金支出(万元)</v>
      </c>
      <c r="B12" s="141">
        <f>SUMIFS(PL数据!B:B,PL数据!$A:$A,$A12)</f>
        <v>0</v>
      </c>
      <c r="C12" s="141">
        <f>SUMIFS(PL数据!C:C,PL数据!$A:$A,$A12)</f>
        <v>0</v>
      </c>
      <c r="D12" s="141">
        <f>SUMIFS(PL数据!D:D,PL数据!$A:$A,$A12)</f>
        <v>0</v>
      </c>
      <c r="E12" s="141">
        <f>SUMIFS(PL数据!E:E,PL数据!$A:$A,$A12)</f>
        <v>0</v>
      </c>
      <c r="F12" s="141">
        <f>SUMIFS(PL数据!F:F,PL数据!$A:$A,$A12)</f>
        <v>0</v>
      </c>
      <c r="G12" s="141">
        <f>SUMIFS(PL数据!G:G,PL数据!$A:$A,$A12)</f>
        <v>0</v>
      </c>
      <c r="H12" s="141">
        <f>SUMIFS(PL数据!H:H,PL数据!$A:$A,$A12)</f>
        <v>0</v>
      </c>
      <c r="I12" s="141">
        <f>SUMIFS(PL数据!I:I,PL数据!$A:$A,$A12)</f>
        <v>0</v>
      </c>
      <c r="J12" s="141">
        <f>SUMIFS(PL数据!J:J,PL数据!$A:$A,$A12)</f>
        <v>0</v>
      </c>
      <c r="K12" s="141">
        <f>SUMIFS(PL数据!K:K,PL数据!$A:$A,$A12)</f>
        <v>0</v>
      </c>
      <c r="L12" s="141">
        <f>SUMIFS(PL数据!L:L,PL数据!$A:$A,$A12)</f>
        <v>0</v>
      </c>
      <c r="M12" s="141">
        <f>SUMIFS(PL数据!M:M,PL数据!$A:$A,$A12)</f>
        <v>0</v>
      </c>
      <c r="N12" s="141">
        <f>SUMIFS(PL数据!N:N,PL数据!$A:$A,$A12)</f>
        <v>0</v>
      </c>
      <c r="O12" s="141">
        <f>SUMIFS(PL数据!O:O,PL数据!$A:$A,$A12)</f>
        <v>0</v>
      </c>
    </row>
    <row r="13" spans="1:15" x14ac:dyDescent="0.25">
      <c r="A13" t="str">
        <f>PL数据!A13</f>
        <v>房地产销售成本(万元)</v>
      </c>
      <c r="B13" s="141">
        <f>SUMIFS(PL数据!B:B,PL数据!$A:$A,$A13)</f>
        <v>0</v>
      </c>
      <c r="C13" s="141">
        <f>SUMIFS(PL数据!C:C,PL数据!$A:$A,$A13)</f>
        <v>0</v>
      </c>
      <c r="D13" s="141">
        <f>SUMIFS(PL数据!D:D,PL数据!$A:$A,$A13)</f>
        <v>0</v>
      </c>
      <c r="E13" s="141">
        <f>SUMIFS(PL数据!E:E,PL数据!$A:$A,$A13)</f>
        <v>0</v>
      </c>
      <c r="F13" s="141">
        <f>SUMIFS(PL数据!F:F,PL数据!$A:$A,$A13)</f>
        <v>0</v>
      </c>
      <c r="G13" s="141">
        <f>SUMIFS(PL数据!G:G,PL数据!$A:$A,$A13)</f>
        <v>0</v>
      </c>
      <c r="H13" s="141">
        <f>SUMIFS(PL数据!H:H,PL数据!$A:$A,$A13)</f>
        <v>0</v>
      </c>
      <c r="I13" s="141">
        <f>SUMIFS(PL数据!I:I,PL数据!$A:$A,$A13)</f>
        <v>0</v>
      </c>
      <c r="J13" s="141">
        <f>SUMIFS(PL数据!J:J,PL数据!$A:$A,$A13)</f>
        <v>0</v>
      </c>
      <c r="K13" s="141">
        <f>SUMIFS(PL数据!K:K,PL数据!$A:$A,$A13)</f>
        <v>0</v>
      </c>
      <c r="L13" s="141">
        <f>SUMIFS(PL数据!L:L,PL数据!$A:$A,$A13)</f>
        <v>0</v>
      </c>
      <c r="M13" s="141">
        <f>SUMIFS(PL数据!M:M,PL数据!$A:$A,$A13)</f>
        <v>0</v>
      </c>
      <c r="N13" s="141">
        <f>SUMIFS(PL数据!N:N,PL数据!$A:$A,$A13)</f>
        <v>0</v>
      </c>
      <c r="O13" s="141">
        <f>SUMIFS(PL数据!O:O,PL数据!$A:$A,$A13)</f>
        <v>0</v>
      </c>
    </row>
    <row r="14" spans="1:15" x14ac:dyDescent="0.25">
      <c r="A14" t="str">
        <f>PL数据!A14</f>
        <v>研发费用(万元)</v>
      </c>
      <c r="B14" s="141">
        <f>SUMIFS(PL数据!B:B,PL数据!$A:$A,$A14)</f>
        <v>364441</v>
      </c>
      <c r="C14" s="141">
        <f>SUMIFS(PL数据!C:C,PL数据!$A:$A,$A14)</f>
        <v>175448</v>
      </c>
      <c r="D14" s="141">
        <f>SUMIFS(PL数据!D:D,PL数据!$A:$A,$A14)</f>
        <v>0</v>
      </c>
      <c r="E14" s="141">
        <f>SUMIFS(PL数据!E:E,PL数据!$A:$A,$A14)</f>
        <v>0</v>
      </c>
      <c r="F14" s="141">
        <f>SUMIFS(PL数据!F:F,PL数据!$A:$A,$A14)</f>
        <v>0</v>
      </c>
      <c r="G14" s="141">
        <f>SUMIFS(PL数据!G:G,PL数据!$A:$A,$A14)</f>
        <v>0</v>
      </c>
      <c r="H14" s="141">
        <f>SUMIFS(PL数据!H:H,PL数据!$A:$A,$A14)</f>
        <v>0</v>
      </c>
      <c r="I14" s="141">
        <f>SUMIFS(PL数据!I:I,PL数据!$A:$A,$A14)</f>
        <v>0</v>
      </c>
      <c r="J14" s="141">
        <f>SUMIFS(PL数据!J:J,PL数据!$A:$A,$A14)</f>
        <v>0</v>
      </c>
      <c r="K14" s="141">
        <f>SUMIFS(PL数据!K:K,PL数据!$A:$A,$A14)</f>
        <v>0</v>
      </c>
      <c r="L14" s="141">
        <f>SUMIFS(PL数据!L:L,PL数据!$A:$A,$A14)</f>
        <v>0</v>
      </c>
      <c r="M14" s="141">
        <f>SUMIFS(PL数据!M:M,PL数据!$A:$A,$A14)</f>
        <v>0</v>
      </c>
      <c r="N14" s="141">
        <f>SUMIFS(PL数据!N:N,PL数据!$A:$A,$A14)</f>
        <v>0</v>
      </c>
      <c r="O14" s="141">
        <f>SUMIFS(PL数据!O:O,PL数据!$A:$A,$A14)</f>
        <v>0</v>
      </c>
    </row>
    <row r="15" spans="1:15" x14ac:dyDescent="0.25">
      <c r="A15" t="str">
        <f>PL数据!A15</f>
        <v>退保金(万元)</v>
      </c>
      <c r="B15" s="141">
        <f>SUMIFS(PL数据!B:B,PL数据!$A:$A,$A15)</f>
        <v>0</v>
      </c>
      <c r="C15" s="141">
        <f>SUMIFS(PL数据!C:C,PL数据!$A:$A,$A15)</f>
        <v>0</v>
      </c>
      <c r="D15" s="141">
        <f>SUMIFS(PL数据!D:D,PL数据!$A:$A,$A15)</f>
        <v>0</v>
      </c>
      <c r="E15" s="141">
        <f>SUMIFS(PL数据!E:E,PL数据!$A:$A,$A15)</f>
        <v>0</v>
      </c>
      <c r="F15" s="141">
        <f>SUMIFS(PL数据!F:F,PL数据!$A:$A,$A15)</f>
        <v>0</v>
      </c>
      <c r="G15" s="141">
        <f>SUMIFS(PL数据!G:G,PL数据!$A:$A,$A15)</f>
        <v>0</v>
      </c>
      <c r="H15" s="141">
        <f>SUMIFS(PL数据!H:H,PL数据!$A:$A,$A15)</f>
        <v>0</v>
      </c>
      <c r="I15" s="141">
        <f>SUMIFS(PL数据!I:I,PL数据!$A:$A,$A15)</f>
        <v>0</v>
      </c>
      <c r="J15" s="141">
        <f>SUMIFS(PL数据!J:J,PL数据!$A:$A,$A15)</f>
        <v>0</v>
      </c>
      <c r="K15" s="141">
        <f>SUMIFS(PL数据!K:K,PL数据!$A:$A,$A15)</f>
        <v>0</v>
      </c>
      <c r="L15" s="141">
        <f>SUMIFS(PL数据!L:L,PL数据!$A:$A,$A15)</f>
        <v>0</v>
      </c>
      <c r="M15" s="141">
        <f>SUMIFS(PL数据!M:M,PL数据!$A:$A,$A15)</f>
        <v>0</v>
      </c>
      <c r="N15" s="141">
        <f>SUMIFS(PL数据!N:N,PL数据!$A:$A,$A15)</f>
        <v>0</v>
      </c>
      <c r="O15" s="141">
        <f>SUMIFS(PL数据!O:O,PL数据!$A:$A,$A15)</f>
        <v>0</v>
      </c>
    </row>
    <row r="16" spans="1:15" x14ac:dyDescent="0.25">
      <c r="A16" t="str">
        <f>PL数据!A16</f>
        <v>赔付支出净额(万元)</v>
      </c>
      <c r="B16" s="141">
        <f>SUMIFS(PL数据!B:B,PL数据!$A:$A,$A16)</f>
        <v>0</v>
      </c>
      <c r="C16" s="141">
        <f>SUMIFS(PL数据!C:C,PL数据!$A:$A,$A16)</f>
        <v>0</v>
      </c>
      <c r="D16" s="141">
        <f>SUMIFS(PL数据!D:D,PL数据!$A:$A,$A16)</f>
        <v>0</v>
      </c>
      <c r="E16" s="141">
        <f>SUMIFS(PL数据!E:E,PL数据!$A:$A,$A16)</f>
        <v>0</v>
      </c>
      <c r="F16" s="141">
        <f>SUMIFS(PL数据!F:F,PL数据!$A:$A,$A16)</f>
        <v>0</v>
      </c>
      <c r="G16" s="141">
        <f>SUMIFS(PL数据!G:G,PL数据!$A:$A,$A16)</f>
        <v>0</v>
      </c>
      <c r="H16" s="141">
        <f>SUMIFS(PL数据!H:H,PL数据!$A:$A,$A16)</f>
        <v>0</v>
      </c>
      <c r="I16" s="141">
        <f>SUMIFS(PL数据!I:I,PL数据!$A:$A,$A16)</f>
        <v>0</v>
      </c>
      <c r="J16" s="141">
        <f>SUMIFS(PL数据!J:J,PL数据!$A:$A,$A16)</f>
        <v>0</v>
      </c>
      <c r="K16" s="141">
        <f>SUMIFS(PL数据!K:K,PL数据!$A:$A,$A16)</f>
        <v>0</v>
      </c>
      <c r="L16" s="141">
        <f>SUMIFS(PL数据!L:L,PL数据!$A:$A,$A16)</f>
        <v>0</v>
      </c>
      <c r="M16" s="141">
        <f>SUMIFS(PL数据!M:M,PL数据!$A:$A,$A16)</f>
        <v>0</v>
      </c>
      <c r="N16" s="141">
        <f>SUMIFS(PL数据!N:N,PL数据!$A:$A,$A16)</f>
        <v>0</v>
      </c>
      <c r="O16" s="141">
        <f>SUMIFS(PL数据!O:O,PL数据!$A:$A,$A16)</f>
        <v>0</v>
      </c>
    </row>
    <row r="17" spans="1:15" x14ac:dyDescent="0.25">
      <c r="A17" t="str">
        <f>PL数据!A17</f>
        <v>提取保险合同准备金净额(万元)</v>
      </c>
      <c r="B17" s="141">
        <f>SUMIFS(PL数据!B:B,PL数据!$A:$A,$A17)</f>
        <v>0</v>
      </c>
      <c r="C17" s="141">
        <f>SUMIFS(PL数据!C:C,PL数据!$A:$A,$A17)</f>
        <v>0</v>
      </c>
      <c r="D17" s="141">
        <f>SUMIFS(PL数据!D:D,PL数据!$A:$A,$A17)</f>
        <v>0</v>
      </c>
      <c r="E17" s="141">
        <f>SUMIFS(PL数据!E:E,PL数据!$A:$A,$A17)</f>
        <v>0</v>
      </c>
      <c r="F17" s="141">
        <f>SUMIFS(PL数据!F:F,PL数据!$A:$A,$A17)</f>
        <v>0</v>
      </c>
      <c r="G17" s="141">
        <f>SUMIFS(PL数据!G:G,PL数据!$A:$A,$A17)</f>
        <v>0</v>
      </c>
      <c r="H17" s="141">
        <f>SUMIFS(PL数据!H:H,PL数据!$A:$A,$A17)</f>
        <v>0</v>
      </c>
      <c r="I17" s="141">
        <f>SUMIFS(PL数据!I:I,PL数据!$A:$A,$A17)</f>
        <v>0</v>
      </c>
      <c r="J17" s="141">
        <f>SUMIFS(PL数据!J:J,PL数据!$A:$A,$A17)</f>
        <v>0</v>
      </c>
      <c r="K17" s="141">
        <f>SUMIFS(PL数据!K:K,PL数据!$A:$A,$A17)</f>
        <v>0</v>
      </c>
      <c r="L17" s="141">
        <f>SUMIFS(PL数据!L:L,PL数据!$A:$A,$A17)</f>
        <v>0</v>
      </c>
      <c r="M17" s="141">
        <f>SUMIFS(PL数据!M:M,PL数据!$A:$A,$A17)</f>
        <v>0</v>
      </c>
      <c r="N17" s="141">
        <f>SUMIFS(PL数据!N:N,PL数据!$A:$A,$A17)</f>
        <v>0</v>
      </c>
      <c r="O17" s="141">
        <f>SUMIFS(PL数据!O:O,PL数据!$A:$A,$A17)</f>
        <v>0</v>
      </c>
    </row>
    <row r="18" spans="1:15" x14ac:dyDescent="0.25">
      <c r="A18" t="str">
        <f>PL数据!A18</f>
        <v>保单红利支出(万元)</v>
      </c>
      <c r="B18" s="141">
        <f>SUMIFS(PL数据!B:B,PL数据!$A:$A,$A18)</f>
        <v>0</v>
      </c>
      <c r="C18" s="141">
        <f>SUMIFS(PL数据!C:C,PL数据!$A:$A,$A18)</f>
        <v>0</v>
      </c>
      <c r="D18" s="141">
        <f>SUMIFS(PL数据!D:D,PL数据!$A:$A,$A18)</f>
        <v>0</v>
      </c>
      <c r="E18" s="141">
        <f>SUMIFS(PL数据!E:E,PL数据!$A:$A,$A18)</f>
        <v>0</v>
      </c>
      <c r="F18" s="141">
        <f>SUMIFS(PL数据!F:F,PL数据!$A:$A,$A18)</f>
        <v>0</v>
      </c>
      <c r="G18" s="141">
        <f>SUMIFS(PL数据!G:G,PL数据!$A:$A,$A18)</f>
        <v>0</v>
      </c>
      <c r="H18" s="141">
        <f>SUMIFS(PL数据!H:H,PL数据!$A:$A,$A18)</f>
        <v>0</v>
      </c>
      <c r="I18" s="141">
        <f>SUMIFS(PL数据!I:I,PL数据!$A:$A,$A18)</f>
        <v>0</v>
      </c>
      <c r="J18" s="141">
        <f>SUMIFS(PL数据!J:J,PL数据!$A:$A,$A18)</f>
        <v>0</v>
      </c>
      <c r="K18" s="141">
        <f>SUMIFS(PL数据!K:K,PL数据!$A:$A,$A18)</f>
        <v>0</v>
      </c>
      <c r="L18" s="141">
        <f>SUMIFS(PL数据!L:L,PL数据!$A:$A,$A18)</f>
        <v>0</v>
      </c>
      <c r="M18" s="141">
        <f>SUMIFS(PL数据!M:M,PL数据!$A:$A,$A18)</f>
        <v>0</v>
      </c>
      <c r="N18" s="141">
        <f>SUMIFS(PL数据!N:N,PL数据!$A:$A,$A18)</f>
        <v>0</v>
      </c>
      <c r="O18" s="141">
        <f>SUMIFS(PL数据!O:O,PL数据!$A:$A,$A18)</f>
        <v>0</v>
      </c>
    </row>
    <row r="19" spans="1:15" x14ac:dyDescent="0.25">
      <c r="A19" t="str">
        <f>PL数据!A19</f>
        <v>分保费用(万元)</v>
      </c>
      <c r="B19" s="141">
        <f>SUMIFS(PL数据!B:B,PL数据!$A:$A,$A19)</f>
        <v>0</v>
      </c>
      <c r="C19" s="141">
        <f>SUMIFS(PL数据!C:C,PL数据!$A:$A,$A19)</f>
        <v>0</v>
      </c>
      <c r="D19" s="141">
        <f>SUMIFS(PL数据!D:D,PL数据!$A:$A,$A19)</f>
        <v>0</v>
      </c>
      <c r="E19" s="141">
        <f>SUMIFS(PL数据!E:E,PL数据!$A:$A,$A19)</f>
        <v>0</v>
      </c>
      <c r="F19" s="141">
        <f>SUMIFS(PL数据!F:F,PL数据!$A:$A,$A19)</f>
        <v>0</v>
      </c>
      <c r="G19" s="141">
        <f>SUMIFS(PL数据!G:G,PL数据!$A:$A,$A19)</f>
        <v>0</v>
      </c>
      <c r="H19" s="141">
        <f>SUMIFS(PL数据!H:H,PL数据!$A:$A,$A19)</f>
        <v>0</v>
      </c>
      <c r="I19" s="141">
        <f>SUMIFS(PL数据!I:I,PL数据!$A:$A,$A19)</f>
        <v>0</v>
      </c>
      <c r="J19" s="141">
        <f>SUMIFS(PL数据!J:J,PL数据!$A:$A,$A19)</f>
        <v>0</v>
      </c>
      <c r="K19" s="141">
        <f>SUMIFS(PL数据!K:K,PL数据!$A:$A,$A19)</f>
        <v>0</v>
      </c>
      <c r="L19" s="141">
        <f>SUMIFS(PL数据!L:L,PL数据!$A:$A,$A19)</f>
        <v>0</v>
      </c>
      <c r="M19" s="141">
        <f>SUMIFS(PL数据!M:M,PL数据!$A:$A,$A19)</f>
        <v>0</v>
      </c>
      <c r="N19" s="141">
        <f>SUMIFS(PL数据!N:N,PL数据!$A:$A,$A19)</f>
        <v>0</v>
      </c>
      <c r="O19" s="141">
        <f>SUMIFS(PL数据!O:O,PL数据!$A:$A,$A19)</f>
        <v>0</v>
      </c>
    </row>
    <row r="20" spans="1:15" x14ac:dyDescent="0.25">
      <c r="A20" t="str">
        <f>PL数据!A20</f>
        <v>其他业务成本(万元)</v>
      </c>
      <c r="B20" s="141">
        <f>SUMIFS(PL数据!B:B,PL数据!$A:$A,$A20)</f>
        <v>0</v>
      </c>
      <c r="C20" s="141">
        <f>SUMIFS(PL数据!C:C,PL数据!$A:$A,$A20)</f>
        <v>0</v>
      </c>
      <c r="D20" s="141">
        <f>SUMIFS(PL数据!D:D,PL数据!$A:$A,$A20)</f>
        <v>0</v>
      </c>
      <c r="E20" s="141">
        <f>SUMIFS(PL数据!E:E,PL数据!$A:$A,$A20)</f>
        <v>0</v>
      </c>
      <c r="F20" s="141">
        <f>SUMIFS(PL数据!F:F,PL数据!$A:$A,$A20)</f>
        <v>0</v>
      </c>
      <c r="G20" s="141">
        <f>SUMIFS(PL数据!G:G,PL数据!$A:$A,$A20)</f>
        <v>0</v>
      </c>
      <c r="H20" s="141">
        <f>SUMIFS(PL数据!H:H,PL数据!$A:$A,$A20)</f>
        <v>0</v>
      </c>
      <c r="I20" s="141">
        <f>SUMIFS(PL数据!I:I,PL数据!$A:$A,$A20)</f>
        <v>0</v>
      </c>
      <c r="J20" s="141">
        <f>SUMIFS(PL数据!J:J,PL数据!$A:$A,$A20)</f>
        <v>0</v>
      </c>
      <c r="K20" s="141">
        <f>SUMIFS(PL数据!K:K,PL数据!$A:$A,$A20)</f>
        <v>0</v>
      </c>
      <c r="L20" s="141">
        <f>SUMIFS(PL数据!L:L,PL数据!$A:$A,$A20)</f>
        <v>0</v>
      </c>
      <c r="M20" s="141">
        <f>SUMIFS(PL数据!M:M,PL数据!$A:$A,$A20)</f>
        <v>0</v>
      </c>
      <c r="N20" s="141">
        <f>SUMIFS(PL数据!N:N,PL数据!$A:$A,$A20)</f>
        <v>0</v>
      </c>
      <c r="O20" s="141">
        <f>SUMIFS(PL数据!O:O,PL数据!$A:$A,$A20)</f>
        <v>0</v>
      </c>
    </row>
    <row r="21" spans="1:15" x14ac:dyDescent="0.25">
      <c r="A21" t="str">
        <f>PL数据!A21</f>
        <v>营业税金及附加(万元)</v>
      </c>
      <c r="B21" s="141">
        <f>SUMIFS(PL数据!B:B,PL数据!$A:$A,$A21)</f>
        <v>37091</v>
      </c>
      <c r="C21" s="141">
        <f>SUMIFS(PL数据!C:C,PL数据!$A:$A,$A21)</f>
        <v>32636</v>
      </c>
      <c r="D21" s="141">
        <f>SUMIFS(PL数据!D:D,PL数据!$A:$A,$A21)</f>
        <v>27922</v>
      </c>
      <c r="E21" s="141">
        <f>SUMIFS(PL数据!E:E,PL数据!$A:$A,$A21)</f>
        <v>21956</v>
      </c>
      <c r="F21" s="141">
        <f>SUMIFS(PL数据!F:F,PL数据!$A:$A,$A21)</f>
        <v>12113</v>
      </c>
      <c r="G21" s="141">
        <f>SUMIFS(PL数据!G:G,PL数据!$A:$A,$A21)</f>
        <v>18315</v>
      </c>
      <c r="H21" s="141">
        <f>SUMIFS(PL数据!H:H,PL数据!$A:$A,$A21)</f>
        <v>23303</v>
      </c>
      <c r="I21" s="141">
        <f>SUMIFS(PL数据!I:I,PL数据!$A:$A,$A21)</f>
        <v>16681</v>
      </c>
      <c r="J21" s="141">
        <f>SUMIFS(PL数据!J:J,PL数据!$A:$A,$A21)</f>
        <v>25952</v>
      </c>
      <c r="K21" s="141">
        <f>SUMIFS(PL数据!K:K,PL数据!$A:$A,$A21)</f>
        <v>13124</v>
      </c>
      <c r="L21" s="141">
        <f>SUMIFS(PL数据!L:L,PL数据!$A:$A,$A21)</f>
        <v>4910</v>
      </c>
      <c r="M21" s="141">
        <f>SUMIFS(PL数据!M:M,PL数据!$A:$A,$A21)</f>
        <v>1778</v>
      </c>
      <c r="N21" s="141">
        <f>SUMIFS(PL数据!N:N,PL数据!$A:$A,$A21)</f>
        <v>692</v>
      </c>
      <c r="O21" s="141">
        <f>SUMIFS(PL数据!O:O,PL数据!$A:$A,$A21)</f>
        <v>2046</v>
      </c>
    </row>
    <row r="22" spans="1:15" x14ac:dyDescent="0.25">
      <c r="A22" t="str">
        <f>PL数据!A22</f>
        <v>销售费用(万元)</v>
      </c>
      <c r="B22" s="141">
        <f>SUMIFS(PL数据!B:B,PL数据!$A:$A,$A22)</f>
        <v>548759</v>
      </c>
      <c r="C22" s="141">
        <f>SUMIFS(PL数据!C:C,PL数据!$A:$A,$A22)</f>
        <v>444663</v>
      </c>
      <c r="D22" s="141">
        <f>SUMIFS(PL数据!D:D,PL数据!$A:$A,$A22)</f>
        <v>383226</v>
      </c>
      <c r="E22" s="141">
        <f>SUMIFS(PL数据!E:E,PL数据!$A:$A,$A22)</f>
        <v>235907</v>
      </c>
      <c r="F22" s="141">
        <f>SUMIFS(PL数据!F:F,PL数据!$A:$A,$A22)</f>
        <v>193928</v>
      </c>
      <c r="G22" s="141">
        <f>SUMIFS(PL数据!G:G,PL数据!$A:$A,$A22)</f>
        <v>287217</v>
      </c>
      <c r="H22" s="141">
        <f>SUMIFS(PL数据!H:H,PL数据!$A:$A,$A22)</f>
        <v>304435</v>
      </c>
      <c r="I22" s="141">
        <f>SUMIFS(PL数据!I:I,PL数据!$A:$A,$A22)</f>
        <v>397413</v>
      </c>
      <c r="J22" s="141">
        <f>SUMIFS(PL数据!J:J,PL数据!$A:$A,$A22)</f>
        <v>421600</v>
      </c>
      <c r="K22" s="141">
        <f>SUMIFS(PL数据!K:K,PL数据!$A:$A,$A22)</f>
        <v>320483</v>
      </c>
      <c r="L22" s="141">
        <f>SUMIFS(PL数据!L:L,PL数据!$A:$A,$A22)</f>
        <v>168075</v>
      </c>
      <c r="M22" s="141">
        <f>SUMIFS(PL数据!M:M,PL数据!$A:$A,$A22)</f>
        <v>133146</v>
      </c>
      <c r="N22" s="141">
        <f>SUMIFS(PL数据!N:N,PL数据!$A:$A,$A22)</f>
        <v>88291</v>
      </c>
      <c r="O22" s="141">
        <f>SUMIFS(PL数据!O:O,PL数据!$A:$A,$A22)</f>
        <v>59378</v>
      </c>
    </row>
    <row r="23" spans="1:15" x14ac:dyDescent="0.25">
      <c r="A23" t="str">
        <f>PL数据!A23</f>
        <v>管理费用(万元)</v>
      </c>
      <c r="B23" s="141">
        <f>SUMIFS(PL数据!B:B,PL数据!$A:$A,$A23)</f>
        <v>205166</v>
      </c>
      <c r="C23" s="141">
        <f>SUMIFS(PL数据!C:C,PL数据!$A:$A,$A23)</f>
        <v>204590</v>
      </c>
      <c r="D23" s="141">
        <f>SUMIFS(PL数据!D:D,PL数据!$A:$A,$A23)</f>
        <v>253314</v>
      </c>
      <c r="E23" s="141">
        <f>SUMIFS(PL数据!E:E,PL数据!$A:$A,$A23)</f>
        <v>212081</v>
      </c>
      <c r="F23" s="141">
        <f>SUMIFS(PL数据!F:F,PL数据!$A:$A,$A23)</f>
        <v>200277</v>
      </c>
      <c r="G23" s="141">
        <f>SUMIFS(PL数据!G:G,PL数据!$A:$A,$A23)</f>
        <v>253252</v>
      </c>
      <c r="H23" s="141">
        <f>SUMIFS(PL数据!H:H,PL数据!$A:$A,$A23)</f>
        <v>294545</v>
      </c>
      <c r="I23" s="141">
        <f>SUMIFS(PL数据!I:I,PL数据!$A:$A,$A23)</f>
        <v>336724</v>
      </c>
      <c r="J23" s="141">
        <f>SUMIFS(PL数据!J:J,PL数据!$A:$A,$A23)</f>
        <v>306314</v>
      </c>
      <c r="K23" s="141">
        <f>SUMIFS(PL数据!K:K,PL数据!$A:$A,$A23)</f>
        <v>192150</v>
      </c>
      <c r="L23" s="141">
        <f>SUMIFS(PL数据!L:L,PL数据!$A:$A,$A23)</f>
        <v>77065</v>
      </c>
      <c r="M23" s="141">
        <f>SUMIFS(PL数据!M:M,PL数据!$A:$A,$A23)</f>
        <v>77178</v>
      </c>
      <c r="N23" s="141">
        <f>SUMIFS(PL数据!N:N,PL数据!$A:$A,$A23)</f>
        <v>50393</v>
      </c>
      <c r="O23" s="141">
        <f>SUMIFS(PL数据!O:O,PL数据!$A:$A,$A23)</f>
        <v>34599</v>
      </c>
    </row>
    <row r="24" spans="1:15" x14ac:dyDescent="0.25">
      <c r="A24" t="str">
        <f>PL数据!A24</f>
        <v>财务费用(万元)</v>
      </c>
      <c r="B24" s="141">
        <f>SUMIFS(PL数据!B:B,PL数据!$A:$A,$A24)</f>
        <v>-4639</v>
      </c>
      <c r="C24" s="141">
        <f>SUMIFS(PL数据!C:C,PL数据!$A:$A,$A24)</f>
        <v>13565</v>
      </c>
      <c r="D24" s="141">
        <f>SUMIFS(PL数据!D:D,PL数据!$A:$A,$A24)</f>
        <v>131903</v>
      </c>
      <c r="E24" s="141">
        <f>SUMIFS(PL数据!E:E,PL数据!$A:$A,$A24)</f>
        <v>87539</v>
      </c>
      <c r="F24" s="141">
        <f>SUMIFS(PL数据!F:F,PL数据!$A:$A,$A24)</f>
        <v>132122</v>
      </c>
      <c r="G24" s="141">
        <f>SUMIFS(PL数据!G:G,PL数据!$A:$A,$A24)</f>
        <v>123035</v>
      </c>
      <c r="H24" s="141">
        <f>SUMIFS(PL数据!H:H,PL数据!$A:$A,$A24)</f>
        <v>32495</v>
      </c>
      <c r="I24" s="141">
        <f>SUMIFS(PL数据!I:I,PL数据!$A:$A,$A24)</f>
        <v>135848</v>
      </c>
      <c r="J24" s="141">
        <f>SUMIFS(PL数据!J:J,PL数据!$A:$A,$A24)</f>
        <v>80727</v>
      </c>
      <c r="K24" s="141">
        <f>SUMIFS(PL数据!K:K,PL数据!$A:$A,$A24)</f>
        <v>29833</v>
      </c>
      <c r="L24" s="141">
        <f>SUMIFS(PL数据!L:L,PL数据!$A:$A,$A24)</f>
        <v>8869</v>
      </c>
      <c r="M24" s="141">
        <f>SUMIFS(PL数据!M:M,PL数据!$A:$A,$A24)</f>
        <v>13289</v>
      </c>
      <c r="N24" s="141">
        <f>SUMIFS(PL数据!N:N,PL数据!$A:$A,$A24)</f>
        <v>12097</v>
      </c>
      <c r="O24" s="141">
        <f>SUMIFS(PL数据!O:O,PL数据!$A:$A,$A24)</f>
        <v>11847</v>
      </c>
    </row>
    <row r="25" spans="1:15" x14ac:dyDescent="0.25">
      <c r="A25" t="str">
        <f>PL数据!A25</f>
        <v>资产减值损失(万元)</v>
      </c>
      <c r="B25" s="141">
        <f>SUMIFS(PL数据!B:B,PL数据!$A:$A,$A25)</f>
        <v>0</v>
      </c>
      <c r="C25" s="141">
        <f>SUMIFS(PL数据!C:C,PL数据!$A:$A,$A25)</f>
        <v>109538</v>
      </c>
      <c r="D25" s="141">
        <f>SUMIFS(PL数据!D:D,PL数据!$A:$A,$A25)</f>
        <v>118902</v>
      </c>
      <c r="E25" s="141">
        <f>SUMIFS(PL数据!E:E,PL数据!$A:$A,$A25)</f>
        <v>94842</v>
      </c>
      <c r="F25" s="141">
        <f>SUMIFS(PL数据!F:F,PL数据!$A:$A,$A25)</f>
        <v>49056</v>
      </c>
      <c r="G25" s="141">
        <f>SUMIFS(PL数据!G:G,PL数据!$A:$A,$A25)</f>
        <v>68233</v>
      </c>
      <c r="H25" s="141">
        <f>SUMIFS(PL数据!H:H,PL数据!$A:$A,$A25)</f>
        <v>42534</v>
      </c>
      <c r="I25" s="141">
        <f>SUMIFS(PL数据!I:I,PL数据!$A:$A,$A25)</f>
        <v>-7475</v>
      </c>
      <c r="J25" s="141">
        <f>SUMIFS(PL数据!J:J,PL数据!$A:$A,$A25)</f>
        <v>40352</v>
      </c>
      <c r="K25" s="141">
        <f>SUMIFS(PL数据!K:K,PL数据!$A:$A,$A25)</f>
        <v>15295</v>
      </c>
      <c r="L25" s="141">
        <f>SUMIFS(PL数据!L:L,PL数据!$A:$A,$A25)</f>
        <v>9423</v>
      </c>
      <c r="M25" s="141">
        <f>SUMIFS(PL数据!M:M,PL数据!$A:$A,$A25)</f>
        <v>8424</v>
      </c>
      <c r="N25" s="141">
        <f>SUMIFS(PL数据!N:N,PL数据!$A:$A,$A25)</f>
        <v>8100</v>
      </c>
      <c r="O25" s="141">
        <f>SUMIFS(PL数据!O:O,PL数据!$A:$A,$A25)</f>
        <v>3990</v>
      </c>
    </row>
    <row r="26" spans="1:15" x14ac:dyDescent="0.25">
      <c r="A26" t="str">
        <f>PL数据!A26</f>
        <v>公允价值变动收益(万元)</v>
      </c>
      <c r="B26" s="141">
        <f>SUMIFS(PL数据!B:B,PL数据!$A:$A,$A26)</f>
        <v>28965</v>
      </c>
      <c r="C26" s="141">
        <f>SUMIFS(PL数据!C:C,PL数据!$A:$A,$A26)</f>
        <v>-36168</v>
      </c>
      <c r="D26" s="141">
        <f>SUMIFS(PL数据!D:D,PL数据!$A:$A,$A26)</f>
        <v>40268</v>
      </c>
      <c r="E26" s="141">
        <f>SUMIFS(PL数据!E:E,PL数据!$A:$A,$A26)</f>
        <v>-56337</v>
      </c>
      <c r="F26" s="141">
        <f>SUMIFS(PL数据!F:F,PL数据!$A:$A,$A26)</f>
        <v>28236</v>
      </c>
      <c r="G26" s="141">
        <f>SUMIFS(PL数据!G:G,PL数据!$A:$A,$A26)</f>
        <v>-1528</v>
      </c>
      <c r="H26" s="141">
        <f>SUMIFS(PL数据!H:H,PL数据!$A:$A,$A26)</f>
        <v>14315</v>
      </c>
      <c r="I26" s="141">
        <f>SUMIFS(PL数据!I:I,PL数据!$A:$A,$A26)</f>
        <v>-13936</v>
      </c>
      <c r="J26" s="141">
        <f>SUMIFS(PL数据!J:J,PL数据!$A:$A,$A26)</f>
        <v>-6866</v>
      </c>
      <c r="K26" s="141">
        <f>SUMIFS(PL数据!K:K,PL数据!$A:$A,$A26)</f>
        <v>5035</v>
      </c>
      <c r="L26" s="141">
        <f>SUMIFS(PL数据!L:L,PL数据!$A:$A,$A26)</f>
        <v>4515</v>
      </c>
      <c r="M26" s="141">
        <f>SUMIFS(PL数据!M:M,PL数据!$A:$A,$A26)</f>
        <v>-18403</v>
      </c>
      <c r="N26" s="141">
        <f>SUMIFS(PL数据!N:N,PL数据!$A:$A,$A26)</f>
        <v>9950</v>
      </c>
      <c r="O26" s="141">
        <f>SUMIFS(PL数据!O:O,PL数据!$A:$A,$A26)</f>
        <v>3283</v>
      </c>
    </row>
    <row r="27" spans="1:15" x14ac:dyDescent="0.25">
      <c r="A27" t="str">
        <f>PL数据!A27</f>
        <v>投资收益(万元)</v>
      </c>
      <c r="B27" s="141">
        <f>SUMIFS(PL数据!B:B,PL数据!$A:$A,$A27)</f>
        <v>38285</v>
      </c>
      <c r="C27" s="141">
        <f>SUMIFS(PL数据!C:C,PL数据!$A:$A,$A27)</f>
        <v>63746</v>
      </c>
      <c r="D27" s="141">
        <f>SUMIFS(PL数据!D:D,PL数据!$A:$A,$A27)</f>
        <v>-1929</v>
      </c>
      <c r="E27" s="141">
        <f>SUMIFS(PL数据!E:E,PL数据!$A:$A,$A27)</f>
        <v>218147</v>
      </c>
      <c r="F27" s="141">
        <f>SUMIFS(PL数据!F:F,PL数据!$A:$A,$A27)</f>
        <v>-2697</v>
      </c>
      <c r="G27" s="141">
        <f>SUMIFS(PL数据!G:G,PL数据!$A:$A,$A27)</f>
        <v>40717</v>
      </c>
      <c r="H27" s="141">
        <f>SUMIFS(PL数据!H:H,PL数据!$A:$A,$A27)</f>
        <v>-19762</v>
      </c>
      <c r="I27" s="141">
        <f>SUMIFS(PL数据!I:I,PL数据!$A:$A,$A27)</f>
        <v>16137</v>
      </c>
      <c r="J27" s="141">
        <f>SUMIFS(PL数据!J:J,PL数据!$A:$A,$A27)</f>
        <v>14123</v>
      </c>
      <c r="K27" s="141">
        <f>SUMIFS(PL数据!K:K,PL数据!$A:$A,$A27)</f>
        <v>4229</v>
      </c>
      <c r="L27" s="141">
        <f>SUMIFS(PL数据!L:L,PL数据!$A:$A,$A27)</f>
        <v>-7287</v>
      </c>
      <c r="M27" s="141">
        <f>SUMIFS(PL数据!M:M,PL数据!$A:$A,$A27)</f>
        <v>-6352</v>
      </c>
      <c r="N27" s="141">
        <f>SUMIFS(PL数据!N:N,PL数据!$A:$A,$A27)</f>
        <v>39874</v>
      </c>
      <c r="O27" s="141">
        <f>SUMIFS(PL数据!O:O,PL数据!$A:$A,$A27)</f>
        <v>8778</v>
      </c>
    </row>
    <row r="28" spans="1:15" x14ac:dyDescent="0.25">
      <c r="A28" t="str">
        <f>PL数据!A28</f>
        <v>对联营企业和合营企业的投资收益(万元)</v>
      </c>
      <c r="B28" s="141">
        <f>SUMIFS(PL数据!B:B,PL数据!$A:$A,$A28)</f>
        <v>13953</v>
      </c>
      <c r="C28" s="141">
        <f>SUMIFS(PL数据!C:C,PL数据!$A:$A,$A28)</f>
        <v>12827</v>
      </c>
      <c r="D28" s="141">
        <f>SUMIFS(PL数据!D:D,PL数据!$A:$A,$A28)</f>
        <v>10224</v>
      </c>
      <c r="E28" s="141">
        <f>SUMIFS(PL数据!E:E,PL数据!$A:$A,$A28)</f>
        <v>5347</v>
      </c>
      <c r="F28" s="141">
        <f>SUMIFS(PL数据!F:F,PL数据!$A:$A,$A28)</f>
        <v>6248</v>
      </c>
      <c r="G28" s="141">
        <f>SUMIFS(PL数据!G:G,PL数据!$A:$A,$A28)</f>
        <v>2321</v>
      </c>
      <c r="H28" s="141">
        <f>SUMIFS(PL数据!H:H,PL数据!$A:$A,$A28)</f>
        <v>-361</v>
      </c>
      <c r="I28" s="141">
        <f>SUMIFS(PL数据!I:I,PL数据!$A:$A,$A28)</f>
        <v>2506</v>
      </c>
      <c r="J28" s="141">
        <f>SUMIFS(PL数据!J:J,PL数据!$A:$A,$A28)</f>
        <v>3812</v>
      </c>
      <c r="K28" s="141">
        <f>SUMIFS(PL数据!K:K,PL数据!$A:$A,$A28)</f>
        <v>1642</v>
      </c>
      <c r="L28" s="141">
        <f>SUMIFS(PL数据!L:L,PL数据!$A:$A,$A28)</f>
        <v>732</v>
      </c>
      <c r="M28" s="141">
        <f>SUMIFS(PL数据!M:M,PL数据!$A:$A,$A28)</f>
        <v>128</v>
      </c>
      <c r="N28" s="141">
        <f>SUMIFS(PL数据!N:N,PL数据!$A:$A,$A28)</f>
        <v>195</v>
      </c>
      <c r="O28" s="141">
        <f>SUMIFS(PL数据!O:O,PL数据!$A:$A,$A28)</f>
        <v>90</v>
      </c>
    </row>
    <row r="29" spans="1:15" x14ac:dyDescent="0.25">
      <c r="A29" t="str">
        <f>PL数据!A29</f>
        <v>汇兑收益(万元)</v>
      </c>
      <c r="B29" s="141">
        <f>SUMIFS(PL数据!B:B,PL数据!$A:$A,$A29)</f>
        <v>0</v>
      </c>
      <c r="C29" s="141">
        <f>SUMIFS(PL数据!C:C,PL数据!$A:$A,$A29)</f>
        <v>0</v>
      </c>
      <c r="D29" s="141">
        <f>SUMIFS(PL数据!D:D,PL数据!$A:$A,$A29)</f>
        <v>0</v>
      </c>
      <c r="E29" s="141">
        <f>SUMIFS(PL数据!E:E,PL数据!$A:$A,$A29)</f>
        <v>0</v>
      </c>
      <c r="F29" s="141">
        <f>SUMIFS(PL数据!F:F,PL数据!$A:$A,$A29)</f>
        <v>0</v>
      </c>
      <c r="G29" s="141">
        <f>SUMIFS(PL数据!G:G,PL数据!$A:$A,$A29)</f>
        <v>0</v>
      </c>
      <c r="H29" s="141">
        <f>SUMIFS(PL数据!H:H,PL数据!$A:$A,$A29)</f>
        <v>0</v>
      </c>
      <c r="I29" s="141">
        <f>SUMIFS(PL数据!I:I,PL数据!$A:$A,$A29)</f>
        <v>0</v>
      </c>
      <c r="J29" s="141">
        <f>SUMIFS(PL数据!J:J,PL数据!$A:$A,$A29)</f>
        <v>0</v>
      </c>
      <c r="K29" s="141">
        <f>SUMIFS(PL数据!K:K,PL数据!$A:$A,$A29)</f>
        <v>0</v>
      </c>
      <c r="L29" s="141">
        <f>SUMIFS(PL数据!L:L,PL数据!$A:$A,$A29)</f>
        <v>0</v>
      </c>
      <c r="M29" s="141">
        <f>SUMIFS(PL数据!M:M,PL数据!$A:$A,$A29)</f>
        <v>0</v>
      </c>
      <c r="N29" s="141">
        <f>SUMIFS(PL数据!N:N,PL数据!$A:$A,$A29)</f>
        <v>0</v>
      </c>
      <c r="O29" s="141">
        <f>SUMIFS(PL数据!O:O,PL数据!$A:$A,$A29)</f>
        <v>0</v>
      </c>
    </row>
    <row r="30" spans="1:15" x14ac:dyDescent="0.25">
      <c r="A30" t="str">
        <f>PL数据!A30</f>
        <v>期货损益(万元)</v>
      </c>
      <c r="B30" s="141">
        <f>SUMIFS(PL数据!B:B,PL数据!$A:$A,$A30)</f>
        <v>0</v>
      </c>
      <c r="C30" s="141">
        <f>SUMIFS(PL数据!C:C,PL数据!$A:$A,$A30)</f>
        <v>0</v>
      </c>
      <c r="D30" s="141">
        <f>SUMIFS(PL数据!D:D,PL数据!$A:$A,$A30)</f>
        <v>0</v>
      </c>
      <c r="E30" s="141">
        <f>SUMIFS(PL数据!E:E,PL数据!$A:$A,$A30)</f>
        <v>0</v>
      </c>
      <c r="F30" s="141">
        <f>SUMIFS(PL数据!F:F,PL数据!$A:$A,$A30)</f>
        <v>0</v>
      </c>
      <c r="G30" s="141">
        <f>SUMIFS(PL数据!G:G,PL数据!$A:$A,$A30)</f>
        <v>0</v>
      </c>
      <c r="H30" s="141">
        <f>SUMIFS(PL数据!H:H,PL数据!$A:$A,$A30)</f>
        <v>0</v>
      </c>
      <c r="I30" s="141">
        <f>SUMIFS(PL数据!I:I,PL数据!$A:$A,$A30)</f>
        <v>0</v>
      </c>
      <c r="J30" s="141">
        <f>SUMIFS(PL数据!J:J,PL数据!$A:$A,$A30)</f>
        <v>0</v>
      </c>
      <c r="K30" s="141">
        <f>SUMIFS(PL数据!K:K,PL数据!$A:$A,$A30)</f>
        <v>0</v>
      </c>
      <c r="L30" s="141">
        <f>SUMIFS(PL数据!L:L,PL数据!$A:$A,$A30)</f>
        <v>0</v>
      </c>
      <c r="M30" s="141">
        <f>SUMIFS(PL数据!M:M,PL数据!$A:$A,$A30)</f>
        <v>0</v>
      </c>
      <c r="N30" s="141">
        <f>SUMIFS(PL数据!N:N,PL数据!$A:$A,$A30)</f>
        <v>0</v>
      </c>
      <c r="O30" s="141">
        <f>SUMIFS(PL数据!O:O,PL数据!$A:$A,$A30)</f>
        <v>0</v>
      </c>
    </row>
    <row r="31" spans="1:15" x14ac:dyDescent="0.25">
      <c r="A31" t="str">
        <f>PL数据!A31</f>
        <v>托管收益(万元)</v>
      </c>
      <c r="B31" s="141">
        <f>SUMIFS(PL数据!B:B,PL数据!$A:$A,$A31)</f>
        <v>0</v>
      </c>
      <c r="C31" s="141">
        <f>SUMIFS(PL数据!C:C,PL数据!$A:$A,$A31)</f>
        <v>0</v>
      </c>
      <c r="D31" s="141">
        <f>SUMIFS(PL数据!D:D,PL数据!$A:$A,$A31)</f>
        <v>0</v>
      </c>
      <c r="E31" s="141">
        <f>SUMIFS(PL数据!E:E,PL数据!$A:$A,$A31)</f>
        <v>0</v>
      </c>
      <c r="F31" s="141">
        <f>SUMIFS(PL数据!F:F,PL数据!$A:$A,$A31)</f>
        <v>0</v>
      </c>
      <c r="G31" s="141">
        <f>SUMIFS(PL数据!G:G,PL数据!$A:$A,$A31)</f>
        <v>0</v>
      </c>
      <c r="H31" s="141">
        <f>SUMIFS(PL数据!H:H,PL数据!$A:$A,$A31)</f>
        <v>0</v>
      </c>
      <c r="I31" s="141">
        <f>SUMIFS(PL数据!I:I,PL数据!$A:$A,$A31)</f>
        <v>0</v>
      </c>
      <c r="J31" s="141">
        <f>SUMIFS(PL数据!J:J,PL数据!$A:$A,$A31)</f>
        <v>0</v>
      </c>
      <c r="K31" s="141">
        <f>SUMIFS(PL数据!K:K,PL数据!$A:$A,$A31)</f>
        <v>0</v>
      </c>
      <c r="L31" s="141">
        <f>SUMIFS(PL数据!L:L,PL数据!$A:$A,$A31)</f>
        <v>0</v>
      </c>
      <c r="M31" s="141">
        <f>SUMIFS(PL数据!M:M,PL数据!$A:$A,$A31)</f>
        <v>0</v>
      </c>
      <c r="N31" s="141">
        <f>SUMIFS(PL数据!N:N,PL数据!$A:$A,$A31)</f>
        <v>0</v>
      </c>
      <c r="O31" s="141">
        <f>SUMIFS(PL数据!O:O,PL数据!$A:$A,$A31)</f>
        <v>0</v>
      </c>
    </row>
    <row r="32" spans="1:15" x14ac:dyDescent="0.25">
      <c r="A32" t="str">
        <f>PL数据!A32</f>
        <v>补贴收入(万元)</v>
      </c>
      <c r="B32" s="141">
        <f>SUMIFS(PL数据!B:B,PL数据!$A:$A,$A32)</f>
        <v>0</v>
      </c>
      <c r="C32" s="141">
        <f>SUMIFS(PL数据!C:C,PL数据!$A:$A,$A32)</f>
        <v>0</v>
      </c>
      <c r="D32" s="141">
        <f>SUMIFS(PL数据!D:D,PL数据!$A:$A,$A32)</f>
        <v>0</v>
      </c>
      <c r="E32" s="141">
        <f>SUMIFS(PL数据!E:E,PL数据!$A:$A,$A32)</f>
        <v>0</v>
      </c>
      <c r="F32" s="141">
        <f>SUMIFS(PL数据!F:F,PL数据!$A:$A,$A32)</f>
        <v>0</v>
      </c>
      <c r="G32" s="141">
        <f>SUMIFS(PL数据!G:G,PL数据!$A:$A,$A32)</f>
        <v>0</v>
      </c>
      <c r="H32" s="141">
        <f>SUMIFS(PL数据!H:H,PL数据!$A:$A,$A32)</f>
        <v>0</v>
      </c>
      <c r="I32" s="141">
        <f>SUMIFS(PL数据!I:I,PL数据!$A:$A,$A32)</f>
        <v>0</v>
      </c>
      <c r="J32" s="141">
        <f>SUMIFS(PL数据!J:J,PL数据!$A:$A,$A32)</f>
        <v>0</v>
      </c>
      <c r="K32" s="141">
        <f>SUMIFS(PL数据!K:K,PL数据!$A:$A,$A32)</f>
        <v>0</v>
      </c>
      <c r="L32" s="141">
        <f>SUMIFS(PL数据!L:L,PL数据!$A:$A,$A32)</f>
        <v>0</v>
      </c>
      <c r="M32" s="141">
        <f>SUMIFS(PL数据!M:M,PL数据!$A:$A,$A32)</f>
        <v>0</v>
      </c>
      <c r="N32" s="141">
        <f>SUMIFS(PL数据!N:N,PL数据!$A:$A,$A32)</f>
        <v>0</v>
      </c>
      <c r="O32" s="141">
        <f>SUMIFS(PL数据!O:O,PL数据!$A:$A,$A32)</f>
        <v>0</v>
      </c>
    </row>
    <row r="33" spans="1:15" x14ac:dyDescent="0.25">
      <c r="A33" t="str">
        <f>PL数据!A33</f>
        <v>其他业务利润(万元)</v>
      </c>
      <c r="B33" s="141">
        <f>SUMIFS(PL数据!B:B,PL数据!$A:$A,$A33)</f>
        <v>0</v>
      </c>
      <c r="C33" s="141">
        <f>SUMIFS(PL数据!C:C,PL数据!$A:$A,$A33)</f>
        <v>0</v>
      </c>
      <c r="D33" s="141">
        <f>SUMIFS(PL数据!D:D,PL数据!$A:$A,$A33)</f>
        <v>0</v>
      </c>
      <c r="E33" s="141">
        <f>SUMIFS(PL数据!E:E,PL数据!$A:$A,$A33)</f>
        <v>0</v>
      </c>
      <c r="F33" s="141">
        <f>SUMIFS(PL数据!F:F,PL数据!$A:$A,$A33)</f>
        <v>0</v>
      </c>
      <c r="G33" s="141">
        <f>SUMIFS(PL数据!G:G,PL数据!$A:$A,$A33)</f>
        <v>0</v>
      </c>
      <c r="H33" s="141">
        <f>SUMIFS(PL数据!H:H,PL数据!$A:$A,$A33)</f>
        <v>0</v>
      </c>
      <c r="I33" s="141">
        <f>SUMIFS(PL数据!I:I,PL数据!$A:$A,$A33)</f>
        <v>0</v>
      </c>
      <c r="J33" s="141">
        <f>SUMIFS(PL数据!J:J,PL数据!$A:$A,$A33)</f>
        <v>0</v>
      </c>
      <c r="K33" s="141">
        <f>SUMIFS(PL数据!K:K,PL数据!$A:$A,$A33)</f>
        <v>0</v>
      </c>
      <c r="L33" s="141">
        <f>SUMIFS(PL数据!L:L,PL数据!$A:$A,$A33)</f>
        <v>0</v>
      </c>
      <c r="M33" s="141">
        <f>SUMIFS(PL数据!M:M,PL数据!$A:$A,$A33)</f>
        <v>0</v>
      </c>
      <c r="N33" s="141">
        <f>SUMIFS(PL数据!N:N,PL数据!$A:$A,$A33)</f>
        <v>0</v>
      </c>
      <c r="O33" s="141">
        <f>SUMIFS(PL数据!O:O,PL数据!$A:$A,$A33)</f>
        <v>0</v>
      </c>
    </row>
    <row r="34" spans="1:15" x14ac:dyDescent="0.25">
      <c r="A34" t="str">
        <f>PL数据!A34</f>
        <v>营业利润(万元)</v>
      </c>
      <c r="B34" s="141">
        <f>SUMIFS(PL数据!B:B,PL数据!$A:$A,$A34)</f>
        <v>1377543</v>
      </c>
      <c r="C34" s="141">
        <f>SUMIFS(PL数据!C:C,PL数据!$A:$A,$A34)</f>
        <v>787844</v>
      </c>
      <c r="D34" s="141">
        <f>SUMIFS(PL数据!D:D,PL数据!$A:$A,$A34)</f>
        <v>287603</v>
      </c>
      <c r="E34" s="141">
        <f>SUMIFS(PL数据!E:E,PL数据!$A:$A,$A34)</f>
        <v>119552</v>
      </c>
      <c r="F34" s="141">
        <f>SUMIFS(PL数据!F:F,PL数据!$A:$A,$A34)</f>
        <v>17054</v>
      </c>
      <c r="G34" s="141">
        <f>SUMIFS(PL数据!G:G,PL数据!$A:$A,$A34)</f>
        <v>71743</v>
      </c>
      <c r="H34" s="141">
        <f>SUMIFS(PL数据!H:H,PL数据!$A:$A,$A34)</f>
        <v>274761</v>
      </c>
      <c r="I34" s="141">
        <f>SUMIFS(PL数据!I:I,PL数据!$A:$A,$A34)</f>
        <v>609739</v>
      </c>
      <c r="J34" s="141">
        <f>SUMIFS(PL数据!J:J,PL数据!$A:$A,$A34)</f>
        <v>984720</v>
      </c>
      <c r="K34" s="141">
        <f>SUMIFS(PL数据!K:K,PL数据!$A:$A,$A34)</f>
        <v>689688</v>
      </c>
      <c r="L34" s="141">
        <f>SUMIFS(PL数据!L:L,PL数据!$A:$A,$A34)</f>
        <v>262365</v>
      </c>
      <c r="M34" s="141">
        <f>SUMIFS(PL数据!M:M,PL数据!$A:$A,$A34)</f>
        <v>153199</v>
      </c>
      <c r="N34" s="141">
        <f>SUMIFS(PL数据!N:N,PL数据!$A:$A,$A34)</f>
        <v>206326</v>
      </c>
      <c r="O34" s="141">
        <f>SUMIFS(PL数据!O:O,PL数据!$A:$A,$A34)</f>
        <v>81482</v>
      </c>
    </row>
    <row r="35" spans="1:15" x14ac:dyDescent="0.25">
      <c r="A35" t="str">
        <f>PL数据!A35</f>
        <v>营业外收入(万元)</v>
      </c>
      <c r="B35" s="141">
        <f>SUMIFS(PL数据!B:B,PL数据!$A:$A,$A35)</f>
        <v>18269</v>
      </c>
      <c r="C35" s="141">
        <f>SUMIFS(PL数据!C:C,PL数据!$A:$A,$A35)</f>
        <v>12318</v>
      </c>
      <c r="D35" s="141">
        <f>SUMIFS(PL数据!D:D,PL数据!$A:$A,$A35)</f>
        <v>9837</v>
      </c>
      <c r="E35" s="141">
        <f>SUMIFS(PL数据!E:E,PL数据!$A:$A,$A35)</f>
        <v>43761</v>
      </c>
      <c r="F35" s="141">
        <f>SUMIFS(PL数据!F:F,PL数据!$A:$A,$A35)</f>
        <v>37011</v>
      </c>
      <c r="G35" s="141">
        <f>SUMIFS(PL数据!G:G,PL数据!$A:$A,$A35)</f>
        <v>46092</v>
      </c>
      <c r="H35" s="141">
        <f>SUMIFS(PL数据!H:H,PL数据!$A:$A,$A35)</f>
        <v>84620</v>
      </c>
      <c r="I35" s="141">
        <f>SUMIFS(PL数据!I:I,PL数据!$A:$A,$A35)</f>
        <v>100768</v>
      </c>
      <c r="J35" s="141">
        <f>SUMIFS(PL数据!J:J,PL数据!$A:$A,$A35)</f>
        <v>102207</v>
      </c>
      <c r="K35" s="141">
        <f>SUMIFS(PL数据!K:K,PL数据!$A:$A,$A35)</f>
        <v>15082</v>
      </c>
      <c r="L35" s="141">
        <f>SUMIFS(PL数据!L:L,PL数据!$A:$A,$A35)</f>
        <v>4475</v>
      </c>
      <c r="M35" s="141">
        <f>SUMIFS(PL数据!M:M,PL数据!$A:$A,$A35)</f>
        <v>4398</v>
      </c>
      <c r="N35" s="141">
        <f>SUMIFS(PL数据!N:N,PL数据!$A:$A,$A35)</f>
        <v>3368</v>
      </c>
      <c r="O35" s="141">
        <f>SUMIFS(PL数据!O:O,PL数据!$A:$A,$A35)</f>
        <v>1104</v>
      </c>
    </row>
    <row r="36" spans="1:15" x14ac:dyDescent="0.25">
      <c r="A36" t="str">
        <f>PL数据!A36</f>
        <v>营业外支出(万元)</v>
      </c>
      <c r="B36" s="141">
        <f>SUMIFS(PL数据!B:B,PL数据!$A:$A,$A36)</f>
        <v>50380</v>
      </c>
      <c r="C36" s="141">
        <f>SUMIFS(PL数据!C:C,PL数据!$A:$A,$A36)</f>
        <v>45138</v>
      </c>
      <c r="D36" s="141">
        <f>SUMIFS(PL数据!D:D,PL数据!$A:$A,$A36)</f>
        <v>10556</v>
      </c>
      <c r="E36" s="141">
        <f>SUMIFS(PL数据!E:E,PL数据!$A:$A,$A36)</f>
        <v>157016</v>
      </c>
      <c r="F36" s="141">
        <f>SUMIFS(PL数据!F:F,PL数据!$A:$A,$A36)</f>
        <v>42076</v>
      </c>
      <c r="G36" s="141">
        <f>SUMIFS(PL数据!G:G,PL数据!$A:$A,$A36)</f>
        <v>19322</v>
      </c>
      <c r="H36" s="141">
        <f>SUMIFS(PL数据!H:H,PL数据!$A:$A,$A36)</f>
        <v>14340</v>
      </c>
      <c r="I36" s="141">
        <f>SUMIFS(PL数据!I:I,PL数据!$A:$A,$A36)</f>
        <v>22441</v>
      </c>
      <c r="J36" s="141">
        <f>SUMIFS(PL数据!J:J,PL数据!$A:$A,$A36)</f>
        <v>7700</v>
      </c>
      <c r="K36" s="141">
        <f>SUMIFS(PL数据!K:K,PL数据!$A:$A,$A36)</f>
        <v>10946</v>
      </c>
      <c r="L36" s="141">
        <f>SUMIFS(PL数据!L:L,PL数据!$A:$A,$A36)</f>
        <v>3951</v>
      </c>
      <c r="M36" s="141">
        <f>SUMIFS(PL数据!M:M,PL数据!$A:$A,$A36)</f>
        <v>3542</v>
      </c>
      <c r="N36" s="141">
        <f>SUMIFS(PL数据!N:N,PL数据!$A:$A,$A36)</f>
        <v>1386</v>
      </c>
      <c r="O36" s="141">
        <f>SUMIFS(PL数据!O:O,PL数据!$A:$A,$A36)</f>
        <v>492</v>
      </c>
    </row>
    <row r="37" spans="1:15" x14ac:dyDescent="0.25">
      <c r="A37" t="str">
        <f>PL数据!A37</f>
        <v>非流动资产处置损失(万元)</v>
      </c>
      <c r="B37" s="141">
        <f>SUMIFS(PL数据!B:B,PL数据!$A:$A,$A37)</f>
        <v>0</v>
      </c>
      <c r="C37" s="141">
        <f>SUMIFS(PL数据!C:C,PL数据!$A:$A,$A37)</f>
        <v>0</v>
      </c>
      <c r="D37" s="141">
        <f>SUMIFS(PL数据!D:D,PL数据!$A:$A,$A37)</f>
        <v>0</v>
      </c>
      <c r="E37" s="141">
        <f>SUMIFS(PL数据!E:E,PL数据!$A:$A,$A37)</f>
        <v>7396</v>
      </c>
      <c r="F37" s="141">
        <f>SUMIFS(PL数据!F:F,PL数据!$A:$A,$A37)</f>
        <v>22190</v>
      </c>
      <c r="G37" s="141">
        <f>SUMIFS(PL数据!G:G,PL数据!$A:$A,$A37)</f>
        <v>5510</v>
      </c>
      <c r="H37" s="141">
        <f>SUMIFS(PL数据!H:H,PL数据!$A:$A,$A37)</f>
        <v>5293</v>
      </c>
      <c r="I37" s="141">
        <f>SUMIFS(PL数据!I:I,PL数据!$A:$A,$A37)</f>
        <v>2525</v>
      </c>
      <c r="J37" s="141">
        <f>SUMIFS(PL数据!J:J,PL数据!$A:$A,$A37)</f>
        <v>3218</v>
      </c>
      <c r="K37" s="141">
        <f>SUMIFS(PL数据!K:K,PL数据!$A:$A,$A37)</f>
        <v>1596</v>
      </c>
      <c r="L37" s="141">
        <f>SUMIFS(PL数据!L:L,PL数据!$A:$A,$A37)</f>
        <v>1140</v>
      </c>
      <c r="M37" s="141">
        <f>SUMIFS(PL数据!M:M,PL数据!$A:$A,$A37)</f>
        <v>985</v>
      </c>
      <c r="N37" s="141">
        <f>SUMIFS(PL数据!N:N,PL数据!$A:$A,$A37)</f>
        <v>102</v>
      </c>
      <c r="O37" s="141">
        <f>SUMIFS(PL数据!O:O,PL数据!$A:$A,$A37)</f>
        <v>107</v>
      </c>
    </row>
    <row r="38" spans="1:15" x14ac:dyDescent="0.25">
      <c r="A38" t="str">
        <f>PL数据!A38</f>
        <v>利润总额(万元)</v>
      </c>
      <c r="B38" s="141">
        <f>SUMIFS(PL数据!B:B,PL数据!$A:$A,$A38)</f>
        <v>1345432</v>
      </c>
      <c r="C38" s="141">
        <f>SUMIFS(PL数据!C:C,PL数据!$A:$A,$A38)</f>
        <v>755024</v>
      </c>
      <c r="D38" s="141">
        <f>SUMIFS(PL数据!D:D,PL数据!$A:$A,$A38)</f>
        <v>286885</v>
      </c>
      <c r="E38" s="141">
        <f>SUMIFS(PL数据!E:E,PL数据!$A:$A,$A38)</f>
        <v>6297</v>
      </c>
      <c r="F38" s="141">
        <f>SUMIFS(PL数据!F:F,PL数据!$A:$A,$A38)</f>
        <v>11989</v>
      </c>
      <c r="G38" s="141">
        <f>SUMIFS(PL数据!G:G,PL数据!$A:$A,$A38)</f>
        <v>98513</v>
      </c>
      <c r="H38" s="141">
        <f>SUMIFS(PL数据!H:H,PL数据!$A:$A,$A38)</f>
        <v>345041</v>
      </c>
      <c r="I38" s="141">
        <f>SUMIFS(PL数据!I:I,PL数据!$A:$A,$A38)</f>
        <v>688066</v>
      </c>
      <c r="J38" s="141">
        <f>SUMIFS(PL数据!J:J,PL数据!$A:$A,$A38)</f>
        <v>1079227</v>
      </c>
      <c r="K38" s="141">
        <f>SUMIFS(PL数据!K:K,PL数据!$A:$A,$A38)</f>
        <v>693825</v>
      </c>
      <c r="L38" s="141">
        <f>SUMIFS(PL数据!L:L,PL数据!$A:$A,$A38)</f>
        <v>262890</v>
      </c>
      <c r="M38" s="141">
        <f>SUMIFS(PL数据!M:M,PL数据!$A:$A,$A38)</f>
        <v>154054</v>
      </c>
      <c r="N38" s="141">
        <f>SUMIFS(PL数据!N:N,PL数据!$A:$A,$A38)</f>
        <v>208309</v>
      </c>
      <c r="O38" s="141">
        <f>SUMIFS(PL数据!O:O,PL数据!$A:$A,$A38)</f>
        <v>82094</v>
      </c>
    </row>
    <row r="39" spans="1:15" x14ac:dyDescent="0.25">
      <c r="A39" t="str">
        <f>PL数据!A39</f>
        <v>所得税费用(万元)</v>
      </c>
      <c r="B39" s="141">
        <f>SUMIFS(PL数据!B:B,PL数据!$A:$A,$A39)</f>
        <v>195987</v>
      </c>
      <c r="C39" s="141">
        <f>SUMIFS(PL数据!C:C,PL数据!$A:$A,$A39)</f>
        <v>124676</v>
      </c>
      <c r="D39" s="141">
        <f>SUMIFS(PL数据!D:D,PL数据!$A:$A,$A39)</f>
        <v>64176</v>
      </c>
      <c r="E39" s="141">
        <f>SUMIFS(PL数据!E:E,PL数据!$A:$A,$A39)</f>
        <v>-10083</v>
      </c>
      <c r="F39" s="141">
        <f>SUMIFS(PL数据!F:F,PL数据!$A:$A,$A39)</f>
        <v>-1826</v>
      </c>
      <c r="G39" s="141">
        <f>SUMIFS(PL数据!G:G,PL数据!$A:$A,$A39)</f>
        <v>22916</v>
      </c>
      <c r="H39" s="141">
        <f>SUMIFS(PL数据!H:H,PL数据!$A:$A,$A39)</f>
        <v>35556</v>
      </c>
      <c r="I39" s="141">
        <f>SUMIFS(PL数据!I:I,PL数据!$A:$A,$A39)</f>
        <v>86998</v>
      </c>
      <c r="J39" s="141">
        <f>SUMIFS(PL数据!J:J,PL数据!$A:$A,$A39)</f>
        <v>143071</v>
      </c>
      <c r="K39" s="141">
        <f>SUMIFS(PL数据!K:K,PL数据!$A:$A,$A39)</f>
        <v>77422</v>
      </c>
      <c r="L39" s="141">
        <f>SUMIFS(PL数据!L:L,PL数据!$A:$A,$A39)</f>
        <v>25894</v>
      </c>
      <c r="M39" s="141">
        <f>SUMIFS(PL数据!M:M,PL数据!$A:$A,$A39)</f>
        <v>6614</v>
      </c>
      <c r="N39" s="141">
        <f>SUMIFS(PL数据!N:N,PL数据!$A:$A,$A39)</f>
        <v>17730</v>
      </c>
      <c r="O39" s="141">
        <f>SUMIFS(PL数据!O:O,PL数据!$A:$A,$A39)</f>
        <v>7974</v>
      </c>
    </row>
    <row r="40" spans="1:15" x14ac:dyDescent="0.25">
      <c r="A40" t="str">
        <f>PL数据!A40</f>
        <v>未确认投资损失(万元)</v>
      </c>
      <c r="B40" s="141">
        <f>SUMIFS(PL数据!B:B,PL数据!$A:$A,$A40)</f>
        <v>0</v>
      </c>
      <c r="C40" s="141">
        <f>SUMIFS(PL数据!C:C,PL数据!$A:$A,$A40)</f>
        <v>0</v>
      </c>
      <c r="D40" s="141">
        <f>SUMIFS(PL数据!D:D,PL数据!$A:$A,$A40)</f>
        <v>0</v>
      </c>
      <c r="E40" s="141">
        <f>SUMIFS(PL数据!E:E,PL数据!$A:$A,$A40)</f>
        <v>0</v>
      </c>
      <c r="F40" s="141">
        <f>SUMIFS(PL数据!F:F,PL数据!$A:$A,$A40)</f>
        <v>0</v>
      </c>
      <c r="G40" s="141">
        <f>SUMIFS(PL数据!G:G,PL数据!$A:$A,$A40)</f>
        <v>0</v>
      </c>
      <c r="H40" s="141">
        <f>SUMIFS(PL数据!H:H,PL数据!$A:$A,$A40)</f>
        <v>0</v>
      </c>
      <c r="I40" s="141">
        <f>SUMIFS(PL数据!I:I,PL数据!$A:$A,$A40)</f>
        <v>0</v>
      </c>
      <c r="J40" s="141">
        <f>SUMIFS(PL数据!J:J,PL数据!$A:$A,$A40)</f>
        <v>0</v>
      </c>
      <c r="K40" s="141">
        <f>SUMIFS(PL数据!K:K,PL数据!$A:$A,$A40)</f>
        <v>0</v>
      </c>
      <c r="L40" s="141">
        <f>SUMIFS(PL数据!L:L,PL数据!$A:$A,$A40)</f>
        <v>0</v>
      </c>
      <c r="M40" s="141">
        <f>SUMIFS(PL数据!M:M,PL数据!$A:$A,$A40)</f>
        <v>0</v>
      </c>
      <c r="N40" s="141">
        <f>SUMIFS(PL数据!N:N,PL数据!$A:$A,$A40)</f>
        <v>0</v>
      </c>
      <c r="O40" s="141">
        <f>SUMIFS(PL数据!O:O,PL数据!$A:$A,$A40)</f>
        <v>0</v>
      </c>
    </row>
    <row r="41" spans="1:15" x14ac:dyDescent="0.25">
      <c r="A41" t="str">
        <f>PL数据!A41</f>
        <v>净利润(万元)</v>
      </c>
      <c r="B41" s="141">
        <f>SUMIFS(PL数据!B:B,PL数据!$A:$A,$A41)</f>
        <v>1149445</v>
      </c>
      <c r="C41" s="141">
        <f>SUMIFS(PL数据!C:C,PL数据!$A:$A,$A41)</f>
        <v>630349</v>
      </c>
      <c r="D41" s="141">
        <f>SUMIFS(PL数据!D:D,PL数据!$A:$A,$A41)</f>
        <v>222709</v>
      </c>
      <c r="E41" s="141">
        <f>SUMIFS(PL数据!E:E,PL数据!$A:$A,$A41)</f>
        <v>16380</v>
      </c>
      <c r="F41" s="141">
        <f>SUMIFS(PL数据!F:F,PL数据!$A:$A,$A41)</f>
        <v>13815</v>
      </c>
      <c r="G41" s="141">
        <f>SUMIFS(PL数据!G:G,PL数据!$A:$A,$A41)</f>
        <v>75597</v>
      </c>
      <c r="H41" s="141">
        <f>SUMIFS(PL数据!H:H,PL数据!$A:$A,$A41)</f>
        <v>309485</v>
      </c>
      <c r="I41" s="141">
        <f>SUMIFS(PL数据!I:I,PL数据!$A:$A,$A41)</f>
        <v>601068</v>
      </c>
      <c r="J41" s="141">
        <f>SUMIFS(PL数据!J:J,PL数据!$A:$A,$A41)</f>
        <v>936155</v>
      </c>
      <c r="K41" s="141">
        <f>SUMIFS(PL数据!K:K,PL数据!$A:$A,$A41)</f>
        <v>616403</v>
      </c>
      <c r="L41" s="141">
        <f>SUMIFS(PL数据!L:L,PL数据!$A:$A,$A41)</f>
        <v>236996</v>
      </c>
      <c r="M41" s="141">
        <f>SUMIFS(PL数据!M:M,PL数据!$A:$A,$A41)</f>
        <v>147441</v>
      </c>
      <c r="N41" s="141">
        <f>SUMIFS(PL数据!N:N,PL数据!$A:$A,$A41)</f>
        <v>190579</v>
      </c>
      <c r="O41" s="141">
        <f>SUMIFS(PL数据!O:O,PL数据!$A:$A,$A41)</f>
        <v>74120</v>
      </c>
    </row>
    <row r="42" spans="1:15" x14ac:dyDescent="0.25">
      <c r="A42" t="str">
        <f>PL数据!A42</f>
        <v>归属于母公司所有者的净利润(万元)</v>
      </c>
      <c r="B42" s="141">
        <f>SUMIFS(PL数据!B:B,PL数据!$A:$A,$A42)</f>
        <v>1120666</v>
      </c>
      <c r="C42" s="141">
        <f>SUMIFS(PL数据!C:C,PL数据!$A:$A,$A42)</f>
        <v>611629</v>
      </c>
      <c r="D42" s="141">
        <f>SUMIFS(PL数据!D:D,PL数据!$A:$A,$A42)</f>
        <v>209225</v>
      </c>
      <c r="E42" s="141">
        <f>SUMIFS(PL数据!E:E,PL数据!$A:$A,$A42)</f>
        <v>20346</v>
      </c>
      <c r="F42" s="141">
        <f>SUMIFS(PL数据!F:F,PL数据!$A:$A,$A42)</f>
        <v>13859</v>
      </c>
      <c r="G42" s="141">
        <f>SUMIFS(PL数据!G:G,PL数据!$A:$A,$A42)</f>
        <v>70921</v>
      </c>
      <c r="H42" s="141">
        <f>SUMIFS(PL数据!H:H,PL数据!$A:$A,$A42)</f>
        <v>290360</v>
      </c>
      <c r="I42" s="141">
        <f>SUMIFS(PL数据!I:I,PL数据!$A:$A,$A42)</f>
        <v>568610</v>
      </c>
      <c r="J42" s="141">
        <f>SUMIFS(PL数据!J:J,PL数据!$A:$A,$A42)</f>
        <v>864890</v>
      </c>
      <c r="K42" s="141">
        <f>SUMIFS(PL数据!K:K,PL数据!$A:$A,$A42)</f>
        <v>561546</v>
      </c>
      <c r="L42" s="141">
        <f>SUMIFS(PL数据!L:L,PL数据!$A:$A,$A42)</f>
        <v>196258</v>
      </c>
      <c r="M42" s="141">
        <f>SUMIFS(PL数据!M:M,PL数据!$A:$A,$A42)</f>
        <v>123223</v>
      </c>
      <c r="N42" s="141">
        <f>SUMIFS(PL数据!N:N,PL数据!$A:$A,$A42)</f>
        <v>160616</v>
      </c>
      <c r="O42" s="141">
        <f>SUMIFS(PL数据!O:O,PL数据!$A:$A,$A42)</f>
        <v>59200</v>
      </c>
    </row>
    <row r="43" spans="1:15" x14ac:dyDescent="0.25">
      <c r="A43" t="str">
        <f>PL数据!A43</f>
        <v>被合并方在合并前实现净利润(万元)</v>
      </c>
      <c r="B43" s="141">
        <f>SUMIFS(PL数据!B:B,PL数据!$A:$A,$A43)</f>
        <v>0</v>
      </c>
      <c r="C43" s="141">
        <f>SUMIFS(PL数据!C:C,PL数据!$A:$A,$A43)</f>
        <v>0</v>
      </c>
      <c r="D43" s="141">
        <f>SUMIFS(PL数据!D:D,PL数据!$A:$A,$A43)</f>
        <v>0</v>
      </c>
      <c r="E43" s="141">
        <f>SUMIFS(PL数据!E:E,PL数据!$A:$A,$A43)</f>
        <v>0</v>
      </c>
      <c r="F43" s="141">
        <f>SUMIFS(PL数据!F:F,PL数据!$A:$A,$A43)</f>
        <v>0</v>
      </c>
      <c r="G43" s="141">
        <f>SUMIFS(PL数据!G:G,PL数据!$A:$A,$A43)</f>
        <v>0</v>
      </c>
      <c r="H43" s="141">
        <f>SUMIFS(PL数据!H:H,PL数据!$A:$A,$A43)</f>
        <v>0</v>
      </c>
      <c r="I43" s="141">
        <f>SUMIFS(PL数据!I:I,PL数据!$A:$A,$A43)</f>
        <v>0</v>
      </c>
      <c r="J43" s="141">
        <f>SUMIFS(PL数据!J:J,PL数据!$A:$A,$A43)</f>
        <v>0</v>
      </c>
      <c r="K43" s="141">
        <f>SUMIFS(PL数据!K:K,PL数据!$A:$A,$A43)</f>
        <v>38353</v>
      </c>
      <c r="L43" s="141">
        <f>SUMIFS(PL数据!L:L,PL数据!$A:$A,$A43)</f>
        <v>0</v>
      </c>
      <c r="M43" s="141">
        <f>SUMIFS(PL数据!M:M,PL数据!$A:$A,$A43)</f>
        <v>0</v>
      </c>
      <c r="N43" s="141">
        <f>SUMIFS(PL数据!N:N,PL数据!$A:$A,$A43)</f>
        <v>7204</v>
      </c>
      <c r="O43" s="141">
        <f>SUMIFS(PL数据!O:O,PL数据!$A:$A,$A43)</f>
        <v>9332</v>
      </c>
    </row>
    <row r="44" spans="1:15" x14ac:dyDescent="0.25">
      <c r="A44" t="str">
        <f>PL数据!A44</f>
        <v>少数股东损益(万元)</v>
      </c>
      <c r="B44" s="141">
        <f>SUMIFS(PL数据!B:B,PL数据!$A:$A,$A44)</f>
        <v>28779</v>
      </c>
      <c r="C44" s="141">
        <f>SUMIFS(PL数据!C:C,PL数据!$A:$A,$A44)</f>
        <v>18720</v>
      </c>
      <c r="D44" s="141">
        <f>SUMIFS(PL数据!D:D,PL数据!$A:$A,$A44)</f>
        <v>13483</v>
      </c>
      <c r="E44" s="141">
        <f>SUMIFS(PL数据!E:E,PL数据!$A:$A,$A44)</f>
        <v>-3966</v>
      </c>
      <c r="F44" s="141">
        <f>SUMIFS(PL数据!F:F,PL数据!$A:$A,$A44)</f>
        <v>-44</v>
      </c>
      <c r="G44" s="141">
        <f>SUMIFS(PL数据!G:G,PL数据!$A:$A,$A44)</f>
        <v>4677</v>
      </c>
      <c r="H44" s="141">
        <f>SUMIFS(PL数据!H:H,PL数据!$A:$A,$A44)</f>
        <v>19126</v>
      </c>
      <c r="I44" s="141">
        <f>SUMIFS(PL数据!I:I,PL数据!$A:$A,$A44)</f>
        <v>32459</v>
      </c>
      <c r="J44" s="141">
        <f>SUMIFS(PL数据!J:J,PL数据!$A:$A,$A44)</f>
        <v>71266</v>
      </c>
      <c r="K44" s="141">
        <f>SUMIFS(PL数据!K:K,PL数据!$A:$A,$A44)</f>
        <v>54857</v>
      </c>
      <c r="L44" s="141">
        <f>SUMIFS(PL数据!L:L,PL数据!$A:$A,$A44)</f>
        <v>40738</v>
      </c>
      <c r="M44" s="141">
        <f>SUMIFS(PL数据!M:M,PL数据!$A:$A,$A44)</f>
        <v>24217</v>
      </c>
      <c r="N44" s="141">
        <f>SUMIFS(PL数据!N:N,PL数据!$A:$A,$A44)</f>
        <v>22759</v>
      </c>
      <c r="O44" s="141">
        <f>SUMIFS(PL数据!O:O,PL数据!$A:$A,$A44)</f>
        <v>5588</v>
      </c>
    </row>
    <row r="45" spans="1:15" x14ac:dyDescent="0.25">
      <c r="A45" t="str">
        <f>PL数据!A45</f>
        <v>每股权益</v>
      </c>
      <c r="B45" s="141">
        <f>SUMIFS(PL数据!B:B,PL数据!$A:$A,$A45)</f>
        <v>0</v>
      </c>
      <c r="C45" s="141">
        <f>SUMIFS(PL数据!C:C,PL数据!$A:$A,$A45)</f>
        <v>0</v>
      </c>
      <c r="D45" s="141">
        <f>SUMIFS(PL数据!D:D,PL数据!$A:$A,$A45)</f>
        <v>0</v>
      </c>
      <c r="E45" s="141">
        <f>SUMIFS(PL数据!E:E,PL数据!$A:$A,$A45)</f>
        <v>0</v>
      </c>
      <c r="F45" s="141">
        <f>SUMIFS(PL数据!F:F,PL数据!$A:$A,$A45)</f>
        <v>0</v>
      </c>
      <c r="G45" s="141">
        <f>SUMIFS(PL数据!G:G,PL数据!$A:$A,$A45)</f>
        <v>0</v>
      </c>
      <c r="H45" s="141">
        <f>SUMIFS(PL数据!H:H,PL数据!$A:$A,$A45)</f>
        <v>0</v>
      </c>
      <c r="I45" s="141">
        <f>SUMIFS(PL数据!I:I,PL数据!$A:$A,$A45)</f>
        <v>0</v>
      </c>
      <c r="J45" s="141">
        <f>SUMIFS(PL数据!J:J,PL数据!$A:$A,$A45)</f>
        <v>0</v>
      </c>
      <c r="K45" s="141">
        <f>SUMIFS(PL数据!K:K,PL数据!$A:$A,$A45)</f>
        <v>0</v>
      </c>
      <c r="L45" s="141">
        <f>SUMIFS(PL数据!L:L,PL数据!$A:$A,$A45)</f>
        <v>0</v>
      </c>
      <c r="M45" s="141">
        <f>SUMIFS(PL数据!M:M,PL数据!$A:$A,$A45)</f>
        <v>0</v>
      </c>
      <c r="N45" s="141">
        <f>SUMIFS(PL数据!N:N,PL数据!$A:$A,$A45)</f>
        <v>0</v>
      </c>
      <c r="O45" s="141">
        <f>SUMIFS(PL数据!O:O,PL数据!$A:$A,$A45)</f>
        <v>0</v>
      </c>
    </row>
    <row r="46" spans="1:15" x14ac:dyDescent="0.25">
      <c r="A46" t="str">
        <f>PL数据!A46</f>
        <v>基本每股收益</v>
      </c>
      <c r="B46" s="141">
        <f>SUMIFS(PL数据!B:B,PL数据!$A:$A,$A46)</f>
        <v>1.36</v>
      </c>
      <c r="C46" s="141">
        <f>SUMIFS(PL数据!C:C,PL数据!$A:$A,$A46)</f>
        <v>0.79</v>
      </c>
      <c r="D46" s="141">
        <f>SUMIFS(PL数据!D:D,PL数据!$A:$A,$A46)</f>
        <v>0.27</v>
      </c>
      <c r="E46" s="141">
        <f>SUMIFS(PL数据!E:E,PL数据!$A:$A,$A46)</f>
        <v>0.03</v>
      </c>
      <c r="F46" s="141">
        <f>SUMIFS(PL数据!F:F,PL数据!$A:$A,$A46)</f>
        <v>0.02</v>
      </c>
      <c r="G46" s="141">
        <f>SUMIFS(PL数据!G:G,PL数据!$A:$A,$A46)</f>
        <v>0.09</v>
      </c>
      <c r="H46" s="141">
        <f>SUMIFS(PL数据!H:H,PL数据!$A:$A,$A46)</f>
        <v>0.38</v>
      </c>
      <c r="I46" s="141">
        <f>SUMIFS(PL数据!I:I,PL数据!$A:$A,$A46)</f>
        <v>0.75</v>
      </c>
      <c r="J46" s="141">
        <f>SUMIFS(PL数据!J:J,PL数据!$A:$A,$A46)</f>
        <v>1.1399999999999999</v>
      </c>
      <c r="K46" s="141">
        <f>SUMIFS(PL数据!K:K,PL数据!$A:$A,$A46)</f>
        <v>1.1100000000000001</v>
      </c>
      <c r="L46" s="141">
        <f>SUMIFS(PL数据!L:L,PL数据!$A:$A,$A46)</f>
        <v>1.32</v>
      </c>
      <c r="M46" s="141">
        <f>SUMIFS(PL数据!M:M,PL数据!$A:$A,$A46)</f>
        <v>0.83</v>
      </c>
      <c r="N46" s="141">
        <f>SUMIFS(PL数据!N:N,PL数据!$A:$A,$A46)</f>
        <v>1.65</v>
      </c>
      <c r="O46" s="141">
        <f>SUMIFS(PL数据!O:O,PL数据!$A:$A,$A46)</f>
        <v>0.62</v>
      </c>
    </row>
    <row r="47" spans="1:15" x14ac:dyDescent="0.25">
      <c r="A47" t="str">
        <f>PL数据!A47</f>
        <v>稀释每股收益</v>
      </c>
      <c r="B47" s="141">
        <f>SUMIFS(PL数据!B:B,PL数据!$A:$A,$A47)</f>
        <v>1.35</v>
      </c>
      <c r="C47" s="141">
        <f>SUMIFS(PL数据!C:C,PL数据!$A:$A,$A47)</f>
        <v>0.75</v>
      </c>
      <c r="D47" s="141">
        <f>SUMIFS(PL数据!D:D,PL数据!$A:$A,$A47)</f>
        <v>0.27</v>
      </c>
      <c r="E47" s="141">
        <f>SUMIFS(PL数据!E:E,PL数据!$A:$A,$A47)</f>
        <v>0.03</v>
      </c>
      <c r="F47" s="141">
        <f>SUMIFS(PL数据!F:F,PL数据!$A:$A,$A47)</f>
        <v>0.02</v>
      </c>
      <c r="G47" s="141">
        <f>SUMIFS(PL数据!G:G,PL数据!$A:$A,$A47)</f>
        <v>0.09</v>
      </c>
      <c r="H47" s="141">
        <f>SUMIFS(PL数据!H:H,PL数据!$A:$A,$A47)</f>
        <v>0.38</v>
      </c>
      <c r="I47" s="141">
        <f>SUMIFS(PL数据!I:I,PL数据!$A:$A,$A47)</f>
        <v>0.75</v>
      </c>
      <c r="J47" s="141">
        <f>SUMIFS(PL数据!J:J,PL数据!$A:$A,$A47)</f>
        <v>1.1399999999999999</v>
      </c>
      <c r="K47" s="141">
        <f>SUMIFS(PL数据!K:K,PL数据!$A:$A,$A47)</f>
        <v>1.1100000000000001</v>
      </c>
      <c r="L47" s="141">
        <f>SUMIFS(PL数据!L:L,PL数据!$A:$A,$A47)</f>
        <v>1.32</v>
      </c>
      <c r="M47" s="141">
        <f>SUMIFS(PL数据!M:M,PL数据!$A:$A,$A47)</f>
        <v>0.83</v>
      </c>
      <c r="N47" s="141">
        <f>SUMIFS(PL数据!N:N,PL数据!$A:$A,$A47)</f>
        <v>1.65</v>
      </c>
      <c r="O47" s="141">
        <f>SUMIFS(PL数据!O:O,PL数据!$A:$A,$A47)</f>
        <v>0.62</v>
      </c>
    </row>
    <row r="48" spans="1:15" x14ac:dyDescent="0.25">
      <c r="A48">
        <f>PL数据!A48</f>
        <v>0</v>
      </c>
    </row>
    <row r="49" spans="1:7" x14ac:dyDescent="0.25">
      <c r="A49">
        <f>PL数据!A49</f>
        <v>0</v>
      </c>
    </row>
    <row r="50" spans="1:7" x14ac:dyDescent="0.25">
      <c r="A50">
        <f>PL数据!A50</f>
        <v>0</v>
      </c>
    </row>
    <row r="51" spans="1:7" hidden="1" x14ac:dyDescent="0.25">
      <c r="B51" s="141"/>
      <c r="C51" s="144"/>
      <c r="D51" s="144"/>
      <c r="E51" s="144"/>
      <c r="F51" s="144"/>
      <c r="G51" s="144"/>
    </row>
    <row r="52" spans="1:7" hidden="1" x14ac:dyDescent="0.25">
      <c r="A52" s="124"/>
      <c r="B52" s="147"/>
      <c r="C52" s="147"/>
      <c r="D52" s="147"/>
      <c r="E52" s="147"/>
      <c r="F52" s="147"/>
      <c r="G52" s="147"/>
    </row>
    <row r="53" spans="1:7" x14ac:dyDescent="0.25">
      <c r="A53" s="124" t="s">
        <v>1750</v>
      </c>
      <c r="B53" s="147">
        <f>-B41+PL数据!B41</f>
        <v>0</v>
      </c>
      <c r="C53" s="147">
        <f>-C41+PL数据!C41</f>
        <v>0</v>
      </c>
      <c r="D53" s="147">
        <f>-D41+PL数据!D41</f>
        <v>0</v>
      </c>
      <c r="E53" s="147">
        <f>-E41+PL数据!E41</f>
        <v>0</v>
      </c>
      <c r="F53" s="147">
        <f>-F41+PL数据!F41</f>
        <v>0</v>
      </c>
      <c r="G53" s="147"/>
    </row>
  </sheetData>
  <phoneticPr fontId="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S107"/>
  <sheetViews>
    <sheetView topLeftCell="A40" workbookViewId="0">
      <selection activeCell="B70" sqref="B70:B72"/>
    </sheetView>
  </sheetViews>
  <sheetFormatPr defaultRowHeight="14" x14ac:dyDescent="0.25"/>
  <cols>
    <col min="1" max="1" width="37" customWidth="1"/>
    <col min="2" max="2" width="16.26953125" customWidth="1"/>
    <col min="3" max="3" width="14.36328125" customWidth="1"/>
    <col min="4" max="16" width="15.36328125" customWidth="1"/>
  </cols>
  <sheetData>
    <row r="1" spans="1:19" x14ac:dyDescent="0.25">
      <c r="A1" t="s">
        <v>277</v>
      </c>
      <c r="B1" s="62">
        <v>43830</v>
      </c>
      <c r="C1" s="62">
        <v>43465</v>
      </c>
      <c r="D1" s="62">
        <v>43100</v>
      </c>
      <c r="E1" s="62">
        <v>42735</v>
      </c>
      <c r="F1" s="62">
        <v>42369</v>
      </c>
      <c r="G1" s="62">
        <v>42004</v>
      </c>
      <c r="H1" s="62">
        <v>41639</v>
      </c>
      <c r="I1" s="62">
        <v>41274</v>
      </c>
      <c r="J1" s="62">
        <v>40908</v>
      </c>
      <c r="K1" s="62">
        <v>40543</v>
      </c>
      <c r="L1" s="62">
        <v>40178</v>
      </c>
      <c r="M1" s="62">
        <v>39813</v>
      </c>
      <c r="N1" s="62">
        <v>39447</v>
      </c>
      <c r="O1" s="62">
        <v>39082</v>
      </c>
      <c r="P1" s="62">
        <v>38717</v>
      </c>
      <c r="Q1" s="62">
        <v>38352</v>
      </c>
      <c r="R1" t="s">
        <v>294</v>
      </c>
      <c r="S1" t="s">
        <v>295</v>
      </c>
    </row>
    <row r="2" spans="1:19" x14ac:dyDescent="0.25">
      <c r="A2" t="str">
        <f>CF数据!A1</f>
        <v>报告日期</v>
      </c>
      <c r="B2" s="125">
        <f>SUMIFS(CF数据!B:B,CF数据!$A:$A,CF!$A2)</f>
        <v>43830</v>
      </c>
      <c r="C2" s="125">
        <f>SUMIFS(CF数据!C:C,CF数据!$A:$A,CF!$A2)</f>
        <v>43465</v>
      </c>
      <c r="D2" s="125">
        <f>SUMIFS(CF数据!D:D,CF数据!$A:$A,CF!$A2)</f>
        <v>43100</v>
      </c>
      <c r="E2" s="125">
        <f>SUMIFS(CF数据!E:E,CF数据!$A:$A,CF!$A2)</f>
        <v>42735</v>
      </c>
      <c r="F2" s="125">
        <f>SUMIFS(CF数据!F:F,CF数据!$A:$A,CF!$A2)</f>
        <v>42369</v>
      </c>
      <c r="G2" s="125">
        <f>SUMIFS(CF数据!G:G,CF数据!$A:$A,CF!$A2)</f>
        <v>42004</v>
      </c>
      <c r="H2" s="125">
        <f>SUMIFS(CF数据!H:H,CF数据!$A:$A,CF!$A2)</f>
        <v>41639</v>
      </c>
      <c r="I2" s="125">
        <f>SUMIFS(CF数据!I:I,CF数据!$A:$A,CF!$A2)</f>
        <v>41274</v>
      </c>
      <c r="J2" s="125">
        <f>SUMIFS(CF数据!J:J,CF数据!$A:$A,CF!$A2)</f>
        <v>40908</v>
      </c>
      <c r="K2" s="125">
        <f>SUMIFS(CF数据!K:K,CF数据!$A:$A,CF!$A2)</f>
        <v>40543</v>
      </c>
      <c r="L2" s="125">
        <f>SUMIFS(CF数据!L:L,CF数据!$A:$A,CF!$A2)</f>
        <v>40178</v>
      </c>
      <c r="M2" s="125">
        <f>SUMIFS(CF数据!M:M,CF数据!$A:$A,CF!$A2)</f>
        <v>39813</v>
      </c>
      <c r="N2" s="125">
        <f>SUMIFS(CF数据!N:N,CF数据!$A:$A,CF!$A2)</f>
        <v>39447</v>
      </c>
      <c r="O2" s="125">
        <f>SUMIFS(CF数据!O:O,CF数据!$A:$A,CF!$A2)</f>
        <v>39082</v>
      </c>
      <c r="P2" s="125">
        <f>SUMIFS(CF数据!P:P,CF数据!$A:$A,CF!$A2)</f>
        <v>0</v>
      </c>
      <c r="Q2" s="125">
        <f>SUMIFS(CF数据!Q:Q,CF数据!$A:$A,CF!$A2)</f>
        <v>0</v>
      </c>
    </row>
    <row r="3" spans="1:19" x14ac:dyDescent="0.25">
      <c r="A3" t="str">
        <f>CF数据!A2</f>
        <v>一、经营活动产生的现金流量</v>
      </c>
      <c r="B3" s="64">
        <f>SUMIFS(CF数据!B:B,CF数据!$A:$A,CF!$A3)</f>
        <v>0</v>
      </c>
      <c r="C3" s="64">
        <f>SUMIFS(CF数据!C:C,CF数据!$A:$A,CF!$A3)</f>
        <v>0</v>
      </c>
      <c r="D3" s="64">
        <f>SUMIFS(CF数据!D:D,CF数据!$A:$A,CF!$A3)</f>
        <v>0</v>
      </c>
      <c r="E3" s="64">
        <f>SUMIFS(CF数据!E:E,CF数据!$A:$A,CF!$A3)</f>
        <v>0</v>
      </c>
      <c r="F3" s="64">
        <f>SUMIFS(CF数据!F:F,CF数据!$A:$A,CF!$A3)</f>
        <v>0</v>
      </c>
      <c r="G3" s="64">
        <f>SUMIFS(CF数据!G:G,CF数据!$A:$A,CF!$A3)</f>
        <v>0</v>
      </c>
      <c r="H3" s="64">
        <f>SUMIFS(CF数据!H:H,CF数据!$A:$A,CF!$A3)</f>
        <v>0</v>
      </c>
      <c r="I3" s="64">
        <f>SUMIFS(CF数据!I:I,CF数据!$A:$A,CF!$A3)</f>
        <v>0</v>
      </c>
      <c r="J3" s="64">
        <f>SUMIFS(CF数据!J:J,CF数据!$A:$A,CF!$A3)</f>
        <v>0</v>
      </c>
      <c r="K3" s="64">
        <f>SUMIFS(CF数据!K:K,CF数据!$A:$A,CF!$A3)</f>
        <v>0</v>
      </c>
      <c r="L3" s="64">
        <f>SUMIFS(CF数据!L:L,CF数据!$A:$A,CF!$A3)</f>
        <v>0</v>
      </c>
      <c r="M3" s="64">
        <f>SUMIFS(CF数据!M:M,CF数据!$A:$A,CF!$A3)</f>
        <v>0</v>
      </c>
      <c r="N3" s="64">
        <f>SUMIFS(CF数据!N:N,CF数据!$A:$A,CF!$A3)</f>
        <v>0</v>
      </c>
      <c r="O3" s="64">
        <f>SUMIFS(CF数据!O:O,CF数据!$A:$A,CF!$A3)</f>
        <v>0</v>
      </c>
      <c r="P3" s="64">
        <f>SUMIFS(CF数据!P:P,CF数据!$A:$A,CF!$A3)</f>
        <v>0</v>
      </c>
      <c r="Q3" s="64">
        <f>SUMIFS(CF数据!Q:Q,CF数据!$A:$A,CF!$A3)</f>
        <v>0</v>
      </c>
    </row>
    <row r="4" spans="1:19" x14ac:dyDescent="0.25">
      <c r="A4" t="str">
        <f>CF数据!A3</f>
        <v>销售商品、提供劳务收到的现金(万元)</v>
      </c>
      <c r="B4" s="64">
        <f>SUMIFS(CF数据!B:B,CF数据!$A:$A,CF!$A4)</f>
        <v>7876473</v>
      </c>
      <c r="C4" s="64">
        <f>SUMIFS(CF数据!C:C,CF数据!$A:$A,CF!$A4)</f>
        <v>5964547</v>
      </c>
      <c r="D4" s="64">
        <f>SUMIFS(CF数据!D:D,CF数据!$A:$A,CF!$A4)</f>
        <v>4144025</v>
      </c>
      <c r="E4" s="64">
        <f>SUMIFS(CF数据!E:E,CF数据!$A:$A,CF!$A4)</f>
        <v>2596401</v>
      </c>
      <c r="F4" s="64">
        <f>SUMIFS(CF数据!F:F,CF数据!$A:$A,CF!$A4)</f>
        <v>2394437</v>
      </c>
      <c r="G4" s="64">
        <f>SUMIFS(CF数据!G:G,CF数据!$A:$A,CF!$A4)</f>
        <v>3244284</v>
      </c>
      <c r="H4" s="64">
        <f>SUMIFS(CF数据!H:H,CF数据!$A:$A,CF!$A4)</f>
        <v>3730626</v>
      </c>
      <c r="I4" s="64">
        <f>SUMIFS(CF数据!I:I,CF数据!$A:$A,CF!$A4)</f>
        <v>5052703</v>
      </c>
      <c r="J4" s="64">
        <f>SUMIFS(CF数据!J:J,CF数据!$A:$A,CF!$A4)</f>
        <v>5257022</v>
      </c>
      <c r="K4" s="64">
        <f>SUMIFS(CF数据!K:K,CF数据!$A:$A,CF!$A4)</f>
        <v>3732983</v>
      </c>
      <c r="L4" s="64">
        <f>SUMIFS(CF数据!L:L,CF数据!$A:$A,CF!$A4)</f>
        <v>1657653</v>
      </c>
      <c r="M4" s="64">
        <f>SUMIFS(CF数据!M:M,CF数据!$A:$A,CF!$A4)</f>
        <v>1420493</v>
      </c>
      <c r="N4" s="64">
        <f>SUMIFS(CF数据!N:N,CF数据!$A:$A,CF!$A4)</f>
        <v>804425</v>
      </c>
      <c r="O4" s="64">
        <f>SUMIFS(CF数据!O:O,CF数据!$A:$A,CF!$A4)</f>
        <v>596694</v>
      </c>
      <c r="P4" s="64">
        <f>SUMIFS(CF数据!P:P,CF数据!$A:$A,CF!$A4)</f>
        <v>0</v>
      </c>
      <c r="Q4" s="64">
        <f>SUMIFS(CF数据!Q:Q,CF数据!$A:$A,CF!$A4)</f>
        <v>0</v>
      </c>
    </row>
    <row r="5" spans="1:19" x14ac:dyDescent="0.25">
      <c r="A5" t="str">
        <f>CF数据!A4</f>
        <v>客户存款和同业存放款项净增加额(万元)</v>
      </c>
      <c r="B5" s="64">
        <f>SUMIFS(CF数据!B:B,CF数据!$A:$A,CF!$A5)</f>
        <v>0</v>
      </c>
      <c r="C5" s="64">
        <f>SUMIFS(CF数据!C:C,CF数据!$A:$A,CF!$A5)</f>
        <v>0</v>
      </c>
      <c r="D5" s="64">
        <f>SUMIFS(CF数据!D:D,CF数据!$A:$A,CF!$A5)</f>
        <v>0</v>
      </c>
      <c r="E5" s="64">
        <f>SUMIFS(CF数据!E:E,CF数据!$A:$A,CF!$A5)</f>
        <v>0</v>
      </c>
      <c r="F5" s="64">
        <f>SUMIFS(CF数据!F:F,CF数据!$A:$A,CF!$A5)</f>
        <v>0</v>
      </c>
      <c r="G5" s="64">
        <f>SUMIFS(CF数据!G:G,CF数据!$A:$A,CF!$A5)</f>
        <v>0</v>
      </c>
      <c r="H5" s="64">
        <f>SUMIFS(CF数据!H:H,CF数据!$A:$A,CF!$A5)</f>
        <v>0</v>
      </c>
      <c r="I5" s="64">
        <f>SUMIFS(CF数据!I:I,CF数据!$A:$A,CF!$A5)</f>
        <v>0</v>
      </c>
      <c r="J5" s="64">
        <f>SUMIFS(CF数据!J:J,CF数据!$A:$A,CF!$A5)</f>
        <v>0</v>
      </c>
      <c r="K5" s="64">
        <f>SUMIFS(CF数据!K:K,CF数据!$A:$A,CF!$A5)</f>
        <v>0</v>
      </c>
      <c r="L5" s="64">
        <f>SUMIFS(CF数据!L:L,CF数据!$A:$A,CF!$A5)</f>
        <v>0</v>
      </c>
      <c r="M5" s="64">
        <f>SUMIFS(CF数据!M:M,CF数据!$A:$A,CF!$A5)</f>
        <v>0</v>
      </c>
      <c r="N5" s="64">
        <f>SUMIFS(CF数据!N:N,CF数据!$A:$A,CF!$A5)</f>
        <v>0</v>
      </c>
      <c r="O5" s="64">
        <f>SUMIFS(CF数据!O:O,CF数据!$A:$A,CF!$A5)</f>
        <v>0</v>
      </c>
      <c r="P5" s="64">
        <f>SUMIFS(CF数据!P:P,CF数据!$A:$A,CF!$A5)</f>
        <v>0</v>
      </c>
      <c r="Q5" s="64">
        <f>SUMIFS(CF数据!Q:Q,CF数据!$A:$A,CF!$A5)</f>
        <v>0</v>
      </c>
      <c r="R5" s="73">
        <f>IFERROR(B5/C5-1,0)</f>
        <v>0</v>
      </c>
      <c r="S5" s="73">
        <f>IFERROR(C5/D5-1,0)</f>
        <v>0</v>
      </c>
    </row>
    <row r="6" spans="1:19" x14ac:dyDescent="0.25">
      <c r="A6" t="str">
        <f>CF数据!A5</f>
        <v>向中央银行借款净增加额(万元)</v>
      </c>
      <c r="B6" s="64">
        <f>SUMIFS(CF数据!B:B,CF数据!$A:$A,CF!$A6)</f>
        <v>0</v>
      </c>
      <c r="C6" s="64">
        <f>SUMIFS(CF数据!C:C,CF数据!$A:$A,CF!$A6)</f>
        <v>0</v>
      </c>
      <c r="D6" s="64">
        <f>SUMIFS(CF数据!D:D,CF数据!$A:$A,CF!$A6)</f>
        <v>0</v>
      </c>
      <c r="E6" s="64">
        <f>SUMIFS(CF数据!E:E,CF数据!$A:$A,CF!$A6)</f>
        <v>0</v>
      </c>
      <c r="F6" s="64">
        <f>SUMIFS(CF数据!F:F,CF数据!$A:$A,CF!$A6)</f>
        <v>0</v>
      </c>
      <c r="G6" s="64">
        <f>SUMIFS(CF数据!G:G,CF数据!$A:$A,CF!$A6)</f>
        <v>0</v>
      </c>
      <c r="H6" s="64">
        <f>SUMIFS(CF数据!H:H,CF数据!$A:$A,CF!$A6)</f>
        <v>0</v>
      </c>
      <c r="I6" s="64">
        <f>SUMIFS(CF数据!I:I,CF数据!$A:$A,CF!$A6)</f>
        <v>0</v>
      </c>
      <c r="J6" s="64">
        <f>SUMIFS(CF数据!J:J,CF数据!$A:$A,CF!$A6)</f>
        <v>0</v>
      </c>
      <c r="K6" s="64">
        <f>SUMIFS(CF数据!K:K,CF数据!$A:$A,CF!$A6)</f>
        <v>0</v>
      </c>
      <c r="L6" s="64">
        <f>SUMIFS(CF数据!L:L,CF数据!$A:$A,CF!$A6)</f>
        <v>0</v>
      </c>
      <c r="M6" s="64">
        <f>SUMIFS(CF数据!M:M,CF数据!$A:$A,CF!$A6)</f>
        <v>0</v>
      </c>
      <c r="N6" s="64">
        <f>SUMIFS(CF数据!N:N,CF数据!$A:$A,CF!$A6)</f>
        <v>0</v>
      </c>
      <c r="O6" s="64">
        <f>SUMIFS(CF数据!O:O,CF数据!$A:$A,CF!$A6)</f>
        <v>0</v>
      </c>
      <c r="P6" s="64">
        <f>SUMIFS(CF数据!P:P,CF数据!$A:$A,CF!$A6)</f>
        <v>0</v>
      </c>
      <c r="Q6" s="64">
        <f>SUMIFS(CF数据!Q:Q,CF数据!$A:$A,CF!$A6)</f>
        <v>0</v>
      </c>
      <c r="R6" s="73">
        <f t="shared" ref="R6:R41" si="0">IFERROR(B6/C6-1,0)</f>
        <v>0</v>
      </c>
      <c r="S6" s="73">
        <f t="shared" ref="S6:S41" si="1">IFERROR(C6/D6-1,0)</f>
        <v>0</v>
      </c>
    </row>
    <row r="7" spans="1:19" x14ac:dyDescent="0.25">
      <c r="A7" t="str">
        <f>CF数据!A6</f>
        <v>向其他金融机构拆入资金净增加额(万元)</v>
      </c>
      <c r="B7" s="64">
        <f>SUMIFS(CF数据!B:B,CF数据!$A:$A,CF!$A7)</f>
        <v>0</v>
      </c>
      <c r="C7" s="64">
        <f>SUMIFS(CF数据!C:C,CF数据!$A:$A,CF!$A7)</f>
        <v>0</v>
      </c>
      <c r="D7" s="64">
        <f>SUMIFS(CF数据!D:D,CF数据!$A:$A,CF!$A7)</f>
        <v>0</v>
      </c>
      <c r="E7" s="64">
        <f>SUMIFS(CF数据!E:E,CF数据!$A:$A,CF!$A7)</f>
        <v>0</v>
      </c>
      <c r="F7" s="64">
        <f>SUMIFS(CF数据!F:F,CF数据!$A:$A,CF!$A7)</f>
        <v>0</v>
      </c>
      <c r="G7" s="64">
        <f>SUMIFS(CF数据!G:G,CF数据!$A:$A,CF!$A7)</f>
        <v>0</v>
      </c>
      <c r="H7" s="64">
        <f>SUMIFS(CF数据!H:H,CF数据!$A:$A,CF!$A7)</f>
        <v>0</v>
      </c>
      <c r="I7" s="64">
        <f>SUMIFS(CF数据!I:I,CF数据!$A:$A,CF!$A7)</f>
        <v>0</v>
      </c>
      <c r="J7" s="64">
        <f>SUMIFS(CF数据!J:J,CF数据!$A:$A,CF!$A7)</f>
        <v>0</v>
      </c>
      <c r="K7" s="64">
        <f>SUMIFS(CF数据!K:K,CF数据!$A:$A,CF!$A7)</f>
        <v>0</v>
      </c>
      <c r="L7" s="64">
        <f>SUMIFS(CF数据!L:L,CF数据!$A:$A,CF!$A7)</f>
        <v>0</v>
      </c>
      <c r="M7" s="64">
        <f>SUMIFS(CF数据!M:M,CF数据!$A:$A,CF!$A7)</f>
        <v>0</v>
      </c>
      <c r="N7" s="64">
        <f>SUMIFS(CF数据!N:N,CF数据!$A:$A,CF!$A7)</f>
        <v>0</v>
      </c>
      <c r="O7" s="64">
        <f>SUMIFS(CF数据!O:O,CF数据!$A:$A,CF!$A7)</f>
        <v>0</v>
      </c>
      <c r="P7" s="64">
        <f>SUMIFS(CF数据!P:P,CF数据!$A:$A,CF!$A7)</f>
        <v>0</v>
      </c>
      <c r="Q7" s="64">
        <f>SUMIFS(CF数据!Q:Q,CF数据!$A:$A,CF!$A7)</f>
        <v>0</v>
      </c>
      <c r="R7" s="73">
        <f t="shared" si="0"/>
        <v>0</v>
      </c>
      <c r="S7" s="73">
        <f t="shared" si="1"/>
        <v>0</v>
      </c>
    </row>
    <row r="8" spans="1:19" x14ac:dyDescent="0.25">
      <c r="A8" t="str">
        <f>CF数据!A7</f>
        <v>收到原保险合同保费取得的现金(万元)</v>
      </c>
      <c r="B8" s="64">
        <f>SUMIFS(CF数据!B:B,CF数据!$A:$A,CF!$A8)</f>
        <v>0</v>
      </c>
      <c r="C8" s="64">
        <f>SUMIFS(CF数据!C:C,CF数据!$A:$A,CF!$A8)</f>
        <v>0</v>
      </c>
      <c r="D8" s="64">
        <f>SUMIFS(CF数据!D:D,CF数据!$A:$A,CF!$A8)</f>
        <v>0</v>
      </c>
      <c r="E8" s="64">
        <f>SUMIFS(CF数据!E:E,CF数据!$A:$A,CF!$A8)</f>
        <v>0</v>
      </c>
      <c r="F8" s="64">
        <f>SUMIFS(CF数据!F:F,CF数据!$A:$A,CF!$A8)</f>
        <v>0</v>
      </c>
      <c r="G8" s="64">
        <f>SUMIFS(CF数据!G:G,CF数据!$A:$A,CF!$A8)</f>
        <v>0</v>
      </c>
      <c r="H8" s="64">
        <f>SUMIFS(CF数据!H:H,CF数据!$A:$A,CF!$A8)</f>
        <v>0</v>
      </c>
      <c r="I8" s="64">
        <f>SUMIFS(CF数据!I:I,CF数据!$A:$A,CF!$A8)</f>
        <v>0</v>
      </c>
      <c r="J8" s="64">
        <f>SUMIFS(CF数据!J:J,CF数据!$A:$A,CF!$A8)</f>
        <v>0</v>
      </c>
      <c r="K8" s="64">
        <f>SUMIFS(CF数据!K:K,CF数据!$A:$A,CF!$A8)</f>
        <v>0</v>
      </c>
      <c r="L8" s="64">
        <f>SUMIFS(CF数据!L:L,CF数据!$A:$A,CF!$A8)</f>
        <v>0</v>
      </c>
      <c r="M8" s="64">
        <f>SUMIFS(CF数据!M:M,CF数据!$A:$A,CF!$A8)</f>
        <v>0</v>
      </c>
      <c r="N8" s="64">
        <f>SUMIFS(CF数据!N:N,CF数据!$A:$A,CF!$A8)</f>
        <v>0</v>
      </c>
      <c r="O8" s="64">
        <f>SUMIFS(CF数据!O:O,CF数据!$A:$A,CF!$A8)</f>
        <v>0</v>
      </c>
      <c r="P8" s="64">
        <f>SUMIFS(CF数据!P:P,CF数据!$A:$A,CF!$A8)</f>
        <v>0</v>
      </c>
      <c r="Q8" s="64">
        <f>SUMIFS(CF数据!Q:Q,CF数据!$A:$A,CF!$A8)</f>
        <v>0</v>
      </c>
      <c r="R8" s="73">
        <f t="shared" si="0"/>
        <v>0</v>
      </c>
      <c r="S8" s="73">
        <f t="shared" si="1"/>
        <v>0</v>
      </c>
    </row>
    <row r="9" spans="1:19" x14ac:dyDescent="0.25">
      <c r="A9" t="str">
        <f>CF数据!A8</f>
        <v>收到再保险业务现金净额(万元)</v>
      </c>
      <c r="B9" s="64">
        <f>SUMIFS(CF数据!B:B,CF数据!$A:$A,CF!$A9)</f>
        <v>0</v>
      </c>
      <c r="C9" s="64">
        <f>SUMIFS(CF数据!C:C,CF数据!$A:$A,CF!$A9)</f>
        <v>0</v>
      </c>
      <c r="D9" s="64">
        <f>SUMIFS(CF数据!D:D,CF数据!$A:$A,CF!$A9)</f>
        <v>0</v>
      </c>
      <c r="E9" s="64">
        <f>SUMIFS(CF数据!E:E,CF数据!$A:$A,CF!$A9)</f>
        <v>0</v>
      </c>
      <c r="F9" s="64">
        <f>SUMIFS(CF数据!F:F,CF数据!$A:$A,CF!$A9)</f>
        <v>0</v>
      </c>
      <c r="G9" s="64">
        <f>SUMIFS(CF数据!G:G,CF数据!$A:$A,CF!$A9)</f>
        <v>0</v>
      </c>
      <c r="H9" s="64">
        <f>SUMIFS(CF数据!H:H,CF数据!$A:$A,CF!$A9)</f>
        <v>0</v>
      </c>
      <c r="I9" s="64">
        <f>SUMIFS(CF数据!I:I,CF数据!$A:$A,CF!$A9)</f>
        <v>0</v>
      </c>
      <c r="J9" s="64">
        <f>SUMIFS(CF数据!J:J,CF数据!$A:$A,CF!$A9)</f>
        <v>0</v>
      </c>
      <c r="K9" s="64">
        <f>SUMIFS(CF数据!K:K,CF数据!$A:$A,CF!$A9)</f>
        <v>0</v>
      </c>
      <c r="L9" s="64">
        <f>SUMIFS(CF数据!L:L,CF数据!$A:$A,CF!$A9)</f>
        <v>0</v>
      </c>
      <c r="M9" s="64">
        <f>SUMIFS(CF数据!M:M,CF数据!$A:$A,CF!$A9)</f>
        <v>0</v>
      </c>
      <c r="N9" s="64">
        <f>SUMIFS(CF数据!N:N,CF数据!$A:$A,CF!$A9)</f>
        <v>0</v>
      </c>
      <c r="O9" s="64">
        <f>SUMIFS(CF数据!O:O,CF数据!$A:$A,CF!$A9)</f>
        <v>0</v>
      </c>
      <c r="P9" s="64">
        <f>SUMIFS(CF数据!P:P,CF数据!$A:$A,CF!$A9)</f>
        <v>0</v>
      </c>
      <c r="Q9" s="64">
        <f>SUMIFS(CF数据!Q:Q,CF数据!$A:$A,CF!$A9)</f>
        <v>0</v>
      </c>
      <c r="R9" s="73">
        <f t="shared" si="0"/>
        <v>0</v>
      </c>
      <c r="S9" s="73">
        <f t="shared" si="1"/>
        <v>0</v>
      </c>
    </row>
    <row r="10" spans="1:19" x14ac:dyDescent="0.25">
      <c r="A10" t="str">
        <f>CF数据!A9</f>
        <v>保户储金及投资款净增加额(万元)</v>
      </c>
      <c r="B10" s="64">
        <f>SUMIFS(CF数据!B:B,CF数据!$A:$A,CF!$A10)</f>
        <v>0</v>
      </c>
      <c r="C10" s="64">
        <f>SUMIFS(CF数据!C:C,CF数据!$A:$A,CF!$A10)</f>
        <v>0</v>
      </c>
      <c r="D10" s="64">
        <f>SUMIFS(CF数据!D:D,CF数据!$A:$A,CF!$A10)</f>
        <v>0</v>
      </c>
      <c r="E10" s="64">
        <f>SUMIFS(CF数据!E:E,CF数据!$A:$A,CF!$A10)</f>
        <v>0</v>
      </c>
      <c r="F10" s="64">
        <f>SUMIFS(CF数据!F:F,CF数据!$A:$A,CF!$A10)</f>
        <v>0</v>
      </c>
      <c r="G10" s="64">
        <f>SUMIFS(CF数据!G:G,CF数据!$A:$A,CF!$A10)</f>
        <v>0</v>
      </c>
      <c r="H10" s="64">
        <f>SUMIFS(CF数据!H:H,CF数据!$A:$A,CF!$A10)</f>
        <v>0</v>
      </c>
      <c r="I10" s="64">
        <f>SUMIFS(CF数据!I:I,CF数据!$A:$A,CF!$A10)</f>
        <v>0</v>
      </c>
      <c r="J10" s="64">
        <f>SUMIFS(CF数据!J:J,CF数据!$A:$A,CF!$A10)</f>
        <v>0</v>
      </c>
      <c r="K10" s="64">
        <f>SUMIFS(CF数据!K:K,CF数据!$A:$A,CF!$A10)</f>
        <v>0</v>
      </c>
      <c r="L10" s="64">
        <f>SUMIFS(CF数据!L:L,CF数据!$A:$A,CF!$A10)</f>
        <v>0</v>
      </c>
      <c r="M10" s="64">
        <f>SUMIFS(CF数据!M:M,CF数据!$A:$A,CF!$A10)</f>
        <v>0</v>
      </c>
      <c r="N10" s="64">
        <f>SUMIFS(CF数据!N:N,CF数据!$A:$A,CF!$A10)</f>
        <v>0</v>
      </c>
      <c r="O10" s="64">
        <f>SUMIFS(CF数据!O:O,CF数据!$A:$A,CF!$A10)</f>
        <v>0</v>
      </c>
      <c r="P10" s="64">
        <f>SUMIFS(CF数据!P:P,CF数据!$A:$A,CF!$A10)</f>
        <v>0</v>
      </c>
      <c r="Q10" s="64">
        <f>SUMIFS(CF数据!Q:Q,CF数据!$A:$A,CF!$A10)</f>
        <v>0</v>
      </c>
      <c r="R10" s="73">
        <f t="shared" si="0"/>
        <v>0</v>
      </c>
      <c r="S10" s="73">
        <f t="shared" si="1"/>
        <v>0</v>
      </c>
    </row>
    <row r="11" spans="1:19" x14ac:dyDescent="0.25">
      <c r="A11" t="str">
        <f>CF数据!A10</f>
        <v>处置交易性金融资产净增加额(万元)</v>
      </c>
      <c r="B11" s="64">
        <f>SUMIFS(CF数据!B:B,CF数据!$A:$A,CF!$A11)</f>
        <v>0</v>
      </c>
      <c r="C11" s="64">
        <f>SUMIFS(CF数据!C:C,CF数据!$A:$A,CF!$A11)</f>
        <v>0</v>
      </c>
      <c r="D11" s="64">
        <f>SUMIFS(CF数据!D:D,CF数据!$A:$A,CF!$A11)</f>
        <v>0</v>
      </c>
      <c r="E11" s="64">
        <f>SUMIFS(CF数据!E:E,CF数据!$A:$A,CF!$A11)</f>
        <v>0</v>
      </c>
      <c r="F11" s="64">
        <f>SUMIFS(CF数据!F:F,CF数据!$A:$A,CF!$A11)</f>
        <v>0</v>
      </c>
      <c r="G11" s="64">
        <f>SUMIFS(CF数据!G:G,CF数据!$A:$A,CF!$A11)</f>
        <v>0</v>
      </c>
      <c r="H11" s="64">
        <f>SUMIFS(CF数据!H:H,CF数据!$A:$A,CF!$A11)</f>
        <v>0</v>
      </c>
      <c r="I11" s="64">
        <f>SUMIFS(CF数据!I:I,CF数据!$A:$A,CF!$A11)</f>
        <v>0</v>
      </c>
      <c r="J11" s="64">
        <f>SUMIFS(CF数据!J:J,CF数据!$A:$A,CF!$A11)</f>
        <v>0</v>
      </c>
      <c r="K11" s="64">
        <f>SUMIFS(CF数据!K:K,CF数据!$A:$A,CF!$A11)</f>
        <v>0</v>
      </c>
      <c r="L11" s="64">
        <f>SUMIFS(CF数据!L:L,CF数据!$A:$A,CF!$A11)</f>
        <v>0</v>
      </c>
      <c r="M11" s="64">
        <f>SUMIFS(CF数据!M:M,CF数据!$A:$A,CF!$A11)</f>
        <v>0</v>
      </c>
      <c r="N11" s="64">
        <f>SUMIFS(CF数据!N:N,CF数据!$A:$A,CF!$A11)</f>
        <v>0</v>
      </c>
      <c r="O11" s="64">
        <f>SUMIFS(CF数据!O:O,CF数据!$A:$A,CF!$A11)</f>
        <v>0</v>
      </c>
      <c r="P11" s="64">
        <f>SUMIFS(CF数据!P:P,CF数据!$A:$A,CF!$A11)</f>
        <v>0</v>
      </c>
      <c r="Q11" s="64">
        <f>SUMIFS(CF数据!Q:Q,CF数据!$A:$A,CF!$A11)</f>
        <v>0</v>
      </c>
      <c r="R11" s="73">
        <f t="shared" si="0"/>
        <v>0</v>
      </c>
      <c r="S11" s="73">
        <f t="shared" si="1"/>
        <v>0</v>
      </c>
    </row>
    <row r="12" spans="1:19" x14ac:dyDescent="0.25">
      <c r="A12" t="str">
        <f>CF数据!A11</f>
        <v>收取利息、手续费及佣金的现金(万元)</v>
      </c>
      <c r="B12" s="64">
        <f>SUMIFS(CF数据!B:B,CF数据!$A:$A,CF!$A12)</f>
        <v>0</v>
      </c>
      <c r="C12" s="64">
        <f>SUMIFS(CF数据!C:C,CF数据!$A:$A,CF!$A12)</f>
        <v>0</v>
      </c>
      <c r="D12" s="64">
        <f>SUMIFS(CF数据!D:D,CF数据!$A:$A,CF!$A12)</f>
        <v>0</v>
      </c>
      <c r="E12" s="64">
        <f>SUMIFS(CF数据!E:E,CF数据!$A:$A,CF!$A12)</f>
        <v>0</v>
      </c>
      <c r="F12" s="64">
        <f>SUMIFS(CF数据!F:F,CF数据!$A:$A,CF!$A12)</f>
        <v>0</v>
      </c>
      <c r="G12" s="64">
        <f>SUMIFS(CF数据!G:G,CF数据!$A:$A,CF!$A12)</f>
        <v>0</v>
      </c>
      <c r="H12" s="64">
        <f>SUMIFS(CF数据!H:H,CF数据!$A:$A,CF!$A12)</f>
        <v>0</v>
      </c>
      <c r="I12" s="64">
        <f>SUMIFS(CF数据!I:I,CF数据!$A:$A,CF!$A12)</f>
        <v>0</v>
      </c>
      <c r="J12" s="64">
        <f>SUMIFS(CF数据!J:J,CF数据!$A:$A,CF!$A12)</f>
        <v>0</v>
      </c>
      <c r="K12" s="64">
        <f>SUMIFS(CF数据!K:K,CF数据!$A:$A,CF!$A12)</f>
        <v>0</v>
      </c>
      <c r="L12" s="64">
        <f>SUMIFS(CF数据!L:L,CF数据!$A:$A,CF!$A12)</f>
        <v>0</v>
      </c>
      <c r="M12" s="64">
        <f>SUMIFS(CF数据!M:M,CF数据!$A:$A,CF!$A12)</f>
        <v>0</v>
      </c>
      <c r="N12" s="64">
        <f>SUMIFS(CF数据!N:N,CF数据!$A:$A,CF!$A12)</f>
        <v>0</v>
      </c>
      <c r="O12" s="64">
        <f>SUMIFS(CF数据!O:O,CF数据!$A:$A,CF!$A12)</f>
        <v>0</v>
      </c>
      <c r="P12" s="64">
        <f>SUMIFS(CF数据!P:P,CF数据!$A:$A,CF!$A12)</f>
        <v>0</v>
      </c>
      <c r="Q12" s="64">
        <f>SUMIFS(CF数据!Q:Q,CF数据!$A:$A,CF!$A12)</f>
        <v>0</v>
      </c>
      <c r="R12" s="73">
        <f t="shared" si="0"/>
        <v>0</v>
      </c>
      <c r="S12" s="73">
        <f t="shared" si="1"/>
        <v>0</v>
      </c>
    </row>
    <row r="13" spans="1:19" x14ac:dyDescent="0.25">
      <c r="A13" t="str">
        <f>CF数据!A12</f>
        <v>拆入资金净增加额(万元)</v>
      </c>
      <c r="B13" s="64">
        <f>SUMIFS(CF数据!B:B,CF数据!$A:$A,CF!$A13)</f>
        <v>0</v>
      </c>
      <c r="C13" s="64">
        <f>SUMIFS(CF数据!C:C,CF数据!$A:$A,CF!$A13)</f>
        <v>0</v>
      </c>
      <c r="D13" s="64">
        <f>SUMIFS(CF数据!D:D,CF数据!$A:$A,CF!$A13)</f>
        <v>0</v>
      </c>
      <c r="E13" s="64">
        <f>SUMIFS(CF数据!E:E,CF数据!$A:$A,CF!$A13)</f>
        <v>0</v>
      </c>
      <c r="F13" s="64">
        <f>SUMIFS(CF数据!F:F,CF数据!$A:$A,CF!$A13)</f>
        <v>0</v>
      </c>
      <c r="G13" s="64">
        <f>SUMIFS(CF数据!G:G,CF数据!$A:$A,CF!$A13)</f>
        <v>0</v>
      </c>
      <c r="H13" s="64">
        <f>SUMIFS(CF数据!H:H,CF数据!$A:$A,CF!$A13)</f>
        <v>0</v>
      </c>
      <c r="I13" s="64">
        <f>SUMIFS(CF数据!I:I,CF数据!$A:$A,CF!$A13)</f>
        <v>0</v>
      </c>
      <c r="J13" s="64">
        <f>SUMIFS(CF数据!J:J,CF数据!$A:$A,CF!$A13)</f>
        <v>0</v>
      </c>
      <c r="K13" s="64">
        <f>SUMIFS(CF数据!K:K,CF数据!$A:$A,CF!$A13)</f>
        <v>0</v>
      </c>
      <c r="L13" s="64">
        <f>SUMIFS(CF数据!L:L,CF数据!$A:$A,CF!$A13)</f>
        <v>0</v>
      </c>
      <c r="M13" s="64">
        <f>SUMIFS(CF数据!M:M,CF数据!$A:$A,CF!$A13)</f>
        <v>0</v>
      </c>
      <c r="N13" s="64">
        <f>SUMIFS(CF数据!N:N,CF数据!$A:$A,CF!$A13)</f>
        <v>0</v>
      </c>
      <c r="O13" s="64">
        <f>SUMIFS(CF数据!O:O,CF数据!$A:$A,CF!$A13)</f>
        <v>0</v>
      </c>
      <c r="P13" s="64">
        <f>SUMIFS(CF数据!P:P,CF数据!$A:$A,CF!$A13)</f>
        <v>0</v>
      </c>
      <c r="Q13" s="64">
        <f>SUMIFS(CF数据!Q:Q,CF数据!$A:$A,CF!$A13)</f>
        <v>0</v>
      </c>
      <c r="R13" s="73">
        <f t="shared" si="0"/>
        <v>0</v>
      </c>
      <c r="S13" s="73">
        <f t="shared" si="1"/>
        <v>0</v>
      </c>
    </row>
    <row r="14" spans="1:19" x14ac:dyDescent="0.25">
      <c r="A14" t="str">
        <f>CF数据!A13</f>
        <v>回购业务资金净增加额(万元)</v>
      </c>
      <c r="B14" s="64">
        <f>SUMIFS(CF数据!B:B,CF数据!$A:$A,CF!$A14)</f>
        <v>0</v>
      </c>
      <c r="C14" s="64">
        <f>SUMIFS(CF数据!C:C,CF数据!$A:$A,CF!$A14)</f>
        <v>0</v>
      </c>
      <c r="D14" s="64">
        <f>SUMIFS(CF数据!D:D,CF数据!$A:$A,CF!$A14)</f>
        <v>0</v>
      </c>
      <c r="E14" s="64">
        <f>SUMIFS(CF数据!E:E,CF数据!$A:$A,CF!$A14)</f>
        <v>0</v>
      </c>
      <c r="F14" s="64">
        <f>SUMIFS(CF数据!F:F,CF数据!$A:$A,CF!$A14)</f>
        <v>0</v>
      </c>
      <c r="G14" s="64">
        <f>SUMIFS(CF数据!G:G,CF数据!$A:$A,CF!$A14)</f>
        <v>0</v>
      </c>
      <c r="H14" s="64">
        <f>SUMIFS(CF数据!H:H,CF数据!$A:$A,CF!$A14)</f>
        <v>0</v>
      </c>
      <c r="I14" s="64">
        <f>SUMIFS(CF数据!I:I,CF数据!$A:$A,CF!$A14)</f>
        <v>0</v>
      </c>
      <c r="J14" s="64">
        <f>SUMIFS(CF数据!J:J,CF数据!$A:$A,CF!$A14)</f>
        <v>0</v>
      </c>
      <c r="K14" s="64">
        <f>SUMIFS(CF数据!K:K,CF数据!$A:$A,CF!$A14)</f>
        <v>0</v>
      </c>
      <c r="L14" s="64">
        <f>SUMIFS(CF数据!L:L,CF数据!$A:$A,CF!$A14)</f>
        <v>0</v>
      </c>
      <c r="M14" s="64">
        <f>SUMIFS(CF数据!M:M,CF数据!$A:$A,CF!$A14)</f>
        <v>0</v>
      </c>
      <c r="N14" s="64">
        <f>SUMIFS(CF数据!N:N,CF数据!$A:$A,CF!$A14)</f>
        <v>0</v>
      </c>
      <c r="O14" s="64">
        <f>SUMIFS(CF数据!O:O,CF数据!$A:$A,CF!$A14)</f>
        <v>0</v>
      </c>
      <c r="P14" s="64">
        <f>SUMIFS(CF数据!P:P,CF数据!$A:$A,CF!$A14)</f>
        <v>0</v>
      </c>
      <c r="Q14" s="64">
        <f>SUMIFS(CF数据!Q:Q,CF数据!$A:$A,CF!$A14)</f>
        <v>0</v>
      </c>
      <c r="R14" s="74">
        <f t="shared" si="0"/>
        <v>0</v>
      </c>
      <c r="S14" s="74">
        <f t="shared" si="1"/>
        <v>0</v>
      </c>
    </row>
    <row r="15" spans="1:19" x14ac:dyDescent="0.25">
      <c r="A15" t="str">
        <f>CF数据!A14</f>
        <v>收到的税费返还(万元)</v>
      </c>
      <c r="B15" s="64">
        <f>SUMIFS(CF数据!B:B,CF数据!$A:$A,CF!$A15)</f>
        <v>94789</v>
      </c>
      <c r="C15" s="64">
        <f>SUMIFS(CF数据!C:C,CF数据!$A:$A,CF!$A15)</f>
        <v>42138</v>
      </c>
      <c r="D15" s="64">
        <f>SUMIFS(CF数据!D:D,CF数据!$A:$A,CF!$A15)</f>
        <v>34704</v>
      </c>
      <c r="E15" s="64">
        <f>SUMIFS(CF数据!E:E,CF数据!$A:$A,CF!$A15)</f>
        <v>17764</v>
      </c>
      <c r="F15" s="64">
        <f>SUMIFS(CF数据!F:F,CF数据!$A:$A,CF!$A15)</f>
        <v>25098</v>
      </c>
      <c r="G15" s="64">
        <f>SUMIFS(CF数据!G:G,CF数据!$A:$A,CF!$A15)</f>
        <v>33244</v>
      </c>
      <c r="H15" s="64">
        <f>SUMIFS(CF数据!H:H,CF数据!$A:$A,CF!$A15)</f>
        <v>38448</v>
      </c>
      <c r="I15" s="64">
        <f>SUMIFS(CF数据!I:I,CF数据!$A:$A,CF!$A15)</f>
        <v>21148</v>
      </c>
      <c r="J15" s="64">
        <f>SUMIFS(CF数据!J:J,CF数据!$A:$A,CF!$A15)</f>
        <v>14623</v>
      </c>
      <c r="K15" s="64">
        <f>SUMIFS(CF数据!K:K,CF数据!$A:$A,CF!$A15)</f>
        <v>8139</v>
      </c>
      <c r="L15" s="64">
        <f>SUMIFS(CF数据!L:L,CF数据!$A:$A,CF!$A15)</f>
        <v>10788</v>
      </c>
      <c r="M15" s="64">
        <f>SUMIFS(CF数据!M:M,CF数据!$A:$A,CF!$A15)</f>
        <v>22239</v>
      </c>
      <c r="N15" s="64">
        <f>SUMIFS(CF数据!N:N,CF数据!$A:$A,CF!$A15)</f>
        <v>4805</v>
      </c>
      <c r="O15" s="64">
        <f>SUMIFS(CF数据!O:O,CF数据!$A:$A,CF!$A15)</f>
        <v>27</v>
      </c>
      <c r="P15" s="64">
        <f>SUMIFS(CF数据!P:P,CF数据!$A:$A,CF!$A15)</f>
        <v>0</v>
      </c>
      <c r="Q15" s="64">
        <f>SUMIFS(CF数据!Q:Q,CF数据!$A:$A,CF!$A15)</f>
        <v>0</v>
      </c>
      <c r="R15" s="73">
        <f t="shared" si="0"/>
        <v>1.2494897717025011</v>
      </c>
      <c r="S15" s="73">
        <f t="shared" si="1"/>
        <v>0.21421161825726132</v>
      </c>
    </row>
    <row r="16" spans="1:19" x14ac:dyDescent="0.25">
      <c r="A16" t="str">
        <f>CF数据!A15</f>
        <v>收到的其他与经营活动有关的现金(万元)</v>
      </c>
      <c r="B16" s="64">
        <f>SUMIFS(CF数据!B:B,CF数据!$A:$A,CF!$A16)</f>
        <v>102683</v>
      </c>
      <c r="C16" s="64">
        <f>SUMIFS(CF数据!C:C,CF数据!$A:$A,CF!$A16)</f>
        <v>121425</v>
      </c>
      <c r="D16" s="64">
        <f>SUMIFS(CF数据!D:D,CF数据!$A:$A,CF!$A16)</f>
        <v>80798</v>
      </c>
      <c r="E16" s="64">
        <f>SUMIFS(CF数据!E:E,CF数据!$A:$A,CF!$A16)</f>
        <v>61619</v>
      </c>
      <c r="F16" s="64">
        <f>SUMIFS(CF数据!F:F,CF数据!$A:$A,CF!$A16)</f>
        <v>101477</v>
      </c>
      <c r="G16" s="64">
        <f>SUMIFS(CF数据!G:G,CF数据!$A:$A,CF!$A16)</f>
        <v>115001</v>
      </c>
      <c r="H16" s="64">
        <f>SUMIFS(CF数据!H:H,CF数据!$A:$A,CF!$A16)</f>
        <v>209687</v>
      </c>
      <c r="I16" s="64">
        <f>SUMIFS(CF数据!I:I,CF数据!$A:$A,CF!$A16)</f>
        <v>231259</v>
      </c>
      <c r="J16" s="64">
        <f>SUMIFS(CF数据!J:J,CF数据!$A:$A,CF!$A16)</f>
        <v>111584</v>
      </c>
      <c r="K16" s="64">
        <f>SUMIFS(CF数据!K:K,CF数据!$A:$A,CF!$A16)</f>
        <v>73819</v>
      </c>
      <c r="L16" s="64">
        <f>SUMIFS(CF数据!L:L,CF数据!$A:$A,CF!$A16)</f>
        <v>56300</v>
      </c>
      <c r="M16" s="64">
        <f>SUMIFS(CF数据!M:M,CF数据!$A:$A,CF!$A16)</f>
        <v>33162</v>
      </c>
      <c r="N16" s="64">
        <f>SUMIFS(CF数据!N:N,CF数据!$A:$A,CF!$A16)</f>
        <v>28298</v>
      </c>
      <c r="O16" s="64">
        <f>SUMIFS(CF数据!O:O,CF数据!$A:$A,CF!$A16)</f>
        <v>8151</v>
      </c>
      <c r="P16" s="64">
        <f>SUMIFS(CF数据!P:P,CF数据!$A:$A,CF!$A16)</f>
        <v>0</v>
      </c>
      <c r="Q16" s="64">
        <f>SUMIFS(CF数据!Q:Q,CF数据!$A:$A,CF!$A16)</f>
        <v>0</v>
      </c>
      <c r="R16" s="73">
        <f t="shared" si="0"/>
        <v>-0.15435042207123739</v>
      </c>
      <c r="S16" s="73">
        <f t="shared" si="1"/>
        <v>0.50282185202604035</v>
      </c>
    </row>
    <row r="17" spans="1:19" x14ac:dyDescent="0.25">
      <c r="A17" t="str">
        <f>CF数据!A16</f>
        <v>经营活动现金流入小计(万元)</v>
      </c>
      <c r="B17" s="64">
        <f>SUMIFS(CF数据!B:B,CF数据!$A:$A,CF!$A17)</f>
        <v>8073945</v>
      </c>
      <c r="C17" s="64">
        <f>SUMIFS(CF数据!C:C,CF数据!$A:$A,CF!$A17)</f>
        <v>6128110</v>
      </c>
      <c r="D17" s="64">
        <f>SUMIFS(CF数据!D:D,CF数据!$A:$A,CF!$A17)</f>
        <v>4259527</v>
      </c>
      <c r="E17" s="64">
        <f>SUMIFS(CF数据!E:E,CF数据!$A:$A,CF!$A17)</f>
        <v>2675783</v>
      </c>
      <c r="F17" s="64">
        <f>SUMIFS(CF数据!F:F,CF数据!$A:$A,CF!$A17)</f>
        <v>2521012</v>
      </c>
      <c r="G17" s="64">
        <f>SUMIFS(CF数据!G:G,CF数据!$A:$A,CF!$A17)</f>
        <v>3392529</v>
      </c>
      <c r="H17" s="64">
        <f>SUMIFS(CF数据!H:H,CF数据!$A:$A,CF!$A17)</f>
        <v>3978761</v>
      </c>
      <c r="I17" s="64">
        <f>SUMIFS(CF数据!I:I,CF数据!$A:$A,CF!$A17)</f>
        <v>5305111</v>
      </c>
      <c r="J17" s="64">
        <f>SUMIFS(CF数据!J:J,CF数据!$A:$A,CF!$A17)</f>
        <v>5383229</v>
      </c>
      <c r="K17" s="64">
        <f>SUMIFS(CF数据!K:K,CF数据!$A:$A,CF!$A17)</f>
        <v>3814941</v>
      </c>
      <c r="L17" s="64">
        <f>SUMIFS(CF数据!L:L,CF数据!$A:$A,CF!$A17)</f>
        <v>1724742</v>
      </c>
      <c r="M17" s="64">
        <f>SUMIFS(CF数据!M:M,CF数据!$A:$A,CF!$A17)</f>
        <v>1475893</v>
      </c>
      <c r="N17" s="64">
        <f>SUMIFS(CF数据!N:N,CF数据!$A:$A,CF!$A17)</f>
        <v>837527</v>
      </c>
      <c r="O17" s="64">
        <f>SUMIFS(CF数据!O:O,CF数据!$A:$A,CF!$A17)</f>
        <v>604871</v>
      </c>
      <c r="P17" s="64">
        <f>SUMIFS(CF数据!P:P,CF数据!$A:$A,CF!$A17)</f>
        <v>0</v>
      </c>
      <c r="Q17" s="64">
        <f>SUMIFS(CF数据!Q:Q,CF数据!$A:$A,CF!$A17)</f>
        <v>0</v>
      </c>
      <c r="R17" s="73">
        <f t="shared" si="0"/>
        <v>0.317526121430588</v>
      </c>
      <c r="S17" s="73">
        <f t="shared" si="1"/>
        <v>0.43868321529597076</v>
      </c>
    </row>
    <row r="18" spans="1:19" x14ac:dyDescent="0.25">
      <c r="A18" t="str">
        <f>CF数据!A17</f>
        <v>购买商品、接受劳务支付的现金(万元)</v>
      </c>
      <c r="B18" s="64">
        <f>SUMIFS(CF数据!B:B,CF数据!$A:$A,CF!$A18)</f>
        <v>5197176</v>
      </c>
      <c r="C18" s="64">
        <f>SUMIFS(CF数据!C:C,CF数据!$A:$A,CF!$A18)</f>
        <v>3874604</v>
      </c>
      <c r="D18" s="64">
        <f>SUMIFS(CF数据!D:D,CF数据!$A:$A,CF!$A18)</f>
        <v>2512174</v>
      </c>
      <c r="E18" s="64">
        <f>SUMIFS(CF数据!E:E,CF数据!$A:$A,CF!$A18)</f>
        <v>1585744</v>
      </c>
      <c r="F18" s="64">
        <f>SUMIFS(CF数据!F:F,CF数据!$A:$A,CF!$A18)</f>
        <v>1641773</v>
      </c>
      <c r="G18" s="64">
        <f>SUMIFS(CF数据!G:G,CF数据!$A:$A,CF!$A18)</f>
        <v>2034027</v>
      </c>
      <c r="H18" s="64">
        <f>SUMIFS(CF数据!H:H,CF数据!$A:$A,CF!$A18)</f>
        <v>2414368</v>
      </c>
      <c r="I18" s="64">
        <f>SUMIFS(CF数据!I:I,CF数据!$A:$A,CF!$A18)</f>
        <v>3470603</v>
      </c>
      <c r="J18" s="64">
        <f>SUMIFS(CF数据!J:J,CF数据!$A:$A,CF!$A18)</f>
        <v>3757134</v>
      </c>
      <c r="K18" s="64">
        <f>SUMIFS(CF数据!K:K,CF数据!$A:$A,CF!$A18)</f>
        <v>2278903</v>
      </c>
      <c r="L18" s="64">
        <f>SUMIFS(CF数据!L:L,CF数据!$A:$A,CF!$A18)</f>
        <v>1087398</v>
      </c>
      <c r="M18" s="64">
        <f>SUMIFS(CF数据!M:M,CF数据!$A:$A,CF!$A18)</f>
        <v>1119622</v>
      </c>
      <c r="N18" s="64">
        <f>SUMIFS(CF数据!N:N,CF数据!$A:$A,CF!$A18)</f>
        <v>574673</v>
      </c>
      <c r="O18" s="64">
        <f>SUMIFS(CF数据!O:O,CF数据!$A:$A,CF!$A18)</f>
        <v>423577</v>
      </c>
      <c r="P18" s="64">
        <f>SUMIFS(CF数据!P:P,CF数据!$A:$A,CF!$A18)</f>
        <v>0</v>
      </c>
      <c r="Q18" s="64">
        <f>SUMIFS(CF数据!Q:Q,CF数据!$A:$A,CF!$A18)</f>
        <v>0</v>
      </c>
      <c r="R18" s="73">
        <f t="shared" si="0"/>
        <v>0.34134378635855422</v>
      </c>
      <c r="S18" s="73">
        <f t="shared" si="1"/>
        <v>0.54233106464759206</v>
      </c>
    </row>
    <row r="19" spans="1:19" x14ac:dyDescent="0.25">
      <c r="A19" t="str">
        <f>CF数据!A18</f>
        <v>客户贷款及垫款净增加额(万元)</v>
      </c>
      <c r="B19" s="64">
        <f>SUMIFS(CF数据!B:B,CF数据!$A:$A,CF!$A19)</f>
        <v>0</v>
      </c>
      <c r="C19" s="64">
        <f>SUMIFS(CF数据!C:C,CF数据!$A:$A,CF!$A19)</f>
        <v>0</v>
      </c>
      <c r="D19" s="64">
        <f>SUMIFS(CF数据!D:D,CF数据!$A:$A,CF!$A19)</f>
        <v>0</v>
      </c>
      <c r="E19" s="64">
        <f>SUMIFS(CF数据!E:E,CF数据!$A:$A,CF!$A19)</f>
        <v>0</v>
      </c>
      <c r="F19" s="64">
        <f>SUMIFS(CF数据!F:F,CF数据!$A:$A,CF!$A19)</f>
        <v>0</v>
      </c>
      <c r="G19" s="64">
        <f>SUMIFS(CF数据!G:G,CF数据!$A:$A,CF!$A19)</f>
        <v>0</v>
      </c>
      <c r="H19" s="64">
        <f>SUMIFS(CF数据!H:H,CF数据!$A:$A,CF!$A19)</f>
        <v>0</v>
      </c>
      <c r="I19" s="64">
        <f>SUMIFS(CF数据!I:I,CF数据!$A:$A,CF!$A19)</f>
        <v>0</v>
      </c>
      <c r="J19" s="64">
        <f>SUMIFS(CF数据!J:J,CF数据!$A:$A,CF!$A19)</f>
        <v>0</v>
      </c>
      <c r="K19" s="64">
        <f>SUMIFS(CF数据!K:K,CF数据!$A:$A,CF!$A19)</f>
        <v>0</v>
      </c>
      <c r="L19" s="64">
        <f>SUMIFS(CF数据!L:L,CF数据!$A:$A,CF!$A19)</f>
        <v>0</v>
      </c>
      <c r="M19" s="64">
        <f>SUMIFS(CF数据!M:M,CF数据!$A:$A,CF!$A19)</f>
        <v>0</v>
      </c>
      <c r="N19" s="64">
        <f>SUMIFS(CF数据!N:N,CF数据!$A:$A,CF!$A19)</f>
        <v>0</v>
      </c>
      <c r="O19" s="64">
        <f>SUMIFS(CF数据!O:O,CF数据!$A:$A,CF!$A19)</f>
        <v>0</v>
      </c>
      <c r="P19" s="64">
        <f>SUMIFS(CF数据!P:P,CF数据!$A:$A,CF!$A19)</f>
        <v>0</v>
      </c>
      <c r="Q19" s="64">
        <f>SUMIFS(CF数据!Q:Q,CF数据!$A:$A,CF!$A19)</f>
        <v>0</v>
      </c>
      <c r="R19" s="73">
        <f t="shared" si="0"/>
        <v>0</v>
      </c>
      <c r="S19" s="73">
        <f t="shared" si="1"/>
        <v>0</v>
      </c>
    </row>
    <row r="20" spans="1:19" x14ac:dyDescent="0.25">
      <c r="A20" t="str">
        <f>CF数据!A19</f>
        <v>存放中央银行和同业款项净增加额(万元)</v>
      </c>
      <c r="B20" s="64">
        <f>SUMIFS(CF数据!B:B,CF数据!$A:$A,CF!$A20)</f>
        <v>0</v>
      </c>
      <c r="C20" s="64">
        <f>SUMIFS(CF数据!C:C,CF数据!$A:$A,CF!$A20)</f>
        <v>0</v>
      </c>
      <c r="D20" s="64">
        <f>SUMIFS(CF数据!D:D,CF数据!$A:$A,CF!$A20)</f>
        <v>0</v>
      </c>
      <c r="E20" s="64">
        <f>SUMIFS(CF数据!E:E,CF数据!$A:$A,CF!$A20)</f>
        <v>0</v>
      </c>
      <c r="F20" s="64">
        <f>SUMIFS(CF数据!F:F,CF数据!$A:$A,CF!$A20)</f>
        <v>0</v>
      </c>
      <c r="G20" s="64">
        <f>SUMIFS(CF数据!G:G,CF数据!$A:$A,CF!$A20)</f>
        <v>0</v>
      </c>
      <c r="H20" s="64">
        <f>SUMIFS(CF数据!H:H,CF数据!$A:$A,CF!$A20)</f>
        <v>0</v>
      </c>
      <c r="I20" s="64">
        <f>SUMIFS(CF数据!I:I,CF数据!$A:$A,CF!$A20)</f>
        <v>0</v>
      </c>
      <c r="J20" s="64">
        <f>SUMIFS(CF数据!J:J,CF数据!$A:$A,CF!$A20)</f>
        <v>0</v>
      </c>
      <c r="K20" s="64">
        <f>SUMIFS(CF数据!K:K,CF数据!$A:$A,CF!$A20)</f>
        <v>0</v>
      </c>
      <c r="L20" s="64">
        <f>SUMIFS(CF数据!L:L,CF数据!$A:$A,CF!$A20)</f>
        <v>0</v>
      </c>
      <c r="M20" s="64">
        <f>SUMIFS(CF数据!M:M,CF数据!$A:$A,CF!$A20)</f>
        <v>0</v>
      </c>
      <c r="N20" s="64">
        <f>SUMIFS(CF数据!N:N,CF数据!$A:$A,CF!$A20)</f>
        <v>0</v>
      </c>
      <c r="O20" s="64">
        <f>SUMIFS(CF数据!O:O,CF数据!$A:$A,CF!$A20)</f>
        <v>0</v>
      </c>
      <c r="P20" s="64">
        <f>SUMIFS(CF数据!P:P,CF数据!$A:$A,CF!$A20)</f>
        <v>0</v>
      </c>
      <c r="Q20" s="64">
        <f>SUMIFS(CF数据!Q:Q,CF数据!$A:$A,CF!$A20)</f>
        <v>0</v>
      </c>
      <c r="R20" s="73">
        <f t="shared" si="0"/>
        <v>0</v>
      </c>
      <c r="S20" s="73">
        <f t="shared" si="1"/>
        <v>0</v>
      </c>
    </row>
    <row r="21" spans="1:19" x14ac:dyDescent="0.25">
      <c r="A21" t="str">
        <f>CF数据!A20</f>
        <v>支付原保险合同赔付款项的现金(万元)</v>
      </c>
      <c r="B21" s="64">
        <f>SUMIFS(CF数据!B:B,CF数据!$A:$A,CF!$A21)</f>
        <v>0</v>
      </c>
      <c r="C21" s="64">
        <f>SUMIFS(CF数据!C:C,CF数据!$A:$A,CF!$A21)</f>
        <v>0</v>
      </c>
      <c r="D21" s="64">
        <f>SUMIFS(CF数据!D:D,CF数据!$A:$A,CF!$A21)</f>
        <v>0</v>
      </c>
      <c r="E21" s="64">
        <f>SUMIFS(CF数据!E:E,CF数据!$A:$A,CF!$A21)</f>
        <v>0</v>
      </c>
      <c r="F21" s="64">
        <f>SUMIFS(CF数据!F:F,CF数据!$A:$A,CF!$A21)</f>
        <v>0</v>
      </c>
      <c r="G21" s="64">
        <f>SUMIFS(CF数据!G:G,CF数据!$A:$A,CF!$A21)</f>
        <v>0</v>
      </c>
      <c r="H21" s="64">
        <f>SUMIFS(CF数据!H:H,CF数据!$A:$A,CF!$A21)</f>
        <v>0</v>
      </c>
      <c r="I21" s="64">
        <f>SUMIFS(CF数据!I:I,CF数据!$A:$A,CF!$A21)</f>
        <v>0</v>
      </c>
      <c r="J21" s="64">
        <f>SUMIFS(CF数据!J:J,CF数据!$A:$A,CF!$A21)</f>
        <v>0</v>
      </c>
      <c r="K21" s="64">
        <f>SUMIFS(CF数据!K:K,CF数据!$A:$A,CF!$A21)</f>
        <v>0</v>
      </c>
      <c r="L21" s="64">
        <f>SUMIFS(CF数据!L:L,CF数据!$A:$A,CF!$A21)</f>
        <v>0</v>
      </c>
      <c r="M21" s="64">
        <f>SUMIFS(CF数据!M:M,CF数据!$A:$A,CF!$A21)</f>
        <v>0</v>
      </c>
      <c r="N21" s="64">
        <f>SUMIFS(CF数据!N:N,CF数据!$A:$A,CF!$A21)</f>
        <v>0</v>
      </c>
      <c r="O21" s="64">
        <f>SUMIFS(CF数据!O:O,CF数据!$A:$A,CF!$A21)</f>
        <v>0</v>
      </c>
      <c r="P21" s="64">
        <f>SUMIFS(CF数据!P:P,CF数据!$A:$A,CF!$A21)</f>
        <v>0</v>
      </c>
      <c r="Q21" s="64">
        <f>SUMIFS(CF数据!Q:Q,CF数据!$A:$A,CF!$A21)</f>
        <v>0</v>
      </c>
      <c r="R21" s="73">
        <f t="shared" si="0"/>
        <v>0</v>
      </c>
      <c r="S21" s="73">
        <f t="shared" si="1"/>
        <v>0</v>
      </c>
    </row>
    <row r="22" spans="1:19" x14ac:dyDescent="0.25">
      <c r="A22" t="str">
        <f>CF数据!A21</f>
        <v>支付利息、手续费及佣金的现金(万元)</v>
      </c>
      <c r="B22" s="64">
        <f>SUMIFS(CF数据!B:B,CF数据!$A:$A,CF!$A22)</f>
        <v>0</v>
      </c>
      <c r="C22" s="64">
        <f>SUMIFS(CF数据!C:C,CF数据!$A:$A,CF!$A22)</f>
        <v>0</v>
      </c>
      <c r="D22" s="64">
        <f>SUMIFS(CF数据!D:D,CF数据!$A:$A,CF!$A22)</f>
        <v>0</v>
      </c>
      <c r="E22" s="64">
        <f>SUMIFS(CF数据!E:E,CF数据!$A:$A,CF!$A22)</f>
        <v>0</v>
      </c>
      <c r="F22" s="64">
        <f>SUMIFS(CF数据!F:F,CF数据!$A:$A,CF!$A22)</f>
        <v>0</v>
      </c>
      <c r="G22" s="64">
        <f>SUMIFS(CF数据!G:G,CF数据!$A:$A,CF!$A22)</f>
        <v>0</v>
      </c>
      <c r="H22" s="64">
        <f>SUMIFS(CF数据!H:H,CF数据!$A:$A,CF!$A22)</f>
        <v>0</v>
      </c>
      <c r="I22" s="64">
        <f>SUMIFS(CF数据!I:I,CF数据!$A:$A,CF!$A22)</f>
        <v>0</v>
      </c>
      <c r="J22" s="64">
        <f>SUMIFS(CF数据!J:J,CF数据!$A:$A,CF!$A22)</f>
        <v>0</v>
      </c>
      <c r="K22" s="64">
        <f>SUMIFS(CF数据!K:K,CF数据!$A:$A,CF!$A22)</f>
        <v>0</v>
      </c>
      <c r="L22" s="64">
        <f>SUMIFS(CF数据!L:L,CF数据!$A:$A,CF!$A22)</f>
        <v>0</v>
      </c>
      <c r="M22" s="64">
        <f>SUMIFS(CF数据!M:M,CF数据!$A:$A,CF!$A22)</f>
        <v>0</v>
      </c>
      <c r="N22" s="64">
        <f>SUMIFS(CF数据!N:N,CF数据!$A:$A,CF!$A22)</f>
        <v>0</v>
      </c>
      <c r="O22" s="64">
        <f>SUMIFS(CF数据!O:O,CF数据!$A:$A,CF!$A22)</f>
        <v>0</v>
      </c>
      <c r="P22" s="64">
        <f>SUMIFS(CF数据!P:P,CF数据!$A:$A,CF!$A22)</f>
        <v>0</v>
      </c>
      <c r="Q22" s="64">
        <f>SUMIFS(CF数据!Q:Q,CF数据!$A:$A,CF!$A22)</f>
        <v>0</v>
      </c>
      <c r="R22" s="73">
        <f t="shared" si="0"/>
        <v>0</v>
      </c>
      <c r="S22" s="73">
        <f t="shared" si="1"/>
        <v>0</v>
      </c>
    </row>
    <row r="23" spans="1:19" x14ac:dyDescent="0.25">
      <c r="A23" t="str">
        <f>CF数据!A22</f>
        <v>支付保单红利的现金(万元)</v>
      </c>
      <c r="B23" s="64">
        <f>SUMIFS(CF数据!B:B,CF数据!$A:$A,CF!$A23)</f>
        <v>0</v>
      </c>
      <c r="C23" s="64">
        <f>SUMIFS(CF数据!C:C,CF数据!$A:$A,CF!$A23)</f>
        <v>0</v>
      </c>
      <c r="D23" s="64">
        <f>SUMIFS(CF数据!D:D,CF数据!$A:$A,CF!$A23)</f>
        <v>0</v>
      </c>
      <c r="E23" s="64">
        <f>SUMIFS(CF数据!E:E,CF数据!$A:$A,CF!$A23)</f>
        <v>0</v>
      </c>
      <c r="F23" s="64">
        <f>SUMIFS(CF数据!F:F,CF数据!$A:$A,CF!$A23)</f>
        <v>0</v>
      </c>
      <c r="G23" s="64">
        <f>SUMIFS(CF数据!G:G,CF数据!$A:$A,CF!$A23)</f>
        <v>0</v>
      </c>
      <c r="H23" s="64">
        <f>SUMIFS(CF数据!H:H,CF数据!$A:$A,CF!$A23)</f>
        <v>0</v>
      </c>
      <c r="I23" s="64">
        <f>SUMIFS(CF数据!I:I,CF数据!$A:$A,CF!$A23)</f>
        <v>0</v>
      </c>
      <c r="J23" s="64">
        <f>SUMIFS(CF数据!J:J,CF数据!$A:$A,CF!$A23)</f>
        <v>0</v>
      </c>
      <c r="K23" s="64">
        <f>SUMIFS(CF数据!K:K,CF数据!$A:$A,CF!$A23)</f>
        <v>0</v>
      </c>
      <c r="L23" s="64">
        <f>SUMIFS(CF数据!L:L,CF数据!$A:$A,CF!$A23)</f>
        <v>0</v>
      </c>
      <c r="M23" s="64">
        <f>SUMIFS(CF数据!M:M,CF数据!$A:$A,CF!$A23)</f>
        <v>0</v>
      </c>
      <c r="N23" s="64">
        <f>SUMIFS(CF数据!N:N,CF数据!$A:$A,CF!$A23)</f>
        <v>0</v>
      </c>
      <c r="O23" s="64">
        <f>SUMIFS(CF数据!O:O,CF数据!$A:$A,CF!$A23)</f>
        <v>0</v>
      </c>
      <c r="P23" s="64">
        <f>SUMIFS(CF数据!P:P,CF数据!$A:$A,CF!$A23)</f>
        <v>0</v>
      </c>
      <c r="Q23" s="64">
        <f>SUMIFS(CF数据!Q:Q,CF数据!$A:$A,CF!$A23)</f>
        <v>0</v>
      </c>
      <c r="R23" s="73">
        <f t="shared" si="0"/>
        <v>0</v>
      </c>
      <c r="S23" s="73">
        <f t="shared" si="1"/>
        <v>0</v>
      </c>
    </row>
    <row r="24" spans="1:19" x14ac:dyDescent="0.25">
      <c r="A24" t="str">
        <f>CF数据!A23</f>
        <v>支付给职工以及为职工支付的现金(万元)</v>
      </c>
      <c r="B24" s="64">
        <f>SUMIFS(CF数据!B:B,CF数据!$A:$A,CF!$A24)</f>
        <v>537389</v>
      </c>
      <c r="C24" s="64">
        <f>SUMIFS(CF数据!C:C,CF数据!$A:$A,CF!$A24)</f>
        <v>464072</v>
      </c>
      <c r="D24" s="64">
        <f>SUMIFS(CF数据!D:D,CF数据!$A:$A,CF!$A24)</f>
        <v>369293</v>
      </c>
      <c r="E24" s="64">
        <f>SUMIFS(CF数据!E:E,CF数据!$A:$A,CF!$A24)</f>
        <v>300624</v>
      </c>
      <c r="F24" s="64">
        <f>SUMIFS(CF数据!F:F,CF数据!$A:$A,CF!$A24)</f>
        <v>287928</v>
      </c>
      <c r="G24" s="64">
        <f>SUMIFS(CF数据!G:G,CF数据!$A:$A,CF!$A24)</f>
        <v>377454</v>
      </c>
      <c r="H24" s="64">
        <f>SUMIFS(CF数据!H:H,CF数据!$A:$A,CF!$A24)</f>
        <v>390762</v>
      </c>
      <c r="I24" s="64">
        <f>SUMIFS(CF数据!I:I,CF数据!$A:$A,CF!$A24)</f>
        <v>423675</v>
      </c>
      <c r="J24" s="64">
        <f>SUMIFS(CF数据!J:J,CF数据!$A:$A,CF!$A24)</f>
        <v>360786</v>
      </c>
      <c r="K24" s="64">
        <f>SUMIFS(CF数据!K:K,CF数据!$A:$A,CF!$A24)</f>
        <v>220504</v>
      </c>
      <c r="L24" s="64">
        <f>SUMIFS(CF数据!L:L,CF数据!$A:$A,CF!$A24)</f>
        <v>90412</v>
      </c>
      <c r="M24" s="64">
        <f>SUMIFS(CF数据!M:M,CF数据!$A:$A,CF!$A24)</f>
        <v>81417</v>
      </c>
      <c r="N24" s="64">
        <f>SUMIFS(CF数据!N:N,CF数据!$A:$A,CF!$A24)</f>
        <v>55395</v>
      </c>
      <c r="O24" s="64">
        <f>SUMIFS(CF数据!O:O,CF数据!$A:$A,CF!$A24)</f>
        <v>25953</v>
      </c>
      <c r="P24" s="64">
        <f>SUMIFS(CF数据!P:P,CF数据!$A:$A,CF!$A24)</f>
        <v>0</v>
      </c>
      <c r="Q24" s="64">
        <f>SUMIFS(CF数据!Q:Q,CF数据!$A:$A,CF!$A24)</f>
        <v>0</v>
      </c>
      <c r="R24" s="73">
        <f t="shared" si="0"/>
        <v>0.15798626075264188</v>
      </c>
      <c r="S24" s="73">
        <f t="shared" si="1"/>
        <v>0.25664986880336205</v>
      </c>
    </row>
    <row r="25" spans="1:19" x14ac:dyDescent="0.25">
      <c r="A25" t="str">
        <f>CF数据!A24</f>
        <v>支付的各项税费(万元)</v>
      </c>
      <c r="B25" s="64">
        <f>SUMIFS(CF数据!B:B,CF数据!$A:$A,CF!$A25)</f>
        <v>387904</v>
      </c>
      <c r="C25" s="64">
        <f>SUMIFS(CF数据!C:C,CF数据!$A:$A,CF!$A25)</f>
        <v>272084</v>
      </c>
      <c r="D25" s="64">
        <f>SUMIFS(CF数据!D:D,CF数据!$A:$A,CF!$A25)</f>
        <v>180797</v>
      </c>
      <c r="E25" s="64">
        <f>SUMIFS(CF数据!E:E,CF数据!$A:$A,CF!$A25)</f>
        <v>120773</v>
      </c>
      <c r="F25" s="64">
        <f>SUMIFS(CF数据!F:F,CF数据!$A:$A,CF!$A25)</f>
        <v>106349</v>
      </c>
      <c r="G25" s="64">
        <f>SUMIFS(CF数据!G:G,CF数据!$A:$A,CF!$A25)</f>
        <v>241470</v>
      </c>
      <c r="H25" s="64">
        <f>SUMIFS(CF数据!H:H,CF数据!$A:$A,CF!$A25)</f>
        <v>261859</v>
      </c>
      <c r="I25" s="64">
        <f>SUMIFS(CF数据!I:I,CF数据!$A:$A,CF!$A25)</f>
        <v>334507</v>
      </c>
      <c r="J25" s="64">
        <f>SUMIFS(CF数据!J:J,CF数据!$A:$A,CF!$A25)</f>
        <v>457691</v>
      </c>
      <c r="K25" s="64">
        <f>SUMIFS(CF数据!K:K,CF数据!$A:$A,CF!$A25)</f>
        <v>231516</v>
      </c>
      <c r="L25" s="64">
        <f>SUMIFS(CF数据!L:L,CF数据!$A:$A,CF!$A25)</f>
        <v>93583</v>
      </c>
      <c r="M25" s="64">
        <f>SUMIFS(CF数据!M:M,CF数据!$A:$A,CF!$A25)</f>
        <v>49490</v>
      </c>
      <c r="N25" s="64">
        <f>SUMIFS(CF数据!N:N,CF数据!$A:$A,CF!$A25)</f>
        <v>42648</v>
      </c>
      <c r="O25" s="64">
        <f>SUMIFS(CF数据!O:O,CF数据!$A:$A,CF!$A25)</f>
        <v>33642</v>
      </c>
      <c r="P25" s="64">
        <f>SUMIFS(CF数据!P:P,CF数据!$A:$A,CF!$A25)</f>
        <v>0</v>
      </c>
      <c r="Q25" s="64">
        <f>SUMIFS(CF数据!Q:Q,CF数据!$A:$A,CF!$A25)</f>
        <v>0</v>
      </c>
      <c r="R25" s="73">
        <f t="shared" si="0"/>
        <v>0.42567736434336445</v>
      </c>
      <c r="S25" s="73">
        <f t="shared" si="1"/>
        <v>0.50491435145494679</v>
      </c>
    </row>
    <row r="26" spans="1:19" x14ac:dyDescent="0.25">
      <c r="A26" t="str">
        <f>CF数据!A25</f>
        <v>支付的其他与经营活动有关的现金(万元)</v>
      </c>
      <c r="B26" s="64">
        <f>SUMIFS(CF数据!B:B,CF数据!$A:$A,CF!$A26)</f>
        <v>624939</v>
      </c>
      <c r="C26" s="64">
        <f>SUMIFS(CF数据!C:C,CF数据!$A:$A,CF!$A26)</f>
        <v>464660</v>
      </c>
      <c r="D26" s="64">
        <f>SUMIFS(CF数据!D:D,CF数据!$A:$A,CF!$A26)</f>
        <v>340812</v>
      </c>
      <c r="E26" s="64">
        <f>SUMIFS(CF数据!E:E,CF数据!$A:$A,CF!$A26)</f>
        <v>343698</v>
      </c>
      <c r="F26" s="64">
        <f>SUMIFS(CF数据!F:F,CF数据!$A:$A,CF!$A26)</f>
        <v>271364</v>
      </c>
      <c r="G26" s="64">
        <f>SUMIFS(CF数据!G:G,CF数据!$A:$A,CF!$A26)</f>
        <v>616384</v>
      </c>
      <c r="H26" s="64">
        <f>SUMIFS(CF数据!H:H,CF数据!$A:$A,CF!$A26)</f>
        <v>634839</v>
      </c>
      <c r="I26" s="64">
        <f>SUMIFS(CF数据!I:I,CF数据!$A:$A,CF!$A26)</f>
        <v>508151</v>
      </c>
      <c r="J26" s="64">
        <f>SUMIFS(CF数据!J:J,CF数据!$A:$A,CF!$A26)</f>
        <v>579716</v>
      </c>
      <c r="K26" s="64">
        <f>SUMIFS(CF数据!K:K,CF数据!$A:$A,CF!$A26)</f>
        <v>409105</v>
      </c>
      <c r="L26" s="64">
        <f>SUMIFS(CF数据!L:L,CF数据!$A:$A,CF!$A26)</f>
        <v>206235</v>
      </c>
      <c r="M26" s="64">
        <f>SUMIFS(CF数据!M:M,CF数据!$A:$A,CF!$A26)</f>
        <v>161315</v>
      </c>
      <c r="N26" s="64">
        <f>SUMIFS(CF数据!N:N,CF数据!$A:$A,CF!$A26)</f>
        <v>101753</v>
      </c>
      <c r="O26" s="64">
        <f>SUMIFS(CF数据!O:O,CF数据!$A:$A,CF!$A26)</f>
        <v>70697</v>
      </c>
      <c r="P26" s="64">
        <f>SUMIFS(CF数据!P:P,CF数据!$A:$A,CF!$A26)</f>
        <v>0</v>
      </c>
      <c r="Q26" s="64">
        <f>SUMIFS(CF数据!Q:Q,CF数据!$A:$A,CF!$A26)</f>
        <v>0</v>
      </c>
      <c r="R26" s="73">
        <f t="shared" si="0"/>
        <v>0.34493823440795413</v>
      </c>
      <c r="S26" s="73">
        <f t="shared" si="1"/>
        <v>0.3633909604121921</v>
      </c>
    </row>
    <row r="27" spans="1:19" x14ac:dyDescent="0.25">
      <c r="A27" t="str">
        <f>CF数据!A26</f>
        <v>经营活动现金流出小计(万元)</v>
      </c>
      <c r="B27" s="64">
        <f>SUMIFS(CF数据!B:B,CF数据!$A:$A,CF!$A27)</f>
        <v>6747408</v>
      </c>
      <c r="C27" s="64">
        <f>SUMIFS(CF数据!C:C,CF数据!$A:$A,CF!$A27)</f>
        <v>5075420</v>
      </c>
      <c r="D27" s="64">
        <f>SUMIFS(CF数据!D:D,CF数据!$A:$A,CF!$A27)</f>
        <v>3403077</v>
      </c>
      <c r="E27" s="64">
        <f>SUMIFS(CF数据!E:E,CF数据!$A:$A,CF!$A27)</f>
        <v>2350838</v>
      </c>
      <c r="F27" s="64">
        <f>SUMIFS(CF数据!F:F,CF数据!$A:$A,CF!$A27)</f>
        <v>2307415</v>
      </c>
      <c r="G27" s="64">
        <f>SUMIFS(CF数据!G:G,CF数据!$A:$A,CF!$A27)</f>
        <v>3269335</v>
      </c>
      <c r="H27" s="64">
        <f>SUMIFS(CF数据!H:H,CF数据!$A:$A,CF!$A27)</f>
        <v>3701828</v>
      </c>
      <c r="I27" s="64">
        <f>SUMIFS(CF数据!I:I,CF数据!$A:$A,CF!$A27)</f>
        <v>4736937</v>
      </c>
      <c r="J27" s="64">
        <f>SUMIFS(CF数据!J:J,CF数据!$A:$A,CF!$A27)</f>
        <v>5155326</v>
      </c>
      <c r="K27" s="64">
        <f>SUMIFS(CF数据!K:K,CF数据!$A:$A,CF!$A27)</f>
        <v>3140028</v>
      </c>
      <c r="L27" s="64">
        <f>SUMIFS(CF数据!L:L,CF数据!$A:$A,CF!$A27)</f>
        <v>1477629</v>
      </c>
      <c r="M27" s="64">
        <f>SUMIFS(CF数据!M:M,CF数据!$A:$A,CF!$A27)</f>
        <v>1411843</v>
      </c>
      <c r="N27" s="64">
        <f>SUMIFS(CF数据!N:N,CF数据!$A:$A,CF!$A27)</f>
        <v>774469</v>
      </c>
      <c r="O27" s="64">
        <f>SUMIFS(CF数据!O:O,CF数据!$A:$A,CF!$A27)</f>
        <v>553869</v>
      </c>
      <c r="P27" s="64">
        <f>SUMIFS(CF数据!P:P,CF数据!$A:$A,CF!$A27)</f>
        <v>0</v>
      </c>
      <c r="Q27" s="64">
        <f>SUMIFS(CF数据!Q:Q,CF数据!$A:$A,CF!$A27)</f>
        <v>0</v>
      </c>
      <c r="R27" s="73">
        <f t="shared" si="0"/>
        <v>0.32942850049848094</v>
      </c>
      <c r="S27" s="73">
        <f t="shared" si="1"/>
        <v>0.49142085236390476</v>
      </c>
    </row>
    <row r="28" spans="1:19" x14ac:dyDescent="0.25">
      <c r="A28" s="150" t="str">
        <f>CF数据!A27</f>
        <v>经营活动产生的现金流量净额(万元)</v>
      </c>
      <c r="B28" s="157">
        <f>SUMIFS(CF数据!B:B,CF数据!$A:$A,CF!$A28)</f>
        <v>1326538</v>
      </c>
      <c r="C28" s="157">
        <f>SUMIFS(CF数据!C:C,CF数据!$A:$A,CF!$A28)</f>
        <v>1052690</v>
      </c>
      <c r="D28" s="157">
        <f>SUMIFS(CF数据!D:D,CF数据!$A:$A,CF!$A28)</f>
        <v>856450</v>
      </c>
      <c r="E28" s="157">
        <f>SUMIFS(CF数据!E:E,CF数据!$A:$A,CF!$A28)</f>
        <v>324945</v>
      </c>
      <c r="F28" s="157">
        <f>SUMIFS(CF数据!F:F,CF数据!$A:$A,CF!$A28)</f>
        <v>213598</v>
      </c>
      <c r="G28" s="157">
        <f>SUMIFS(CF数据!G:G,CF数据!$A:$A,CF!$A28)</f>
        <v>123194</v>
      </c>
      <c r="H28" s="157">
        <f>SUMIFS(CF数据!H:H,CF数据!$A:$A,CF!$A28)</f>
        <v>276933</v>
      </c>
      <c r="I28" s="157">
        <f>SUMIFS(CF数据!I:I,CF数据!$A:$A,CF!$A28)</f>
        <v>568174</v>
      </c>
      <c r="J28" s="157">
        <f>SUMIFS(CF数据!J:J,CF数据!$A:$A,CF!$A28)</f>
        <v>227903</v>
      </c>
      <c r="K28" s="157">
        <f>SUMIFS(CF数据!K:K,CF数据!$A:$A,CF!$A28)</f>
        <v>674912</v>
      </c>
      <c r="L28" s="157">
        <f>SUMIFS(CF数据!L:L,CF数据!$A:$A,CF!$A28)</f>
        <v>247113</v>
      </c>
      <c r="M28" s="157">
        <f>SUMIFS(CF数据!M:M,CF数据!$A:$A,CF!$A28)</f>
        <v>64050</v>
      </c>
      <c r="N28" s="157">
        <f>SUMIFS(CF数据!N:N,CF数据!$A:$A,CF!$A28)</f>
        <v>63059</v>
      </c>
      <c r="O28" s="157">
        <f>SUMIFS(CF数据!O:O,CF数据!$A:$A,CF!$A28)</f>
        <v>51002</v>
      </c>
      <c r="P28" s="157">
        <f>SUMIFS(CF数据!P:P,CF数据!$A:$A,CF!$A28)</f>
        <v>0</v>
      </c>
      <c r="Q28" s="157">
        <f>SUMIFS(CF数据!Q:Q,CF数据!$A:$A,CF!$A28)</f>
        <v>0</v>
      </c>
      <c r="R28" s="73">
        <f t="shared" si="0"/>
        <v>0.26014116216549987</v>
      </c>
      <c r="S28" s="73">
        <f t="shared" si="1"/>
        <v>0.22913188160429687</v>
      </c>
    </row>
    <row r="29" spans="1:19" x14ac:dyDescent="0.25">
      <c r="A29" t="str">
        <f>CF数据!A28</f>
        <v>二、投资活动产生的现金流量</v>
      </c>
      <c r="B29" s="64">
        <f>SUMIFS(CF数据!B:B,CF数据!$A:$A,CF!$A29)</f>
        <v>0</v>
      </c>
      <c r="C29" s="64">
        <f>SUMIFS(CF数据!C:C,CF数据!$A:$A,CF!$A29)</f>
        <v>0</v>
      </c>
      <c r="D29" s="64">
        <f>SUMIFS(CF数据!D:D,CF数据!$A:$A,CF!$A29)</f>
        <v>0</v>
      </c>
      <c r="E29" s="64">
        <f>SUMIFS(CF数据!E:E,CF数据!$A:$A,CF!$A29)</f>
        <v>0</v>
      </c>
      <c r="F29" s="64">
        <f>SUMIFS(CF数据!F:F,CF数据!$A:$A,CF!$A29)</f>
        <v>0</v>
      </c>
      <c r="G29" s="64">
        <f>SUMIFS(CF数据!G:G,CF数据!$A:$A,CF!$A29)</f>
        <v>0</v>
      </c>
      <c r="H29" s="64">
        <f>SUMIFS(CF数据!H:H,CF数据!$A:$A,CF!$A29)</f>
        <v>0</v>
      </c>
      <c r="I29" s="64">
        <f>SUMIFS(CF数据!I:I,CF数据!$A:$A,CF!$A29)</f>
        <v>0</v>
      </c>
      <c r="J29" s="64">
        <f>SUMIFS(CF数据!J:J,CF数据!$A:$A,CF!$A29)</f>
        <v>0</v>
      </c>
      <c r="K29" s="64">
        <f>SUMIFS(CF数据!K:K,CF数据!$A:$A,CF!$A29)</f>
        <v>0</v>
      </c>
      <c r="L29" s="64">
        <f>SUMIFS(CF数据!L:L,CF数据!$A:$A,CF!$A29)</f>
        <v>0</v>
      </c>
      <c r="M29" s="64">
        <f>SUMIFS(CF数据!M:M,CF数据!$A:$A,CF!$A29)</f>
        <v>0</v>
      </c>
      <c r="N29" s="64">
        <f>SUMIFS(CF数据!N:N,CF数据!$A:$A,CF!$A29)</f>
        <v>0</v>
      </c>
      <c r="O29" s="64">
        <f>SUMIFS(CF数据!O:O,CF数据!$A:$A,CF!$A29)</f>
        <v>0</v>
      </c>
      <c r="P29" s="64">
        <f>SUMIFS(CF数据!P:P,CF数据!$A:$A,CF!$A29)</f>
        <v>0</v>
      </c>
      <c r="Q29" s="64">
        <f>SUMIFS(CF数据!Q:Q,CF数据!$A:$A,CF!$A29)</f>
        <v>0</v>
      </c>
      <c r="R29" s="73">
        <f t="shared" si="0"/>
        <v>0</v>
      </c>
      <c r="S29" s="73">
        <f t="shared" si="1"/>
        <v>0</v>
      </c>
    </row>
    <row r="30" spans="1:19" x14ac:dyDescent="0.25">
      <c r="A30" t="str">
        <f>CF数据!A29</f>
        <v>收回投资所收到的现金(万元)</v>
      </c>
      <c r="B30" s="64">
        <f>SUMIFS(CF数据!B:B,CF数据!$A:$A,CF!$A30)</f>
        <v>1425434</v>
      </c>
      <c r="C30" s="64">
        <f>SUMIFS(CF数据!C:C,CF数据!$A:$A,CF!$A30)</f>
        <v>219236</v>
      </c>
      <c r="D30" s="64">
        <f>SUMIFS(CF数据!D:D,CF数据!$A:$A,CF!$A30)</f>
        <v>40200</v>
      </c>
      <c r="E30" s="64">
        <f>SUMIFS(CF数据!E:E,CF数据!$A:$A,CF!$A30)</f>
        <v>1168</v>
      </c>
      <c r="F30" s="64">
        <f>SUMIFS(CF数据!F:F,CF数据!$A:$A,CF!$A30)</f>
        <v>6269</v>
      </c>
      <c r="G30" s="64">
        <f>SUMIFS(CF数据!G:G,CF数据!$A:$A,CF!$A30)</f>
        <v>596</v>
      </c>
      <c r="H30" s="64">
        <f>SUMIFS(CF数据!H:H,CF数据!$A:$A,CF!$A30)</f>
        <v>227</v>
      </c>
      <c r="I30" s="64">
        <f>SUMIFS(CF数据!I:I,CF数据!$A:$A,CF!$A30)</f>
        <v>7909</v>
      </c>
      <c r="J30" s="64">
        <f>SUMIFS(CF数据!J:J,CF数据!$A:$A,CF!$A30)</f>
        <v>973</v>
      </c>
      <c r="K30" s="64">
        <f>SUMIFS(CF数据!K:K,CF数据!$A:$A,CF!$A30)</f>
        <v>13160</v>
      </c>
      <c r="L30" s="64">
        <f>SUMIFS(CF数据!L:L,CF数据!$A:$A,CF!$A30)</f>
        <v>125</v>
      </c>
      <c r="M30" s="64">
        <f>SUMIFS(CF数据!M:M,CF数据!$A:$A,CF!$A30)</f>
        <v>36840</v>
      </c>
      <c r="N30" s="64">
        <f>SUMIFS(CF数据!N:N,CF数据!$A:$A,CF!$A30)</f>
        <v>135404</v>
      </c>
      <c r="O30" s="64">
        <f>SUMIFS(CF数据!O:O,CF数据!$A:$A,CF!$A30)</f>
        <v>49857</v>
      </c>
      <c r="P30" s="64">
        <f>SUMIFS(CF数据!P:P,CF数据!$A:$A,CF!$A30)</f>
        <v>0</v>
      </c>
      <c r="Q30" s="64">
        <f>SUMIFS(CF数据!Q:Q,CF数据!$A:$A,CF!$A30)</f>
        <v>0</v>
      </c>
      <c r="R30" s="73">
        <f t="shared" si="0"/>
        <v>5.5018245178711522</v>
      </c>
      <c r="S30" s="73">
        <f t="shared" si="1"/>
        <v>4.45363184079602</v>
      </c>
    </row>
    <row r="31" spans="1:19" x14ac:dyDescent="0.25">
      <c r="A31" t="str">
        <f>CF数据!A30</f>
        <v>取得投资收益所收到的现金(万元)</v>
      </c>
      <c r="B31" s="64">
        <f>SUMIFS(CF数据!B:B,CF数据!$A:$A,CF!$A31)</f>
        <v>75615</v>
      </c>
      <c r="C31" s="64">
        <f>SUMIFS(CF数据!C:C,CF数据!$A:$A,CF!$A31)</f>
        <v>50603</v>
      </c>
      <c r="D31" s="64">
        <f>SUMIFS(CF数据!D:D,CF数据!$A:$A,CF!$A31)</f>
        <v>45034</v>
      </c>
      <c r="E31" s="64">
        <f>SUMIFS(CF数据!E:E,CF数据!$A:$A,CF!$A31)</f>
        <v>21970</v>
      </c>
      <c r="F31" s="64">
        <f>SUMIFS(CF数据!F:F,CF数据!$A:$A,CF!$A31)</f>
        <v>8362</v>
      </c>
      <c r="G31" s="64">
        <f>SUMIFS(CF数据!G:G,CF数据!$A:$A,CF!$A31)</f>
        <v>70721</v>
      </c>
      <c r="H31" s="64">
        <f>SUMIFS(CF数据!H:H,CF数据!$A:$A,CF!$A31)</f>
        <v>55260</v>
      </c>
      <c r="I31" s="64">
        <f>SUMIFS(CF数据!I:I,CF数据!$A:$A,CF!$A31)</f>
        <v>22651</v>
      </c>
      <c r="J31" s="64">
        <f>SUMIFS(CF数据!J:J,CF数据!$A:$A,CF!$A31)</f>
        <v>13108</v>
      </c>
      <c r="K31" s="64">
        <f>SUMIFS(CF数据!K:K,CF数据!$A:$A,CF!$A31)</f>
        <v>2936</v>
      </c>
      <c r="L31" s="64">
        <f>SUMIFS(CF数据!L:L,CF数据!$A:$A,CF!$A31)</f>
        <v>1714</v>
      </c>
      <c r="M31" s="64">
        <f>SUMIFS(CF数据!M:M,CF数据!$A:$A,CF!$A31)</f>
        <v>372</v>
      </c>
      <c r="N31" s="64">
        <f>SUMIFS(CF数据!N:N,CF数据!$A:$A,CF!$A31)</f>
        <v>320</v>
      </c>
      <c r="O31" s="64">
        <f>SUMIFS(CF数据!O:O,CF数据!$A:$A,CF!$A31)</f>
        <v>574</v>
      </c>
      <c r="P31" s="64">
        <f>SUMIFS(CF数据!P:P,CF数据!$A:$A,CF!$A31)</f>
        <v>0</v>
      </c>
      <c r="Q31" s="64">
        <f>SUMIFS(CF数据!Q:Q,CF数据!$A:$A,CF!$A31)</f>
        <v>0</v>
      </c>
      <c r="R31" s="73">
        <f t="shared" si="0"/>
        <v>0.49427899531648323</v>
      </c>
      <c r="S31" s="73">
        <f t="shared" si="1"/>
        <v>0.12366212195230264</v>
      </c>
    </row>
    <row r="32" spans="1:19" x14ac:dyDescent="0.25">
      <c r="A32" t="str">
        <f>CF数据!A31</f>
        <v>处置固定资产、无形资产和其他长期资产所收回的现金净额(万元)</v>
      </c>
      <c r="B32" s="64">
        <f>SUMIFS(CF数据!B:B,CF数据!$A:$A,CF!$A32)</f>
        <v>19747</v>
      </c>
      <c r="C32" s="64">
        <f>SUMIFS(CF数据!C:C,CF数据!$A:$A,CF!$A32)</f>
        <v>37704</v>
      </c>
      <c r="D32" s="64">
        <f>SUMIFS(CF数据!D:D,CF数据!$A:$A,CF!$A32)</f>
        <v>48181</v>
      </c>
      <c r="E32" s="64">
        <f>SUMIFS(CF数据!E:E,CF数据!$A:$A,CF!$A32)</f>
        <v>47996</v>
      </c>
      <c r="F32" s="64">
        <f>SUMIFS(CF数据!F:F,CF数据!$A:$A,CF!$A32)</f>
        <v>38503</v>
      </c>
      <c r="G32" s="64">
        <f>SUMIFS(CF数据!G:G,CF数据!$A:$A,CF!$A32)</f>
        <v>47457</v>
      </c>
      <c r="H32" s="64">
        <f>SUMIFS(CF数据!H:H,CF数据!$A:$A,CF!$A32)</f>
        <v>49936</v>
      </c>
      <c r="I32" s="64">
        <f>SUMIFS(CF数据!I:I,CF数据!$A:$A,CF!$A32)</f>
        <v>35778</v>
      </c>
      <c r="J32" s="64">
        <f>SUMIFS(CF数据!J:J,CF数据!$A:$A,CF!$A32)</f>
        <v>11716</v>
      </c>
      <c r="K32" s="64">
        <f>SUMIFS(CF数据!K:K,CF数据!$A:$A,CF!$A32)</f>
        <v>35382</v>
      </c>
      <c r="L32" s="64">
        <f>SUMIFS(CF数据!L:L,CF数据!$A:$A,CF!$A32)</f>
        <v>13933</v>
      </c>
      <c r="M32" s="64">
        <f>SUMIFS(CF数据!M:M,CF数据!$A:$A,CF!$A32)</f>
        <v>5280</v>
      </c>
      <c r="N32" s="64">
        <f>SUMIFS(CF数据!N:N,CF数据!$A:$A,CF!$A32)</f>
        <v>2574</v>
      </c>
      <c r="O32" s="64">
        <f>SUMIFS(CF数据!O:O,CF数据!$A:$A,CF!$A32)</f>
        <v>1942</v>
      </c>
      <c r="P32" s="64">
        <f>SUMIFS(CF数据!P:P,CF数据!$A:$A,CF!$A32)</f>
        <v>0</v>
      </c>
      <c r="Q32" s="64">
        <f>SUMIFS(CF数据!Q:Q,CF数据!$A:$A,CF!$A32)</f>
        <v>0</v>
      </c>
      <c r="R32" s="73">
        <f t="shared" si="0"/>
        <v>-0.47626246552089968</v>
      </c>
      <c r="S32" s="73">
        <f t="shared" si="1"/>
        <v>-0.2174508623731346</v>
      </c>
    </row>
    <row r="33" spans="1:19" x14ac:dyDescent="0.25">
      <c r="A33" t="str">
        <f>CF数据!A32</f>
        <v>处置子公司及其他营业单位收到的现金净额(万元)</v>
      </c>
      <c r="B33" s="64">
        <f>SUMIFS(CF数据!B:B,CF数据!$A:$A,CF!$A33)</f>
        <v>15324</v>
      </c>
      <c r="C33" s="64">
        <f>SUMIFS(CF数据!C:C,CF数据!$A:$A,CF!$A33)</f>
        <v>31068</v>
      </c>
      <c r="D33" s="64">
        <f>SUMIFS(CF数据!D:D,CF数据!$A:$A,CF!$A33)</f>
        <v>204625</v>
      </c>
      <c r="E33" s="64">
        <f>SUMIFS(CF数据!E:E,CF数据!$A:$A,CF!$A33)</f>
        <v>267641</v>
      </c>
      <c r="F33" s="64">
        <f>SUMIFS(CF数据!F:F,CF数据!$A:$A,CF!$A33)</f>
        <v>0</v>
      </c>
      <c r="G33" s="64">
        <f>SUMIFS(CF数据!G:G,CF数据!$A:$A,CF!$A33)</f>
        <v>0</v>
      </c>
      <c r="H33" s="64">
        <f>SUMIFS(CF数据!H:H,CF数据!$A:$A,CF!$A33)</f>
        <v>472</v>
      </c>
      <c r="I33" s="64">
        <f>SUMIFS(CF数据!I:I,CF数据!$A:$A,CF!$A33)</f>
        <v>146</v>
      </c>
      <c r="J33" s="64">
        <f>SUMIFS(CF数据!J:J,CF数据!$A:$A,CF!$A33)</f>
        <v>0</v>
      </c>
      <c r="K33" s="64">
        <f>SUMIFS(CF数据!K:K,CF数据!$A:$A,CF!$A33)</f>
        <v>0</v>
      </c>
      <c r="L33" s="64">
        <f>SUMIFS(CF数据!L:L,CF数据!$A:$A,CF!$A33)</f>
        <v>0</v>
      </c>
      <c r="M33" s="64">
        <f>SUMIFS(CF数据!M:M,CF数据!$A:$A,CF!$A33)</f>
        <v>0</v>
      </c>
      <c r="N33" s="64">
        <f>SUMIFS(CF数据!N:N,CF数据!$A:$A,CF!$A33)</f>
        <v>0</v>
      </c>
      <c r="O33" s="64">
        <f>SUMIFS(CF数据!O:O,CF数据!$A:$A,CF!$A33)</f>
        <v>6678</v>
      </c>
      <c r="P33" s="64">
        <f>SUMIFS(CF数据!P:P,CF数据!$A:$A,CF!$A33)</f>
        <v>0</v>
      </c>
      <c r="Q33" s="64">
        <f>SUMIFS(CF数据!Q:Q,CF数据!$A:$A,CF!$A33)</f>
        <v>0</v>
      </c>
      <c r="R33" s="73">
        <f t="shared" si="0"/>
        <v>-0.50675936655079179</v>
      </c>
      <c r="S33" s="73">
        <f t="shared" si="1"/>
        <v>-0.84817104459376913</v>
      </c>
    </row>
    <row r="34" spans="1:19" x14ac:dyDescent="0.25">
      <c r="A34" t="str">
        <f>CF数据!A33</f>
        <v>收到的其他与投资活动有关的现金(万元)</v>
      </c>
      <c r="B34" s="64">
        <f>SUMIFS(CF数据!B:B,CF数据!$A:$A,CF!$A34)</f>
        <v>52115</v>
      </c>
      <c r="C34" s="64">
        <f>SUMIFS(CF数据!C:C,CF数据!$A:$A,CF!$A34)</f>
        <v>0</v>
      </c>
      <c r="D34" s="64">
        <f>SUMIFS(CF数据!D:D,CF数据!$A:$A,CF!$A34)</f>
        <v>1401</v>
      </c>
      <c r="E34" s="64">
        <f>SUMIFS(CF数据!E:E,CF数据!$A:$A,CF!$A34)</f>
        <v>17208</v>
      </c>
      <c r="F34" s="64">
        <f>SUMIFS(CF数据!F:F,CF数据!$A:$A,CF!$A34)</f>
        <v>91716</v>
      </c>
      <c r="G34" s="64">
        <f>SUMIFS(CF数据!G:G,CF数据!$A:$A,CF!$A34)</f>
        <v>0</v>
      </c>
      <c r="H34" s="64">
        <f>SUMIFS(CF数据!H:H,CF数据!$A:$A,CF!$A34)</f>
        <v>32430</v>
      </c>
      <c r="I34" s="64">
        <f>SUMIFS(CF数据!I:I,CF数据!$A:$A,CF!$A34)</f>
        <v>73127</v>
      </c>
      <c r="J34" s="64">
        <f>SUMIFS(CF数据!J:J,CF数据!$A:$A,CF!$A34)</f>
        <v>7530</v>
      </c>
      <c r="K34" s="64">
        <f>SUMIFS(CF数据!K:K,CF数据!$A:$A,CF!$A34)</f>
        <v>55008</v>
      </c>
      <c r="L34" s="64">
        <f>SUMIFS(CF数据!L:L,CF数据!$A:$A,CF!$A34)</f>
        <v>0</v>
      </c>
      <c r="M34" s="64">
        <f>SUMIFS(CF数据!M:M,CF数据!$A:$A,CF!$A34)</f>
        <v>0</v>
      </c>
      <c r="N34" s="64">
        <f>SUMIFS(CF数据!N:N,CF数据!$A:$A,CF!$A34)</f>
        <v>0</v>
      </c>
      <c r="O34" s="64">
        <f>SUMIFS(CF数据!O:O,CF数据!$A:$A,CF!$A34)</f>
        <v>0</v>
      </c>
      <c r="P34" s="64">
        <f>SUMIFS(CF数据!P:P,CF数据!$A:$A,CF!$A34)</f>
        <v>0</v>
      </c>
      <c r="Q34" s="64">
        <f>SUMIFS(CF数据!Q:Q,CF数据!$A:$A,CF!$A34)</f>
        <v>0</v>
      </c>
      <c r="R34" s="73">
        <f t="shared" si="0"/>
        <v>0</v>
      </c>
      <c r="S34" s="73">
        <f t="shared" si="1"/>
        <v>-1</v>
      </c>
    </row>
    <row r="35" spans="1:19" x14ac:dyDescent="0.25">
      <c r="A35" t="str">
        <f>CF数据!A34</f>
        <v>减少质押和定期存款所收到的现金(万元)</v>
      </c>
      <c r="B35" s="64">
        <f>SUMIFS(CF数据!B:B,CF数据!$A:$A,CF!$A35)</f>
        <v>0</v>
      </c>
      <c r="C35" s="64">
        <f>SUMIFS(CF数据!C:C,CF数据!$A:$A,CF!$A35)</f>
        <v>0</v>
      </c>
      <c r="D35" s="64">
        <f>SUMIFS(CF数据!D:D,CF数据!$A:$A,CF!$A35)</f>
        <v>0</v>
      </c>
      <c r="E35" s="64">
        <f>SUMIFS(CF数据!E:E,CF数据!$A:$A,CF!$A35)</f>
        <v>0</v>
      </c>
      <c r="F35" s="64">
        <f>SUMIFS(CF数据!F:F,CF数据!$A:$A,CF!$A35)</f>
        <v>0</v>
      </c>
      <c r="G35" s="64">
        <f>SUMIFS(CF数据!G:G,CF数据!$A:$A,CF!$A35)</f>
        <v>0</v>
      </c>
      <c r="H35" s="64">
        <f>SUMIFS(CF数据!H:H,CF数据!$A:$A,CF!$A35)</f>
        <v>0</v>
      </c>
      <c r="I35" s="64">
        <f>SUMIFS(CF数据!I:I,CF数据!$A:$A,CF!$A35)</f>
        <v>0</v>
      </c>
      <c r="J35" s="64">
        <f>SUMIFS(CF数据!J:J,CF数据!$A:$A,CF!$A35)</f>
        <v>0</v>
      </c>
      <c r="K35" s="64">
        <f>SUMIFS(CF数据!K:K,CF数据!$A:$A,CF!$A35)</f>
        <v>0</v>
      </c>
      <c r="L35" s="64">
        <f>SUMIFS(CF数据!L:L,CF数据!$A:$A,CF!$A35)</f>
        <v>0</v>
      </c>
      <c r="M35" s="64">
        <f>SUMIFS(CF数据!M:M,CF数据!$A:$A,CF!$A35)</f>
        <v>0</v>
      </c>
      <c r="N35" s="64">
        <f>SUMIFS(CF数据!N:N,CF数据!$A:$A,CF!$A35)</f>
        <v>0</v>
      </c>
      <c r="O35" s="64">
        <f>SUMIFS(CF数据!O:O,CF数据!$A:$A,CF!$A35)</f>
        <v>0</v>
      </c>
      <c r="P35" s="64">
        <f>SUMIFS(CF数据!P:P,CF数据!$A:$A,CF!$A35)</f>
        <v>0</v>
      </c>
      <c r="Q35" s="64">
        <f>SUMIFS(CF数据!Q:Q,CF数据!$A:$A,CF!$A35)</f>
        <v>0</v>
      </c>
      <c r="R35" s="73">
        <f t="shared" si="0"/>
        <v>0</v>
      </c>
      <c r="S35" s="73">
        <f t="shared" si="1"/>
        <v>0</v>
      </c>
    </row>
    <row r="36" spans="1:19" x14ac:dyDescent="0.25">
      <c r="A36" t="str">
        <f>CF数据!A35</f>
        <v>投资活动现金流入小计(万元)</v>
      </c>
      <c r="B36" s="64">
        <f>SUMIFS(CF数据!B:B,CF数据!$A:$A,CF!$A36)</f>
        <v>1588235</v>
      </c>
      <c r="C36" s="64">
        <f>SUMIFS(CF数据!C:C,CF数据!$A:$A,CF!$A36)</f>
        <v>338611</v>
      </c>
      <c r="D36" s="64">
        <f>SUMIFS(CF数据!D:D,CF数据!$A:$A,CF!$A36)</f>
        <v>339440</v>
      </c>
      <c r="E36" s="64">
        <f>SUMIFS(CF数据!E:E,CF数据!$A:$A,CF!$A36)</f>
        <v>355983</v>
      </c>
      <c r="F36" s="64">
        <f>SUMIFS(CF数据!F:F,CF数据!$A:$A,CF!$A36)</f>
        <v>144849</v>
      </c>
      <c r="G36" s="64">
        <f>SUMIFS(CF数据!G:G,CF数据!$A:$A,CF!$A36)</f>
        <v>118774</v>
      </c>
      <c r="H36" s="64">
        <f>SUMIFS(CF数据!H:H,CF数据!$A:$A,CF!$A36)</f>
        <v>138325</v>
      </c>
      <c r="I36" s="64">
        <f>SUMIFS(CF数据!I:I,CF数据!$A:$A,CF!$A36)</f>
        <v>139611</v>
      </c>
      <c r="J36" s="64">
        <f>SUMIFS(CF数据!J:J,CF数据!$A:$A,CF!$A36)</f>
        <v>33326</v>
      </c>
      <c r="K36" s="64">
        <f>SUMIFS(CF数据!K:K,CF数据!$A:$A,CF!$A36)</f>
        <v>106486</v>
      </c>
      <c r="L36" s="64">
        <f>SUMIFS(CF数据!L:L,CF数据!$A:$A,CF!$A36)</f>
        <v>15772</v>
      </c>
      <c r="M36" s="64">
        <f>SUMIFS(CF数据!M:M,CF数据!$A:$A,CF!$A36)</f>
        <v>42492</v>
      </c>
      <c r="N36" s="64">
        <f>SUMIFS(CF数据!N:N,CF数据!$A:$A,CF!$A36)</f>
        <v>138298</v>
      </c>
      <c r="O36" s="64">
        <f>SUMIFS(CF数据!O:O,CF数据!$A:$A,CF!$A36)</f>
        <v>59052</v>
      </c>
      <c r="P36" s="64">
        <f>SUMIFS(CF数据!P:P,CF数据!$A:$A,CF!$A36)</f>
        <v>0</v>
      </c>
      <c r="Q36" s="64">
        <f>SUMIFS(CF数据!Q:Q,CF数据!$A:$A,CF!$A36)</f>
        <v>0</v>
      </c>
      <c r="R36" s="73">
        <f t="shared" si="0"/>
        <v>3.6904412437871184</v>
      </c>
      <c r="S36" s="73">
        <f t="shared" si="1"/>
        <v>-2.4422578364364789E-3</v>
      </c>
    </row>
    <row r="37" spans="1:19" x14ac:dyDescent="0.25">
      <c r="A37" t="str">
        <f>CF数据!A36</f>
        <v>购建固定资产、无形资产和其他长期资产所支付的现金(万元)</v>
      </c>
      <c r="B37" s="64">
        <f>SUMIFS(CF数据!B:B,CF数据!$A:$A,CF!$A37)</f>
        <v>235463</v>
      </c>
      <c r="C37" s="64">
        <f>SUMIFS(CF数据!C:C,CF数据!$A:$A,CF!$A37)</f>
        <v>138022</v>
      </c>
      <c r="D37" s="64">
        <f>SUMIFS(CF数据!D:D,CF数据!$A:$A,CF!$A37)</f>
        <v>51533</v>
      </c>
      <c r="E37" s="64">
        <f>SUMIFS(CF数据!E:E,CF数据!$A:$A,CF!$A37)</f>
        <v>70495</v>
      </c>
      <c r="F37" s="64">
        <f>SUMIFS(CF数据!F:F,CF数据!$A:$A,CF!$A37)</f>
        <v>151377</v>
      </c>
      <c r="G37" s="64">
        <f>SUMIFS(CF数据!G:G,CF数据!$A:$A,CF!$A37)</f>
        <v>155105</v>
      </c>
      <c r="H37" s="64">
        <f>SUMIFS(CF数据!H:H,CF数据!$A:$A,CF!$A37)</f>
        <v>220190</v>
      </c>
      <c r="I37" s="64">
        <f>SUMIFS(CF数据!I:I,CF数据!$A:$A,CF!$A37)</f>
        <v>479205</v>
      </c>
      <c r="J37" s="64">
        <f>SUMIFS(CF数据!J:J,CF数据!$A:$A,CF!$A37)</f>
        <v>713557</v>
      </c>
      <c r="K37" s="64">
        <f>SUMIFS(CF数据!K:K,CF数据!$A:$A,CF!$A37)</f>
        <v>442618</v>
      </c>
      <c r="L37" s="64">
        <f>SUMIFS(CF数据!L:L,CF数据!$A:$A,CF!$A37)</f>
        <v>114475</v>
      </c>
      <c r="M37" s="64">
        <f>SUMIFS(CF数据!M:M,CF数据!$A:$A,CF!$A37)</f>
        <v>119581</v>
      </c>
      <c r="N37" s="64">
        <f>SUMIFS(CF数据!N:N,CF数据!$A:$A,CF!$A37)</f>
        <v>69987</v>
      </c>
      <c r="O37" s="64">
        <f>SUMIFS(CF数据!O:O,CF数据!$A:$A,CF!$A37)</f>
        <v>18152</v>
      </c>
      <c r="P37" s="64">
        <f>SUMIFS(CF数据!P:P,CF数据!$A:$A,CF!$A37)</f>
        <v>0</v>
      </c>
      <c r="Q37" s="64">
        <f>SUMIFS(CF数据!Q:Q,CF数据!$A:$A,CF!$A37)</f>
        <v>0</v>
      </c>
      <c r="R37" s="73">
        <f t="shared" si="0"/>
        <v>0.70598165509846256</v>
      </c>
      <c r="S37" s="73">
        <f t="shared" si="1"/>
        <v>1.6783226282188113</v>
      </c>
    </row>
    <row r="38" spans="1:19" x14ac:dyDescent="0.25">
      <c r="A38" t="str">
        <f>CF数据!A37</f>
        <v>投资所支付的现金(万元)</v>
      </c>
      <c r="B38" s="64">
        <f>SUMIFS(CF数据!B:B,CF数据!$A:$A,CF!$A38)</f>
        <v>2429762</v>
      </c>
      <c r="C38" s="64">
        <f>SUMIFS(CF数据!C:C,CF数据!$A:$A,CF!$A38)</f>
        <v>1247775</v>
      </c>
      <c r="D38" s="64">
        <f>SUMIFS(CF数据!D:D,CF数据!$A:$A,CF!$A38)</f>
        <v>166008</v>
      </c>
      <c r="E38" s="64">
        <f>SUMIFS(CF数据!E:E,CF数据!$A:$A,CF!$A38)</f>
        <v>59239</v>
      </c>
      <c r="F38" s="64">
        <f>SUMIFS(CF数据!F:F,CF数据!$A:$A,CF!$A38)</f>
        <v>16378</v>
      </c>
      <c r="G38" s="64">
        <f>SUMIFS(CF数据!G:G,CF数据!$A:$A,CF!$A38)</f>
        <v>144268</v>
      </c>
      <c r="H38" s="64">
        <f>SUMIFS(CF数据!H:H,CF数据!$A:$A,CF!$A38)</f>
        <v>100700</v>
      </c>
      <c r="I38" s="64">
        <f>SUMIFS(CF数据!I:I,CF数据!$A:$A,CF!$A38)</f>
        <v>44020</v>
      </c>
      <c r="J38" s="64">
        <f>SUMIFS(CF数据!J:J,CF数据!$A:$A,CF!$A38)</f>
        <v>14533</v>
      </c>
      <c r="K38" s="64">
        <f>SUMIFS(CF数据!K:K,CF数据!$A:$A,CF!$A38)</f>
        <v>18556</v>
      </c>
      <c r="L38" s="64">
        <f>SUMIFS(CF数据!L:L,CF数据!$A:$A,CF!$A38)</f>
        <v>11692</v>
      </c>
      <c r="M38" s="64">
        <f>SUMIFS(CF数据!M:M,CF数据!$A:$A,CF!$A38)</f>
        <v>19684</v>
      </c>
      <c r="N38" s="64">
        <f>SUMIFS(CF数据!N:N,CF数据!$A:$A,CF!$A38)</f>
        <v>114040</v>
      </c>
      <c r="O38" s="64">
        <f>SUMIFS(CF数据!O:O,CF数据!$A:$A,CF!$A38)</f>
        <v>56487</v>
      </c>
      <c r="P38" s="64">
        <f>SUMIFS(CF数据!P:P,CF数据!$A:$A,CF!$A38)</f>
        <v>0</v>
      </c>
      <c r="Q38" s="64">
        <f>SUMIFS(CF数据!Q:Q,CF数据!$A:$A,CF!$A38)</f>
        <v>0</v>
      </c>
      <c r="R38" s="73">
        <f t="shared" si="0"/>
        <v>0.94727575083648885</v>
      </c>
      <c r="S38" s="73">
        <f t="shared" si="1"/>
        <v>6.5163546335116376</v>
      </c>
    </row>
    <row r="39" spans="1:19" x14ac:dyDescent="0.25">
      <c r="A39" t="str">
        <f>CF数据!A38</f>
        <v>质押贷款净增加额(万元)</v>
      </c>
      <c r="B39" s="64">
        <f>SUMIFS(CF数据!B:B,CF数据!$A:$A,CF!$A39)</f>
        <v>0</v>
      </c>
      <c r="C39" s="64">
        <f>SUMIFS(CF数据!C:C,CF数据!$A:$A,CF!$A39)</f>
        <v>0</v>
      </c>
      <c r="D39" s="64">
        <f>SUMIFS(CF数据!D:D,CF数据!$A:$A,CF!$A39)</f>
        <v>0</v>
      </c>
      <c r="E39" s="64">
        <f>SUMIFS(CF数据!E:E,CF数据!$A:$A,CF!$A39)</f>
        <v>0</v>
      </c>
      <c r="F39" s="64">
        <f>SUMIFS(CF数据!F:F,CF数据!$A:$A,CF!$A39)</f>
        <v>0</v>
      </c>
      <c r="G39" s="64">
        <f>SUMIFS(CF数据!G:G,CF数据!$A:$A,CF!$A39)</f>
        <v>0</v>
      </c>
      <c r="H39" s="64">
        <f>SUMIFS(CF数据!H:H,CF数据!$A:$A,CF!$A39)</f>
        <v>0</v>
      </c>
      <c r="I39" s="64">
        <f>SUMIFS(CF数据!I:I,CF数据!$A:$A,CF!$A39)</f>
        <v>0</v>
      </c>
      <c r="J39" s="64">
        <f>SUMIFS(CF数据!J:J,CF数据!$A:$A,CF!$A39)</f>
        <v>0</v>
      </c>
      <c r="K39" s="64">
        <f>SUMIFS(CF数据!K:K,CF数据!$A:$A,CF!$A39)</f>
        <v>0</v>
      </c>
      <c r="L39" s="64">
        <f>SUMIFS(CF数据!L:L,CF数据!$A:$A,CF!$A39)</f>
        <v>0</v>
      </c>
      <c r="M39" s="64">
        <f>SUMIFS(CF数据!M:M,CF数据!$A:$A,CF!$A39)</f>
        <v>0</v>
      </c>
      <c r="N39" s="64">
        <f>SUMIFS(CF数据!N:N,CF数据!$A:$A,CF!$A39)</f>
        <v>0</v>
      </c>
      <c r="O39" s="64">
        <f>SUMIFS(CF数据!O:O,CF数据!$A:$A,CF!$A39)</f>
        <v>0</v>
      </c>
      <c r="P39" s="64">
        <f>SUMIFS(CF数据!P:P,CF数据!$A:$A,CF!$A39)</f>
        <v>0</v>
      </c>
      <c r="Q39" s="64">
        <f>SUMIFS(CF数据!Q:Q,CF数据!$A:$A,CF!$A39)</f>
        <v>0</v>
      </c>
      <c r="R39" s="73">
        <f t="shared" si="0"/>
        <v>0</v>
      </c>
      <c r="S39" s="73">
        <f t="shared" si="1"/>
        <v>0</v>
      </c>
    </row>
    <row r="40" spans="1:19" x14ac:dyDescent="0.25">
      <c r="A40" t="str">
        <f>CF数据!A39</f>
        <v>取得子公司及其他营业单位支付的现金净额(万元)</v>
      </c>
      <c r="B40" s="64">
        <f>SUMIFS(CF数据!B:B,CF数据!$A:$A,CF!$A40)</f>
        <v>0</v>
      </c>
      <c r="C40" s="64">
        <f>SUMIFS(CF数据!C:C,CF数据!$A:$A,CF!$A40)</f>
        <v>0</v>
      </c>
      <c r="D40" s="64">
        <f>SUMIFS(CF数据!D:D,CF数据!$A:$A,CF!$A40)</f>
        <v>89</v>
      </c>
      <c r="E40" s="64">
        <f>SUMIFS(CF数据!E:E,CF数据!$A:$A,CF!$A40)</f>
        <v>0</v>
      </c>
      <c r="F40" s="64">
        <f>SUMIFS(CF数据!F:F,CF数据!$A:$A,CF!$A40)</f>
        <v>0</v>
      </c>
      <c r="G40" s="64">
        <f>SUMIFS(CF数据!G:G,CF数据!$A:$A,CF!$A40)</f>
        <v>0</v>
      </c>
      <c r="H40" s="64">
        <f>SUMIFS(CF数据!H:H,CF数据!$A:$A,CF!$A40)</f>
        <v>0</v>
      </c>
      <c r="I40" s="64">
        <f>SUMIFS(CF数据!I:I,CF数据!$A:$A,CF!$A40)</f>
        <v>264553</v>
      </c>
      <c r="J40" s="64">
        <f>SUMIFS(CF数据!J:J,CF数据!$A:$A,CF!$A40)</f>
        <v>5938</v>
      </c>
      <c r="K40" s="64">
        <f>SUMIFS(CF数据!K:K,CF数据!$A:$A,CF!$A40)</f>
        <v>228016</v>
      </c>
      <c r="L40" s="64">
        <f>SUMIFS(CF数据!L:L,CF数据!$A:$A,CF!$A40)</f>
        <v>0</v>
      </c>
      <c r="M40" s="64">
        <f>SUMIFS(CF数据!M:M,CF数据!$A:$A,CF!$A40)</f>
        <v>0</v>
      </c>
      <c r="N40" s="64">
        <f>SUMIFS(CF数据!N:N,CF数据!$A:$A,CF!$A40)</f>
        <v>80000</v>
      </c>
      <c r="O40" s="64">
        <f>SUMIFS(CF数据!O:O,CF数据!$A:$A,CF!$A40)</f>
        <v>2113</v>
      </c>
      <c r="P40" s="64">
        <f>SUMIFS(CF数据!P:P,CF数据!$A:$A,CF!$A40)</f>
        <v>0</v>
      </c>
      <c r="Q40" s="64">
        <f>SUMIFS(CF数据!Q:Q,CF数据!$A:$A,CF!$A40)</f>
        <v>0</v>
      </c>
      <c r="R40" s="73">
        <f t="shared" si="0"/>
        <v>0</v>
      </c>
      <c r="S40" s="73">
        <f t="shared" si="1"/>
        <v>-1</v>
      </c>
    </row>
    <row r="41" spans="1:19" x14ac:dyDescent="0.25">
      <c r="A41" t="str">
        <f>CF数据!A40</f>
        <v>支付的其他与投资活动有关的现金(万元)</v>
      </c>
      <c r="B41" s="64">
        <f>SUMIFS(CF数据!B:B,CF数据!$A:$A,CF!$A41)</f>
        <v>121098</v>
      </c>
      <c r="C41" s="64">
        <f>SUMIFS(CF数据!C:C,CF数据!$A:$A,CF!$A41)</f>
        <v>29328</v>
      </c>
      <c r="D41" s="64">
        <f>SUMIFS(CF数据!D:D,CF数据!$A:$A,CF!$A41)</f>
        <v>0</v>
      </c>
      <c r="E41" s="64">
        <f>SUMIFS(CF数据!E:E,CF数据!$A:$A,CF!$A41)</f>
        <v>0</v>
      </c>
      <c r="F41" s="64">
        <f>SUMIFS(CF数据!F:F,CF数据!$A:$A,CF!$A41)</f>
        <v>0</v>
      </c>
      <c r="G41" s="64">
        <f>SUMIFS(CF数据!G:G,CF数据!$A:$A,CF!$A41)</f>
        <v>44853</v>
      </c>
      <c r="H41" s="64">
        <f>SUMIFS(CF数据!H:H,CF数据!$A:$A,CF!$A41)</f>
        <v>0</v>
      </c>
      <c r="I41" s="64">
        <f>SUMIFS(CF数据!I:I,CF数据!$A:$A,CF!$A41)</f>
        <v>0</v>
      </c>
      <c r="J41" s="64">
        <f>SUMIFS(CF数据!J:J,CF数据!$A:$A,CF!$A41)</f>
        <v>93317</v>
      </c>
      <c r="K41" s="64">
        <f>SUMIFS(CF数据!K:K,CF数据!$A:$A,CF!$A41)</f>
        <v>94710</v>
      </c>
      <c r="L41" s="64">
        <f>SUMIFS(CF数据!L:L,CF数据!$A:$A,CF!$A41)</f>
        <v>0</v>
      </c>
      <c r="M41" s="64">
        <f>SUMIFS(CF数据!M:M,CF数据!$A:$A,CF!$A41)</f>
        <v>0</v>
      </c>
      <c r="N41" s="64">
        <f>SUMIFS(CF数据!N:N,CF数据!$A:$A,CF!$A41)</f>
        <v>400</v>
      </c>
      <c r="O41" s="64">
        <f>SUMIFS(CF数据!O:O,CF数据!$A:$A,CF!$A41)</f>
        <v>0</v>
      </c>
      <c r="P41" s="64">
        <f>SUMIFS(CF数据!P:P,CF数据!$A:$A,CF!$A41)</f>
        <v>0</v>
      </c>
      <c r="Q41" s="64">
        <f>SUMIFS(CF数据!Q:Q,CF数据!$A:$A,CF!$A41)</f>
        <v>0</v>
      </c>
      <c r="R41" s="73">
        <f t="shared" si="0"/>
        <v>3.1290916530278237</v>
      </c>
      <c r="S41" s="73">
        <f t="shared" si="1"/>
        <v>0</v>
      </c>
    </row>
    <row r="42" spans="1:19" x14ac:dyDescent="0.25">
      <c r="A42" t="str">
        <f>CF数据!A41</f>
        <v>增加质押和定期存款所支付的现金(万元)</v>
      </c>
      <c r="B42" s="64">
        <f>SUMIFS(CF数据!B:B,CF数据!$A:$A,CF!$A42)</f>
        <v>0</v>
      </c>
      <c r="C42" s="64">
        <f>SUMIFS(CF数据!C:C,CF数据!$A:$A,CF!$A42)</f>
        <v>0</v>
      </c>
      <c r="D42" s="64">
        <f>SUMIFS(CF数据!D:D,CF数据!$A:$A,CF!$A42)</f>
        <v>0</v>
      </c>
      <c r="E42" s="64">
        <f>SUMIFS(CF数据!E:E,CF数据!$A:$A,CF!$A42)</f>
        <v>0</v>
      </c>
      <c r="F42" s="64">
        <f>SUMIFS(CF数据!F:F,CF数据!$A:$A,CF!$A42)</f>
        <v>0</v>
      </c>
      <c r="G42" s="64">
        <f>SUMIFS(CF数据!G:G,CF数据!$A:$A,CF!$A42)</f>
        <v>0</v>
      </c>
      <c r="H42" s="64">
        <f>SUMIFS(CF数据!H:H,CF数据!$A:$A,CF!$A42)</f>
        <v>0</v>
      </c>
      <c r="I42" s="64">
        <f>SUMIFS(CF数据!I:I,CF数据!$A:$A,CF!$A42)</f>
        <v>0</v>
      </c>
      <c r="J42" s="64">
        <f>SUMIFS(CF数据!J:J,CF数据!$A:$A,CF!$A42)</f>
        <v>0</v>
      </c>
      <c r="K42" s="64">
        <f>SUMIFS(CF数据!K:K,CF数据!$A:$A,CF!$A42)</f>
        <v>0</v>
      </c>
      <c r="L42" s="64">
        <f>SUMIFS(CF数据!L:L,CF数据!$A:$A,CF!$A42)</f>
        <v>0</v>
      </c>
      <c r="M42" s="64">
        <f>SUMIFS(CF数据!M:M,CF数据!$A:$A,CF!$A42)</f>
        <v>0</v>
      </c>
      <c r="N42" s="64">
        <f>SUMIFS(CF数据!N:N,CF数据!$A:$A,CF!$A42)</f>
        <v>0</v>
      </c>
      <c r="O42" s="64">
        <f>SUMIFS(CF数据!O:O,CF数据!$A:$A,CF!$A42)</f>
        <v>0</v>
      </c>
      <c r="P42" s="64">
        <f>SUMIFS(CF数据!P:P,CF数据!$A:$A,CF!$A42)</f>
        <v>0</v>
      </c>
      <c r="Q42" s="64">
        <f>SUMIFS(CF数据!Q:Q,CF数据!$A:$A,CF!$A42)</f>
        <v>0</v>
      </c>
      <c r="R42" s="73">
        <f t="shared" ref="R42:R100" si="2">IFERROR(B42/C42-1,0)</f>
        <v>0</v>
      </c>
      <c r="S42" s="73">
        <f t="shared" ref="S42:S100" si="3">IFERROR(C42/D42-1,0)</f>
        <v>0</v>
      </c>
    </row>
    <row r="43" spans="1:19" x14ac:dyDescent="0.25">
      <c r="A43" t="str">
        <f>CF数据!A42</f>
        <v>投资活动现金流出小计(万元)</v>
      </c>
      <c r="B43" s="64">
        <f>SUMIFS(CF数据!B:B,CF数据!$A:$A,CF!$A43)</f>
        <v>2786323</v>
      </c>
      <c r="C43" s="64">
        <f>SUMIFS(CF数据!C:C,CF数据!$A:$A,CF!$A43)</f>
        <v>1415126</v>
      </c>
      <c r="D43" s="64">
        <f>SUMIFS(CF数据!D:D,CF数据!$A:$A,CF!$A43)</f>
        <v>217630</v>
      </c>
      <c r="E43" s="64">
        <f>SUMIFS(CF数据!E:E,CF数据!$A:$A,CF!$A43)</f>
        <v>129734</v>
      </c>
      <c r="F43" s="64">
        <f>SUMIFS(CF数据!F:F,CF数据!$A:$A,CF!$A43)</f>
        <v>167755</v>
      </c>
      <c r="G43" s="64">
        <f>SUMIFS(CF数据!G:G,CF数据!$A:$A,CF!$A43)</f>
        <v>344226</v>
      </c>
      <c r="H43" s="64">
        <f>SUMIFS(CF数据!H:H,CF数据!$A:$A,CF!$A43)</f>
        <v>320890</v>
      </c>
      <c r="I43" s="64">
        <f>SUMIFS(CF数据!I:I,CF数据!$A:$A,CF!$A43)</f>
        <v>787778</v>
      </c>
      <c r="J43" s="64">
        <f>SUMIFS(CF数据!J:J,CF数据!$A:$A,CF!$A43)</f>
        <v>827346</v>
      </c>
      <c r="K43" s="64">
        <f>SUMIFS(CF数据!K:K,CF数据!$A:$A,CF!$A43)</f>
        <v>783899</v>
      </c>
      <c r="L43" s="64">
        <f>SUMIFS(CF数据!L:L,CF数据!$A:$A,CF!$A43)</f>
        <v>126166</v>
      </c>
      <c r="M43" s="64">
        <f>SUMIFS(CF数据!M:M,CF数据!$A:$A,CF!$A43)</f>
        <v>139265</v>
      </c>
      <c r="N43" s="64">
        <f>SUMIFS(CF数据!N:N,CF数据!$A:$A,CF!$A43)</f>
        <v>264427</v>
      </c>
      <c r="O43" s="64">
        <f>SUMIFS(CF数据!O:O,CF数据!$A:$A,CF!$A43)</f>
        <v>76752</v>
      </c>
      <c r="P43" s="64">
        <f>SUMIFS(CF数据!P:P,CF数据!$A:$A,CF!$A43)</f>
        <v>0</v>
      </c>
      <c r="Q43" s="64">
        <f>SUMIFS(CF数据!Q:Q,CF数据!$A:$A,CF!$A43)</f>
        <v>0</v>
      </c>
      <c r="R43" s="73">
        <f t="shared" si="2"/>
        <v>0.96895753452342759</v>
      </c>
      <c r="S43" s="73">
        <f t="shared" si="3"/>
        <v>5.5024399209667783</v>
      </c>
    </row>
    <row r="44" spans="1:19" x14ac:dyDescent="0.25">
      <c r="A44" s="150" t="str">
        <f>CF数据!A43</f>
        <v>投资活动产生的现金流量净额(万元)</v>
      </c>
      <c r="B44" s="157">
        <f>SUMIFS(CF数据!B:B,CF数据!$A:$A,CF!$A44)</f>
        <v>-1198088</v>
      </c>
      <c r="C44" s="157">
        <f>SUMIFS(CF数据!C:C,CF数据!$A:$A,CF!$A44)</f>
        <v>-1076515</v>
      </c>
      <c r="D44" s="157">
        <f>SUMIFS(CF数据!D:D,CF数据!$A:$A,CF!$A44)</f>
        <v>121810</v>
      </c>
      <c r="E44" s="157">
        <f>SUMIFS(CF数据!E:E,CF数据!$A:$A,CF!$A44)</f>
        <v>226250</v>
      </c>
      <c r="F44" s="157">
        <f>SUMIFS(CF数据!F:F,CF数据!$A:$A,CF!$A44)</f>
        <v>-22905</v>
      </c>
      <c r="G44" s="157">
        <f>SUMIFS(CF数据!G:G,CF数据!$A:$A,CF!$A44)</f>
        <v>-225452</v>
      </c>
      <c r="H44" s="157">
        <f>SUMIFS(CF数据!H:H,CF数据!$A:$A,CF!$A44)</f>
        <v>-182565</v>
      </c>
      <c r="I44" s="157">
        <f>SUMIFS(CF数据!I:I,CF数据!$A:$A,CF!$A44)</f>
        <v>-648167</v>
      </c>
      <c r="J44" s="157">
        <f>SUMIFS(CF数据!J:J,CF数据!$A:$A,CF!$A44)</f>
        <v>-794019</v>
      </c>
      <c r="K44" s="157">
        <f>SUMIFS(CF数据!K:K,CF数据!$A:$A,CF!$A44)</f>
        <v>-677414</v>
      </c>
      <c r="L44" s="157">
        <f>SUMIFS(CF数据!L:L,CF数据!$A:$A,CF!$A44)</f>
        <v>-110395</v>
      </c>
      <c r="M44" s="157">
        <f>SUMIFS(CF数据!M:M,CF数据!$A:$A,CF!$A44)</f>
        <v>-96773</v>
      </c>
      <c r="N44" s="157">
        <f>SUMIFS(CF数据!N:N,CF数据!$A:$A,CF!$A44)</f>
        <v>-126128</v>
      </c>
      <c r="O44" s="157">
        <f>SUMIFS(CF数据!O:O,CF数据!$A:$A,CF!$A44)</f>
        <v>-17701</v>
      </c>
      <c r="P44" s="157">
        <f>SUMIFS(CF数据!P:P,CF数据!$A:$A,CF!$A44)</f>
        <v>0</v>
      </c>
      <c r="Q44" s="157">
        <f>SUMIFS(CF数据!Q:Q,CF数据!$A:$A,CF!$A44)</f>
        <v>0</v>
      </c>
      <c r="R44" s="73">
        <f t="shared" si="2"/>
        <v>0.11293200744996579</v>
      </c>
      <c r="S44" s="73">
        <f t="shared" si="3"/>
        <v>-9.83765700681389</v>
      </c>
    </row>
    <row r="45" spans="1:19" x14ac:dyDescent="0.25">
      <c r="A45" t="str">
        <f>CF数据!A44</f>
        <v>三、筹资活动产生的现金流量</v>
      </c>
      <c r="B45" s="64">
        <f>SUMIFS(CF数据!B:B,CF数据!$A:$A,CF!$A45)</f>
        <v>0</v>
      </c>
      <c r="C45" s="64">
        <f>SUMIFS(CF数据!C:C,CF数据!$A:$A,CF!$A45)</f>
        <v>0</v>
      </c>
      <c r="D45" s="64">
        <f>SUMIFS(CF数据!D:D,CF数据!$A:$A,CF!$A45)</f>
        <v>0</v>
      </c>
      <c r="E45" s="64">
        <f>SUMIFS(CF数据!E:E,CF数据!$A:$A,CF!$A45)</f>
        <v>0</v>
      </c>
      <c r="F45" s="64">
        <f>SUMIFS(CF数据!F:F,CF数据!$A:$A,CF!$A45)</f>
        <v>0</v>
      </c>
      <c r="G45" s="64">
        <f>SUMIFS(CF数据!G:G,CF数据!$A:$A,CF!$A45)</f>
        <v>0</v>
      </c>
      <c r="H45" s="64">
        <f>SUMIFS(CF数据!H:H,CF数据!$A:$A,CF!$A45)</f>
        <v>0</v>
      </c>
      <c r="I45" s="64">
        <f>SUMIFS(CF数据!I:I,CF数据!$A:$A,CF!$A45)</f>
        <v>0</v>
      </c>
      <c r="J45" s="64">
        <f>SUMIFS(CF数据!J:J,CF数据!$A:$A,CF!$A45)</f>
        <v>0</v>
      </c>
      <c r="K45" s="64">
        <f>SUMIFS(CF数据!K:K,CF数据!$A:$A,CF!$A45)</f>
        <v>0</v>
      </c>
      <c r="L45" s="64">
        <f>SUMIFS(CF数据!L:L,CF数据!$A:$A,CF!$A45)</f>
        <v>0</v>
      </c>
      <c r="M45" s="64">
        <f>SUMIFS(CF数据!M:M,CF数据!$A:$A,CF!$A45)</f>
        <v>0</v>
      </c>
      <c r="N45" s="64">
        <f>SUMIFS(CF数据!N:N,CF数据!$A:$A,CF!$A45)</f>
        <v>0</v>
      </c>
      <c r="O45" s="64">
        <f>SUMIFS(CF数据!O:O,CF数据!$A:$A,CF!$A45)</f>
        <v>0</v>
      </c>
      <c r="P45" s="64">
        <f>SUMIFS(CF数据!P:P,CF数据!$A:$A,CF!$A45)</f>
        <v>0</v>
      </c>
      <c r="Q45" s="64">
        <f>SUMIFS(CF数据!Q:Q,CF数据!$A:$A,CF!$A45)</f>
        <v>0</v>
      </c>
      <c r="R45" s="73">
        <f t="shared" si="2"/>
        <v>0</v>
      </c>
      <c r="S45" s="73">
        <f t="shared" si="3"/>
        <v>0</v>
      </c>
    </row>
    <row r="46" spans="1:19" x14ac:dyDescent="0.25">
      <c r="A46" t="str">
        <f>CF数据!A45</f>
        <v>吸收投资收到的现金(万元)</v>
      </c>
      <c r="B46" s="64">
        <f>SUMIFS(CF数据!B:B,CF数据!$A:$A,CF!$A46)</f>
        <v>42774</v>
      </c>
      <c r="C46" s="64">
        <f>SUMIFS(CF数据!C:C,CF数据!$A:$A,CF!$A46)</f>
        <v>53773</v>
      </c>
      <c r="D46" s="64">
        <f>SUMIFS(CF数据!D:D,CF数据!$A:$A,CF!$A46)</f>
        <v>4311</v>
      </c>
      <c r="E46" s="64">
        <f>SUMIFS(CF数据!E:E,CF数据!$A:$A,CF!$A46)</f>
        <v>13276</v>
      </c>
      <c r="F46" s="64">
        <f>SUMIFS(CF数据!F:F,CF数据!$A:$A,CF!$A46)</f>
        <v>530</v>
      </c>
      <c r="G46" s="64">
        <f>SUMIFS(CF数据!G:G,CF数据!$A:$A,CF!$A46)</f>
        <v>93981</v>
      </c>
      <c r="H46" s="64">
        <f>SUMIFS(CF数据!H:H,CF数据!$A:$A,CF!$A46)</f>
        <v>17987</v>
      </c>
      <c r="I46" s="64">
        <f>SUMIFS(CF数据!I:I,CF数据!$A:$A,CF!$A46)</f>
        <v>30947</v>
      </c>
      <c r="J46" s="64">
        <f>SUMIFS(CF数据!J:J,CF数据!$A:$A,CF!$A46)</f>
        <v>300</v>
      </c>
      <c r="K46" s="64">
        <f>SUMIFS(CF数据!K:K,CF数据!$A:$A,CF!$A46)</f>
        <v>11994</v>
      </c>
      <c r="L46" s="64">
        <f>SUMIFS(CF数据!L:L,CF数据!$A:$A,CF!$A46)</f>
        <v>300</v>
      </c>
      <c r="M46" s="64">
        <f>SUMIFS(CF数据!M:M,CF数据!$A:$A,CF!$A46)</f>
        <v>36</v>
      </c>
      <c r="N46" s="64">
        <f>SUMIFS(CF数据!N:N,CF数据!$A:$A,CF!$A46)</f>
        <v>106624</v>
      </c>
      <c r="O46" s="64">
        <f>SUMIFS(CF数据!O:O,CF数据!$A:$A,CF!$A46)</f>
        <v>10597</v>
      </c>
      <c r="P46" s="64">
        <f>SUMIFS(CF数据!P:P,CF数据!$A:$A,CF!$A46)</f>
        <v>0</v>
      </c>
      <c r="Q46" s="64">
        <f>SUMIFS(CF数据!Q:Q,CF数据!$A:$A,CF!$A46)</f>
        <v>0</v>
      </c>
      <c r="R46" s="73">
        <f t="shared" si="2"/>
        <v>-0.2045450318933294</v>
      </c>
      <c r="S46" s="73">
        <f t="shared" si="3"/>
        <v>11.473440037114358</v>
      </c>
    </row>
    <row r="47" spans="1:19" x14ac:dyDescent="0.25">
      <c r="A47" t="str">
        <f>CF数据!A46</f>
        <v>其中：子公司吸收少数股东投资收到的现金(万元)</v>
      </c>
      <c r="B47" s="64">
        <f>SUMIFS(CF数据!B:B,CF数据!$A:$A,CF!$A47)</f>
        <v>3253</v>
      </c>
      <c r="C47" s="64">
        <f>SUMIFS(CF数据!C:C,CF数据!$A:$A,CF!$A47)</f>
        <v>1043</v>
      </c>
      <c r="D47" s="64">
        <f>SUMIFS(CF数据!D:D,CF数据!$A:$A,CF!$A47)</f>
        <v>0</v>
      </c>
      <c r="E47" s="64">
        <f>SUMIFS(CF数据!E:E,CF数据!$A:$A,CF!$A47)</f>
        <v>0</v>
      </c>
      <c r="F47" s="64">
        <f>SUMIFS(CF数据!F:F,CF数据!$A:$A,CF!$A47)</f>
        <v>530</v>
      </c>
      <c r="G47" s="64">
        <f>SUMIFS(CF数据!G:G,CF数据!$A:$A,CF!$A47)</f>
        <v>93981</v>
      </c>
      <c r="H47" s="64">
        <f>SUMIFS(CF数据!H:H,CF数据!$A:$A,CF!$A47)</f>
        <v>17987</v>
      </c>
      <c r="I47" s="64">
        <f>SUMIFS(CF数据!I:I,CF数据!$A:$A,CF!$A47)</f>
        <v>30947</v>
      </c>
      <c r="J47" s="64">
        <f>SUMIFS(CF数据!J:J,CF数据!$A:$A,CF!$A47)</f>
        <v>0</v>
      </c>
      <c r="K47" s="64">
        <f>SUMIFS(CF数据!K:K,CF数据!$A:$A,CF!$A47)</f>
        <v>0</v>
      </c>
      <c r="L47" s="64">
        <f>SUMIFS(CF数据!L:L,CF数据!$A:$A,CF!$A47)</f>
        <v>0</v>
      </c>
      <c r="M47" s="64">
        <f>SUMIFS(CF数据!M:M,CF数据!$A:$A,CF!$A47)</f>
        <v>0</v>
      </c>
      <c r="N47" s="64">
        <f>SUMIFS(CF数据!N:N,CF数据!$A:$A,CF!$A47)</f>
        <v>3500</v>
      </c>
      <c r="O47" s="64">
        <f>SUMIFS(CF数据!O:O,CF数据!$A:$A,CF!$A47)</f>
        <v>10597</v>
      </c>
      <c r="P47" s="64">
        <f>SUMIFS(CF数据!P:P,CF数据!$A:$A,CF!$A47)</f>
        <v>0</v>
      </c>
      <c r="Q47" s="64">
        <f>SUMIFS(CF数据!Q:Q,CF数据!$A:$A,CF!$A47)</f>
        <v>0</v>
      </c>
      <c r="R47" s="73">
        <f t="shared" si="2"/>
        <v>2.1188878235858102</v>
      </c>
      <c r="S47" s="73">
        <f t="shared" si="3"/>
        <v>0</v>
      </c>
    </row>
    <row r="48" spans="1:19" x14ac:dyDescent="0.25">
      <c r="A48" t="str">
        <f>CF数据!A47</f>
        <v>取得借款收到的现金(万元)</v>
      </c>
      <c r="B48" s="64">
        <f>SUMIFS(CF数据!B:B,CF数据!$A:$A,CF!$A48)</f>
        <v>1574974</v>
      </c>
      <c r="C48" s="64">
        <f>SUMIFS(CF数据!C:C,CF数据!$A:$A,CF!$A48)</f>
        <v>952691</v>
      </c>
      <c r="D48" s="64">
        <f>SUMIFS(CF数据!D:D,CF数据!$A:$A,CF!$A48)</f>
        <v>654051</v>
      </c>
      <c r="E48" s="64">
        <f>SUMIFS(CF数据!E:E,CF数据!$A:$A,CF!$A48)</f>
        <v>1727124</v>
      </c>
      <c r="F48" s="64">
        <f>SUMIFS(CF数据!F:F,CF数据!$A:$A,CF!$A48)</f>
        <v>2421847</v>
      </c>
      <c r="G48" s="64">
        <f>SUMIFS(CF数据!G:G,CF数据!$A:$A,CF!$A48)</f>
        <v>1336659</v>
      </c>
      <c r="H48" s="64">
        <f>SUMIFS(CF数据!H:H,CF数据!$A:$A,CF!$A48)</f>
        <v>2370108</v>
      </c>
      <c r="I48" s="64">
        <f>SUMIFS(CF数据!I:I,CF数据!$A:$A,CF!$A48)</f>
        <v>3285069</v>
      </c>
      <c r="J48" s="64">
        <f>SUMIFS(CF数据!J:J,CF数据!$A:$A,CF!$A48)</f>
        <v>2479380</v>
      </c>
      <c r="K48" s="64">
        <f>SUMIFS(CF数据!K:K,CF数据!$A:$A,CF!$A48)</f>
        <v>687451</v>
      </c>
      <c r="L48" s="64">
        <f>SUMIFS(CF数据!L:L,CF数据!$A:$A,CF!$A48)</f>
        <v>218706</v>
      </c>
      <c r="M48" s="64">
        <f>SUMIFS(CF数据!M:M,CF数据!$A:$A,CF!$A48)</f>
        <v>359681</v>
      </c>
      <c r="N48" s="64">
        <f>SUMIFS(CF数据!N:N,CF数据!$A:$A,CF!$A48)</f>
        <v>421164</v>
      </c>
      <c r="O48" s="64">
        <f>SUMIFS(CF数据!O:O,CF数据!$A:$A,CF!$A48)</f>
        <v>222041</v>
      </c>
      <c r="P48" s="64">
        <f>SUMIFS(CF数据!P:P,CF数据!$A:$A,CF!$A48)</f>
        <v>0</v>
      </c>
      <c r="Q48" s="64">
        <f>SUMIFS(CF数据!Q:Q,CF数据!$A:$A,CF!$A48)</f>
        <v>0</v>
      </c>
      <c r="R48" s="73">
        <f t="shared" si="2"/>
        <v>0.65318450578414189</v>
      </c>
      <c r="S48" s="73">
        <f t="shared" si="3"/>
        <v>0.45660047916752666</v>
      </c>
    </row>
    <row r="49" spans="1:19" x14ac:dyDescent="0.25">
      <c r="A49" t="str">
        <f>CF数据!A48</f>
        <v>发行债券收到的现金(万元)</v>
      </c>
      <c r="B49" s="64">
        <f>SUMIFS(CF数据!B:B,CF数据!$A:$A,CF!$A49)</f>
        <v>0</v>
      </c>
      <c r="C49" s="64">
        <f>SUMIFS(CF数据!C:C,CF数据!$A:$A,CF!$A49)</f>
        <v>0</v>
      </c>
      <c r="D49" s="64">
        <f>SUMIFS(CF数据!D:D,CF数据!$A:$A,CF!$A49)</f>
        <v>0</v>
      </c>
      <c r="E49" s="64">
        <f>SUMIFS(CF数据!E:E,CF数据!$A:$A,CF!$A49)</f>
        <v>445500</v>
      </c>
      <c r="F49" s="64">
        <f>SUMIFS(CF数据!F:F,CF数据!$A:$A,CF!$A49)</f>
        <v>0</v>
      </c>
      <c r="G49" s="64">
        <f>SUMIFS(CF数据!G:G,CF数据!$A:$A,CF!$A49)</f>
        <v>0</v>
      </c>
      <c r="H49" s="64">
        <f>SUMIFS(CF数据!H:H,CF数据!$A:$A,CF!$A49)</f>
        <v>0</v>
      </c>
      <c r="I49" s="64">
        <f>SUMIFS(CF数据!I:I,CF数据!$A:$A,CF!$A49)</f>
        <v>0</v>
      </c>
      <c r="J49" s="64">
        <f>SUMIFS(CF数据!J:J,CF数据!$A:$A,CF!$A49)</f>
        <v>0</v>
      </c>
      <c r="K49" s="64">
        <f>SUMIFS(CF数据!K:K,CF数据!$A:$A,CF!$A49)</f>
        <v>0</v>
      </c>
      <c r="L49" s="64">
        <f>SUMIFS(CF数据!L:L,CF数据!$A:$A,CF!$A49)</f>
        <v>0</v>
      </c>
      <c r="M49" s="64">
        <f>SUMIFS(CF数据!M:M,CF数据!$A:$A,CF!$A49)</f>
        <v>0</v>
      </c>
      <c r="N49" s="64">
        <f>SUMIFS(CF数据!N:N,CF数据!$A:$A,CF!$A49)</f>
        <v>49357</v>
      </c>
      <c r="O49" s="64">
        <f>SUMIFS(CF数据!O:O,CF数据!$A:$A,CF!$A49)</f>
        <v>0</v>
      </c>
      <c r="P49" s="64">
        <f>SUMIFS(CF数据!P:P,CF数据!$A:$A,CF!$A49)</f>
        <v>0</v>
      </c>
      <c r="Q49" s="64">
        <f>SUMIFS(CF数据!Q:Q,CF数据!$A:$A,CF!$A49)</f>
        <v>0</v>
      </c>
      <c r="R49" s="73">
        <f t="shared" si="2"/>
        <v>0</v>
      </c>
      <c r="S49" s="73">
        <f t="shared" si="3"/>
        <v>0</v>
      </c>
    </row>
    <row r="50" spans="1:19" x14ac:dyDescent="0.25">
      <c r="A50" t="str">
        <f>CF数据!A49</f>
        <v>收到其他与筹资活动有关的现金(万元)</v>
      </c>
      <c r="B50" s="64">
        <f>SUMIFS(CF数据!B:B,CF数据!$A:$A,CF!$A50)</f>
        <v>98853</v>
      </c>
      <c r="C50" s="64">
        <f>SUMIFS(CF数据!C:C,CF数据!$A:$A,CF!$A50)</f>
        <v>44210</v>
      </c>
      <c r="D50" s="64">
        <f>SUMIFS(CF数据!D:D,CF数据!$A:$A,CF!$A50)</f>
        <v>0</v>
      </c>
      <c r="E50" s="64">
        <f>SUMIFS(CF数据!E:E,CF数据!$A:$A,CF!$A50)</f>
        <v>0</v>
      </c>
      <c r="F50" s="64">
        <f>SUMIFS(CF数据!F:F,CF数据!$A:$A,CF!$A50)</f>
        <v>0</v>
      </c>
      <c r="G50" s="64">
        <f>SUMIFS(CF数据!G:G,CF数据!$A:$A,CF!$A50)</f>
        <v>0</v>
      </c>
      <c r="H50" s="64">
        <f>SUMIFS(CF数据!H:H,CF数据!$A:$A,CF!$A50)</f>
        <v>0</v>
      </c>
      <c r="I50" s="64">
        <f>SUMIFS(CF数据!I:I,CF数据!$A:$A,CF!$A50)</f>
        <v>90000</v>
      </c>
      <c r="J50" s="64">
        <f>SUMIFS(CF数据!J:J,CF数据!$A:$A,CF!$A50)</f>
        <v>0</v>
      </c>
      <c r="K50" s="64">
        <f>SUMIFS(CF数据!K:K,CF数据!$A:$A,CF!$A50)</f>
        <v>0</v>
      </c>
      <c r="L50" s="64">
        <f>SUMIFS(CF数据!L:L,CF数据!$A:$A,CF!$A50)</f>
        <v>0</v>
      </c>
      <c r="M50" s="64">
        <f>SUMIFS(CF数据!M:M,CF数据!$A:$A,CF!$A50)</f>
        <v>0</v>
      </c>
      <c r="N50" s="64">
        <f>SUMIFS(CF数据!N:N,CF数据!$A:$A,CF!$A50)</f>
        <v>0</v>
      </c>
      <c r="O50" s="64">
        <f>SUMIFS(CF数据!O:O,CF数据!$A:$A,CF!$A50)</f>
        <v>3000</v>
      </c>
      <c r="P50" s="64">
        <f>SUMIFS(CF数据!P:P,CF数据!$A:$A,CF!$A50)</f>
        <v>0</v>
      </c>
      <c r="Q50" s="64">
        <f>SUMIFS(CF数据!Q:Q,CF数据!$A:$A,CF!$A50)</f>
        <v>0</v>
      </c>
      <c r="R50" s="73">
        <f t="shared" si="2"/>
        <v>1.2359873331825377</v>
      </c>
      <c r="S50" s="73">
        <f t="shared" si="3"/>
        <v>0</v>
      </c>
    </row>
    <row r="51" spans="1:19" x14ac:dyDescent="0.25">
      <c r="A51" t="str">
        <f>CF数据!A50</f>
        <v>筹资活动现金流入小计(万元)</v>
      </c>
      <c r="B51" s="64">
        <f>SUMIFS(CF数据!B:B,CF数据!$A:$A,CF!$A51)</f>
        <v>1716602</v>
      </c>
      <c r="C51" s="64">
        <f>SUMIFS(CF数据!C:C,CF数据!$A:$A,CF!$A51)</f>
        <v>1050674</v>
      </c>
      <c r="D51" s="64">
        <f>SUMIFS(CF数据!D:D,CF数据!$A:$A,CF!$A51)</f>
        <v>658362</v>
      </c>
      <c r="E51" s="64">
        <f>SUMIFS(CF数据!E:E,CF数据!$A:$A,CF!$A51)</f>
        <v>2185900</v>
      </c>
      <c r="F51" s="64">
        <f>SUMIFS(CF数据!F:F,CF数据!$A:$A,CF!$A51)</f>
        <v>2422377</v>
      </c>
      <c r="G51" s="64">
        <f>SUMIFS(CF数据!G:G,CF数据!$A:$A,CF!$A51)</f>
        <v>1430640</v>
      </c>
      <c r="H51" s="64">
        <f>SUMIFS(CF数据!H:H,CF数据!$A:$A,CF!$A51)</f>
        <v>2388095</v>
      </c>
      <c r="I51" s="64">
        <f>SUMIFS(CF数据!I:I,CF数据!$A:$A,CF!$A51)</f>
        <v>3406016</v>
      </c>
      <c r="J51" s="64">
        <f>SUMIFS(CF数据!J:J,CF数据!$A:$A,CF!$A51)</f>
        <v>2479680</v>
      </c>
      <c r="K51" s="64">
        <f>SUMIFS(CF数据!K:K,CF数据!$A:$A,CF!$A51)</f>
        <v>699445</v>
      </c>
      <c r="L51" s="64">
        <f>SUMIFS(CF数据!L:L,CF数据!$A:$A,CF!$A51)</f>
        <v>219006</v>
      </c>
      <c r="M51" s="64">
        <f>SUMIFS(CF数据!M:M,CF数据!$A:$A,CF!$A51)</f>
        <v>359717</v>
      </c>
      <c r="N51" s="64">
        <f>SUMIFS(CF数据!N:N,CF数据!$A:$A,CF!$A51)</f>
        <v>577145</v>
      </c>
      <c r="O51" s="64">
        <f>SUMIFS(CF数据!O:O,CF数据!$A:$A,CF!$A51)</f>
        <v>235638</v>
      </c>
      <c r="P51" s="64">
        <f>SUMIFS(CF数据!P:P,CF数据!$A:$A,CF!$A51)</f>
        <v>0</v>
      </c>
      <c r="Q51" s="64">
        <f>SUMIFS(CF数据!Q:Q,CF数据!$A:$A,CF!$A51)</f>
        <v>0</v>
      </c>
      <c r="R51" s="73">
        <f t="shared" si="2"/>
        <v>0.63381029700934821</v>
      </c>
      <c r="S51" s="73">
        <f t="shared" si="3"/>
        <v>0.59589101436595682</v>
      </c>
    </row>
    <row r="52" spans="1:19" x14ac:dyDescent="0.25">
      <c r="A52" t="str">
        <f>CF数据!A51</f>
        <v>偿还债务支付的现金(万元)</v>
      </c>
      <c r="B52" s="64">
        <f>SUMIFS(CF数据!B:B,CF数据!$A:$A,CF!$A52)</f>
        <v>1399394</v>
      </c>
      <c r="C52" s="64">
        <f>SUMIFS(CF数据!C:C,CF数据!$A:$A,CF!$A52)</f>
        <v>794265</v>
      </c>
      <c r="D52" s="64">
        <f>SUMIFS(CF数据!D:D,CF数据!$A:$A,CF!$A52)</f>
        <v>1869893</v>
      </c>
      <c r="E52" s="64">
        <f>SUMIFS(CF数据!E:E,CF数据!$A:$A,CF!$A52)</f>
        <v>2453048</v>
      </c>
      <c r="F52" s="64">
        <f>SUMIFS(CF数据!F:F,CF数据!$A:$A,CF!$A52)</f>
        <v>2317627</v>
      </c>
      <c r="G52" s="64">
        <f>SUMIFS(CF数据!G:G,CF数据!$A:$A,CF!$A52)</f>
        <v>1142914</v>
      </c>
      <c r="H52" s="64">
        <f>SUMIFS(CF数据!H:H,CF数据!$A:$A,CF!$A52)</f>
        <v>2332114</v>
      </c>
      <c r="I52" s="64">
        <f>SUMIFS(CF数据!I:I,CF数据!$A:$A,CF!$A52)</f>
        <v>2906024</v>
      </c>
      <c r="J52" s="64">
        <f>SUMIFS(CF数据!J:J,CF数据!$A:$A,CF!$A52)</f>
        <v>1403429</v>
      </c>
      <c r="K52" s="64">
        <f>SUMIFS(CF数据!K:K,CF数据!$A:$A,CF!$A52)</f>
        <v>345147</v>
      </c>
      <c r="L52" s="64">
        <f>SUMIFS(CF数据!L:L,CF数据!$A:$A,CF!$A52)</f>
        <v>299899</v>
      </c>
      <c r="M52" s="64">
        <f>SUMIFS(CF数据!M:M,CF数据!$A:$A,CF!$A52)</f>
        <v>247483</v>
      </c>
      <c r="N52" s="64">
        <f>SUMIFS(CF数据!N:N,CF数据!$A:$A,CF!$A52)</f>
        <v>341955</v>
      </c>
      <c r="O52" s="64">
        <f>SUMIFS(CF数据!O:O,CF数据!$A:$A,CF!$A52)</f>
        <v>213498</v>
      </c>
      <c r="P52" s="64">
        <f>SUMIFS(CF数据!P:P,CF数据!$A:$A,CF!$A52)</f>
        <v>0</v>
      </c>
      <c r="Q52" s="64">
        <f>SUMIFS(CF数据!Q:Q,CF数据!$A:$A,CF!$A52)</f>
        <v>0</v>
      </c>
      <c r="R52" s="73">
        <f t="shared" si="2"/>
        <v>0.76187292654214911</v>
      </c>
      <c r="S52" s="73">
        <f t="shared" si="3"/>
        <v>-0.57523505355654048</v>
      </c>
    </row>
    <row r="53" spans="1:19" x14ac:dyDescent="0.25">
      <c r="A53" t="str">
        <f>CF数据!A52</f>
        <v>分配股利、利润或偿付利息所支付的现金(万元)</v>
      </c>
      <c r="B53" s="64">
        <f>SUMIFS(CF数据!B:B,CF数据!$A:$A,CF!$A53)</f>
        <v>288328</v>
      </c>
      <c r="C53" s="64">
        <f>SUMIFS(CF数据!C:C,CF数据!$A:$A,CF!$A53)</f>
        <v>173281</v>
      </c>
      <c r="D53" s="64">
        <f>SUMIFS(CF数据!D:D,CF数据!$A:$A,CF!$A53)</f>
        <v>75906</v>
      </c>
      <c r="E53" s="64">
        <f>SUMIFS(CF数据!E:E,CF数据!$A:$A,CF!$A53)</f>
        <v>97749</v>
      </c>
      <c r="F53" s="64">
        <f>SUMIFS(CF数据!F:F,CF数据!$A:$A,CF!$A53)</f>
        <v>124599</v>
      </c>
      <c r="G53" s="64">
        <f>SUMIFS(CF数据!G:G,CF数据!$A:$A,CF!$A53)</f>
        <v>260432</v>
      </c>
      <c r="H53" s="64">
        <f>SUMIFS(CF数据!H:H,CF数据!$A:$A,CF!$A53)</f>
        <v>314193</v>
      </c>
      <c r="I53" s="64">
        <f>SUMIFS(CF数据!I:I,CF数据!$A:$A,CF!$A53)</f>
        <v>407127</v>
      </c>
      <c r="J53" s="64">
        <f>SUMIFS(CF数据!J:J,CF数据!$A:$A,CF!$A53)</f>
        <v>165711</v>
      </c>
      <c r="K53" s="64">
        <f>SUMIFS(CF数据!K:K,CF数据!$A:$A,CF!$A53)</f>
        <v>141306</v>
      </c>
      <c r="L53" s="64">
        <f>SUMIFS(CF数据!L:L,CF数据!$A:$A,CF!$A53)</f>
        <v>39943</v>
      </c>
      <c r="M53" s="64">
        <f>SUMIFS(CF数据!M:M,CF数据!$A:$A,CF!$A53)</f>
        <v>43326</v>
      </c>
      <c r="N53" s="64">
        <f>SUMIFS(CF数据!N:N,CF数据!$A:$A,CF!$A53)</f>
        <v>27644</v>
      </c>
      <c r="O53" s="64">
        <f>SUMIFS(CF数据!O:O,CF数据!$A:$A,CF!$A53)</f>
        <v>10996</v>
      </c>
      <c r="P53" s="64">
        <f>SUMIFS(CF数据!P:P,CF数据!$A:$A,CF!$A53)</f>
        <v>0</v>
      </c>
      <c r="Q53" s="64">
        <f>SUMIFS(CF数据!Q:Q,CF数据!$A:$A,CF!$A53)</f>
        <v>0</v>
      </c>
      <c r="R53" s="73">
        <f t="shared" si="2"/>
        <v>0.6639331490469238</v>
      </c>
      <c r="S53" s="73">
        <f t="shared" si="3"/>
        <v>1.2828366664031829</v>
      </c>
    </row>
    <row r="54" spans="1:19" x14ac:dyDescent="0.25">
      <c r="A54" t="str">
        <f>CF数据!A53</f>
        <v>其中：子公司支付给少数股东的股利、利润(万元)</v>
      </c>
      <c r="B54" s="64">
        <f>SUMIFS(CF数据!B:B,CF数据!$A:$A,CF!$A54)</f>
        <v>12713</v>
      </c>
      <c r="C54" s="64">
        <f>SUMIFS(CF数据!C:C,CF数据!$A:$A,CF!$A54)</f>
        <v>5095</v>
      </c>
      <c r="D54" s="64">
        <f>SUMIFS(CF数据!D:D,CF数据!$A:$A,CF!$A54)</f>
        <v>1350</v>
      </c>
      <c r="E54" s="64">
        <f>SUMIFS(CF数据!E:E,CF数据!$A:$A,CF!$A54)</f>
        <v>5356</v>
      </c>
      <c r="F54" s="64">
        <f>SUMIFS(CF数据!F:F,CF数据!$A:$A,CF!$A54)</f>
        <v>0</v>
      </c>
      <c r="G54" s="64">
        <f>SUMIFS(CF数据!G:G,CF数据!$A:$A,CF!$A54)</f>
        <v>63897</v>
      </c>
      <c r="H54" s="64">
        <f>SUMIFS(CF数据!H:H,CF数据!$A:$A,CF!$A54)</f>
        <v>0</v>
      </c>
      <c r="I54" s="64">
        <f>SUMIFS(CF数据!I:I,CF数据!$A:$A,CF!$A54)</f>
        <v>0</v>
      </c>
      <c r="J54" s="64">
        <f>SUMIFS(CF数据!J:J,CF数据!$A:$A,CF!$A54)</f>
        <v>0</v>
      </c>
      <c r="K54" s="64">
        <f>SUMIFS(CF数据!K:K,CF数据!$A:$A,CF!$A54)</f>
        <v>0</v>
      </c>
      <c r="L54" s="64">
        <f>SUMIFS(CF数据!L:L,CF数据!$A:$A,CF!$A54)</f>
        <v>0</v>
      </c>
      <c r="M54" s="64">
        <f>SUMIFS(CF数据!M:M,CF数据!$A:$A,CF!$A54)</f>
        <v>0</v>
      </c>
      <c r="N54" s="64">
        <f>SUMIFS(CF数据!N:N,CF数据!$A:$A,CF!$A54)</f>
        <v>4896</v>
      </c>
      <c r="O54" s="64">
        <f>SUMIFS(CF数据!O:O,CF数据!$A:$A,CF!$A54)</f>
        <v>0</v>
      </c>
      <c r="P54" s="64">
        <f>SUMIFS(CF数据!P:P,CF数据!$A:$A,CF!$A54)</f>
        <v>0</v>
      </c>
      <c r="Q54" s="64">
        <f>SUMIFS(CF数据!Q:Q,CF数据!$A:$A,CF!$A54)</f>
        <v>0</v>
      </c>
      <c r="R54" s="73">
        <f t="shared" si="2"/>
        <v>1.4951913640824337</v>
      </c>
      <c r="S54" s="73">
        <f t="shared" si="3"/>
        <v>2.7740740740740741</v>
      </c>
    </row>
    <row r="55" spans="1:19" x14ac:dyDescent="0.25">
      <c r="A55" t="str">
        <f>CF数据!A54</f>
        <v>支付其他与筹资活动有关的现金(万元)</v>
      </c>
      <c r="B55" s="64">
        <f>SUMIFS(CF数据!B:B,CF数据!$A:$A,CF!$A55)</f>
        <v>143953</v>
      </c>
      <c r="C55" s="64">
        <f>SUMIFS(CF数据!C:C,CF数据!$A:$A,CF!$A55)</f>
        <v>434</v>
      </c>
      <c r="D55" s="64">
        <f>SUMIFS(CF数据!D:D,CF数据!$A:$A,CF!$A55)</f>
        <v>21018</v>
      </c>
      <c r="E55" s="64">
        <f>SUMIFS(CF数据!E:E,CF数据!$A:$A,CF!$A55)</f>
        <v>101215</v>
      </c>
      <c r="F55" s="64">
        <f>SUMIFS(CF数据!F:F,CF数据!$A:$A,CF!$A55)</f>
        <v>0</v>
      </c>
      <c r="G55" s="64">
        <f>SUMIFS(CF数据!G:G,CF数据!$A:$A,CF!$A55)</f>
        <v>1196</v>
      </c>
      <c r="H55" s="64">
        <f>SUMIFS(CF数据!H:H,CF数据!$A:$A,CF!$A55)</f>
        <v>124314</v>
      </c>
      <c r="I55" s="64">
        <f>SUMIFS(CF数据!I:I,CF数据!$A:$A,CF!$A55)</f>
        <v>5865</v>
      </c>
      <c r="J55" s="64">
        <f>SUMIFS(CF数据!J:J,CF数据!$A:$A,CF!$A55)</f>
        <v>10371</v>
      </c>
      <c r="K55" s="64">
        <f>SUMIFS(CF数据!K:K,CF数据!$A:$A,CF!$A55)</f>
        <v>131110</v>
      </c>
      <c r="L55" s="64">
        <f>SUMIFS(CF数据!L:L,CF数据!$A:$A,CF!$A55)</f>
        <v>0</v>
      </c>
      <c r="M55" s="64">
        <f>SUMIFS(CF数据!M:M,CF数据!$A:$A,CF!$A55)</f>
        <v>0</v>
      </c>
      <c r="N55" s="64">
        <f>SUMIFS(CF数据!N:N,CF数据!$A:$A,CF!$A55)</f>
        <v>1948</v>
      </c>
      <c r="O55" s="64">
        <f>SUMIFS(CF数据!O:O,CF数据!$A:$A,CF!$A55)</f>
        <v>0</v>
      </c>
      <c r="P55" s="64">
        <f>SUMIFS(CF数据!P:P,CF数据!$A:$A,CF!$A55)</f>
        <v>0</v>
      </c>
      <c r="Q55" s="64">
        <f>SUMIFS(CF数据!Q:Q,CF数据!$A:$A,CF!$A55)</f>
        <v>0</v>
      </c>
      <c r="R55" s="73">
        <f t="shared" si="2"/>
        <v>330.68894009216592</v>
      </c>
      <c r="S55" s="73">
        <f t="shared" si="3"/>
        <v>-0.97935103244837762</v>
      </c>
    </row>
    <row r="56" spans="1:19" x14ac:dyDescent="0.25">
      <c r="A56" t="str">
        <f>CF数据!A55</f>
        <v>筹资活动现金流出小计(万元)</v>
      </c>
      <c r="B56" s="64">
        <f>SUMIFS(CF数据!B:B,CF数据!$A:$A,CF!$A56)</f>
        <v>1831675</v>
      </c>
      <c r="C56" s="64">
        <f>SUMIFS(CF数据!C:C,CF数据!$A:$A,CF!$A56)</f>
        <v>967981</v>
      </c>
      <c r="D56" s="64">
        <f>SUMIFS(CF数据!D:D,CF数据!$A:$A,CF!$A56)</f>
        <v>1966817</v>
      </c>
      <c r="E56" s="64">
        <f>SUMIFS(CF数据!E:E,CF数据!$A:$A,CF!$A56)</f>
        <v>2652011</v>
      </c>
      <c r="F56" s="64">
        <f>SUMIFS(CF数据!F:F,CF数据!$A:$A,CF!$A56)</f>
        <v>2442226</v>
      </c>
      <c r="G56" s="64">
        <f>SUMIFS(CF数据!G:G,CF数据!$A:$A,CF!$A56)</f>
        <v>1404542</v>
      </c>
      <c r="H56" s="64">
        <f>SUMIFS(CF数据!H:H,CF数据!$A:$A,CF!$A56)</f>
        <v>2770622</v>
      </c>
      <c r="I56" s="64">
        <f>SUMIFS(CF数据!I:I,CF数据!$A:$A,CF!$A56)</f>
        <v>3319017</v>
      </c>
      <c r="J56" s="64">
        <f>SUMIFS(CF数据!J:J,CF数据!$A:$A,CF!$A56)</f>
        <v>1579512</v>
      </c>
      <c r="K56" s="64">
        <f>SUMIFS(CF数据!K:K,CF数据!$A:$A,CF!$A56)</f>
        <v>617563</v>
      </c>
      <c r="L56" s="64">
        <f>SUMIFS(CF数据!L:L,CF数据!$A:$A,CF!$A56)</f>
        <v>339842</v>
      </c>
      <c r="M56" s="64">
        <f>SUMIFS(CF数据!M:M,CF数据!$A:$A,CF!$A56)</f>
        <v>290808</v>
      </c>
      <c r="N56" s="64">
        <f>SUMIFS(CF数据!N:N,CF数据!$A:$A,CF!$A56)</f>
        <v>371547</v>
      </c>
      <c r="O56" s="64">
        <f>SUMIFS(CF数据!O:O,CF数据!$A:$A,CF!$A56)</f>
        <v>224494</v>
      </c>
      <c r="P56" s="64">
        <f>SUMIFS(CF数据!P:P,CF数据!$A:$A,CF!$A56)</f>
        <v>0</v>
      </c>
      <c r="Q56" s="64">
        <f>SUMIFS(CF数据!Q:Q,CF数据!$A:$A,CF!$A56)</f>
        <v>0</v>
      </c>
      <c r="R56" s="73">
        <f t="shared" si="2"/>
        <v>0.8922633812027303</v>
      </c>
      <c r="S56" s="73">
        <f t="shared" si="3"/>
        <v>-0.5078438919330065</v>
      </c>
    </row>
    <row r="57" spans="1:19" x14ac:dyDescent="0.25">
      <c r="A57" s="150" t="str">
        <f>CF数据!A56</f>
        <v>筹资活动产生的现金流量净额(万元)</v>
      </c>
      <c r="B57" s="157">
        <f>SUMIFS(CF数据!B:B,CF数据!$A:$A,CF!$A57)</f>
        <v>-115073</v>
      </c>
      <c r="C57" s="157">
        <f>SUMIFS(CF数据!C:C,CF数据!$A:$A,CF!$A57)</f>
        <v>82693</v>
      </c>
      <c r="D57" s="157">
        <f>SUMIFS(CF数据!D:D,CF数据!$A:$A,CF!$A57)</f>
        <v>-1308455</v>
      </c>
      <c r="E57" s="157">
        <f>SUMIFS(CF数据!E:E,CF数据!$A:$A,CF!$A57)</f>
        <v>-466112</v>
      </c>
      <c r="F57" s="157">
        <f>SUMIFS(CF数据!F:F,CF数据!$A:$A,CF!$A57)</f>
        <v>-19849</v>
      </c>
      <c r="G57" s="157">
        <f>SUMIFS(CF数据!G:G,CF数据!$A:$A,CF!$A57)</f>
        <v>26098</v>
      </c>
      <c r="H57" s="157">
        <f>SUMIFS(CF数据!H:H,CF数据!$A:$A,CF!$A57)</f>
        <v>-382526</v>
      </c>
      <c r="I57" s="157">
        <f>SUMIFS(CF数据!I:I,CF数据!$A:$A,CF!$A57)</f>
        <v>86999</v>
      </c>
      <c r="J57" s="157">
        <f>SUMIFS(CF数据!J:J,CF数据!$A:$A,CF!$A57)</f>
        <v>900168</v>
      </c>
      <c r="K57" s="157">
        <f>SUMIFS(CF数据!K:K,CF数据!$A:$A,CF!$A57)</f>
        <v>81882</v>
      </c>
      <c r="L57" s="157">
        <f>SUMIFS(CF数据!L:L,CF数据!$A:$A,CF!$A57)</f>
        <v>-120836</v>
      </c>
      <c r="M57" s="157">
        <f>SUMIFS(CF数据!M:M,CF数据!$A:$A,CF!$A57)</f>
        <v>68908</v>
      </c>
      <c r="N57" s="157">
        <f>SUMIFS(CF数据!N:N,CF数据!$A:$A,CF!$A57)</f>
        <v>205599</v>
      </c>
      <c r="O57" s="157">
        <f>SUMIFS(CF数据!O:O,CF数据!$A:$A,CF!$A57)</f>
        <v>11144</v>
      </c>
      <c r="P57" s="157">
        <f>SUMIFS(CF数据!P:P,CF数据!$A:$A,CF!$A57)</f>
        <v>0</v>
      </c>
      <c r="Q57" s="157">
        <f>SUMIFS(CF数据!Q:Q,CF数据!$A:$A,CF!$A57)</f>
        <v>0</v>
      </c>
      <c r="R57" s="73">
        <f t="shared" si="2"/>
        <v>-2.3915688147727137</v>
      </c>
      <c r="S57" s="73">
        <f t="shared" si="3"/>
        <v>-1.0631989636632517</v>
      </c>
    </row>
    <row r="58" spans="1:19" x14ac:dyDescent="0.25">
      <c r="A58" t="str">
        <f>CF数据!A57</f>
        <v>四、汇率变动对现金及现金等价物的影响</v>
      </c>
      <c r="B58" s="64">
        <f>SUMIFS(CF数据!B:B,CF数据!$A:$A,CF!$A58)</f>
        <v>0</v>
      </c>
      <c r="C58" s="64">
        <f>SUMIFS(CF数据!C:C,CF数据!$A:$A,CF!$A58)</f>
        <v>0</v>
      </c>
      <c r="D58" s="64">
        <f>SUMIFS(CF数据!D:D,CF数据!$A:$A,CF!$A58)</f>
        <v>0</v>
      </c>
      <c r="E58" s="64">
        <f>SUMIFS(CF数据!E:E,CF数据!$A:$A,CF!$A58)</f>
        <v>0</v>
      </c>
      <c r="F58" s="64">
        <f>SUMIFS(CF数据!F:F,CF数据!$A:$A,CF!$A58)</f>
        <v>0</v>
      </c>
      <c r="G58" s="64">
        <f>SUMIFS(CF数据!G:G,CF数据!$A:$A,CF!$A58)</f>
        <v>0</v>
      </c>
      <c r="H58" s="64">
        <f>SUMIFS(CF数据!H:H,CF数据!$A:$A,CF!$A58)</f>
        <v>0</v>
      </c>
      <c r="I58" s="64">
        <f>SUMIFS(CF数据!I:I,CF数据!$A:$A,CF!$A58)</f>
        <v>0</v>
      </c>
      <c r="J58" s="64">
        <f>SUMIFS(CF数据!J:J,CF数据!$A:$A,CF!$A58)</f>
        <v>0</v>
      </c>
      <c r="K58" s="64">
        <f>SUMIFS(CF数据!K:K,CF数据!$A:$A,CF!$A58)</f>
        <v>0</v>
      </c>
      <c r="L58" s="64">
        <f>SUMIFS(CF数据!L:L,CF数据!$A:$A,CF!$A58)</f>
        <v>0</v>
      </c>
      <c r="M58" s="64">
        <f>SUMIFS(CF数据!M:M,CF数据!$A:$A,CF!$A58)</f>
        <v>0</v>
      </c>
      <c r="N58" s="64">
        <f>SUMIFS(CF数据!N:N,CF数据!$A:$A,CF!$A58)</f>
        <v>0</v>
      </c>
      <c r="O58" s="64">
        <f>SUMIFS(CF数据!O:O,CF数据!$A:$A,CF!$A58)</f>
        <v>0</v>
      </c>
      <c r="P58" s="64">
        <f>SUMIFS(CF数据!P:P,CF数据!$A:$A,CF!$A58)</f>
        <v>0</v>
      </c>
      <c r="Q58" s="64">
        <f>SUMIFS(CF数据!Q:Q,CF数据!$A:$A,CF!$A58)</f>
        <v>0</v>
      </c>
      <c r="R58" s="73">
        <f t="shared" si="2"/>
        <v>0</v>
      </c>
      <c r="S58" s="73">
        <f t="shared" si="3"/>
        <v>0</v>
      </c>
    </row>
    <row r="59" spans="1:19" x14ac:dyDescent="0.25">
      <c r="A59" t="str">
        <f>CF数据!A58</f>
        <v>汇率变动对现金及现金等价物的影响(万元)</v>
      </c>
      <c r="B59" s="64">
        <f>SUMIFS(CF数据!B:B,CF数据!$A:$A,CF!$A59)</f>
        <v>-318</v>
      </c>
      <c r="C59" s="64">
        <f>SUMIFS(CF数据!C:C,CF数据!$A:$A,CF!$A59)</f>
        <v>643</v>
      </c>
      <c r="D59" s="64">
        <f>SUMIFS(CF数据!D:D,CF数据!$A:$A,CF!$A59)</f>
        <v>-2246</v>
      </c>
      <c r="E59" s="64">
        <f>SUMIFS(CF数据!E:E,CF数据!$A:$A,CF!$A59)</f>
        <v>-10771</v>
      </c>
      <c r="F59" s="64">
        <f>SUMIFS(CF数据!F:F,CF数据!$A:$A,CF!$A59)</f>
        <v>33</v>
      </c>
      <c r="G59" s="64">
        <f>SUMIFS(CF数据!G:G,CF数据!$A:$A,CF!$A59)</f>
        <v>-1796</v>
      </c>
      <c r="H59" s="64">
        <f>SUMIFS(CF数据!H:H,CF数据!$A:$A,CF!$A59)</f>
        <v>-4493</v>
      </c>
      <c r="I59" s="64">
        <f>SUMIFS(CF数据!I:I,CF数据!$A:$A,CF!$A59)</f>
        <v>-1242</v>
      </c>
      <c r="J59" s="64">
        <f>SUMIFS(CF数据!J:J,CF数据!$A:$A,CF!$A59)</f>
        <v>291</v>
      </c>
      <c r="K59" s="64">
        <f>SUMIFS(CF数据!K:K,CF数据!$A:$A,CF!$A59)</f>
        <v>-1027</v>
      </c>
      <c r="L59" s="64">
        <f>SUMIFS(CF数据!L:L,CF数据!$A:$A,CF!$A59)</f>
        <v>-1945</v>
      </c>
      <c r="M59" s="64">
        <f>SUMIFS(CF数据!M:M,CF数据!$A:$A,CF!$A59)</f>
        <v>-2974</v>
      </c>
      <c r="N59" s="64">
        <f>SUMIFS(CF数据!N:N,CF数据!$A:$A,CF!$A59)</f>
        <v>-1973</v>
      </c>
      <c r="O59" s="64">
        <f>SUMIFS(CF数据!O:O,CF数据!$A:$A,CF!$A59)</f>
        <v>0</v>
      </c>
      <c r="P59" s="64">
        <f>SUMIFS(CF数据!P:P,CF数据!$A:$A,CF!$A59)</f>
        <v>0</v>
      </c>
      <c r="Q59" s="64">
        <f>SUMIFS(CF数据!Q:Q,CF数据!$A:$A,CF!$A59)</f>
        <v>0</v>
      </c>
      <c r="R59" s="73">
        <f t="shared" si="2"/>
        <v>-1.4945567651632969</v>
      </c>
      <c r="S59" s="73">
        <f t="shared" si="3"/>
        <v>-1.286286731967943</v>
      </c>
    </row>
    <row r="60" spans="1:19" x14ac:dyDescent="0.25">
      <c r="A60" t="str">
        <f>CF数据!A59</f>
        <v>五、现金及现金等价物净增加额</v>
      </c>
      <c r="B60" s="64">
        <f>SUMIFS(CF数据!B:B,CF数据!$A:$A,CF!$A60)</f>
        <v>0</v>
      </c>
      <c r="C60" s="64">
        <f>SUMIFS(CF数据!C:C,CF数据!$A:$A,CF!$A60)</f>
        <v>0</v>
      </c>
      <c r="D60" s="64">
        <f>SUMIFS(CF数据!D:D,CF数据!$A:$A,CF!$A60)</f>
        <v>0</v>
      </c>
      <c r="E60" s="64">
        <f>SUMIFS(CF数据!E:E,CF数据!$A:$A,CF!$A60)</f>
        <v>0</v>
      </c>
      <c r="F60" s="64">
        <f>SUMIFS(CF数据!F:F,CF数据!$A:$A,CF!$A60)</f>
        <v>0</v>
      </c>
      <c r="G60" s="64">
        <f>SUMIFS(CF数据!G:G,CF数据!$A:$A,CF!$A60)</f>
        <v>0</v>
      </c>
      <c r="H60" s="64">
        <f>SUMIFS(CF数据!H:H,CF数据!$A:$A,CF!$A60)</f>
        <v>0</v>
      </c>
      <c r="I60" s="64">
        <f>SUMIFS(CF数据!I:I,CF数据!$A:$A,CF!$A60)</f>
        <v>0</v>
      </c>
      <c r="J60" s="64">
        <f>SUMIFS(CF数据!J:J,CF数据!$A:$A,CF!$A60)</f>
        <v>0</v>
      </c>
      <c r="K60" s="64">
        <f>SUMIFS(CF数据!K:K,CF数据!$A:$A,CF!$A60)</f>
        <v>0</v>
      </c>
      <c r="L60" s="64">
        <f>SUMIFS(CF数据!L:L,CF数据!$A:$A,CF!$A60)</f>
        <v>0</v>
      </c>
      <c r="M60" s="64">
        <f>SUMIFS(CF数据!M:M,CF数据!$A:$A,CF!$A60)</f>
        <v>0</v>
      </c>
      <c r="N60" s="64">
        <f>SUMIFS(CF数据!N:N,CF数据!$A:$A,CF!$A60)</f>
        <v>0</v>
      </c>
      <c r="O60" s="64">
        <f>SUMIFS(CF数据!O:O,CF数据!$A:$A,CF!$A60)</f>
        <v>0</v>
      </c>
      <c r="P60" s="64">
        <f>SUMIFS(CF数据!P:P,CF数据!$A:$A,CF!$A60)</f>
        <v>0</v>
      </c>
      <c r="Q60" s="64">
        <f>SUMIFS(CF数据!Q:Q,CF数据!$A:$A,CF!$A60)</f>
        <v>0</v>
      </c>
      <c r="R60" s="73">
        <f t="shared" si="2"/>
        <v>0</v>
      </c>
      <c r="S60" s="73">
        <f t="shared" si="3"/>
        <v>0</v>
      </c>
    </row>
    <row r="61" spans="1:19" x14ac:dyDescent="0.25">
      <c r="A61" t="str">
        <f>CF数据!A60</f>
        <v>现金及现金等价物净增加额(万元)</v>
      </c>
      <c r="B61" s="64">
        <f>SUMIFS(CF数据!B:B,CF数据!$A:$A,CF!$A61)</f>
        <v>13059</v>
      </c>
      <c r="C61" s="64">
        <f>SUMIFS(CF数据!C:C,CF数据!$A:$A,CF!$A61)</f>
        <v>59511</v>
      </c>
      <c r="D61" s="64">
        <f>SUMIFS(CF数据!D:D,CF数据!$A:$A,CF!$A61)</f>
        <v>-332441</v>
      </c>
      <c r="E61" s="64">
        <f>SUMIFS(CF数据!E:E,CF数据!$A:$A,CF!$A61)</f>
        <v>74312</v>
      </c>
      <c r="F61" s="64">
        <f>SUMIFS(CF数据!F:F,CF数据!$A:$A,CF!$A61)</f>
        <v>170876</v>
      </c>
      <c r="G61" s="64">
        <f>SUMIFS(CF数据!G:G,CF数据!$A:$A,CF!$A61)</f>
        <v>-77955</v>
      </c>
      <c r="H61" s="64">
        <f>SUMIFS(CF数据!H:H,CF数据!$A:$A,CF!$A61)</f>
        <v>-292651</v>
      </c>
      <c r="I61" s="64">
        <f>SUMIFS(CF数据!I:I,CF数据!$A:$A,CF!$A61)</f>
        <v>5764</v>
      </c>
      <c r="J61" s="64">
        <f>SUMIFS(CF数据!J:J,CF数据!$A:$A,CF!$A61)</f>
        <v>334342</v>
      </c>
      <c r="K61" s="64">
        <f>SUMIFS(CF数据!K:K,CF数据!$A:$A,CF!$A61)</f>
        <v>78354</v>
      </c>
      <c r="L61" s="64">
        <f>SUMIFS(CF数据!L:L,CF数据!$A:$A,CF!$A61)</f>
        <v>13937</v>
      </c>
      <c r="M61" s="64">
        <f>SUMIFS(CF数据!M:M,CF数据!$A:$A,CF!$A61)</f>
        <v>33211</v>
      </c>
      <c r="N61" s="64">
        <f>SUMIFS(CF数据!N:N,CF数据!$A:$A,CF!$A61)</f>
        <v>140557</v>
      </c>
      <c r="O61" s="64">
        <f>SUMIFS(CF数据!O:O,CF数据!$A:$A,CF!$A61)</f>
        <v>44446</v>
      </c>
      <c r="P61" s="64">
        <f>SUMIFS(CF数据!P:P,CF数据!$A:$A,CF!$A61)</f>
        <v>0</v>
      </c>
      <c r="Q61" s="64">
        <f>SUMIFS(CF数据!Q:Q,CF数据!$A:$A,CF!$A61)</f>
        <v>0</v>
      </c>
      <c r="R61" s="73">
        <f t="shared" si="2"/>
        <v>-0.78056157685133842</v>
      </c>
      <c r="S61" s="73">
        <f t="shared" si="3"/>
        <v>-1.1790122157014327</v>
      </c>
    </row>
    <row r="62" spans="1:19" x14ac:dyDescent="0.25">
      <c r="A62" t="str">
        <f>CF数据!A61</f>
        <v>加:期初现金及现金等价物余额(万元)</v>
      </c>
      <c r="B62" s="64">
        <f>SUMIFS(CF数据!B:B,CF数据!$A:$A,CF!$A62)</f>
        <v>432089</v>
      </c>
      <c r="C62" s="64">
        <f>SUMIFS(CF数据!C:C,CF数据!$A:$A,CF!$A62)</f>
        <v>372578</v>
      </c>
      <c r="D62" s="64">
        <f>SUMIFS(CF数据!D:D,CF数据!$A:$A,CF!$A62)</f>
        <v>705019</v>
      </c>
      <c r="E62" s="64">
        <f>SUMIFS(CF数据!E:E,CF数据!$A:$A,CF!$A62)</f>
        <v>630707</v>
      </c>
      <c r="F62" s="64">
        <f>SUMIFS(CF数据!F:F,CF数据!$A:$A,CF!$A62)</f>
        <v>456815</v>
      </c>
      <c r="G62" s="64">
        <f>SUMIFS(CF数据!G:G,CF数据!$A:$A,CF!$A62)</f>
        <v>534771</v>
      </c>
      <c r="H62" s="64">
        <f>SUMIFS(CF数据!H:H,CF数据!$A:$A,CF!$A62)</f>
        <v>827422</v>
      </c>
      <c r="I62" s="64">
        <f>SUMIFS(CF数据!I:I,CF数据!$A:$A,CF!$A62)</f>
        <v>821658</v>
      </c>
      <c r="J62" s="64">
        <f>SUMIFS(CF数据!J:J,CF数据!$A:$A,CF!$A62)</f>
        <v>487315</v>
      </c>
      <c r="K62" s="64">
        <f>SUMIFS(CF数据!K:K,CF数据!$A:$A,CF!$A62)</f>
        <v>408961</v>
      </c>
      <c r="L62" s="64">
        <f>SUMIFS(CF数据!L:L,CF数据!$A:$A,CF!$A62)</f>
        <v>293756</v>
      </c>
      <c r="M62" s="64">
        <f>SUMIFS(CF数据!M:M,CF数据!$A:$A,CF!$A62)</f>
        <v>260545</v>
      </c>
      <c r="N62" s="64">
        <f>SUMIFS(CF数据!N:N,CF数据!$A:$A,CF!$A62)</f>
        <v>119989</v>
      </c>
      <c r="O62" s="64">
        <f>SUMIFS(CF数据!O:O,CF数据!$A:$A,CF!$A62)</f>
        <v>75543</v>
      </c>
      <c r="P62" s="64">
        <f>SUMIFS(CF数据!P:P,CF数据!$A:$A,CF!$A62)</f>
        <v>0</v>
      </c>
      <c r="Q62" s="64">
        <f>SUMIFS(CF数据!Q:Q,CF数据!$A:$A,CF!$A62)</f>
        <v>0</v>
      </c>
      <c r="R62" s="73">
        <f t="shared" si="2"/>
        <v>0.15972762750350267</v>
      </c>
      <c r="S62" s="73">
        <f t="shared" si="3"/>
        <v>-0.47153480970016415</v>
      </c>
    </row>
    <row r="63" spans="1:19" x14ac:dyDescent="0.25">
      <c r="A63" t="str">
        <f>CF数据!A62</f>
        <v>期末现金及现金等价物余额(万元)</v>
      </c>
      <c r="B63" s="64">
        <f>SUMIFS(CF数据!B:B,CF数据!$A:$A,CF!$A63)</f>
        <v>445148</v>
      </c>
      <c r="C63" s="64">
        <f>SUMIFS(CF数据!C:C,CF数据!$A:$A,CF!$A63)</f>
        <v>432089</v>
      </c>
      <c r="D63" s="64">
        <f>SUMIFS(CF数据!D:D,CF数据!$A:$A,CF!$A63)</f>
        <v>372578</v>
      </c>
      <c r="E63" s="64">
        <f>SUMIFS(CF数据!E:E,CF数据!$A:$A,CF!$A63)</f>
        <v>705019</v>
      </c>
      <c r="F63" s="64">
        <f>SUMIFS(CF数据!F:F,CF数据!$A:$A,CF!$A63)</f>
        <v>627692</v>
      </c>
      <c r="G63" s="64">
        <f>SUMIFS(CF数据!G:G,CF数据!$A:$A,CF!$A63)</f>
        <v>456815</v>
      </c>
      <c r="H63" s="64">
        <f>SUMIFS(CF数据!H:H,CF数据!$A:$A,CF!$A63)</f>
        <v>534771</v>
      </c>
      <c r="I63" s="64">
        <f>SUMIFS(CF数据!I:I,CF数据!$A:$A,CF!$A63)</f>
        <v>827422</v>
      </c>
      <c r="J63" s="64">
        <f>SUMIFS(CF数据!J:J,CF数据!$A:$A,CF!$A63)</f>
        <v>821658</v>
      </c>
      <c r="K63" s="64">
        <f>SUMIFS(CF数据!K:K,CF数据!$A:$A,CF!$A63)</f>
        <v>487315</v>
      </c>
      <c r="L63" s="64">
        <f>SUMIFS(CF数据!L:L,CF数据!$A:$A,CF!$A63)</f>
        <v>307693</v>
      </c>
      <c r="M63" s="64">
        <f>SUMIFS(CF数据!M:M,CF数据!$A:$A,CF!$A63)</f>
        <v>293756</v>
      </c>
      <c r="N63" s="64">
        <f>SUMIFS(CF数据!N:N,CF数据!$A:$A,CF!$A63)</f>
        <v>260545</v>
      </c>
      <c r="O63" s="64">
        <f>SUMIFS(CF数据!O:O,CF数据!$A:$A,CF!$A63)</f>
        <v>119989</v>
      </c>
      <c r="P63" s="64">
        <f>SUMIFS(CF数据!P:P,CF数据!$A:$A,CF!$A63)</f>
        <v>0</v>
      </c>
      <c r="Q63" s="64">
        <f>SUMIFS(CF数据!Q:Q,CF数据!$A:$A,CF!$A63)</f>
        <v>0</v>
      </c>
      <c r="R63" s="73">
        <f t="shared" si="2"/>
        <v>3.0222940181305225E-2</v>
      </c>
      <c r="S63" s="73">
        <f t="shared" si="3"/>
        <v>0.15972762750350267</v>
      </c>
    </row>
    <row r="64" spans="1:19" x14ac:dyDescent="0.25">
      <c r="A64" t="str">
        <f>CF数据!A63</f>
        <v>补充资料</v>
      </c>
      <c r="B64" s="64">
        <f>SUMIFS(CF数据!B:B,CF数据!$A:$A,CF!$A64)</f>
        <v>0</v>
      </c>
      <c r="C64" s="64">
        <f>SUMIFS(CF数据!C:C,CF数据!$A:$A,CF!$A64)</f>
        <v>0</v>
      </c>
      <c r="D64" s="64">
        <f>SUMIFS(CF数据!D:D,CF数据!$A:$A,CF!$A64)</f>
        <v>0</v>
      </c>
      <c r="E64" s="64">
        <f>SUMIFS(CF数据!E:E,CF数据!$A:$A,CF!$A64)</f>
        <v>0</v>
      </c>
      <c r="F64" s="64">
        <f>SUMIFS(CF数据!F:F,CF数据!$A:$A,CF!$A64)</f>
        <v>0</v>
      </c>
      <c r="G64" s="64">
        <f>SUMIFS(CF数据!G:G,CF数据!$A:$A,CF!$A64)</f>
        <v>0</v>
      </c>
      <c r="H64" s="64">
        <f>SUMIFS(CF数据!H:H,CF数据!$A:$A,CF!$A64)</f>
        <v>0</v>
      </c>
      <c r="I64" s="64">
        <f>SUMIFS(CF数据!I:I,CF数据!$A:$A,CF!$A64)</f>
        <v>0</v>
      </c>
      <c r="J64" s="64">
        <f>SUMIFS(CF数据!J:J,CF数据!$A:$A,CF!$A64)</f>
        <v>0</v>
      </c>
      <c r="K64" s="64">
        <f>SUMIFS(CF数据!K:K,CF数据!$A:$A,CF!$A64)</f>
        <v>0</v>
      </c>
      <c r="L64" s="64">
        <f>SUMIFS(CF数据!L:L,CF数据!$A:$A,CF!$A64)</f>
        <v>0</v>
      </c>
      <c r="M64" s="64">
        <f>SUMIFS(CF数据!M:M,CF数据!$A:$A,CF!$A64)</f>
        <v>0</v>
      </c>
      <c r="N64" s="64">
        <f>SUMIFS(CF数据!N:N,CF数据!$A:$A,CF!$A64)</f>
        <v>0</v>
      </c>
      <c r="O64" s="64">
        <f>SUMIFS(CF数据!O:O,CF数据!$A:$A,CF!$A64)</f>
        <v>0</v>
      </c>
      <c r="P64" s="64">
        <f>SUMIFS(CF数据!P:P,CF数据!$A:$A,CF!$A64)</f>
        <v>0</v>
      </c>
      <c r="Q64" s="64">
        <f>SUMIFS(CF数据!Q:Q,CF数据!$A:$A,CF!$A64)</f>
        <v>0</v>
      </c>
      <c r="R64" s="73">
        <f t="shared" si="2"/>
        <v>0</v>
      </c>
      <c r="S64" s="73">
        <f t="shared" si="3"/>
        <v>0</v>
      </c>
    </row>
    <row r="65" spans="1:19" x14ac:dyDescent="0.25">
      <c r="A65" t="str">
        <f>CF数据!A64</f>
        <v>1、将净利润调节为经营活动的现金流量</v>
      </c>
      <c r="B65" s="64">
        <f>SUMIFS(CF数据!B:B,CF数据!$A:$A,CF!$A65)</f>
        <v>0</v>
      </c>
      <c r="C65" s="64">
        <f>SUMIFS(CF数据!C:C,CF数据!$A:$A,CF!$A65)</f>
        <v>0</v>
      </c>
      <c r="D65" s="64">
        <f>SUMIFS(CF数据!D:D,CF数据!$A:$A,CF!$A65)</f>
        <v>0</v>
      </c>
      <c r="E65" s="64">
        <f>SUMIFS(CF数据!E:E,CF数据!$A:$A,CF!$A65)</f>
        <v>0</v>
      </c>
      <c r="F65" s="64">
        <f>SUMIFS(CF数据!F:F,CF数据!$A:$A,CF!$A65)</f>
        <v>0</v>
      </c>
      <c r="G65" s="64">
        <f>SUMIFS(CF数据!G:G,CF数据!$A:$A,CF!$A65)</f>
        <v>0</v>
      </c>
      <c r="H65" s="64">
        <f>SUMIFS(CF数据!H:H,CF数据!$A:$A,CF!$A65)</f>
        <v>0</v>
      </c>
      <c r="I65" s="64">
        <f>SUMIFS(CF数据!I:I,CF数据!$A:$A,CF!$A65)</f>
        <v>0</v>
      </c>
      <c r="J65" s="64">
        <f>SUMIFS(CF数据!J:J,CF数据!$A:$A,CF!$A65)</f>
        <v>0</v>
      </c>
      <c r="K65" s="64">
        <f>SUMIFS(CF数据!K:K,CF数据!$A:$A,CF!$A65)</f>
        <v>0</v>
      </c>
      <c r="L65" s="64">
        <f>SUMIFS(CF数据!L:L,CF数据!$A:$A,CF!$A65)</f>
        <v>0</v>
      </c>
      <c r="M65" s="64">
        <f>SUMIFS(CF数据!M:M,CF数据!$A:$A,CF!$A65)</f>
        <v>0</v>
      </c>
      <c r="N65" s="64">
        <f>SUMIFS(CF数据!N:N,CF数据!$A:$A,CF!$A65)</f>
        <v>0</v>
      </c>
      <c r="O65" s="64">
        <f>SUMIFS(CF数据!O:O,CF数据!$A:$A,CF!$A65)</f>
        <v>0</v>
      </c>
      <c r="P65" s="64">
        <f>SUMIFS(CF数据!P:P,CF数据!$A:$A,CF!$A65)</f>
        <v>0</v>
      </c>
      <c r="Q65" s="64">
        <f>SUMIFS(CF数据!Q:Q,CF数据!$A:$A,CF!$A65)</f>
        <v>0</v>
      </c>
      <c r="R65" s="73">
        <f t="shared" si="2"/>
        <v>0</v>
      </c>
      <c r="S65" s="73">
        <f t="shared" si="3"/>
        <v>0</v>
      </c>
    </row>
    <row r="66" spans="1:19" x14ac:dyDescent="0.25">
      <c r="A66" t="str">
        <f>CF数据!A65</f>
        <v>净利润(万元)</v>
      </c>
      <c r="B66" s="64">
        <f>SUMIFS(CF数据!B:B,CF数据!$A:$A,CF!$A66)</f>
        <v>1149445</v>
      </c>
      <c r="C66" s="64">
        <f>SUMIFS(CF数据!C:C,CF数据!$A:$A,CF!$A66)</f>
        <v>630349</v>
      </c>
      <c r="D66" s="64">
        <f>SUMIFS(CF数据!D:D,CF数据!$A:$A,CF!$A66)</f>
        <v>222709</v>
      </c>
      <c r="E66" s="64">
        <f>SUMIFS(CF数据!E:E,CF数据!$A:$A,CF!$A66)</f>
        <v>16380</v>
      </c>
      <c r="F66" s="64">
        <f>SUMIFS(CF数据!F:F,CF数据!$A:$A,CF!$A66)</f>
        <v>13815</v>
      </c>
      <c r="G66" s="64">
        <f>SUMIFS(CF数据!G:G,CF数据!$A:$A,CF!$A66)</f>
        <v>75597</v>
      </c>
      <c r="H66" s="64">
        <f>SUMIFS(CF数据!H:H,CF数据!$A:$A,CF!$A66)</f>
        <v>309485</v>
      </c>
      <c r="I66" s="64">
        <f>SUMIFS(CF数据!I:I,CF数据!$A:$A,CF!$A66)</f>
        <v>601068</v>
      </c>
      <c r="J66" s="64">
        <f>SUMIFS(CF数据!J:J,CF数据!$A:$A,CF!$A66)</f>
        <v>936155</v>
      </c>
      <c r="K66" s="64">
        <f>SUMIFS(CF数据!K:K,CF数据!$A:$A,CF!$A66)</f>
        <v>616403</v>
      </c>
      <c r="L66" s="64">
        <f>SUMIFS(CF数据!L:L,CF数据!$A:$A,CF!$A66)</f>
        <v>236996</v>
      </c>
      <c r="M66" s="64">
        <f>SUMIFS(CF数据!M:M,CF数据!$A:$A,CF!$A66)</f>
        <v>147441</v>
      </c>
      <c r="N66" s="64">
        <f>SUMIFS(CF数据!N:N,CF数据!$A:$A,CF!$A66)</f>
        <v>190579</v>
      </c>
      <c r="O66" s="64">
        <f>SUMIFS(CF数据!O:O,CF数据!$A:$A,CF!$A66)</f>
        <v>74120</v>
      </c>
      <c r="P66" s="64">
        <f>SUMIFS(CF数据!P:P,CF数据!$A:$A,CF!$A66)</f>
        <v>0</v>
      </c>
      <c r="Q66" s="64">
        <f>SUMIFS(CF数据!Q:Q,CF数据!$A:$A,CF!$A66)</f>
        <v>0</v>
      </c>
      <c r="R66" s="73">
        <f t="shared" si="2"/>
        <v>0.82350570874229989</v>
      </c>
      <c r="S66" s="73">
        <f t="shared" si="3"/>
        <v>1.8303705732592754</v>
      </c>
    </row>
    <row r="67" spans="1:19" x14ac:dyDescent="0.25">
      <c r="A67" t="str">
        <f>CF数据!A66</f>
        <v>少数股东损益(万元)</v>
      </c>
      <c r="B67" s="64">
        <f>SUMIFS(CF数据!B:B,CF数据!$A:$A,CF!$A67)</f>
        <v>0</v>
      </c>
      <c r="C67" s="64">
        <f>SUMIFS(CF数据!C:C,CF数据!$A:$A,CF!$A67)</f>
        <v>0</v>
      </c>
      <c r="D67" s="64">
        <f>SUMIFS(CF数据!D:D,CF数据!$A:$A,CF!$A67)</f>
        <v>0</v>
      </c>
      <c r="E67" s="64">
        <f>SUMIFS(CF数据!E:E,CF数据!$A:$A,CF!$A67)</f>
        <v>0</v>
      </c>
      <c r="F67" s="64">
        <f>SUMIFS(CF数据!F:F,CF数据!$A:$A,CF!$A67)</f>
        <v>0</v>
      </c>
      <c r="G67" s="64">
        <f>SUMIFS(CF数据!G:G,CF数据!$A:$A,CF!$A67)</f>
        <v>0</v>
      </c>
      <c r="H67" s="64">
        <f>SUMIFS(CF数据!H:H,CF数据!$A:$A,CF!$A67)</f>
        <v>0</v>
      </c>
      <c r="I67" s="64">
        <f>SUMIFS(CF数据!I:I,CF数据!$A:$A,CF!$A67)</f>
        <v>0</v>
      </c>
      <c r="J67" s="64">
        <f>SUMIFS(CF数据!J:J,CF数据!$A:$A,CF!$A67)</f>
        <v>0</v>
      </c>
      <c r="K67" s="64">
        <f>SUMIFS(CF数据!K:K,CF数据!$A:$A,CF!$A67)</f>
        <v>0</v>
      </c>
      <c r="L67" s="64">
        <f>SUMIFS(CF数据!L:L,CF数据!$A:$A,CF!$A67)</f>
        <v>0</v>
      </c>
      <c r="M67" s="64">
        <f>SUMIFS(CF数据!M:M,CF数据!$A:$A,CF!$A67)</f>
        <v>0</v>
      </c>
      <c r="N67" s="64">
        <f>SUMIFS(CF数据!N:N,CF数据!$A:$A,CF!$A67)</f>
        <v>0</v>
      </c>
      <c r="O67" s="64">
        <f>SUMIFS(CF数据!O:O,CF数据!$A:$A,CF!$A67)</f>
        <v>0</v>
      </c>
      <c r="P67" s="64">
        <f>SUMIFS(CF数据!P:P,CF数据!$A:$A,CF!$A67)</f>
        <v>0</v>
      </c>
      <c r="Q67" s="64">
        <f>SUMIFS(CF数据!Q:Q,CF数据!$A:$A,CF!$A67)</f>
        <v>0</v>
      </c>
      <c r="R67" s="73">
        <f t="shared" si="2"/>
        <v>0</v>
      </c>
      <c r="S67" s="73">
        <f t="shared" si="3"/>
        <v>0</v>
      </c>
    </row>
    <row r="68" spans="1:19" x14ac:dyDescent="0.25">
      <c r="A68" t="str">
        <f>CF数据!A67</f>
        <v>未确认的投资损失(万元)</v>
      </c>
      <c r="B68" s="64">
        <f>SUMIFS(CF数据!B:B,CF数据!$A:$A,CF!$A68)</f>
        <v>0</v>
      </c>
      <c r="C68" s="64">
        <f>SUMIFS(CF数据!C:C,CF数据!$A:$A,CF!$A68)</f>
        <v>0</v>
      </c>
      <c r="D68" s="64">
        <f>SUMIFS(CF数据!D:D,CF数据!$A:$A,CF!$A68)</f>
        <v>0</v>
      </c>
      <c r="E68" s="64">
        <f>SUMIFS(CF数据!E:E,CF数据!$A:$A,CF!$A68)</f>
        <v>0</v>
      </c>
      <c r="F68" s="64">
        <f>SUMIFS(CF数据!F:F,CF数据!$A:$A,CF!$A68)</f>
        <v>0</v>
      </c>
      <c r="G68" s="64">
        <f>SUMIFS(CF数据!G:G,CF数据!$A:$A,CF!$A68)</f>
        <v>0</v>
      </c>
      <c r="H68" s="64">
        <f>SUMIFS(CF数据!H:H,CF数据!$A:$A,CF!$A68)</f>
        <v>0</v>
      </c>
      <c r="I68" s="64">
        <f>SUMIFS(CF数据!I:I,CF数据!$A:$A,CF!$A68)</f>
        <v>0</v>
      </c>
      <c r="J68" s="64">
        <f>SUMIFS(CF数据!J:J,CF数据!$A:$A,CF!$A68)</f>
        <v>0</v>
      </c>
      <c r="K68" s="64">
        <f>SUMIFS(CF数据!K:K,CF数据!$A:$A,CF!$A68)</f>
        <v>0</v>
      </c>
      <c r="L68" s="64">
        <f>SUMIFS(CF数据!L:L,CF数据!$A:$A,CF!$A68)</f>
        <v>0</v>
      </c>
      <c r="M68" s="64">
        <f>SUMIFS(CF数据!M:M,CF数据!$A:$A,CF!$A68)</f>
        <v>0</v>
      </c>
      <c r="N68" s="64">
        <f>SUMIFS(CF数据!N:N,CF数据!$A:$A,CF!$A68)</f>
        <v>0</v>
      </c>
      <c r="O68" s="64">
        <f>SUMIFS(CF数据!O:O,CF数据!$A:$A,CF!$A68)</f>
        <v>0</v>
      </c>
      <c r="P68" s="64">
        <f>SUMIFS(CF数据!P:P,CF数据!$A:$A,CF!$A68)</f>
        <v>0</v>
      </c>
      <c r="Q68" s="64">
        <f>SUMIFS(CF数据!Q:Q,CF数据!$A:$A,CF!$A68)</f>
        <v>0</v>
      </c>
      <c r="R68" s="73">
        <f t="shared" si="2"/>
        <v>0</v>
      </c>
      <c r="S68" s="73">
        <f t="shared" si="3"/>
        <v>0</v>
      </c>
    </row>
    <row r="69" spans="1:19" x14ac:dyDescent="0.25">
      <c r="A69" t="str">
        <f>CF数据!A68</f>
        <v>资产减值准备(万元)</v>
      </c>
      <c r="B69" s="64">
        <f>SUMIFS(CF数据!B:B,CF数据!$A:$A,CF!$A69)</f>
        <v>24904</v>
      </c>
      <c r="C69" s="64">
        <f>SUMIFS(CF数据!C:C,CF数据!$A:$A,CF!$A69)</f>
        <v>-752</v>
      </c>
      <c r="D69" s="64">
        <f>SUMIFS(CF数据!D:D,CF数据!$A:$A,CF!$A69)</f>
        <v>90311</v>
      </c>
      <c r="E69" s="64">
        <f>SUMIFS(CF数据!E:E,CF数据!$A:$A,CF!$A69)</f>
        <v>20359</v>
      </c>
      <c r="F69" s="64">
        <f>SUMIFS(CF数据!F:F,CF数据!$A:$A,CF!$A69)</f>
        <v>43571</v>
      </c>
      <c r="G69" s="64">
        <f>SUMIFS(CF数据!G:G,CF数据!$A:$A,CF!$A69)</f>
        <v>58165</v>
      </c>
      <c r="H69" s="64">
        <f>SUMIFS(CF数据!H:H,CF数据!$A:$A,CF!$A69)</f>
        <v>33830</v>
      </c>
      <c r="I69" s="64">
        <f>SUMIFS(CF数据!I:I,CF数据!$A:$A,CF!$A69)</f>
        <v>-19491</v>
      </c>
      <c r="J69" s="64">
        <f>SUMIFS(CF数据!J:J,CF数据!$A:$A,CF!$A69)</f>
        <v>28880</v>
      </c>
      <c r="K69" s="64">
        <f>SUMIFS(CF数据!K:K,CF数据!$A:$A,CF!$A69)</f>
        <v>12692</v>
      </c>
      <c r="L69" s="64">
        <f>SUMIFS(CF数据!L:L,CF数据!$A:$A,CF!$A69)</f>
        <v>7232</v>
      </c>
      <c r="M69" s="64">
        <f>SUMIFS(CF数据!M:M,CF数据!$A:$A,CF!$A69)</f>
        <v>8424</v>
      </c>
      <c r="N69" s="64">
        <f>SUMIFS(CF数据!N:N,CF数据!$A:$A,CF!$A69)</f>
        <v>8100</v>
      </c>
      <c r="O69" s="64">
        <f>SUMIFS(CF数据!O:O,CF数据!$A:$A,CF!$A69)</f>
        <v>3990</v>
      </c>
      <c r="P69" s="64">
        <f>SUMIFS(CF数据!P:P,CF数据!$A:$A,CF!$A69)</f>
        <v>0</v>
      </c>
      <c r="Q69" s="64">
        <f>SUMIFS(CF数据!Q:Q,CF数据!$A:$A,CF!$A69)</f>
        <v>0</v>
      </c>
      <c r="R69" s="73">
        <f t="shared" si="2"/>
        <v>-34.117021276595743</v>
      </c>
      <c r="S69" s="73">
        <f t="shared" si="3"/>
        <v>-1.0083267818981076</v>
      </c>
    </row>
    <row r="70" spans="1:19" x14ac:dyDescent="0.25">
      <c r="A70" t="str">
        <f>CF数据!A69</f>
        <v>固定资产折旧、油气资产折耗、生产性物资折旧(万元)</v>
      </c>
      <c r="B70" s="186">
        <f>SUMIFS(CF数据!B:B,CF数据!$A:$A,CF!$A70)</f>
        <v>165443</v>
      </c>
      <c r="C70" s="186">
        <f>SUMIFS(CF数据!C:C,CF数据!$A:$A,CF!$A70)</f>
        <v>153606</v>
      </c>
      <c r="D70" s="186">
        <f>SUMIFS(CF数据!D:D,CF数据!$A:$A,CF!$A70)</f>
        <v>157481</v>
      </c>
      <c r="E70" s="186">
        <f>SUMIFS(CF数据!E:E,CF数据!$A:$A,CF!$A70)</f>
        <v>170060</v>
      </c>
      <c r="F70" s="186">
        <f>SUMIFS(CF数据!F:F,CF数据!$A:$A,CF!$A70)</f>
        <v>152229</v>
      </c>
      <c r="G70" s="186">
        <f>SUMIFS(CF数据!G:G,CF数据!$A:$A,CF!$A70)</f>
        <v>148427</v>
      </c>
      <c r="H70" s="186">
        <f>SUMIFS(CF数据!H:H,CF数据!$A:$A,CF!$A70)</f>
        <v>129228</v>
      </c>
      <c r="I70" s="186">
        <f>SUMIFS(CF数据!I:I,CF数据!$A:$A,CF!$A70)</f>
        <v>108327</v>
      </c>
      <c r="J70" s="186">
        <f>SUMIFS(CF数据!J:J,CF数据!$A:$A,CF!$A70)</f>
        <v>66838</v>
      </c>
      <c r="K70" s="186">
        <f>SUMIFS(CF数据!K:K,CF数据!$A:$A,CF!$A70)</f>
        <v>48544</v>
      </c>
      <c r="L70" s="186">
        <f>SUMIFS(CF数据!L:L,CF数据!$A:$A,CF!$A70)</f>
        <v>26761</v>
      </c>
      <c r="M70" s="186">
        <f>SUMIFS(CF数据!M:M,CF数据!$A:$A,CF!$A70)</f>
        <v>18734</v>
      </c>
      <c r="N70" s="186">
        <f>SUMIFS(CF数据!N:N,CF数据!$A:$A,CF!$A70)</f>
        <v>13952</v>
      </c>
      <c r="O70" s="186">
        <f>SUMIFS(CF数据!O:O,CF数据!$A:$A,CF!$A70)</f>
        <v>10768</v>
      </c>
      <c r="P70" s="186">
        <f>SUMIFS(CF数据!P:P,CF数据!$A:$A,CF!$A70)</f>
        <v>0</v>
      </c>
      <c r="Q70" s="186">
        <f>SUMIFS(CF数据!Q:Q,CF数据!$A:$A,CF!$A70)</f>
        <v>0</v>
      </c>
      <c r="R70" s="73">
        <f t="shared" si="2"/>
        <v>7.7060791896149894E-2</v>
      </c>
      <c r="S70" s="73">
        <f t="shared" si="3"/>
        <v>-2.4606142963278121E-2</v>
      </c>
    </row>
    <row r="71" spans="1:19" x14ac:dyDescent="0.25">
      <c r="A71" t="str">
        <f>CF数据!A70</f>
        <v>无形资产摊销(万元)</v>
      </c>
      <c r="B71" s="186">
        <f>SUMIFS(CF数据!B:B,CF数据!$A:$A,CF!$A71)</f>
        <v>35534</v>
      </c>
      <c r="C71" s="186">
        <f>SUMIFS(CF数据!C:C,CF数据!$A:$A,CF!$A71)</f>
        <v>37820</v>
      </c>
      <c r="D71" s="186">
        <f>SUMIFS(CF数据!D:D,CF数据!$A:$A,CF!$A71)</f>
        <v>33865</v>
      </c>
      <c r="E71" s="186">
        <f>SUMIFS(CF数据!E:E,CF数据!$A:$A,CF!$A71)</f>
        <v>39437</v>
      </c>
      <c r="F71" s="186">
        <f>SUMIFS(CF数据!F:F,CF数据!$A:$A,CF!$A71)</f>
        <v>25522</v>
      </c>
      <c r="G71" s="186">
        <f>SUMIFS(CF数据!G:G,CF数据!$A:$A,CF!$A71)</f>
        <v>24596</v>
      </c>
      <c r="H71" s="186">
        <f>SUMIFS(CF数据!H:H,CF数据!$A:$A,CF!$A71)</f>
        <v>21808</v>
      </c>
      <c r="I71" s="186">
        <f>SUMIFS(CF数据!I:I,CF数据!$A:$A,CF!$A71)</f>
        <v>15008</v>
      </c>
      <c r="J71" s="186">
        <f>SUMIFS(CF数据!J:J,CF数据!$A:$A,CF!$A71)</f>
        <v>5006</v>
      </c>
      <c r="K71" s="186">
        <f>SUMIFS(CF数据!K:K,CF数据!$A:$A,CF!$A71)</f>
        <v>3688</v>
      </c>
      <c r="L71" s="186">
        <f>SUMIFS(CF数据!L:L,CF数据!$A:$A,CF!$A71)</f>
        <v>1776</v>
      </c>
      <c r="M71" s="186">
        <f>SUMIFS(CF数据!M:M,CF数据!$A:$A,CF!$A71)</f>
        <v>1562</v>
      </c>
      <c r="N71" s="186">
        <f>SUMIFS(CF数据!N:N,CF数据!$A:$A,CF!$A71)</f>
        <v>1056</v>
      </c>
      <c r="O71" s="186">
        <f>SUMIFS(CF数据!O:O,CF数据!$A:$A,CF!$A71)</f>
        <v>312</v>
      </c>
      <c r="P71" s="186">
        <f>SUMIFS(CF数据!P:P,CF数据!$A:$A,CF!$A71)</f>
        <v>0</v>
      </c>
      <c r="Q71" s="186">
        <f>SUMIFS(CF数据!Q:Q,CF数据!$A:$A,CF!$A71)</f>
        <v>0</v>
      </c>
      <c r="R71" s="73">
        <f t="shared" si="2"/>
        <v>-6.0444209413008987E-2</v>
      </c>
      <c r="S71" s="73">
        <f t="shared" si="3"/>
        <v>0.1167872434667061</v>
      </c>
    </row>
    <row r="72" spans="1:19" x14ac:dyDescent="0.25">
      <c r="A72" t="str">
        <f>CF数据!A71</f>
        <v>长期待摊费用摊销(万元)</v>
      </c>
      <c r="B72" s="186">
        <f>SUMIFS(CF数据!B:B,CF数据!$A:$A,CF!$A72)</f>
        <v>1052</v>
      </c>
      <c r="C72" s="186">
        <f>SUMIFS(CF数据!C:C,CF数据!$A:$A,CF!$A72)</f>
        <v>1792</v>
      </c>
      <c r="D72" s="186">
        <f>SUMIFS(CF数据!D:D,CF数据!$A:$A,CF!$A72)</f>
        <v>0</v>
      </c>
      <c r="E72" s="186">
        <f>SUMIFS(CF数据!E:E,CF数据!$A:$A,CF!$A72)</f>
        <v>278</v>
      </c>
      <c r="F72" s="186">
        <f>SUMIFS(CF数据!F:F,CF数据!$A:$A,CF!$A72)</f>
        <v>34</v>
      </c>
      <c r="G72" s="186">
        <f>SUMIFS(CF数据!G:G,CF数据!$A:$A,CF!$A72)</f>
        <v>0</v>
      </c>
      <c r="H72" s="186">
        <f>SUMIFS(CF数据!H:H,CF数据!$A:$A,CF!$A72)</f>
        <v>0</v>
      </c>
      <c r="I72" s="186">
        <f>SUMIFS(CF数据!I:I,CF数据!$A:$A,CF!$A72)</f>
        <v>0</v>
      </c>
      <c r="J72" s="186">
        <f>SUMIFS(CF数据!J:J,CF数据!$A:$A,CF!$A72)</f>
        <v>500</v>
      </c>
      <c r="K72" s="186">
        <f>SUMIFS(CF数据!K:K,CF数据!$A:$A,CF!$A72)</f>
        <v>145</v>
      </c>
      <c r="L72" s="186">
        <f>SUMIFS(CF数据!L:L,CF数据!$A:$A,CF!$A72)</f>
        <v>149</v>
      </c>
      <c r="M72" s="186">
        <f>SUMIFS(CF数据!M:M,CF数据!$A:$A,CF!$A72)</f>
        <v>118</v>
      </c>
      <c r="N72" s="186">
        <f>SUMIFS(CF数据!N:N,CF数据!$A:$A,CF!$A72)</f>
        <v>80</v>
      </c>
      <c r="O72" s="186">
        <f>SUMIFS(CF数据!O:O,CF数据!$A:$A,CF!$A72)</f>
        <v>10</v>
      </c>
      <c r="P72" s="186">
        <f>SUMIFS(CF数据!P:P,CF数据!$A:$A,CF!$A72)</f>
        <v>0</v>
      </c>
      <c r="Q72" s="186">
        <f>SUMIFS(CF数据!Q:Q,CF数据!$A:$A,CF!$A72)</f>
        <v>0</v>
      </c>
      <c r="R72" s="73">
        <f t="shared" si="2"/>
        <v>-0.4129464285714286</v>
      </c>
      <c r="S72" s="73">
        <f t="shared" si="3"/>
        <v>0</v>
      </c>
    </row>
    <row r="73" spans="1:19" x14ac:dyDescent="0.25">
      <c r="A73" t="str">
        <f>CF数据!A72</f>
        <v>待摊费用的减少(万元)</v>
      </c>
      <c r="B73" s="64">
        <f>SUMIFS(CF数据!B:B,CF数据!$A:$A,CF!$A73)</f>
        <v>0</v>
      </c>
      <c r="C73" s="64">
        <f>SUMIFS(CF数据!C:C,CF数据!$A:$A,CF!$A73)</f>
        <v>0</v>
      </c>
      <c r="D73" s="64">
        <f>SUMIFS(CF数据!D:D,CF数据!$A:$A,CF!$A73)</f>
        <v>0</v>
      </c>
      <c r="E73" s="64">
        <f>SUMIFS(CF数据!E:E,CF数据!$A:$A,CF!$A73)</f>
        <v>0</v>
      </c>
      <c r="F73" s="64">
        <f>SUMIFS(CF数据!F:F,CF数据!$A:$A,CF!$A73)</f>
        <v>0</v>
      </c>
      <c r="G73" s="64">
        <f>SUMIFS(CF数据!G:G,CF数据!$A:$A,CF!$A73)</f>
        <v>0</v>
      </c>
      <c r="H73" s="64">
        <f>SUMIFS(CF数据!H:H,CF数据!$A:$A,CF!$A73)</f>
        <v>0</v>
      </c>
      <c r="I73" s="64">
        <f>SUMIFS(CF数据!I:I,CF数据!$A:$A,CF!$A73)</f>
        <v>0</v>
      </c>
      <c r="J73" s="64">
        <f>SUMIFS(CF数据!J:J,CF数据!$A:$A,CF!$A73)</f>
        <v>0</v>
      </c>
      <c r="K73" s="64">
        <f>SUMIFS(CF数据!K:K,CF数据!$A:$A,CF!$A73)</f>
        <v>0</v>
      </c>
      <c r="L73" s="64">
        <f>SUMIFS(CF数据!L:L,CF数据!$A:$A,CF!$A73)</f>
        <v>0</v>
      </c>
      <c r="M73" s="64">
        <f>SUMIFS(CF数据!M:M,CF数据!$A:$A,CF!$A73)</f>
        <v>0</v>
      </c>
      <c r="N73" s="64">
        <f>SUMIFS(CF数据!N:N,CF数据!$A:$A,CF!$A73)</f>
        <v>-200</v>
      </c>
      <c r="O73" s="64">
        <f>SUMIFS(CF数据!O:O,CF数据!$A:$A,CF!$A73)</f>
        <v>-277</v>
      </c>
      <c r="P73" s="64">
        <f>SUMIFS(CF数据!P:P,CF数据!$A:$A,CF!$A73)</f>
        <v>0</v>
      </c>
      <c r="Q73" s="64">
        <f>SUMIFS(CF数据!Q:Q,CF数据!$A:$A,CF!$A73)</f>
        <v>0</v>
      </c>
      <c r="R73" s="73">
        <f t="shared" si="2"/>
        <v>0</v>
      </c>
      <c r="S73" s="73">
        <f t="shared" si="3"/>
        <v>0</v>
      </c>
    </row>
    <row r="74" spans="1:19" x14ac:dyDescent="0.25">
      <c r="A74" t="str">
        <f>CF数据!A73</f>
        <v>预提费用的增加(万元)</v>
      </c>
      <c r="B74" s="64">
        <f>SUMIFS(CF数据!B:B,CF数据!$A:$A,CF!$A74)</f>
        <v>0</v>
      </c>
      <c r="C74" s="64">
        <f>SUMIFS(CF数据!C:C,CF数据!$A:$A,CF!$A74)</f>
        <v>0</v>
      </c>
      <c r="D74" s="64">
        <f>SUMIFS(CF数据!D:D,CF数据!$A:$A,CF!$A74)</f>
        <v>0</v>
      </c>
      <c r="E74" s="64">
        <f>SUMIFS(CF数据!E:E,CF数据!$A:$A,CF!$A74)</f>
        <v>0</v>
      </c>
      <c r="F74" s="64">
        <f>SUMIFS(CF数据!F:F,CF数据!$A:$A,CF!$A74)</f>
        <v>0</v>
      </c>
      <c r="G74" s="64">
        <f>SUMIFS(CF数据!G:G,CF数据!$A:$A,CF!$A74)</f>
        <v>0</v>
      </c>
      <c r="H74" s="64">
        <f>SUMIFS(CF数据!H:H,CF数据!$A:$A,CF!$A74)</f>
        <v>0</v>
      </c>
      <c r="I74" s="64">
        <f>SUMIFS(CF数据!I:I,CF数据!$A:$A,CF!$A74)</f>
        <v>0</v>
      </c>
      <c r="J74" s="64">
        <f>SUMIFS(CF数据!J:J,CF数据!$A:$A,CF!$A74)</f>
        <v>0</v>
      </c>
      <c r="K74" s="64">
        <f>SUMIFS(CF数据!K:K,CF数据!$A:$A,CF!$A74)</f>
        <v>0</v>
      </c>
      <c r="L74" s="64">
        <f>SUMIFS(CF数据!L:L,CF数据!$A:$A,CF!$A74)</f>
        <v>0</v>
      </c>
      <c r="M74" s="64">
        <f>SUMIFS(CF数据!M:M,CF数据!$A:$A,CF!$A74)</f>
        <v>0</v>
      </c>
      <c r="N74" s="64">
        <f>SUMIFS(CF数据!N:N,CF数据!$A:$A,CF!$A74)</f>
        <v>5872</v>
      </c>
      <c r="O74" s="64">
        <f>SUMIFS(CF数据!O:O,CF数据!$A:$A,CF!$A74)</f>
        <v>1253</v>
      </c>
      <c r="P74" s="64">
        <f>SUMIFS(CF数据!P:P,CF数据!$A:$A,CF!$A74)</f>
        <v>0</v>
      </c>
      <c r="Q74" s="64">
        <f>SUMIFS(CF数据!Q:Q,CF数据!$A:$A,CF!$A74)</f>
        <v>0</v>
      </c>
      <c r="R74" s="73">
        <f t="shared" si="2"/>
        <v>0</v>
      </c>
      <c r="S74" s="73">
        <f t="shared" si="3"/>
        <v>0</v>
      </c>
    </row>
    <row r="75" spans="1:19" x14ac:dyDescent="0.25">
      <c r="A75" t="str">
        <f>CF数据!A74</f>
        <v>处置固定资产、无形资产和其他长期资产的损失(万元)</v>
      </c>
      <c r="B75" s="64">
        <f>SUMIFS(CF数据!B:B,CF数据!$A:$A,CF!$A75)</f>
        <v>-56875</v>
      </c>
      <c r="C75" s="64">
        <f>SUMIFS(CF数据!C:C,CF数据!$A:$A,CF!$A75)</f>
        <v>2805</v>
      </c>
      <c r="D75" s="64">
        <f>SUMIFS(CF数据!D:D,CF数据!$A:$A,CF!$A75)</f>
        <v>1827</v>
      </c>
      <c r="E75" s="64">
        <f>SUMIFS(CF数据!E:E,CF数据!$A:$A,CF!$A75)</f>
        <v>-5143</v>
      </c>
      <c r="F75" s="64">
        <f>SUMIFS(CF数据!F:F,CF数据!$A:$A,CF!$A75)</f>
        <v>19270</v>
      </c>
      <c r="G75" s="64">
        <f>SUMIFS(CF数据!G:G,CF数据!$A:$A,CF!$A75)</f>
        <v>271</v>
      </c>
      <c r="H75" s="64">
        <f>SUMIFS(CF数据!H:H,CF数据!$A:$A,CF!$A75)</f>
        <v>-7702</v>
      </c>
      <c r="I75" s="64">
        <f>SUMIFS(CF数据!I:I,CF数据!$A:$A,CF!$A75)</f>
        <v>2</v>
      </c>
      <c r="J75" s="64">
        <f>SUMIFS(CF数据!J:J,CF数据!$A:$A,CF!$A75)</f>
        <v>76</v>
      </c>
      <c r="K75" s="64">
        <f>SUMIFS(CF数据!K:K,CF数据!$A:$A,CF!$A75)</f>
        <v>-803</v>
      </c>
      <c r="L75" s="64">
        <f>SUMIFS(CF数据!L:L,CF数据!$A:$A,CF!$A75)</f>
        <v>169</v>
      </c>
      <c r="M75" s="64">
        <f>SUMIFS(CF数据!M:M,CF数据!$A:$A,CF!$A75)</f>
        <v>215</v>
      </c>
      <c r="N75" s="64">
        <f>SUMIFS(CF数据!N:N,CF数据!$A:$A,CF!$A75)</f>
        <v>-286</v>
      </c>
      <c r="O75" s="64">
        <f>SUMIFS(CF数据!O:O,CF数据!$A:$A,CF!$A75)</f>
        <v>-216</v>
      </c>
      <c r="P75" s="64">
        <f>SUMIFS(CF数据!P:P,CF数据!$A:$A,CF!$A75)</f>
        <v>0</v>
      </c>
      <c r="Q75" s="64">
        <f>SUMIFS(CF数据!Q:Q,CF数据!$A:$A,CF!$A75)</f>
        <v>0</v>
      </c>
      <c r="R75" s="73">
        <f t="shared" si="2"/>
        <v>-21.276292335115865</v>
      </c>
      <c r="S75" s="73">
        <f t="shared" si="3"/>
        <v>0.53530377668308704</v>
      </c>
    </row>
    <row r="76" spans="1:19" x14ac:dyDescent="0.25">
      <c r="A76" t="str">
        <f>CF数据!A75</f>
        <v>固定资产报废损失(万元)</v>
      </c>
      <c r="B76" s="64">
        <f>SUMIFS(CF数据!B:B,CF数据!$A:$A,CF!$A76)</f>
        <v>9073</v>
      </c>
      <c r="C76" s="64">
        <f>SUMIFS(CF数据!C:C,CF数据!$A:$A,CF!$A76)</f>
        <v>4434</v>
      </c>
      <c r="D76" s="64">
        <f>SUMIFS(CF数据!D:D,CF数据!$A:$A,CF!$A76)</f>
        <v>0</v>
      </c>
      <c r="E76" s="64">
        <f>SUMIFS(CF数据!E:E,CF数据!$A:$A,CF!$A76)</f>
        <v>0</v>
      </c>
      <c r="F76" s="64">
        <f>SUMIFS(CF数据!F:F,CF数据!$A:$A,CF!$A76)</f>
        <v>0</v>
      </c>
      <c r="G76" s="64">
        <f>SUMIFS(CF数据!G:G,CF数据!$A:$A,CF!$A76)</f>
        <v>0</v>
      </c>
      <c r="H76" s="64">
        <f>SUMIFS(CF数据!H:H,CF数据!$A:$A,CF!$A76)</f>
        <v>0</v>
      </c>
      <c r="I76" s="64">
        <f>SUMIFS(CF数据!I:I,CF数据!$A:$A,CF!$A76)</f>
        <v>0</v>
      </c>
      <c r="J76" s="64">
        <f>SUMIFS(CF数据!J:J,CF数据!$A:$A,CF!$A76)</f>
        <v>0</v>
      </c>
      <c r="K76" s="64">
        <f>SUMIFS(CF数据!K:K,CF数据!$A:$A,CF!$A76)</f>
        <v>0</v>
      </c>
      <c r="L76" s="64">
        <f>SUMIFS(CF数据!L:L,CF数据!$A:$A,CF!$A76)</f>
        <v>0</v>
      </c>
      <c r="M76" s="64">
        <f>SUMIFS(CF数据!M:M,CF数据!$A:$A,CF!$A76)</f>
        <v>0</v>
      </c>
      <c r="N76" s="64">
        <f>SUMIFS(CF数据!N:N,CF数据!$A:$A,CF!$A76)</f>
        <v>0</v>
      </c>
      <c r="O76" s="64">
        <f>SUMIFS(CF数据!O:O,CF数据!$A:$A,CF!$A76)</f>
        <v>0</v>
      </c>
      <c r="P76" s="64">
        <f>SUMIFS(CF数据!P:P,CF数据!$A:$A,CF!$A76)</f>
        <v>0</v>
      </c>
      <c r="Q76" s="64">
        <f>SUMIFS(CF数据!Q:Q,CF数据!$A:$A,CF!$A76)</f>
        <v>0</v>
      </c>
      <c r="R76" s="73">
        <f t="shared" si="2"/>
        <v>1.0462336490753272</v>
      </c>
      <c r="S76" s="73">
        <f t="shared" si="3"/>
        <v>0</v>
      </c>
    </row>
    <row r="77" spans="1:19" x14ac:dyDescent="0.25">
      <c r="A77" t="str">
        <f>CF数据!A76</f>
        <v>公允价值变动损失(万元)</v>
      </c>
      <c r="B77" s="64">
        <f>SUMIFS(CF数据!B:B,CF数据!$A:$A,CF!$A77)</f>
        <v>-28965</v>
      </c>
      <c r="C77" s="64">
        <f>SUMIFS(CF数据!C:C,CF数据!$A:$A,CF!$A77)</f>
        <v>36168</v>
      </c>
      <c r="D77" s="64">
        <f>SUMIFS(CF数据!D:D,CF数据!$A:$A,CF!$A77)</f>
        <v>-40268</v>
      </c>
      <c r="E77" s="64">
        <f>SUMIFS(CF数据!E:E,CF数据!$A:$A,CF!$A77)</f>
        <v>56337</v>
      </c>
      <c r="F77" s="64">
        <f>SUMIFS(CF数据!F:F,CF数据!$A:$A,CF!$A77)</f>
        <v>-28236</v>
      </c>
      <c r="G77" s="64">
        <f>SUMIFS(CF数据!G:G,CF数据!$A:$A,CF!$A77)</f>
        <v>1528</v>
      </c>
      <c r="H77" s="64">
        <f>SUMIFS(CF数据!H:H,CF数据!$A:$A,CF!$A77)</f>
        <v>-14315</v>
      </c>
      <c r="I77" s="64">
        <f>SUMIFS(CF数据!I:I,CF数据!$A:$A,CF!$A77)</f>
        <v>13936</v>
      </c>
      <c r="J77" s="64">
        <f>SUMIFS(CF数据!J:J,CF数据!$A:$A,CF!$A77)</f>
        <v>6866</v>
      </c>
      <c r="K77" s="64">
        <f>SUMIFS(CF数据!K:K,CF数据!$A:$A,CF!$A77)</f>
        <v>-5035</v>
      </c>
      <c r="L77" s="64">
        <f>SUMIFS(CF数据!L:L,CF数据!$A:$A,CF!$A77)</f>
        <v>-4515</v>
      </c>
      <c r="M77" s="64">
        <f>SUMIFS(CF数据!M:M,CF数据!$A:$A,CF!$A77)</f>
        <v>18403</v>
      </c>
      <c r="N77" s="64">
        <f>SUMIFS(CF数据!N:N,CF数据!$A:$A,CF!$A77)</f>
        <v>-9950</v>
      </c>
      <c r="O77" s="64">
        <f>SUMIFS(CF数据!O:O,CF数据!$A:$A,CF!$A77)</f>
        <v>-3283</v>
      </c>
      <c r="P77" s="64">
        <f>SUMIFS(CF数据!P:P,CF数据!$A:$A,CF!$A77)</f>
        <v>0</v>
      </c>
      <c r="Q77" s="64">
        <f>SUMIFS(CF数据!Q:Q,CF数据!$A:$A,CF!$A77)</f>
        <v>0</v>
      </c>
      <c r="R77" s="73">
        <f t="shared" si="2"/>
        <v>-1.8008460517584606</v>
      </c>
      <c r="S77" s="73">
        <f t="shared" si="3"/>
        <v>-1.8981821793980331</v>
      </c>
    </row>
    <row r="78" spans="1:19" x14ac:dyDescent="0.25">
      <c r="A78" t="str">
        <f>CF数据!A77</f>
        <v>递延收益增加(减：减少)(万元)</v>
      </c>
      <c r="B78" s="64">
        <f>SUMIFS(CF数据!B:B,CF数据!$A:$A,CF!$A78)</f>
        <v>0</v>
      </c>
      <c r="C78" s="64">
        <f>SUMIFS(CF数据!C:C,CF数据!$A:$A,CF!$A78)</f>
        <v>0</v>
      </c>
      <c r="D78" s="64">
        <f>SUMIFS(CF数据!D:D,CF数据!$A:$A,CF!$A78)</f>
        <v>0</v>
      </c>
      <c r="E78" s="64">
        <f>SUMIFS(CF数据!E:E,CF数据!$A:$A,CF!$A78)</f>
        <v>0</v>
      </c>
      <c r="F78" s="64">
        <f>SUMIFS(CF数据!F:F,CF数据!$A:$A,CF!$A78)</f>
        <v>0</v>
      </c>
      <c r="G78" s="64">
        <f>SUMIFS(CF数据!G:G,CF数据!$A:$A,CF!$A78)</f>
        <v>0</v>
      </c>
      <c r="H78" s="64">
        <f>SUMIFS(CF数据!H:H,CF数据!$A:$A,CF!$A78)</f>
        <v>0</v>
      </c>
      <c r="I78" s="64">
        <f>SUMIFS(CF数据!I:I,CF数据!$A:$A,CF!$A78)</f>
        <v>0</v>
      </c>
      <c r="J78" s="64">
        <f>SUMIFS(CF数据!J:J,CF数据!$A:$A,CF!$A78)</f>
        <v>0</v>
      </c>
      <c r="K78" s="64">
        <f>SUMIFS(CF数据!K:K,CF数据!$A:$A,CF!$A78)</f>
        <v>0</v>
      </c>
      <c r="L78" s="64">
        <f>SUMIFS(CF数据!L:L,CF数据!$A:$A,CF!$A78)</f>
        <v>0</v>
      </c>
      <c r="M78" s="64">
        <f>SUMIFS(CF数据!M:M,CF数据!$A:$A,CF!$A78)</f>
        <v>0</v>
      </c>
      <c r="N78" s="64">
        <f>SUMIFS(CF数据!N:N,CF数据!$A:$A,CF!$A78)</f>
        <v>0</v>
      </c>
      <c r="O78" s="64">
        <f>SUMIFS(CF数据!O:O,CF数据!$A:$A,CF!$A78)</f>
        <v>0</v>
      </c>
      <c r="P78" s="64">
        <f>SUMIFS(CF数据!P:P,CF数据!$A:$A,CF!$A78)</f>
        <v>0</v>
      </c>
      <c r="Q78" s="64">
        <f>SUMIFS(CF数据!Q:Q,CF数据!$A:$A,CF!$A78)</f>
        <v>0</v>
      </c>
      <c r="R78" s="73">
        <f t="shared" si="2"/>
        <v>0</v>
      </c>
      <c r="S78" s="73">
        <f t="shared" si="3"/>
        <v>0</v>
      </c>
    </row>
    <row r="79" spans="1:19" x14ac:dyDescent="0.25">
      <c r="A79" t="str">
        <f>CF数据!A78</f>
        <v>预计负债(万元)</v>
      </c>
      <c r="B79" s="64">
        <f>SUMIFS(CF数据!B:B,CF数据!$A:$A,CF!$A79)</f>
        <v>0</v>
      </c>
      <c r="C79" s="64">
        <f>SUMIFS(CF数据!C:C,CF数据!$A:$A,CF!$A79)</f>
        <v>0</v>
      </c>
      <c r="D79" s="64">
        <f>SUMIFS(CF数据!D:D,CF数据!$A:$A,CF!$A79)</f>
        <v>0</v>
      </c>
      <c r="E79" s="64">
        <f>SUMIFS(CF数据!E:E,CF数据!$A:$A,CF!$A79)</f>
        <v>0</v>
      </c>
      <c r="F79" s="64">
        <f>SUMIFS(CF数据!F:F,CF数据!$A:$A,CF!$A79)</f>
        <v>0</v>
      </c>
      <c r="G79" s="64">
        <f>SUMIFS(CF数据!G:G,CF数据!$A:$A,CF!$A79)</f>
        <v>0</v>
      </c>
      <c r="H79" s="64">
        <f>SUMIFS(CF数据!H:H,CF数据!$A:$A,CF!$A79)</f>
        <v>0</v>
      </c>
      <c r="I79" s="64">
        <f>SUMIFS(CF数据!I:I,CF数据!$A:$A,CF!$A79)</f>
        <v>0</v>
      </c>
      <c r="J79" s="64">
        <f>SUMIFS(CF数据!J:J,CF数据!$A:$A,CF!$A79)</f>
        <v>0</v>
      </c>
      <c r="K79" s="64">
        <f>SUMIFS(CF数据!K:K,CF数据!$A:$A,CF!$A79)</f>
        <v>0</v>
      </c>
      <c r="L79" s="64">
        <f>SUMIFS(CF数据!L:L,CF数据!$A:$A,CF!$A79)</f>
        <v>0</v>
      </c>
      <c r="M79" s="64">
        <f>SUMIFS(CF数据!M:M,CF数据!$A:$A,CF!$A79)</f>
        <v>0</v>
      </c>
      <c r="N79" s="64">
        <f>SUMIFS(CF数据!N:N,CF数据!$A:$A,CF!$A79)</f>
        <v>0</v>
      </c>
      <c r="O79" s="64">
        <f>SUMIFS(CF数据!O:O,CF数据!$A:$A,CF!$A79)</f>
        <v>0</v>
      </c>
      <c r="P79" s="64">
        <f>SUMIFS(CF数据!P:P,CF数据!$A:$A,CF!$A79)</f>
        <v>0</v>
      </c>
      <c r="Q79" s="64">
        <f>SUMIFS(CF数据!Q:Q,CF数据!$A:$A,CF!$A79)</f>
        <v>0</v>
      </c>
      <c r="R79" s="73">
        <f t="shared" si="2"/>
        <v>0</v>
      </c>
      <c r="S79" s="73">
        <f t="shared" si="3"/>
        <v>0</v>
      </c>
    </row>
    <row r="80" spans="1:19" x14ac:dyDescent="0.25">
      <c r="A80" t="str">
        <f>CF数据!A79</f>
        <v>财务费用(万元)</v>
      </c>
      <c r="B80" s="64">
        <f>SUMIFS(CF数据!B:B,CF数据!$A:$A,CF!$A80)</f>
        <v>11991</v>
      </c>
      <c r="C80" s="64">
        <f>SUMIFS(CF数据!C:C,CF数据!$A:$A,CF!$A80)</f>
        <v>38795</v>
      </c>
      <c r="D80" s="64">
        <f>SUMIFS(CF数据!D:D,CF数据!$A:$A,CF!$A80)</f>
        <v>127085</v>
      </c>
      <c r="E80" s="64">
        <f>SUMIFS(CF数据!E:E,CF数据!$A:$A,CF!$A80)</f>
        <v>189191</v>
      </c>
      <c r="F80" s="64">
        <f>SUMIFS(CF数据!F:F,CF数据!$A:$A,CF!$A80)</f>
        <v>134592</v>
      </c>
      <c r="G80" s="64">
        <f>SUMIFS(CF数据!G:G,CF数据!$A:$A,CF!$A80)</f>
        <v>90236</v>
      </c>
      <c r="H80" s="64">
        <f>SUMIFS(CF数据!H:H,CF数据!$A:$A,CF!$A80)</f>
        <v>67968</v>
      </c>
      <c r="I80" s="64">
        <f>SUMIFS(CF数据!I:I,CF数据!$A:$A,CF!$A80)</f>
        <v>121115</v>
      </c>
      <c r="J80" s="64">
        <f>SUMIFS(CF数据!J:J,CF数据!$A:$A,CF!$A80)</f>
        <v>57556</v>
      </c>
      <c r="K80" s="64">
        <f>SUMIFS(CF数据!K:K,CF数据!$A:$A,CF!$A80)</f>
        <v>19978</v>
      </c>
      <c r="L80" s="64">
        <f>SUMIFS(CF数据!L:L,CF数据!$A:$A,CF!$A80)</f>
        <v>9430</v>
      </c>
      <c r="M80" s="64">
        <f>SUMIFS(CF数据!M:M,CF数据!$A:$A,CF!$A80)</f>
        <v>-968</v>
      </c>
      <c r="N80" s="64">
        <f>SUMIFS(CF数据!N:N,CF数据!$A:$A,CF!$A80)</f>
        <v>11913</v>
      </c>
      <c r="O80" s="64">
        <f>SUMIFS(CF数据!O:O,CF数据!$A:$A,CF!$A80)</f>
        <v>10227</v>
      </c>
      <c r="P80" s="64">
        <f>SUMIFS(CF数据!P:P,CF数据!$A:$A,CF!$A80)</f>
        <v>0</v>
      </c>
      <c r="Q80" s="64">
        <f>SUMIFS(CF数据!Q:Q,CF数据!$A:$A,CF!$A80)</f>
        <v>0</v>
      </c>
      <c r="R80" s="73">
        <f t="shared" si="2"/>
        <v>-0.69091377754865313</v>
      </c>
      <c r="S80" s="73">
        <f t="shared" si="3"/>
        <v>-0.69473187236888689</v>
      </c>
    </row>
    <row r="81" spans="1:19" x14ac:dyDescent="0.25">
      <c r="A81" t="str">
        <f>CF数据!A80</f>
        <v>投资损失(万元)</v>
      </c>
      <c r="B81" s="64">
        <f>SUMIFS(CF数据!B:B,CF数据!$A:$A,CF!$A81)</f>
        <v>-38285</v>
      </c>
      <c r="C81" s="64">
        <f>SUMIFS(CF数据!C:C,CF数据!$A:$A,CF!$A81)</f>
        <v>-63746</v>
      </c>
      <c r="D81" s="64">
        <f>SUMIFS(CF数据!D:D,CF数据!$A:$A,CF!$A81)</f>
        <v>1929</v>
      </c>
      <c r="E81" s="64">
        <f>SUMIFS(CF数据!E:E,CF数据!$A:$A,CF!$A81)</f>
        <v>-218147</v>
      </c>
      <c r="F81" s="64">
        <f>SUMIFS(CF数据!F:F,CF数据!$A:$A,CF!$A81)</f>
        <v>2697</v>
      </c>
      <c r="G81" s="64">
        <f>SUMIFS(CF数据!G:G,CF数据!$A:$A,CF!$A81)</f>
        <v>-40717</v>
      </c>
      <c r="H81" s="64">
        <f>SUMIFS(CF数据!H:H,CF数据!$A:$A,CF!$A81)</f>
        <v>19762</v>
      </c>
      <c r="I81" s="64">
        <f>SUMIFS(CF数据!I:I,CF数据!$A:$A,CF!$A81)</f>
        <v>-16137</v>
      </c>
      <c r="J81" s="64">
        <f>SUMIFS(CF数据!J:J,CF数据!$A:$A,CF!$A81)</f>
        <v>-14123</v>
      </c>
      <c r="K81" s="64">
        <f>SUMIFS(CF数据!K:K,CF数据!$A:$A,CF!$A81)</f>
        <v>-4229</v>
      </c>
      <c r="L81" s="64">
        <f>SUMIFS(CF数据!L:L,CF数据!$A:$A,CF!$A81)</f>
        <v>7287</v>
      </c>
      <c r="M81" s="64">
        <f>SUMIFS(CF数据!M:M,CF数据!$A:$A,CF!$A81)</f>
        <v>6352</v>
      </c>
      <c r="N81" s="64">
        <f>SUMIFS(CF数据!N:N,CF数据!$A:$A,CF!$A81)</f>
        <v>-39874</v>
      </c>
      <c r="O81" s="64">
        <f>SUMIFS(CF数据!O:O,CF数据!$A:$A,CF!$A81)</f>
        <v>-8778</v>
      </c>
      <c r="P81" s="64">
        <f>SUMIFS(CF数据!P:P,CF数据!$A:$A,CF!$A81)</f>
        <v>0</v>
      </c>
      <c r="Q81" s="64">
        <f>SUMIFS(CF数据!Q:Q,CF数据!$A:$A,CF!$A81)</f>
        <v>0</v>
      </c>
      <c r="R81" s="73">
        <f t="shared" si="2"/>
        <v>-0.39941329652056601</v>
      </c>
      <c r="S81" s="73">
        <f t="shared" si="3"/>
        <v>-34.046137895282527</v>
      </c>
    </row>
    <row r="82" spans="1:19" x14ac:dyDescent="0.25">
      <c r="A82" t="str">
        <f>CF数据!A81</f>
        <v>递延所得税资产减少(万元)</v>
      </c>
      <c r="B82" s="64">
        <f>SUMIFS(CF数据!B:B,CF数据!$A:$A,CF!$A82)</f>
        <v>731</v>
      </c>
      <c r="C82" s="64">
        <f>SUMIFS(CF数据!C:C,CF数据!$A:$A,CF!$A82)</f>
        <v>29086</v>
      </c>
      <c r="D82" s="64">
        <f>SUMIFS(CF数据!D:D,CF数据!$A:$A,CF!$A82)</f>
        <v>-26200</v>
      </c>
      <c r="E82" s="64">
        <f>SUMIFS(CF数据!E:E,CF数据!$A:$A,CF!$A82)</f>
        <v>-32323</v>
      </c>
      <c r="F82" s="64">
        <f>SUMIFS(CF数据!F:F,CF数据!$A:$A,CF!$A82)</f>
        <v>-49298</v>
      </c>
      <c r="G82" s="64">
        <f>SUMIFS(CF数据!G:G,CF数据!$A:$A,CF!$A82)</f>
        <v>3070</v>
      </c>
      <c r="H82" s="64">
        <f>SUMIFS(CF数据!H:H,CF数据!$A:$A,CF!$A82)</f>
        <v>-28274</v>
      </c>
      <c r="I82" s="64">
        <f>SUMIFS(CF数据!I:I,CF数据!$A:$A,CF!$A82)</f>
        <v>18352</v>
      </c>
      <c r="J82" s="64">
        <f>SUMIFS(CF数据!J:J,CF数据!$A:$A,CF!$A82)</f>
        <v>-3214</v>
      </c>
      <c r="K82" s="64">
        <f>SUMIFS(CF数据!K:K,CF数据!$A:$A,CF!$A82)</f>
        <v>14337</v>
      </c>
      <c r="L82" s="64">
        <f>SUMIFS(CF数据!L:L,CF数据!$A:$A,CF!$A82)</f>
        <v>-1513</v>
      </c>
      <c r="M82" s="64">
        <f>SUMIFS(CF数据!M:M,CF数据!$A:$A,CF!$A82)</f>
        <v>-5200</v>
      </c>
      <c r="N82" s="64">
        <f>SUMIFS(CF数据!N:N,CF数据!$A:$A,CF!$A82)</f>
        <v>-16632</v>
      </c>
      <c r="O82" s="64">
        <f>SUMIFS(CF数据!O:O,CF数据!$A:$A,CF!$A82)</f>
        <v>-446</v>
      </c>
      <c r="P82" s="64">
        <f>SUMIFS(CF数据!P:P,CF数据!$A:$A,CF!$A82)</f>
        <v>0</v>
      </c>
      <c r="Q82" s="64">
        <f>SUMIFS(CF数据!Q:Q,CF数据!$A:$A,CF!$A82)</f>
        <v>0</v>
      </c>
      <c r="R82" s="73">
        <f t="shared" si="2"/>
        <v>-0.97486763391322284</v>
      </c>
      <c r="S82" s="73">
        <f t="shared" si="3"/>
        <v>-2.1101526717557251</v>
      </c>
    </row>
    <row r="83" spans="1:19" x14ac:dyDescent="0.25">
      <c r="A83" t="str">
        <f>CF数据!A82</f>
        <v>递延所得税负债增加(万元)</v>
      </c>
      <c r="B83" s="64">
        <f>SUMIFS(CF数据!B:B,CF数据!$A:$A,CF!$A83)</f>
        <v>-5958</v>
      </c>
      <c r="C83" s="64">
        <f>SUMIFS(CF数据!C:C,CF数据!$A:$A,CF!$A83)</f>
        <v>-8968</v>
      </c>
      <c r="D83" s="64">
        <f>SUMIFS(CF数据!D:D,CF数据!$A:$A,CF!$A83)</f>
        <v>42747</v>
      </c>
      <c r="E83" s="64">
        <f>SUMIFS(CF数据!E:E,CF数据!$A:$A,CF!$A83)</f>
        <v>-5580</v>
      </c>
      <c r="F83" s="64">
        <f>SUMIFS(CF数据!F:F,CF数据!$A:$A,CF!$A83)</f>
        <v>-1880</v>
      </c>
      <c r="G83" s="64">
        <f>SUMIFS(CF数据!G:G,CF数据!$A:$A,CF!$A83)</f>
        <v>5364</v>
      </c>
      <c r="H83" s="64">
        <f>SUMIFS(CF数据!H:H,CF数据!$A:$A,CF!$A83)</f>
        <v>-21123</v>
      </c>
      <c r="I83" s="64">
        <f>SUMIFS(CF数据!I:I,CF数据!$A:$A,CF!$A83)</f>
        <v>-19646</v>
      </c>
      <c r="J83" s="64">
        <f>SUMIFS(CF数据!J:J,CF数据!$A:$A,CF!$A83)</f>
        <v>750</v>
      </c>
      <c r="K83" s="64">
        <f>SUMIFS(CF数据!K:K,CF数据!$A:$A,CF!$A83)</f>
        <v>-15214</v>
      </c>
      <c r="L83" s="64">
        <f>SUMIFS(CF数据!L:L,CF数据!$A:$A,CF!$A83)</f>
        <v>610</v>
      </c>
      <c r="M83" s="64">
        <f>SUMIFS(CF数据!M:M,CF数据!$A:$A,CF!$A83)</f>
        <v>-1875</v>
      </c>
      <c r="N83" s="64">
        <f>SUMIFS(CF数据!N:N,CF数据!$A:$A,CF!$A83)</f>
        <v>18060</v>
      </c>
      <c r="O83" s="64">
        <f>SUMIFS(CF数据!O:O,CF数据!$A:$A,CF!$A83)</f>
        <v>335</v>
      </c>
      <c r="P83" s="64">
        <f>SUMIFS(CF数据!P:P,CF数据!$A:$A,CF!$A83)</f>
        <v>0</v>
      </c>
      <c r="Q83" s="64">
        <f>SUMIFS(CF数据!Q:Q,CF数据!$A:$A,CF!$A83)</f>
        <v>0</v>
      </c>
      <c r="R83" s="73">
        <f t="shared" si="2"/>
        <v>-0.33563782337198933</v>
      </c>
      <c r="S83" s="73">
        <f t="shared" si="3"/>
        <v>-1.2097925000584837</v>
      </c>
    </row>
    <row r="84" spans="1:19" x14ac:dyDescent="0.25">
      <c r="A84" t="str">
        <f>CF数据!A83</f>
        <v>存货的减少(万元)</v>
      </c>
      <c r="B84" s="64">
        <f>SUMIFS(CF数据!B:B,CF数据!$A:$A,CF!$A84)</f>
        <v>-273864</v>
      </c>
      <c r="C84" s="64">
        <f>SUMIFS(CF数据!C:C,CF数据!$A:$A,CF!$A84)</f>
        <v>-416662</v>
      </c>
      <c r="D84" s="64">
        <f>SUMIFS(CF数据!D:D,CF数据!$A:$A,CF!$A84)</f>
        <v>-156547</v>
      </c>
      <c r="E84" s="64">
        <f>SUMIFS(CF数据!E:E,CF数据!$A:$A,CF!$A84)</f>
        <v>-66300</v>
      </c>
      <c r="F84" s="64">
        <f>SUMIFS(CF数据!F:F,CF数据!$A:$A,CF!$A84)</f>
        <v>180681</v>
      </c>
      <c r="G84" s="64">
        <f>SUMIFS(CF数据!G:G,CF数据!$A:$A,CF!$A84)</f>
        <v>211922</v>
      </c>
      <c r="H84" s="64">
        <f>SUMIFS(CF数据!H:H,CF数据!$A:$A,CF!$A84)</f>
        <v>110846</v>
      </c>
      <c r="I84" s="64">
        <f>SUMIFS(CF数据!I:I,CF数据!$A:$A,CF!$A84)</f>
        <v>-52629</v>
      </c>
      <c r="J84" s="64">
        <f>SUMIFS(CF数据!J:J,CF数据!$A:$A,CF!$A84)</f>
        <v>-257010</v>
      </c>
      <c r="K84" s="64">
        <f>SUMIFS(CF数据!K:K,CF数据!$A:$A,CF!$A84)</f>
        <v>-172467</v>
      </c>
      <c r="L84" s="64">
        <f>SUMIFS(CF数据!L:L,CF数据!$A:$A,CF!$A84)</f>
        <v>-6192</v>
      </c>
      <c r="M84" s="64">
        <f>SUMIFS(CF数据!M:M,CF数据!$A:$A,CF!$A84)</f>
        <v>-67373</v>
      </c>
      <c r="N84" s="64">
        <f>SUMIFS(CF数据!N:N,CF数据!$A:$A,CF!$A84)</f>
        <v>-80868</v>
      </c>
      <c r="O84" s="64">
        <f>SUMIFS(CF数据!O:O,CF数据!$A:$A,CF!$A84)</f>
        <v>-40707</v>
      </c>
      <c r="P84" s="64">
        <f>SUMIFS(CF数据!P:P,CF数据!$A:$A,CF!$A84)</f>
        <v>0</v>
      </c>
      <c r="Q84" s="64">
        <f>SUMIFS(CF数据!Q:Q,CF数据!$A:$A,CF!$A84)</f>
        <v>0</v>
      </c>
      <c r="R84" s="73">
        <f t="shared" si="2"/>
        <v>-0.34271903845323071</v>
      </c>
      <c r="S84" s="73">
        <f t="shared" si="3"/>
        <v>1.6615776731588596</v>
      </c>
    </row>
    <row r="85" spans="1:19" x14ac:dyDescent="0.25">
      <c r="A85" t="str">
        <f>CF数据!A84</f>
        <v>经营性应收项目的减少(万元)</v>
      </c>
      <c r="B85" s="64">
        <f>SUMIFS(CF数据!B:B,CF数据!$A:$A,CF!$A85)</f>
        <v>-301857</v>
      </c>
      <c r="C85" s="64">
        <f>SUMIFS(CF数据!C:C,CF数据!$A:$A,CF!$A85)</f>
        <v>-244817</v>
      </c>
      <c r="D85" s="64">
        <f>SUMIFS(CF数据!D:D,CF数据!$A:$A,CF!$A85)</f>
        <v>-121313</v>
      </c>
      <c r="E85" s="64">
        <f>SUMIFS(CF数据!E:E,CF数据!$A:$A,CF!$A85)</f>
        <v>-129416</v>
      </c>
      <c r="F85" s="64">
        <f>SUMIFS(CF数据!F:F,CF数据!$A:$A,CF!$A85)</f>
        <v>-25603</v>
      </c>
      <c r="G85" s="64">
        <f>SUMIFS(CF数据!G:G,CF数据!$A:$A,CF!$A85)</f>
        <v>-280327</v>
      </c>
      <c r="H85" s="64">
        <f>SUMIFS(CF数据!H:H,CF数据!$A:$A,CF!$A85)</f>
        <v>-356959</v>
      </c>
      <c r="I85" s="64">
        <f>SUMIFS(CF数据!I:I,CF数据!$A:$A,CF!$A85)</f>
        <v>-306081</v>
      </c>
      <c r="J85" s="64">
        <f>SUMIFS(CF数据!J:J,CF数据!$A:$A,CF!$A85)</f>
        <v>-676719</v>
      </c>
      <c r="K85" s="64">
        <f>SUMIFS(CF数据!K:K,CF数据!$A:$A,CF!$A85)</f>
        <v>-322460</v>
      </c>
      <c r="L85" s="64">
        <f>SUMIFS(CF数据!L:L,CF数据!$A:$A,CF!$A85)</f>
        <v>-83281</v>
      </c>
      <c r="M85" s="64">
        <f>SUMIFS(CF数据!M:M,CF数据!$A:$A,CF!$A85)</f>
        <v>-130447</v>
      </c>
      <c r="N85" s="64">
        <f>SUMIFS(CF数据!N:N,CF数据!$A:$A,CF!$A85)</f>
        <v>-168161</v>
      </c>
      <c r="O85" s="64">
        <f>SUMIFS(CF数据!O:O,CF数据!$A:$A,CF!$A85)</f>
        <v>-50192</v>
      </c>
      <c r="P85" s="64">
        <f>SUMIFS(CF数据!P:P,CF数据!$A:$A,CF!$A85)</f>
        <v>0</v>
      </c>
      <c r="Q85" s="64">
        <f>SUMIFS(CF数据!Q:Q,CF数据!$A:$A,CF!$A85)</f>
        <v>0</v>
      </c>
      <c r="R85" s="73">
        <f t="shared" si="2"/>
        <v>0.23299035606187468</v>
      </c>
      <c r="S85" s="73">
        <f t="shared" si="3"/>
        <v>1.0180607189666402</v>
      </c>
    </row>
    <row r="86" spans="1:19" x14ac:dyDescent="0.25">
      <c r="A86" t="str">
        <f>CF数据!A85</f>
        <v>经营性应付项目的增加(万元)</v>
      </c>
      <c r="B86" s="64">
        <f>SUMIFS(CF数据!B:B,CF数据!$A:$A,CF!$A86)</f>
        <v>628860</v>
      </c>
      <c r="C86" s="64">
        <f>SUMIFS(CF数据!C:C,CF数据!$A:$A,CF!$A86)</f>
        <v>840275</v>
      </c>
      <c r="D86" s="64">
        <f>SUMIFS(CF数据!D:D,CF数据!$A:$A,CF!$A86)</f>
        <v>490424</v>
      </c>
      <c r="E86" s="64">
        <f>SUMIFS(CF数据!E:E,CF数据!$A:$A,CF!$A86)</f>
        <v>289813</v>
      </c>
      <c r="F86" s="64">
        <f>SUMIFS(CF数据!F:F,CF数据!$A:$A,CF!$A86)</f>
        <v>-253797</v>
      </c>
      <c r="G86" s="64">
        <f>SUMIFS(CF数据!G:G,CF数据!$A:$A,CF!$A86)</f>
        <v>-163494</v>
      </c>
      <c r="H86" s="64">
        <f>SUMIFS(CF数据!H:H,CF数据!$A:$A,CF!$A86)</f>
        <v>858</v>
      </c>
      <c r="I86" s="64">
        <f>SUMIFS(CF数据!I:I,CF数据!$A:$A,CF!$A86)</f>
        <v>139484</v>
      </c>
      <c r="J86" s="64">
        <f>SUMIFS(CF数据!J:J,CF数据!$A:$A,CF!$A86)</f>
        <v>76342</v>
      </c>
      <c r="K86" s="64">
        <f>SUMIFS(CF数据!K:K,CF数据!$A:$A,CF!$A86)</f>
        <v>479332</v>
      </c>
      <c r="L86" s="64">
        <f>SUMIFS(CF数据!L:L,CF数据!$A:$A,CF!$A86)</f>
        <v>52204</v>
      </c>
      <c r="M86" s="64">
        <f>SUMIFS(CF数据!M:M,CF数据!$A:$A,CF!$A86)</f>
        <v>68663</v>
      </c>
      <c r="N86" s="64">
        <f>SUMIFS(CF数据!N:N,CF数据!$A:$A,CF!$A86)</f>
        <v>129419</v>
      </c>
      <c r="O86" s="64">
        <f>SUMIFS(CF数据!O:O,CF数据!$A:$A,CF!$A86)</f>
        <v>53885</v>
      </c>
      <c r="P86" s="64">
        <f>SUMIFS(CF数据!P:P,CF数据!$A:$A,CF!$A86)</f>
        <v>0</v>
      </c>
      <c r="Q86" s="64">
        <f>SUMIFS(CF数据!Q:Q,CF数据!$A:$A,CF!$A86)</f>
        <v>0</v>
      </c>
      <c r="R86" s="73">
        <f t="shared" si="2"/>
        <v>-0.25160215405670761</v>
      </c>
      <c r="S86" s="73">
        <f t="shared" si="3"/>
        <v>0.71336435410991306</v>
      </c>
    </row>
    <row r="87" spans="1:19" x14ac:dyDescent="0.25">
      <c r="A87" t="str">
        <f>CF数据!A86</f>
        <v>已完工尚未结算款的减少(减:增加)(万元)</v>
      </c>
      <c r="B87" s="64">
        <f>SUMIFS(CF数据!B:B,CF数据!$A:$A,CF!$A87)</f>
        <v>0</v>
      </c>
      <c r="C87" s="64">
        <f>SUMIFS(CF数据!C:C,CF数据!$A:$A,CF!$A87)</f>
        <v>0</v>
      </c>
      <c r="D87" s="64">
        <f>SUMIFS(CF数据!D:D,CF数据!$A:$A,CF!$A87)</f>
        <v>0</v>
      </c>
      <c r="E87" s="64">
        <f>SUMIFS(CF数据!E:E,CF数据!$A:$A,CF!$A87)</f>
        <v>0</v>
      </c>
      <c r="F87" s="64">
        <f>SUMIFS(CF数据!F:F,CF数据!$A:$A,CF!$A87)</f>
        <v>0</v>
      </c>
      <c r="G87" s="64">
        <f>SUMIFS(CF数据!G:G,CF数据!$A:$A,CF!$A87)</f>
        <v>0</v>
      </c>
      <c r="H87" s="64">
        <f>SUMIFS(CF数据!H:H,CF数据!$A:$A,CF!$A87)</f>
        <v>0</v>
      </c>
      <c r="I87" s="64">
        <f>SUMIFS(CF数据!I:I,CF数据!$A:$A,CF!$A87)</f>
        <v>0</v>
      </c>
      <c r="J87" s="64">
        <f>SUMIFS(CF数据!J:J,CF数据!$A:$A,CF!$A87)</f>
        <v>0</v>
      </c>
      <c r="K87" s="64">
        <f>SUMIFS(CF数据!K:K,CF数据!$A:$A,CF!$A87)</f>
        <v>0</v>
      </c>
      <c r="L87" s="64">
        <f>SUMIFS(CF数据!L:L,CF数据!$A:$A,CF!$A87)</f>
        <v>0</v>
      </c>
      <c r="M87" s="64">
        <f>SUMIFS(CF数据!M:M,CF数据!$A:$A,CF!$A87)</f>
        <v>0</v>
      </c>
      <c r="N87" s="64">
        <f>SUMIFS(CF数据!N:N,CF数据!$A:$A,CF!$A87)</f>
        <v>0</v>
      </c>
      <c r="O87" s="64">
        <f>SUMIFS(CF数据!O:O,CF数据!$A:$A,CF!$A87)</f>
        <v>0</v>
      </c>
      <c r="P87" s="64">
        <f>SUMIFS(CF数据!P:P,CF数据!$A:$A,CF!$A87)</f>
        <v>0</v>
      </c>
      <c r="Q87" s="64">
        <f>SUMIFS(CF数据!Q:Q,CF数据!$A:$A,CF!$A87)</f>
        <v>0</v>
      </c>
      <c r="R87" s="73">
        <f t="shared" si="2"/>
        <v>0</v>
      </c>
      <c r="S87" s="73">
        <f t="shared" si="3"/>
        <v>0</v>
      </c>
    </row>
    <row r="88" spans="1:19" x14ac:dyDescent="0.25">
      <c r="A88" t="str">
        <f>CF数据!A87</f>
        <v>已结算尚未完工款的增加(减:减少)(万元)</v>
      </c>
      <c r="B88" s="64">
        <f>SUMIFS(CF数据!B:B,CF数据!$A:$A,CF!$A88)</f>
        <v>0</v>
      </c>
      <c r="C88" s="64">
        <f>SUMIFS(CF数据!C:C,CF数据!$A:$A,CF!$A88)</f>
        <v>0</v>
      </c>
      <c r="D88" s="64">
        <f>SUMIFS(CF数据!D:D,CF数据!$A:$A,CF!$A88)</f>
        <v>0</v>
      </c>
      <c r="E88" s="64">
        <f>SUMIFS(CF数据!E:E,CF数据!$A:$A,CF!$A88)</f>
        <v>0</v>
      </c>
      <c r="F88" s="64">
        <f>SUMIFS(CF数据!F:F,CF数据!$A:$A,CF!$A88)</f>
        <v>0</v>
      </c>
      <c r="G88" s="64">
        <f>SUMIFS(CF数据!G:G,CF数据!$A:$A,CF!$A88)</f>
        <v>0</v>
      </c>
      <c r="H88" s="64">
        <f>SUMIFS(CF数据!H:H,CF数据!$A:$A,CF!$A88)</f>
        <v>0</v>
      </c>
      <c r="I88" s="64">
        <f>SUMIFS(CF数据!I:I,CF数据!$A:$A,CF!$A88)</f>
        <v>0</v>
      </c>
      <c r="J88" s="64">
        <f>SUMIFS(CF数据!J:J,CF数据!$A:$A,CF!$A88)</f>
        <v>0</v>
      </c>
      <c r="K88" s="64">
        <f>SUMIFS(CF数据!K:K,CF数据!$A:$A,CF!$A88)</f>
        <v>0</v>
      </c>
      <c r="L88" s="64">
        <f>SUMIFS(CF数据!L:L,CF数据!$A:$A,CF!$A88)</f>
        <v>0</v>
      </c>
      <c r="M88" s="64">
        <f>SUMIFS(CF数据!M:M,CF数据!$A:$A,CF!$A88)</f>
        <v>0</v>
      </c>
      <c r="N88" s="64">
        <f>SUMIFS(CF数据!N:N,CF数据!$A:$A,CF!$A88)</f>
        <v>0</v>
      </c>
      <c r="O88" s="64">
        <f>SUMIFS(CF数据!O:O,CF数据!$A:$A,CF!$A88)</f>
        <v>0</v>
      </c>
      <c r="P88" s="64">
        <f>SUMIFS(CF数据!P:P,CF数据!$A:$A,CF!$A88)</f>
        <v>0</v>
      </c>
      <c r="Q88" s="64">
        <f>SUMIFS(CF数据!Q:Q,CF数据!$A:$A,CF!$A88)</f>
        <v>0</v>
      </c>
      <c r="R88" s="73">
        <f t="shared" si="2"/>
        <v>0</v>
      </c>
      <c r="S88" s="73">
        <f t="shared" si="3"/>
        <v>0</v>
      </c>
    </row>
    <row r="89" spans="1:19" x14ac:dyDescent="0.25">
      <c r="A89" t="str">
        <f>CF数据!A88</f>
        <v>其他(万元)</v>
      </c>
      <c r="B89" s="64">
        <f>SUMIFS(CF数据!B:B,CF数据!$A:$A,CF!$A89)</f>
        <v>5309</v>
      </c>
      <c r="C89" s="64">
        <f>SUMIFS(CF数据!C:C,CF数据!$A:$A,CF!$A89)</f>
        <v>12506</v>
      </c>
      <c r="D89" s="64">
        <f>SUMIFS(CF数据!D:D,CF数据!$A:$A,CF!$A89)</f>
        <v>32400</v>
      </c>
      <c r="E89" s="64">
        <f>SUMIFS(CF数据!E:E,CF数据!$A:$A,CF!$A89)</f>
        <v>0</v>
      </c>
      <c r="F89" s="64">
        <f>SUMIFS(CF数据!F:F,CF数据!$A:$A,CF!$A89)</f>
        <v>0</v>
      </c>
      <c r="G89" s="64">
        <f>SUMIFS(CF数据!G:G,CF数据!$A:$A,CF!$A89)</f>
        <v>-11444</v>
      </c>
      <c r="H89" s="64">
        <f>SUMIFS(CF数据!H:H,CF数据!$A:$A,CF!$A89)</f>
        <v>11520</v>
      </c>
      <c r="I89" s="64">
        <f>SUMIFS(CF数据!I:I,CF数据!$A:$A,CF!$A89)</f>
        <v>-35134</v>
      </c>
      <c r="J89" s="64">
        <f>SUMIFS(CF数据!J:J,CF数据!$A:$A,CF!$A89)</f>
        <v>0</v>
      </c>
      <c r="K89" s="64">
        <f>SUMIFS(CF数据!K:K,CF数据!$A:$A,CF!$A89)</f>
        <v>0</v>
      </c>
      <c r="L89" s="64">
        <f>SUMIFS(CF数据!L:L,CF数据!$A:$A,CF!$A89)</f>
        <v>0</v>
      </c>
      <c r="M89" s="64">
        <f>SUMIFS(CF数据!M:M,CF数据!$A:$A,CF!$A89)</f>
        <v>0</v>
      </c>
      <c r="N89" s="64">
        <f>SUMIFS(CF数据!N:N,CF数据!$A:$A,CF!$A89)</f>
        <v>0</v>
      </c>
      <c r="O89" s="64">
        <f>SUMIFS(CF数据!O:O,CF数据!$A:$A,CF!$A89)</f>
        <v>0</v>
      </c>
      <c r="P89" s="64">
        <f>SUMIFS(CF数据!P:P,CF数据!$A:$A,CF!$A89)</f>
        <v>0</v>
      </c>
      <c r="Q89" s="64">
        <f>SUMIFS(CF数据!Q:Q,CF数据!$A:$A,CF!$A89)</f>
        <v>0</v>
      </c>
      <c r="R89" s="73">
        <f t="shared" si="2"/>
        <v>-0.57548376779146015</v>
      </c>
      <c r="S89" s="73">
        <f t="shared" si="3"/>
        <v>-0.61401234567901231</v>
      </c>
    </row>
    <row r="90" spans="1:19" x14ac:dyDescent="0.25">
      <c r="A90" t="str">
        <f>CF数据!A89</f>
        <v>经营活动产生现金流量净额(万元)</v>
      </c>
      <c r="B90" s="64">
        <f>SUMIFS(CF数据!B:B,CF数据!$A:$A,CF!$A90)</f>
        <v>1326538</v>
      </c>
      <c r="C90" s="64">
        <f>SUMIFS(CF数据!C:C,CF数据!$A:$A,CF!$A90)</f>
        <v>1052690</v>
      </c>
      <c r="D90" s="64">
        <f>SUMIFS(CF数据!D:D,CF数据!$A:$A,CF!$A90)</f>
        <v>856450</v>
      </c>
      <c r="E90" s="64">
        <f>SUMIFS(CF数据!E:E,CF数据!$A:$A,CF!$A90)</f>
        <v>324945</v>
      </c>
      <c r="F90" s="64">
        <f>SUMIFS(CF数据!F:F,CF数据!$A:$A,CF!$A90)</f>
        <v>213598</v>
      </c>
      <c r="G90" s="64">
        <f>SUMIFS(CF数据!G:G,CF数据!$A:$A,CF!$A90)</f>
        <v>123194</v>
      </c>
      <c r="H90" s="64">
        <f>SUMIFS(CF数据!H:H,CF数据!$A:$A,CF!$A90)</f>
        <v>276933</v>
      </c>
      <c r="I90" s="64">
        <f>SUMIFS(CF数据!I:I,CF数据!$A:$A,CF!$A90)</f>
        <v>568174</v>
      </c>
      <c r="J90" s="64">
        <f>SUMIFS(CF数据!J:J,CF数据!$A:$A,CF!$A90)</f>
        <v>227903</v>
      </c>
      <c r="K90" s="64">
        <f>SUMIFS(CF数据!K:K,CF数据!$A:$A,CF!$A90)</f>
        <v>674912</v>
      </c>
      <c r="L90" s="64">
        <f>SUMIFS(CF数据!L:L,CF数据!$A:$A,CF!$A90)</f>
        <v>247113</v>
      </c>
      <c r="M90" s="64">
        <f>SUMIFS(CF数据!M:M,CF数据!$A:$A,CF!$A90)</f>
        <v>64050</v>
      </c>
      <c r="N90" s="64">
        <f>SUMIFS(CF数据!N:N,CF数据!$A:$A,CF!$A90)</f>
        <v>63059</v>
      </c>
      <c r="O90" s="64">
        <f>SUMIFS(CF数据!O:O,CF数据!$A:$A,CF!$A90)</f>
        <v>51002</v>
      </c>
      <c r="P90" s="64">
        <f>SUMIFS(CF数据!P:P,CF数据!$A:$A,CF!$A90)</f>
        <v>0</v>
      </c>
      <c r="Q90" s="64">
        <f>SUMIFS(CF数据!Q:Q,CF数据!$A:$A,CF!$A90)</f>
        <v>0</v>
      </c>
      <c r="R90" s="73">
        <f t="shared" si="2"/>
        <v>0.26014116216549987</v>
      </c>
      <c r="S90" s="73">
        <f t="shared" si="3"/>
        <v>0.22913188160429687</v>
      </c>
    </row>
    <row r="91" spans="1:19" x14ac:dyDescent="0.25">
      <c r="A91" t="str">
        <f>CF数据!A90</f>
        <v>2、不涉及现金收支的重大投资和筹资活动</v>
      </c>
      <c r="B91" s="64">
        <f>SUMIFS(CF数据!B:B,CF数据!$A:$A,CF!$A91)</f>
        <v>0</v>
      </c>
      <c r="C91" s="64">
        <f>SUMIFS(CF数据!C:C,CF数据!$A:$A,CF!$A91)</f>
        <v>0</v>
      </c>
      <c r="D91" s="64">
        <f>SUMIFS(CF数据!D:D,CF数据!$A:$A,CF!$A91)</f>
        <v>0</v>
      </c>
      <c r="E91" s="64">
        <f>SUMIFS(CF数据!E:E,CF数据!$A:$A,CF!$A91)</f>
        <v>0</v>
      </c>
      <c r="F91" s="64">
        <f>SUMIFS(CF数据!F:F,CF数据!$A:$A,CF!$A91)</f>
        <v>0</v>
      </c>
      <c r="G91" s="64">
        <f>SUMIFS(CF数据!G:G,CF数据!$A:$A,CF!$A91)</f>
        <v>0</v>
      </c>
      <c r="H91" s="64">
        <f>SUMIFS(CF数据!H:H,CF数据!$A:$A,CF!$A91)</f>
        <v>0</v>
      </c>
      <c r="I91" s="64">
        <f>SUMIFS(CF数据!I:I,CF数据!$A:$A,CF!$A91)</f>
        <v>0</v>
      </c>
      <c r="J91" s="64">
        <f>SUMIFS(CF数据!J:J,CF数据!$A:$A,CF!$A91)</f>
        <v>0</v>
      </c>
      <c r="K91" s="64">
        <f>SUMIFS(CF数据!K:K,CF数据!$A:$A,CF!$A91)</f>
        <v>0</v>
      </c>
      <c r="L91" s="64">
        <f>SUMIFS(CF数据!L:L,CF数据!$A:$A,CF!$A91)</f>
        <v>0</v>
      </c>
      <c r="M91" s="64">
        <f>SUMIFS(CF数据!M:M,CF数据!$A:$A,CF!$A91)</f>
        <v>0</v>
      </c>
      <c r="N91" s="64">
        <f>SUMIFS(CF数据!N:N,CF数据!$A:$A,CF!$A91)</f>
        <v>0</v>
      </c>
      <c r="O91" s="64">
        <f>SUMIFS(CF数据!O:O,CF数据!$A:$A,CF!$A91)</f>
        <v>0</v>
      </c>
      <c r="P91" s="64">
        <f>SUMIFS(CF数据!P:P,CF数据!$A:$A,CF!$A91)</f>
        <v>0</v>
      </c>
      <c r="Q91" s="64">
        <f>SUMIFS(CF数据!Q:Q,CF数据!$A:$A,CF!$A91)</f>
        <v>0</v>
      </c>
      <c r="R91" s="73">
        <f t="shared" si="2"/>
        <v>0</v>
      </c>
      <c r="S91" s="73">
        <f t="shared" si="3"/>
        <v>0</v>
      </c>
    </row>
    <row r="92" spans="1:19" x14ac:dyDescent="0.25">
      <c r="A92" t="str">
        <f>CF数据!A91</f>
        <v>债务转为资本(万元)</v>
      </c>
      <c r="B92" s="64">
        <f>SUMIFS(CF数据!B:B,CF数据!$A:$A,CF!$A92)</f>
        <v>409479</v>
      </c>
      <c r="C92" s="64">
        <f>SUMIFS(CF数据!C:C,CF数据!$A:$A,CF!$A92)</f>
        <v>29286</v>
      </c>
      <c r="D92" s="64">
        <f>SUMIFS(CF数据!D:D,CF数据!$A:$A,CF!$A92)</f>
        <v>10273</v>
      </c>
      <c r="E92" s="64">
        <f>SUMIFS(CF数据!E:E,CF数据!$A:$A,CF!$A92)</f>
        <v>16</v>
      </c>
      <c r="F92" s="64">
        <f>SUMIFS(CF数据!F:F,CF数据!$A:$A,CF!$A92)</f>
        <v>0</v>
      </c>
      <c r="G92" s="64">
        <f>SUMIFS(CF数据!G:G,CF数据!$A:$A,CF!$A92)</f>
        <v>0</v>
      </c>
      <c r="H92" s="64">
        <f>SUMIFS(CF数据!H:H,CF数据!$A:$A,CF!$A92)</f>
        <v>0</v>
      </c>
      <c r="I92" s="64">
        <f>SUMIFS(CF数据!I:I,CF数据!$A:$A,CF!$A92)</f>
        <v>0</v>
      </c>
      <c r="J92" s="64">
        <f>SUMIFS(CF数据!J:J,CF数据!$A:$A,CF!$A92)</f>
        <v>0</v>
      </c>
      <c r="K92" s="64">
        <f>SUMIFS(CF数据!K:K,CF数据!$A:$A,CF!$A92)</f>
        <v>0</v>
      </c>
      <c r="L92" s="64">
        <f>SUMIFS(CF数据!L:L,CF数据!$A:$A,CF!$A92)</f>
        <v>0</v>
      </c>
      <c r="M92" s="64">
        <f>SUMIFS(CF数据!M:M,CF数据!$A:$A,CF!$A92)</f>
        <v>0</v>
      </c>
      <c r="N92" s="64">
        <f>SUMIFS(CF数据!N:N,CF数据!$A:$A,CF!$A92)</f>
        <v>0</v>
      </c>
      <c r="O92" s="64">
        <f>SUMIFS(CF数据!O:O,CF数据!$A:$A,CF!$A92)</f>
        <v>0</v>
      </c>
      <c r="P92" s="64">
        <f>SUMIFS(CF数据!P:P,CF数据!$A:$A,CF!$A92)</f>
        <v>0</v>
      </c>
      <c r="Q92" s="64">
        <f>SUMIFS(CF数据!Q:Q,CF数据!$A:$A,CF!$A92)</f>
        <v>0</v>
      </c>
      <c r="R92" s="73">
        <f t="shared" si="2"/>
        <v>12.982073345625896</v>
      </c>
      <c r="S92" s="73">
        <f t="shared" si="3"/>
        <v>1.8507738732600019</v>
      </c>
    </row>
    <row r="93" spans="1:19" x14ac:dyDescent="0.25">
      <c r="A93" t="str">
        <f>CF数据!A92</f>
        <v>一年内到期的可转换公司债券(万元)</v>
      </c>
      <c r="B93" s="64">
        <f>SUMIFS(CF数据!B:B,CF数据!$A:$A,CF!$A93)</f>
        <v>0</v>
      </c>
      <c r="C93" s="64">
        <f>SUMIFS(CF数据!C:C,CF数据!$A:$A,CF!$A93)</f>
        <v>0</v>
      </c>
      <c r="D93" s="64">
        <f>SUMIFS(CF数据!D:D,CF数据!$A:$A,CF!$A93)</f>
        <v>0</v>
      </c>
      <c r="E93" s="64">
        <f>SUMIFS(CF数据!E:E,CF数据!$A:$A,CF!$A93)</f>
        <v>0</v>
      </c>
      <c r="F93" s="64">
        <f>SUMIFS(CF数据!F:F,CF数据!$A:$A,CF!$A93)</f>
        <v>0</v>
      </c>
      <c r="G93" s="64">
        <f>SUMIFS(CF数据!G:G,CF数据!$A:$A,CF!$A93)</f>
        <v>0</v>
      </c>
      <c r="H93" s="64">
        <f>SUMIFS(CF数据!H:H,CF数据!$A:$A,CF!$A93)</f>
        <v>0</v>
      </c>
      <c r="I93" s="64">
        <f>SUMIFS(CF数据!I:I,CF数据!$A:$A,CF!$A93)</f>
        <v>0</v>
      </c>
      <c r="J93" s="64">
        <f>SUMIFS(CF数据!J:J,CF数据!$A:$A,CF!$A93)</f>
        <v>0</v>
      </c>
      <c r="K93" s="64">
        <f>SUMIFS(CF数据!K:K,CF数据!$A:$A,CF!$A93)</f>
        <v>0</v>
      </c>
      <c r="L93" s="64">
        <f>SUMIFS(CF数据!L:L,CF数据!$A:$A,CF!$A93)</f>
        <v>0</v>
      </c>
      <c r="M93" s="64">
        <f>SUMIFS(CF数据!M:M,CF数据!$A:$A,CF!$A93)</f>
        <v>0</v>
      </c>
      <c r="N93" s="64">
        <f>SUMIFS(CF数据!N:N,CF数据!$A:$A,CF!$A93)</f>
        <v>0</v>
      </c>
      <c r="O93" s="64">
        <f>SUMIFS(CF数据!O:O,CF数据!$A:$A,CF!$A93)</f>
        <v>0</v>
      </c>
      <c r="P93" s="64">
        <f>SUMIFS(CF数据!P:P,CF数据!$A:$A,CF!$A93)</f>
        <v>0</v>
      </c>
      <c r="Q93" s="64">
        <f>SUMIFS(CF数据!Q:Q,CF数据!$A:$A,CF!$A93)</f>
        <v>0</v>
      </c>
      <c r="R93" s="73">
        <f t="shared" si="2"/>
        <v>0</v>
      </c>
      <c r="S93" s="73">
        <f t="shared" si="3"/>
        <v>0</v>
      </c>
    </row>
    <row r="94" spans="1:19" x14ac:dyDescent="0.25">
      <c r="A94" t="str">
        <f>CF数据!A93</f>
        <v>融资租入固定资产(万元)</v>
      </c>
      <c r="B94" s="64">
        <f>SUMIFS(CF数据!B:B,CF数据!$A:$A,CF!$A94)</f>
        <v>0</v>
      </c>
      <c r="C94" s="64">
        <f>SUMIFS(CF数据!C:C,CF数据!$A:$A,CF!$A94)</f>
        <v>0</v>
      </c>
      <c r="D94" s="64">
        <f>SUMIFS(CF数据!D:D,CF数据!$A:$A,CF!$A94)</f>
        <v>0</v>
      </c>
      <c r="E94" s="64">
        <f>SUMIFS(CF数据!E:E,CF数据!$A:$A,CF!$A94)</f>
        <v>0</v>
      </c>
      <c r="F94" s="64">
        <f>SUMIFS(CF数据!F:F,CF数据!$A:$A,CF!$A94)</f>
        <v>0</v>
      </c>
      <c r="G94" s="64">
        <f>SUMIFS(CF数据!G:G,CF数据!$A:$A,CF!$A94)</f>
        <v>0</v>
      </c>
      <c r="H94" s="64">
        <f>SUMIFS(CF数据!H:H,CF数据!$A:$A,CF!$A94)</f>
        <v>0</v>
      </c>
      <c r="I94" s="64">
        <f>SUMIFS(CF数据!I:I,CF数据!$A:$A,CF!$A94)</f>
        <v>0</v>
      </c>
      <c r="J94" s="64">
        <f>SUMIFS(CF数据!J:J,CF数据!$A:$A,CF!$A94)</f>
        <v>0</v>
      </c>
      <c r="K94" s="64">
        <f>SUMIFS(CF数据!K:K,CF数据!$A:$A,CF!$A94)</f>
        <v>0</v>
      </c>
      <c r="L94" s="64">
        <f>SUMIFS(CF数据!L:L,CF数据!$A:$A,CF!$A94)</f>
        <v>0</v>
      </c>
      <c r="M94" s="64">
        <f>SUMIFS(CF数据!M:M,CF数据!$A:$A,CF!$A94)</f>
        <v>0</v>
      </c>
      <c r="N94" s="64">
        <f>SUMIFS(CF数据!N:N,CF数据!$A:$A,CF!$A94)</f>
        <v>0</v>
      </c>
      <c r="O94" s="64">
        <f>SUMIFS(CF数据!O:O,CF数据!$A:$A,CF!$A94)</f>
        <v>0</v>
      </c>
      <c r="P94" s="64">
        <f>SUMIFS(CF数据!P:P,CF数据!$A:$A,CF!$A94)</f>
        <v>0</v>
      </c>
      <c r="Q94" s="64">
        <f>SUMIFS(CF数据!Q:Q,CF数据!$A:$A,CF!$A94)</f>
        <v>0</v>
      </c>
      <c r="R94" s="73">
        <f t="shared" si="2"/>
        <v>0</v>
      </c>
      <c r="S94" s="73">
        <f t="shared" si="3"/>
        <v>0</v>
      </c>
    </row>
    <row r="95" spans="1:19" x14ac:dyDescent="0.25">
      <c r="A95" t="str">
        <f>CF数据!A94</f>
        <v>3、现金及现金等价物净变动</v>
      </c>
      <c r="B95" s="64">
        <f>SUMIFS(CF数据!B:B,CF数据!$A:$A,CF!$A95)</f>
        <v>0</v>
      </c>
      <c r="C95" s="64">
        <f>SUMIFS(CF数据!C:C,CF数据!$A:$A,CF!$A95)</f>
        <v>0</v>
      </c>
      <c r="D95" s="64">
        <f>SUMIFS(CF数据!D:D,CF数据!$A:$A,CF!$A95)</f>
        <v>0</v>
      </c>
      <c r="E95" s="64">
        <f>SUMIFS(CF数据!E:E,CF数据!$A:$A,CF!$A95)</f>
        <v>0</v>
      </c>
      <c r="F95" s="64">
        <f>SUMIFS(CF数据!F:F,CF数据!$A:$A,CF!$A95)</f>
        <v>0</v>
      </c>
      <c r="G95" s="64">
        <f>SUMIFS(CF数据!G:G,CF数据!$A:$A,CF!$A95)</f>
        <v>0</v>
      </c>
      <c r="H95" s="64">
        <f>SUMIFS(CF数据!H:H,CF数据!$A:$A,CF!$A95)</f>
        <v>0</v>
      </c>
      <c r="I95" s="64">
        <f>SUMIFS(CF数据!I:I,CF数据!$A:$A,CF!$A95)</f>
        <v>0</v>
      </c>
      <c r="J95" s="64">
        <f>SUMIFS(CF数据!J:J,CF数据!$A:$A,CF!$A95)</f>
        <v>0</v>
      </c>
      <c r="K95" s="64">
        <f>SUMIFS(CF数据!K:K,CF数据!$A:$A,CF!$A95)</f>
        <v>0</v>
      </c>
      <c r="L95" s="64">
        <f>SUMIFS(CF数据!L:L,CF数据!$A:$A,CF!$A95)</f>
        <v>0</v>
      </c>
      <c r="M95" s="64">
        <f>SUMIFS(CF数据!M:M,CF数据!$A:$A,CF!$A95)</f>
        <v>0</v>
      </c>
      <c r="N95" s="64">
        <f>SUMIFS(CF数据!N:N,CF数据!$A:$A,CF!$A95)</f>
        <v>0</v>
      </c>
      <c r="O95" s="64">
        <f>SUMIFS(CF数据!O:O,CF数据!$A:$A,CF!$A95)</f>
        <v>0</v>
      </c>
      <c r="P95" s="64">
        <f>SUMIFS(CF数据!P:P,CF数据!$A:$A,CF!$A95)</f>
        <v>0</v>
      </c>
      <c r="Q95" s="64">
        <f>SUMIFS(CF数据!Q:Q,CF数据!$A:$A,CF!$A95)</f>
        <v>0</v>
      </c>
      <c r="R95" s="73">
        <f t="shared" si="2"/>
        <v>0</v>
      </c>
      <c r="S95" s="73">
        <f t="shared" si="3"/>
        <v>0</v>
      </c>
    </row>
    <row r="96" spans="1:19" x14ac:dyDescent="0.25">
      <c r="A96" t="str">
        <f>CF数据!A95</f>
        <v>现金的期末余额(万元)</v>
      </c>
      <c r="B96" s="64">
        <f>SUMIFS(CF数据!B:B,CF数据!$A:$A,CF!$A96)</f>
        <v>445148</v>
      </c>
      <c r="C96" s="64">
        <f>SUMIFS(CF数据!C:C,CF数据!$A:$A,CF!$A96)</f>
        <v>432089</v>
      </c>
      <c r="D96" s="64">
        <f>SUMIFS(CF数据!D:D,CF数据!$A:$A,CF!$A96)</f>
        <v>372578</v>
      </c>
      <c r="E96" s="64">
        <f>SUMIFS(CF数据!E:E,CF数据!$A:$A,CF!$A96)</f>
        <v>705019</v>
      </c>
      <c r="F96" s="64">
        <f>SUMIFS(CF数据!F:F,CF数据!$A:$A,CF!$A96)</f>
        <v>627692</v>
      </c>
      <c r="G96" s="64">
        <f>SUMIFS(CF数据!G:G,CF数据!$A:$A,CF!$A96)</f>
        <v>456815</v>
      </c>
      <c r="H96" s="64">
        <f>SUMIFS(CF数据!H:H,CF数据!$A:$A,CF!$A96)</f>
        <v>534771</v>
      </c>
      <c r="I96" s="64">
        <f>SUMIFS(CF数据!I:I,CF数据!$A:$A,CF!$A96)</f>
        <v>827422</v>
      </c>
      <c r="J96" s="64">
        <f>SUMIFS(CF数据!J:J,CF数据!$A:$A,CF!$A96)</f>
        <v>821658</v>
      </c>
      <c r="K96" s="64">
        <f>SUMIFS(CF数据!K:K,CF数据!$A:$A,CF!$A96)</f>
        <v>487315</v>
      </c>
      <c r="L96" s="64">
        <f>SUMIFS(CF数据!L:L,CF数据!$A:$A,CF!$A96)</f>
        <v>307693</v>
      </c>
      <c r="M96" s="64">
        <f>SUMIFS(CF数据!M:M,CF数据!$A:$A,CF!$A96)</f>
        <v>293756</v>
      </c>
      <c r="N96" s="64">
        <f>SUMIFS(CF数据!N:N,CF数据!$A:$A,CF!$A96)</f>
        <v>260545</v>
      </c>
      <c r="O96" s="64">
        <f>SUMIFS(CF数据!O:O,CF数据!$A:$A,CF!$A96)</f>
        <v>119989</v>
      </c>
      <c r="P96" s="64">
        <f>SUMIFS(CF数据!P:P,CF数据!$A:$A,CF!$A96)</f>
        <v>0</v>
      </c>
      <c r="Q96" s="64">
        <f>SUMIFS(CF数据!Q:Q,CF数据!$A:$A,CF!$A96)</f>
        <v>0</v>
      </c>
      <c r="R96" s="73">
        <f t="shared" si="2"/>
        <v>3.0222940181305225E-2</v>
      </c>
      <c r="S96" s="73">
        <f t="shared" si="3"/>
        <v>0.15972762750350267</v>
      </c>
    </row>
    <row r="97" spans="1:19" x14ac:dyDescent="0.25">
      <c r="A97" t="str">
        <f>CF数据!A96</f>
        <v>现金的期初余额(万元)</v>
      </c>
      <c r="B97" s="64">
        <f>SUMIFS(CF数据!B:B,CF数据!$A:$A,CF!$A97)</f>
        <v>432089</v>
      </c>
      <c r="C97" s="64">
        <f>SUMIFS(CF数据!C:C,CF数据!$A:$A,CF!$A97)</f>
        <v>372578</v>
      </c>
      <c r="D97" s="64">
        <f>SUMIFS(CF数据!D:D,CF数据!$A:$A,CF!$A97)</f>
        <v>705019</v>
      </c>
      <c r="E97" s="64">
        <f>SUMIFS(CF数据!E:E,CF数据!$A:$A,CF!$A97)</f>
        <v>630707</v>
      </c>
      <c r="F97" s="64">
        <f>SUMIFS(CF数据!F:F,CF数据!$A:$A,CF!$A97)</f>
        <v>456815</v>
      </c>
      <c r="G97" s="64">
        <f>SUMIFS(CF数据!G:G,CF数据!$A:$A,CF!$A97)</f>
        <v>534771</v>
      </c>
      <c r="H97" s="64">
        <f>SUMIFS(CF数据!H:H,CF数据!$A:$A,CF!$A97)</f>
        <v>827422</v>
      </c>
      <c r="I97" s="64">
        <f>SUMIFS(CF数据!I:I,CF数据!$A:$A,CF!$A97)</f>
        <v>821658</v>
      </c>
      <c r="J97" s="64">
        <f>SUMIFS(CF数据!J:J,CF数据!$A:$A,CF!$A97)</f>
        <v>487315</v>
      </c>
      <c r="K97" s="64">
        <f>SUMIFS(CF数据!K:K,CF数据!$A:$A,CF!$A97)</f>
        <v>408961</v>
      </c>
      <c r="L97" s="64">
        <f>SUMIFS(CF数据!L:L,CF数据!$A:$A,CF!$A97)</f>
        <v>293756</v>
      </c>
      <c r="M97" s="64">
        <f>SUMIFS(CF数据!M:M,CF数据!$A:$A,CF!$A97)</f>
        <v>260545</v>
      </c>
      <c r="N97" s="64">
        <f>SUMIFS(CF数据!N:N,CF数据!$A:$A,CF!$A97)</f>
        <v>119989</v>
      </c>
      <c r="O97" s="64">
        <f>SUMIFS(CF数据!O:O,CF数据!$A:$A,CF!$A97)</f>
        <v>75543</v>
      </c>
      <c r="P97" s="64">
        <f>SUMIFS(CF数据!P:P,CF数据!$A:$A,CF!$A97)</f>
        <v>0</v>
      </c>
      <c r="Q97" s="64">
        <f>SUMIFS(CF数据!Q:Q,CF数据!$A:$A,CF!$A97)</f>
        <v>0</v>
      </c>
      <c r="R97" s="73">
        <f t="shared" si="2"/>
        <v>0.15972762750350267</v>
      </c>
      <c r="S97" s="73">
        <f t="shared" si="3"/>
        <v>-0.47153480970016415</v>
      </c>
    </row>
    <row r="98" spans="1:19" x14ac:dyDescent="0.25">
      <c r="A98" t="str">
        <f>CF数据!A97</f>
        <v>现金等价物的期末余额(万元)</v>
      </c>
      <c r="B98" s="64">
        <f>SUMIFS(CF数据!B:B,CF数据!$A:$A,CF!$A98)</f>
        <v>0</v>
      </c>
      <c r="C98" s="64">
        <f>SUMIFS(CF数据!C:C,CF数据!$A:$A,CF!$A98)</f>
        <v>0</v>
      </c>
      <c r="D98" s="64">
        <f>SUMIFS(CF数据!D:D,CF数据!$A:$A,CF!$A98)</f>
        <v>0</v>
      </c>
      <c r="E98" s="64">
        <f>SUMIFS(CF数据!E:E,CF数据!$A:$A,CF!$A98)</f>
        <v>0</v>
      </c>
      <c r="F98" s="64">
        <f>SUMIFS(CF数据!F:F,CF数据!$A:$A,CF!$A98)</f>
        <v>0</v>
      </c>
      <c r="G98" s="64">
        <f>SUMIFS(CF数据!G:G,CF数据!$A:$A,CF!$A98)</f>
        <v>0</v>
      </c>
      <c r="H98" s="64">
        <f>SUMIFS(CF数据!H:H,CF数据!$A:$A,CF!$A98)</f>
        <v>0</v>
      </c>
      <c r="I98" s="64">
        <f>SUMIFS(CF数据!I:I,CF数据!$A:$A,CF!$A98)</f>
        <v>0</v>
      </c>
      <c r="J98" s="64">
        <f>SUMIFS(CF数据!J:J,CF数据!$A:$A,CF!$A98)</f>
        <v>0</v>
      </c>
      <c r="K98" s="64">
        <f>SUMIFS(CF数据!K:K,CF数据!$A:$A,CF!$A98)</f>
        <v>0</v>
      </c>
      <c r="L98" s="64">
        <f>SUMIFS(CF数据!L:L,CF数据!$A:$A,CF!$A98)</f>
        <v>0</v>
      </c>
      <c r="M98" s="64">
        <f>SUMIFS(CF数据!M:M,CF数据!$A:$A,CF!$A98)</f>
        <v>0</v>
      </c>
      <c r="N98" s="64">
        <f>SUMIFS(CF数据!N:N,CF数据!$A:$A,CF!$A98)</f>
        <v>0</v>
      </c>
      <c r="O98" s="64">
        <f>SUMIFS(CF数据!O:O,CF数据!$A:$A,CF!$A98)</f>
        <v>0</v>
      </c>
      <c r="P98" s="64">
        <f>SUMIFS(CF数据!P:P,CF数据!$A:$A,CF!$A98)</f>
        <v>0</v>
      </c>
      <c r="Q98" s="64">
        <f>SUMIFS(CF数据!Q:Q,CF数据!$A:$A,CF!$A98)</f>
        <v>0</v>
      </c>
      <c r="R98" s="73">
        <f t="shared" si="2"/>
        <v>0</v>
      </c>
      <c r="S98" s="73">
        <f t="shared" si="3"/>
        <v>0</v>
      </c>
    </row>
    <row r="99" spans="1:19" x14ac:dyDescent="0.25">
      <c r="A99" t="str">
        <f>CF数据!A98</f>
        <v>现金等价物的期初余额(万元)</v>
      </c>
      <c r="B99" s="64">
        <f>SUMIFS(CF数据!B:B,CF数据!$A:$A,CF!$A99)</f>
        <v>0</v>
      </c>
      <c r="C99" s="64">
        <f>SUMIFS(CF数据!C:C,CF数据!$A:$A,CF!$A99)</f>
        <v>0</v>
      </c>
      <c r="D99" s="64">
        <f>SUMIFS(CF数据!D:D,CF数据!$A:$A,CF!$A99)</f>
        <v>0</v>
      </c>
      <c r="E99" s="64">
        <f>SUMIFS(CF数据!E:E,CF数据!$A:$A,CF!$A99)</f>
        <v>0</v>
      </c>
      <c r="F99" s="64">
        <f>SUMIFS(CF数据!F:F,CF数据!$A:$A,CF!$A99)</f>
        <v>0</v>
      </c>
      <c r="G99" s="64">
        <f>SUMIFS(CF数据!G:G,CF数据!$A:$A,CF!$A99)</f>
        <v>0</v>
      </c>
      <c r="H99" s="64">
        <f>SUMIFS(CF数据!H:H,CF数据!$A:$A,CF!$A99)</f>
        <v>0</v>
      </c>
      <c r="I99" s="64">
        <f>SUMIFS(CF数据!I:I,CF数据!$A:$A,CF!$A99)</f>
        <v>0</v>
      </c>
      <c r="J99" s="64">
        <f>SUMIFS(CF数据!J:J,CF数据!$A:$A,CF!$A99)</f>
        <v>0</v>
      </c>
      <c r="K99" s="64">
        <f>SUMIFS(CF数据!K:K,CF数据!$A:$A,CF!$A99)</f>
        <v>0</v>
      </c>
      <c r="L99" s="64">
        <f>SUMIFS(CF数据!L:L,CF数据!$A:$A,CF!$A99)</f>
        <v>0</v>
      </c>
      <c r="M99" s="64">
        <f>SUMIFS(CF数据!M:M,CF数据!$A:$A,CF!$A99)</f>
        <v>0</v>
      </c>
      <c r="N99" s="64">
        <f>SUMIFS(CF数据!N:N,CF数据!$A:$A,CF!$A99)</f>
        <v>0</v>
      </c>
      <c r="O99" s="64">
        <f>SUMIFS(CF数据!O:O,CF数据!$A:$A,CF!$A99)</f>
        <v>0</v>
      </c>
      <c r="P99" s="64">
        <f>SUMIFS(CF数据!P:P,CF数据!$A:$A,CF!$A99)</f>
        <v>0</v>
      </c>
      <c r="Q99" s="64">
        <f>SUMIFS(CF数据!Q:Q,CF数据!$A:$A,CF!$A99)</f>
        <v>0</v>
      </c>
      <c r="R99" s="73">
        <f t="shared" si="2"/>
        <v>0</v>
      </c>
      <c r="S99" s="73">
        <f t="shared" si="3"/>
        <v>0</v>
      </c>
    </row>
    <row r="100" spans="1:19" x14ac:dyDescent="0.25">
      <c r="A100" t="str">
        <f>CF数据!A99</f>
        <v>现金及现金等价物的净增加额(万元)</v>
      </c>
      <c r="B100" s="64">
        <f>SUMIFS(CF数据!B:B,CF数据!$A:$A,CF!$A100)</f>
        <v>13059</v>
      </c>
      <c r="C100" s="64">
        <f>SUMIFS(CF数据!C:C,CF数据!$A:$A,CF!$A100)</f>
        <v>59511</v>
      </c>
      <c r="D100" s="64">
        <f>SUMIFS(CF数据!D:D,CF数据!$A:$A,CF!$A100)</f>
        <v>-332441</v>
      </c>
      <c r="E100" s="64">
        <f>SUMIFS(CF数据!E:E,CF数据!$A:$A,CF!$A100)</f>
        <v>74312</v>
      </c>
      <c r="F100" s="64">
        <f>SUMIFS(CF数据!F:F,CF数据!$A:$A,CF!$A100)</f>
        <v>170876</v>
      </c>
      <c r="G100" s="64">
        <f>SUMIFS(CF数据!G:G,CF数据!$A:$A,CF!$A100)</f>
        <v>-77955</v>
      </c>
      <c r="H100" s="64">
        <f>SUMIFS(CF数据!H:H,CF数据!$A:$A,CF!$A100)</f>
        <v>-292651</v>
      </c>
      <c r="I100" s="64">
        <f>SUMIFS(CF数据!I:I,CF数据!$A:$A,CF!$A100)</f>
        <v>5764</v>
      </c>
      <c r="J100" s="64">
        <f>SUMIFS(CF数据!J:J,CF数据!$A:$A,CF!$A100)</f>
        <v>334342</v>
      </c>
      <c r="K100" s="64">
        <f>SUMIFS(CF数据!K:K,CF数据!$A:$A,CF!$A100)</f>
        <v>78354</v>
      </c>
      <c r="L100" s="64">
        <f>SUMIFS(CF数据!L:L,CF数据!$A:$A,CF!$A100)</f>
        <v>13937</v>
      </c>
      <c r="M100" s="64">
        <f>SUMIFS(CF数据!M:M,CF数据!$A:$A,CF!$A100)</f>
        <v>33211</v>
      </c>
      <c r="N100" s="64">
        <f>SUMIFS(CF数据!N:N,CF数据!$A:$A,CF!$A100)</f>
        <v>140557</v>
      </c>
      <c r="O100" s="64">
        <f>SUMIFS(CF数据!O:O,CF数据!$A:$A,CF!$A100)</f>
        <v>44446</v>
      </c>
      <c r="P100" s="64">
        <f>SUMIFS(CF数据!P:P,CF数据!$A:$A,CF!$A100)</f>
        <v>0</v>
      </c>
      <c r="Q100" s="64">
        <f>SUMIFS(CF数据!Q:Q,CF数据!$A:$A,CF!$A100)</f>
        <v>0</v>
      </c>
      <c r="R100" s="73">
        <f t="shared" si="2"/>
        <v>-0.78056157685133842</v>
      </c>
      <c r="S100" s="73">
        <f t="shared" si="3"/>
        <v>-1.1790122157014327</v>
      </c>
    </row>
    <row r="101" spans="1:19" x14ac:dyDescent="0.25">
      <c r="A101">
        <f>CF数据!A100</f>
        <v>0</v>
      </c>
    </row>
    <row r="102" spans="1:19" x14ac:dyDescent="0.25">
      <c r="A102">
        <f>CF数据!A101</f>
        <v>0</v>
      </c>
    </row>
    <row r="103" spans="1:19" x14ac:dyDescent="0.25">
      <c r="A103">
        <f>CF数据!A102</f>
        <v>0</v>
      </c>
    </row>
    <row r="104" spans="1:19" x14ac:dyDescent="0.25">
      <c r="A104">
        <f>CF数据!A103</f>
        <v>0</v>
      </c>
    </row>
    <row r="105" spans="1:19" x14ac:dyDescent="0.25">
      <c r="A105">
        <f>CF数据!A104</f>
        <v>0</v>
      </c>
    </row>
    <row r="106" spans="1:19" x14ac:dyDescent="0.25">
      <c r="A106">
        <f>CF数据!A105</f>
        <v>0</v>
      </c>
    </row>
    <row r="107" spans="1:19" x14ac:dyDescent="0.25">
      <c r="A107">
        <f>CF数据!A106</f>
        <v>0</v>
      </c>
    </row>
  </sheetData>
  <phoneticPr fontId="3" type="noConversion"/>
  <conditionalFormatting sqref="R5:S100">
    <cfRule type="cellIs" dxfId="12" priority="1" operator="greaterThan">
      <formula>0.2</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DE2F1-291B-42F7-BF99-EE0D0E3B880D}">
  <sheetPr codeName="Sheet19">
    <tabColor rgb="FF00B050"/>
  </sheetPr>
  <dimension ref="A9:P119"/>
  <sheetViews>
    <sheetView topLeftCell="B109" zoomScale="115" zoomScaleNormal="115" workbookViewId="0">
      <selection activeCell="C36" sqref="C36"/>
    </sheetView>
  </sheetViews>
  <sheetFormatPr defaultColWidth="9" defaultRowHeight="14" x14ac:dyDescent="0.25"/>
  <cols>
    <col min="1" max="1" width="18.453125" style="61" hidden="1" customWidth="1"/>
    <col min="2" max="2" width="24.08984375" style="61" customWidth="1"/>
    <col min="3" max="8" width="16.7265625" style="63" customWidth="1"/>
    <col min="9" max="10" width="11.7265625" style="61" bestFit="1" customWidth="1"/>
    <col min="11" max="15" width="11.6328125" style="61" bestFit="1" customWidth="1"/>
    <col min="16" max="16384" width="9" style="61"/>
  </cols>
  <sheetData>
    <row r="9" spans="10:14" x14ac:dyDescent="0.25">
      <c r="J9" s="67"/>
      <c r="K9" s="67"/>
      <c r="L9" s="67"/>
      <c r="M9" s="67"/>
      <c r="N9" s="67"/>
    </row>
    <row r="10" spans="10:14" x14ac:dyDescent="0.25">
      <c r="J10" s="67"/>
      <c r="K10" s="67"/>
      <c r="L10" s="67"/>
      <c r="M10" s="67"/>
      <c r="N10" s="67"/>
    </row>
    <row r="11" spans="10:14" x14ac:dyDescent="0.25">
      <c r="J11" s="67"/>
      <c r="K11" s="67"/>
      <c r="L11" s="67"/>
      <c r="M11" s="67"/>
      <c r="N11" s="67"/>
    </row>
    <row r="12" spans="10:14" x14ac:dyDescent="0.25">
      <c r="J12" s="67"/>
      <c r="K12" s="67"/>
      <c r="L12" s="67"/>
      <c r="M12" s="67"/>
      <c r="N12" s="67"/>
    </row>
    <row r="13" spans="10:14" x14ac:dyDescent="0.25">
      <c r="J13" s="67"/>
      <c r="K13" s="67"/>
      <c r="L13" s="67"/>
      <c r="M13" s="67"/>
      <c r="N13" s="67"/>
    </row>
    <row r="14" spans="10:14" x14ac:dyDescent="0.25">
      <c r="J14" s="67"/>
      <c r="K14" s="67"/>
      <c r="L14" s="67"/>
      <c r="M14" s="67"/>
      <c r="N14" s="67"/>
    </row>
    <row r="15" spans="10:14" x14ac:dyDescent="0.25">
      <c r="J15" s="67"/>
      <c r="K15" s="67"/>
      <c r="L15" s="67"/>
      <c r="M15" s="67"/>
      <c r="N15" s="67"/>
    </row>
    <row r="16" spans="10:14" x14ac:dyDescent="0.25">
      <c r="J16" s="67"/>
      <c r="K16" s="67"/>
      <c r="L16" s="67"/>
      <c r="M16" s="67"/>
      <c r="N16" s="67"/>
    </row>
    <row r="17" spans="1:15" x14ac:dyDescent="0.25">
      <c r="J17" s="67"/>
      <c r="K17" s="67"/>
      <c r="L17" s="67"/>
      <c r="M17" s="67"/>
      <c r="N17" s="67"/>
    </row>
    <row r="18" spans="1:15" ht="17.5" x14ac:dyDescent="0.25">
      <c r="A18" s="61" t="str">
        <f t="shared" ref="A18:A24" si="0">IF(ISERROR(VLOOKUP(TRIM($B18),管理名称,2,0)),"",VLOOKUP(TRIM($B18),管理名称,2,0))</f>
        <v/>
      </c>
      <c r="B18" s="137" t="s">
        <v>1691</v>
      </c>
      <c r="J18" s="67"/>
      <c r="K18" s="67"/>
      <c r="L18" s="67"/>
      <c r="M18" s="67"/>
      <c r="N18" s="67"/>
    </row>
    <row r="19" spans="1:15" x14ac:dyDescent="0.25">
      <c r="A19" s="61" t="str">
        <f t="shared" si="0"/>
        <v/>
      </c>
      <c r="B19" s="61" t="str">
        <f>自选股!B2</f>
        <v>三一重工</v>
      </c>
      <c r="C19" s="62">
        <v>43830</v>
      </c>
      <c r="D19" s="62">
        <v>43465</v>
      </c>
      <c r="E19" s="62">
        <v>43100</v>
      </c>
      <c r="F19" s="62">
        <v>42735</v>
      </c>
      <c r="G19" s="62">
        <v>42369</v>
      </c>
      <c r="H19" s="62">
        <v>42004</v>
      </c>
      <c r="I19" s="62">
        <v>41639</v>
      </c>
      <c r="J19" s="62">
        <v>41274</v>
      </c>
      <c r="K19" s="62">
        <v>40908</v>
      </c>
      <c r="L19" s="62">
        <v>40543</v>
      </c>
      <c r="M19" s="62">
        <v>40178</v>
      </c>
      <c r="N19" s="62">
        <v>39813</v>
      </c>
      <c r="O19" s="62">
        <v>39447</v>
      </c>
    </row>
    <row r="20" spans="1:15" x14ac:dyDescent="0.25">
      <c r="A20" s="61" t="str">
        <f t="shared" si="0"/>
        <v/>
      </c>
      <c r="B20" s="61" t="s">
        <v>1383</v>
      </c>
      <c r="C20" s="66">
        <f>IFERROR(SUMIFS(BS!C:C,BS!$B:$B,'BS (分析)'!$B20),0)</f>
        <v>8981016</v>
      </c>
      <c r="D20" s="66">
        <f>IFERROR(SUMIFS(BS!D:D,BS!$B:$B,'BS (分析)'!$B20),0)</f>
        <v>7377471</v>
      </c>
      <c r="E20" s="66">
        <f>IFERROR(SUMIFS(BS!E:E,BS!$B:$B,'BS (分析)'!$B20),0)</f>
        <v>5823771</v>
      </c>
      <c r="F20" s="66">
        <f>IFERROR(SUMIFS(BS!F:F,BS!$B:$B,'BS (分析)'!$B20),0)</f>
        <v>6155497</v>
      </c>
      <c r="G20" s="66">
        <f>IFERROR(SUMIFS(BS!G:G,BS!$B:$B,'BS (分析)'!$B20),0)</f>
        <v>6122776</v>
      </c>
      <c r="H20" s="66">
        <f>IFERROR(SUMIFS(BS!H:H,BS!$B:$B,'BS (分析)'!$B20),0)</f>
        <v>6300946</v>
      </c>
      <c r="I20" s="66">
        <f>IFERROR(SUMIFS(BS!I:I,BS!$B:$B,'BS (分析)'!$B20),0)</f>
        <v>6386780</v>
      </c>
      <c r="J20" s="66">
        <f>IFERROR(SUMIFS(BS!J:J,BS!$B:$B,'BS (分析)'!$B20),0)</f>
        <v>6446142</v>
      </c>
      <c r="K20" s="66">
        <f>IFERROR(SUMIFS(BS!K:K,BS!$B:$B,'BS (分析)'!$B20),0)</f>
        <v>5130673</v>
      </c>
      <c r="L20" s="66">
        <f>IFERROR(SUMIFS(BS!L:L,BS!$B:$B,'BS (分析)'!$B20),0)</f>
        <v>3134078</v>
      </c>
      <c r="M20" s="66">
        <f>IFERROR(SUMIFS(BS!M:M,BS!$B:$B,'BS (分析)'!$B20),0)</f>
        <v>1583700</v>
      </c>
      <c r="N20" s="66">
        <f>IFERROR(SUMIFS(BS!N:N,BS!$B:$B,'BS (分析)'!$B20),0)</f>
        <v>1396733</v>
      </c>
      <c r="O20" s="66">
        <f>IFERROR(SUMIFS(BS!O:O,BS!$B:$B,'BS (分析)'!$B20),0)</f>
        <v>1117913</v>
      </c>
    </row>
    <row r="21" spans="1:15" x14ac:dyDescent="0.25">
      <c r="A21" s="61" t="str">
        <f t="shared" si="0"/>
        <v/>
      </c>
      <c r="B21" s="61" t="s">
        <v>1677</v>
      </c>
      <c r="C21" s="131">
        <f>C20/D20-1</f>
        <v>0.21735700485979548</v>
      </c>
      <c r="D21" s="131">
        <f t="shared" ref="D21:G21" si="1">D20/E20-1</f>
        <v>0.26678590212424225</v>
      </c>
      <c r="E21" s="131">
        <f t="shared" si="1"/>
        <v>-5.3891018060767459E-2</v>
      </c>
      <c r="F21" s="131">
        <f t="shared" si="1"/>
        <v>5.3441445514257335E-3</v>
      </c>
      <c r="G21" s="131">
        <f t="shared" si="1"/>
        <v>-2.827670638662827E-2</v>
      </c>
      <c r="H21" s="131">
        <f t="shared" ref="H21" si="2">H20/I20-1</f>
        <v>-1.3439323101782086E-2</v>
      </c>
      <c r="I21" s="131">
        <f t="shared" ref="I21" si="3">I20/J20-1</f>
        <v>-9.2089190712832947E-3</v>
      </c>
      <c r="J21" s="131">
        <f t="shared" ref="J21" si="4">J20/K20-1</f>
        <v>0.25639306968111208</v>
      </c>
      <c r="K21" s="131">
        <f t="shared" ref="K21" si="5">K20/L20-1</f>
        <v>0.63705976685966337</v>
      </c>
      <c r="L21" s="131">
        <f t="shared" ref="L21" si="6">L20/M20-1</f>
        <v>0.97895939887604966</v>
      </c>
      <c r="M21" s="131">
        <f t="shared" ref="M21" si="7">M20/N20-1</f>
        <v>0.13386022954995691</v>
      </c>
      <c r="N21" s="131">
        <f t="shared" ref="N21" si="8">N20/O20-1</f>
        <v>0.24941117958195314</v>
      </c>
      <c r="O21" s="131" t="e">
        <f t="shared" ref="O21" si="9">O20/P20-1</f>
        <v>#DIV/0!</v>
      </c>
    </row>
    <row r="22" spans="1:15" x14ac:dyDescent="0.25">
      <c r="C22" s="196" t="str">
        <f>IF(C21&gt;10%,"优秀","差评")</f>
        <v>优秀</v>
      </c>
      <c r="D22" s="196" t="str">
        <f t="shared" ref="D22:G22" si="10">IF(D21&gt;10%,"优秀","差评")</f>
        <v>优秀</v>
      </c>
      <c r="E22" s="196" t="str">
        <f t="shared" si="10"/>
        <v>差评</v>
      </c>
      <c r="F22" s="196" t="str">
        <f t="shared" si="10"/>
        <v>差评</v>
      </c>
      <c r="G22" s="196" t="str">
        <f t="shared" si="10"/>
        <v>差评</v>
      </c>
      <c r="H22" s="196" t="str">
        <f t="shared" ref="H22" si="11">IF(H21&gt;10%,"优秀","差评")</f>
        <v>差评</v>
      </c>
      <c r="I22" s="196" t="str">
        <f t="shared" ref="I22" si="12">IF(I21&gt;10%,"优秀","差评")</f>
        <v>差评</v>
      </c>
      <c r="J22" s="196" t="str">
        <f t="shared" ref="J22" si="13">IF(J21&gt;10%,"优秀","差评")</f>
        <v>优秀</v>
      </c>
      <c r="K22" s="196" t="str">
        <f t="shared" ref="K22" si="14">IF(K21&gt;10%,"优秀","差评")</f>
        <v>优秀</v>
      </c>
      <c r="L22" s="196" t="str">
        <f t="shared" ref="L22" si="15">IF(L21&gt;10%,"优秀","差评")</f>
        <v>优秀</v>
      </c>
      <c r="M22" s="196" t="str">
        <f t="shared" ref="M22" si="16">IF(M21&gt;10%,"优秀","差评")</f>
        <v>优秀</v>
      </c>
      <c r="N22" s="196" t="str">
        <f t="shared" ref="N22" si="17">IF(N21&gt;10%,"优秀","差评")</f>
        <v>优秀</v>
      </c>
      <c r="O22" s="196" t="e">
        <f t="shared" ref="O22" si="18">IF(O21&gt;10%,"优秀","差评")</f>
        <v>#DIV/0!</v>
      </c>
    </row>
    <row r="23" spans="1:15" ht="43.5" customHeight="1" x14ac:dyDescent="0.25">
      <c r="A23" s="61" t="str">
        <f t="shared" si="0"/>
        <v/>
      </c>
      <c r="B23" s="204" t="s">
        <v>1783</v>
      </c>
      <c r="C23" s="204"/>
      <c r="D23" s="204"/>
      <c r="E23" s="204"/>
      <c r="F23" s="204"/>
      <c r="G23" s="204"/>
      <c r="H23" s="204"/>
      <c r="J23" s="67"/>
      <c r="K23" s="67"/>
      <c r="L23" s="67"/>
      <c r="M23" s="67"/>
      <c r="N23" s="67"/>
    </row>
    <row r="24" spans="1:15" x14ac:dyDescent="0.25">
      <c r="A24" s="61" t="str">
        <f t="shared" si="0"/>
        <v/>
      </c>
      <c r="B24" s="61">
        <f>BS数据!A131</f>
        <v>0</v>
      </c>
      <c r="J24" s="67"/>
      <c r="K24" s="67"/>
      <c r="L24" s="67"/>
      <c r="M24" s="67"/>
      <c r="N24" s="67"/>
    </row>
    <row r="25" spans="1:15" x14ac:dyDescent="0.25">
      <c r="J25" s="67"/>
      <c r="K25" s="67"/>
      <c r="L25" s="67"/>
      <c r="M25" s="67"/>
      <c r="N25" s="67"/>
    </row>
    <row r="26" spans="1:15" x14ac:dyDescent="0.25">
      <c r="J26" s="67"/>
      <c r="K26" s="67"/>
      <c r="L26" s="67"/>
      <c r="M26" s="67"/>
      <c r="N26" s="67"/>
    </row>
    <row r="27" spans="1:15" x14ac:dyDescent="0.25">
      <c r="J27" s="67"/>
      <c r="K27" s="67"/>
      <c r="L27" s="67"/>
      <c r="M27" s="67"/>
      <c r="N27" s="67"/>
    </row>
    <row r="28" spans="1:15" x14ac:dyDescent="0.25">
      <c r="J28" s="67"/>
      <c r="K28" s="67"/>
      <c r="L28" s="67"/>
      <c r="M28" s="67"/>
      <c r="N28" s="67"/>
    </row>
    <row r="29" spans="1:15" x14ac:dyDescent="0.25">
      <c r="J29" s="67"/>
      <c r="K29" s="67"/>
      <c r="L29" s="67"/>
      <c r="M29" s="67"/>
      <c r="N29" s="67"/>
    </row>
    <row r="30" spans="1:15" x14ac:dyDescent="0.25">
      <c r="J30" s="67"/>
      <c r="K30" s="67"/>
      <c r="L30" s="67"/>
      <c r="M30" s="67"/>
      <c r="N30" s="67"/>
    </row>
    <row r="31" spans="1:15" x14ac:dyDescent="0.25">
      <c r="J31" s="67"/>
      <c r="K31" s="67"/>
      <c r="L31" s="67"/>
      <c r="M31" s="67"/>
      <c r="N31" s="67"/>
    </row>
    <row r="32" spans="1:15" x14ac:dyDescent="0.25">
      <c r="J32" s="67"/>
      <c r="K32" s="67"/>
      <c r="L32" s="67"/>
      <c r="M32" s="67"/>
      <c r="N32" s="67"/>
    </row>
    <row r="33" spans="1:15" x14ac:dyDescent="0.25">
      <c r="J33" s="67"/>
      <c r="K33" s="67"/>
      <c r="L33" s="67"/>
      <c r="M33" s="67"/>
      <c r="N33" s="67"/>
    </row>
    <row r="34" spans="1:15" ht="17.5" x14ac:dyDescent="0.25">
      <c r="A34" s="61" t="str">
        <f t="shared" ref="A34:A43" si="19">IF(ISERROR(VLOOKUP(TRIM($B34),管理名称,2,0)),"",VLOOKUP(TRIM($B34),管理名称,2,0))</f>
        <v/>
      </c>
      <c r="B34" s="137" t="s">
        <v>1692</v>
      </c>
      <c r="J34" s="67"/>
      <c r="K34" s="67"/>
      <c r="L34" s="67"/>
      <c r="M34" s="67"/>
      <c r="N34" s="67"/>
    </row>
    <row r="35" spans="1:15" x14ac:dyDescent="0.25">
      <c r="A35" s="61" t="str">
        <f t="shared" si="19"/>
        <v/>
      </c>
      <c r="B35" s="61" t="str">
        <f>B19</f>
        <v>三一重工</v>
      </c>
      <c r="C35" s="132">
        <v>43830</v>
      </c>
      <c r="D35" s="132">
        <v>43465</v>
      </c>
      <c r="E35" s="132">
        <v>43100</v>
      </c>
      <c r="F35" s="132">
        <v>42735</v>
      </c>
      <c r="G35" s="132">
        <v>42369</v>
      </c>
      <c r="H35" s="132">
        <v>42004</v>
      </c>
      <c r="I35" s="132">
        <v>41639</v>
      </c>
      <c r="J35" s="132">
        <v>41274</v>
      </c>
      <c r="K35" s="132">
        <v>40908</v>
      </c>
      <c r="L35" s="132">
        <v>40543</v>
      </c>
      <c r="M35" s="132">
        <v>40178</v>
      </c>
      <c r="N35" s="132">
        <v>39813</v>
      </c>
      <c r="O35" s="132">
        <v>39447</v>
      </c>
    </row>
    <row r="36" spans="1:15" x14ac:dyDescent="0.25">
      <c r="A36" s="61" t="str">
        <f t="shared" si="19"/>
        <v/>
      </c>
      <c r="B36" s="61" t="s">
        <v>1383</v>
      </c>
      <c r="C36" s="66">
        <f>IFERROR(SUMIFS(BS!C:C,BS!$B:$B,'BS (分析)'!$B36),0)</f>
        <v>8981016</v>
      </c>
      <c r="D36" s="66">
        <f>IFERROR(SUMIFS(BS!D:D,BS!$B:$B,'BS (分析)'!$B36),0)</f>
        <v>7377471</v>
      </c>
      <c r="E36" s="66">
        <f>IFERROR(SUMIFS(BS!E:E,BS!$B:$B,'BS (分析)'!$B36),0)</f>
        <v>5823771</v>
      </c>
      <c r="F36" s="66">
        <f>IFERROR(SUMIFS(BS!F:F,BS!$B:$B,'BS (分析)'!$B36),0)</f>
        <v>6155497</v>
      </c>
      <c r="G36" s="66">
        <f>IFERROR(SUMIFS(BS!G:G,BS!$B:$B,'BS (分析)'!$B36),0)</f>
        <v>6122776</v>
      </c>
      <c r="H36" s="66">
        <f>IFERROR(SUMIFS(BS!H:H,BS!$B:$B,'BS (分析)'!$B36),0)</f>
        <v>6300946</v>
      </c>
      <c r="I36" s="66">
        <f>IFERROR(SUMIFS(BS!I:I,BS!$B:$B,'BS (分析)'!$B36),0)</f>
        <v>6386780</v>
      </c>
      <c r="J36" s="66">
        <f>IFERROR(SUMIFS(BS!J:J,BS!$B:$B,'BS (分析)'!$B36),0)</f>
        <v>6446142</v>
      </c>
      <c r="K36" s="66">
        <f>IFERROR(SUMIFS(BS!K:K,BS!$B:$B,'BS (分析)'!$B36),0)</f>
        <v>5130673</v>
      </c>
      <c r="L36" s="66">
        <f>IFERROR(SUMIFS(BS!L:L,BS!$B:$B,'BS (分析)'!$B36),0)</f>
        <v>3134078</v>
      </c>
      <c r="M36" s="66">
        <f>IFERROR(SUMIFS(BS!M:M,BS!$B:$B,'BS (分析)'!$B36),0)</f>
        <v>1583700</v>
      </c>
      <c r="N36" s="66">
        <f>IFERROR(SUMIFS(BS!N:N,BS!$B:$B,'BS (分析)'!$B36),0)</f>
        <v>1396733</v>
      </c>
      <c r="O36" s="66">
        <f>IFERROR(SUMIFS(BS!O:O,BS!$B:$B,'BS (分析)'!$B36),0)</f>
        <v>1117913</v>
      </c>
    </row>
    <row r="37" spans="1:15" x14ac:dyDescent="0.25">
      <c r="A37" s="61" t="str">
        <f t="shared" si="19"/>
        <v/>
      </c>
      <c r="B37" s="61" t="s">
        <v>1425</v>
      </c>
      <c r="C37" s="66">
        <f>IFERROR(SUMIFS(BS!C:C,BS!$B:$B,'BS (分析)'!$B37),0)</f>
        <v>4430607</v>
      </c>
      <c r="D37" s="66">
        <f>IFERROR(SUMIFS(BS!D:D,BS!$B:$B,'BS (分析)'!$B37),0)</f>
        <v>4005236</v>
      </c>
      <c r="E37" s="66">
        <f>IFERROR(SUMIFS(BS!E:E,BS!$B:$B,'BS (分析)'!$B37),0)</f>
        <v>3060575</v>
      </c>
      <c r="F37" s="66">
        <f>IFERROR(SUMIFS(BS!F:F,BS!$B:$B,'BS (分析)'!$B37),0)</f>
        <v>3746111</v>
      </c>
      <c r="G37" s="66">
        <f>IFERROR(SUMIFS(BS!G:G,BS!$B:$B,'BS (分析)'!$B37),0)</f>
        <v>3736616</v>
      </c>
      <c r="H37" s="66">
        <f>IFERROR(SUMIFS(BS!H:H,BS!$B:$B,'BS (分析)'!$B37),0)</f>
        <v>3798412</v>
      </c>
      <c r="I37" s="66">
        <f>IFERROR(SUMIFS(BS!I:I,BS!$B:$B,'BS (分析)'!$B37),0)</f>
        <v>3877841</v>
      </c>
      <c r="J37" s="66">
        <f>IFERROR(SUMIFS(BS!J:J,BS!$B:$B,'BS (分析)'!$B37),0)</f>
        <v>3979791</v>
      </c>
      <c r="K37" s="66">
        <f>IFERROR(SUMIFS(BS!K:K,BS!$B:$B,'BS (分析)'!$B37),0)</f>
        <v>3055311</v>
      </c>
      <c r="L37" s="66">
        <f>IFERROR(SUMIFS(BS!L:L,BS!$B:$B,'BS (分析)'!$B37),0)</f>
        <v>1942224</v>
      </c>
      <c r="M37" s="66">
        <f>IFERROR(SUMIFS(BS!M:M,BS!$B:$B,'BS (分析)'!$B37),0)</f>
        <v>755230</v>
      </c>
      <c r="N37" s="66">
        <f>IFERROR(SUMIFS(BS!N:N,BS!$B:$B,'BS (分析)'!$B37),0)</f>
        <v>778247</v>
      </c>
      <c r="O37" s="66">
        <f>IFERROR(SUMIFS(BS!O:O,BS!$B:$B,'BS (分析)'!$B37),0)</f>
        <v>613189</v>
      </c>
    </row>
    <row r="38" spans="1:15" x14ac:dyDescent="0.25">
      <c r="A38" s="61" t="str">
        <f t="shared" si="19"/>
        <v/>
      </c>
      <c r="B38" s="61" t="s">
        <v>1678</v>
      </c>
      <c r="C38" s="131">
        <f>C37/C36</f>
        <v>0.49333026463821023</v>
      </c>
      <c r="D38" s="131">
        <f t="shared" ref="D38:G38" si="20">D37/D36</f>
        <v>0.54290094803490252</v>
      </c>
      <c r="E38" s="131">
        <f t="shared" si="20"/>
        <v>0.52553148123440985</v>
      </c>
      <c r="F38" s="131">
        <f t="shared" si="20"/>
        <v>0.60857977836720578</v>
      </c>
      <c r="G38" s="131">
        <f t="shared" si="20"/>
        <v>0.61028134950551838</v>
      </c>
      <c r="H38" s="131">
        <f t="shared" ref="H38:O38" si="21">H37/H36</f>
        <v>0.60283201919203877</v>
      </c>
      <c r="I38" s="131">
        <f t="shared" si="21"/>
        <v>0.60716683524405102</v>
      </c>
      <c r="J38" s="131">
        <f t="shared" si="21"/>
        <v>0.61739114651833604</v>
      </c>
      <c r="K38" s="131">
        <f t="shared" si="21"/>
        <v>0.59549907000504609</v>
      </c>
      <c r="L38" s="131">
        <f t="shared" si="21"/>
        <v>0.61971144304640791</v>
      </c>
      <c r="M38" s="131">
        <f t="shared" si="21"/>
        <v>0.47687693376270757</v>
      </c>
      <c r="N38" s="131">
        <f t="shared" si="21"/>
        <v>0.5571909591883345</v>
      </c>
      <c r="O38" s="131">
        <f t="shared" si="21"/>
        <v>0.5485122724219148</v>
      </c>
    </row>
    <row r="39" spans="1:15" x14ac:dyDescent="0.25">
      <c r="C39" s="196" t="str">
        <f t="shared" ref="C39" si="22">IF(C38&lt;40%,"优秀",IF(C38&lt;60%,"一般","高风险"))</f>
        <v>一般</v>
      </c>
      <c r="D39" s="196" t="str">
        <f t="shared" ref="D39" si="23">IF(D38&lt;40%,"优秀",IF(D38&lt;60%,"一般","高风险"))</f>
        <v>一般</v>
      </c>
      <c r="E39" s="196" t="str">
        <f t="shared" ref="E39" si="24">IF(E38&lt;40%,"优秀",IF(E38&lt;60%,"一般","高风险"))</f>
        <v>一般</v>
      </c>
      <c r="F39" s="196" t="str">
        <f t="shared" ref="F39" si="25">IF(F38&lt;40%,"优秀",IF(F38&lt;60%,"一般","高风险"))</f>
        <v>高风险</v>
      </c>
      <c r="G39" s="196" t="str">
        <f t="shared" ref="G39" si="26">IF(G38&lt;40%,"优秀",IF(G38&lt;60%,"一般","高风险"))</f>
        <v>高风险</v>
      </c>
      <c r="H39" s="196" t="str">
        <f t="shared" ref="H39" si="27">IF(H38&lt;40%,"优秀",IF(H38&lt;60%,"一般","高风险"))</f>
        <v>高风险</v>
      </c>
      <c r="I39" s="196" t="str">
        <f t="shared" ref="I39" si="28">IF(I38&lt;40%,"优秀",IF(I38&lt;60%,"一般","高风险"))</f>
        <v>高风险</v>
      </c>
      <c r="J39" s="196" t="str">
        <f t="shared" ref="J39" si="29">IF(J38&lt;40%,"优秀",IF(J38&lt;60%,"一般","高风险"))</f>
        <v>高风险</v>
      </c>
      <c r="K39" s="196" t="str">
        <f t="shared" ref="K39" si="30">IF(K38&lt;40%,"优秀",IF(K38&lt;60%,"一般","高风险"))</f>
        <v>一般</v>
      </c>
      <c r="L39" s="196" t="str">
        <f t="shared" ref="L39" si="31">IF(L38&lt;40%,"优秀",IF(L38&lt;60%,"一般","高风险"))</f>
        <v>高风险</v>
      </c>
      <c r="M39" s="196" t="str">
        <f t="shared" ref="M39" si="32">IF(M38&lt;40%,"优秀",IF(M38&lt;60%,"一般","高风险"))</f>
        <v>一般</v>
      </c>
      <c r="N39" s="196" t="str">
        <f t="shared" ref="N39" si="33">IF(N38&lt;40%,"优秀",IF(N38&lt;60%,"一般","高风险"))</f>
        <v>一般</v>
      </c>
      <c r="O39" s="196" t="str">
        <f t="shared" ref="O39" si="34">IF(O38&lt;40%,"优秀",IF(O38&lt;60%,"一般","高风险"))</f>
        <v>一般</v>
      </c>
    </row>
    <row r="40" spans="1:15" ht="60.75" customHeight="1" x14ac:dyDescent="0.25">
      <c r="A40" s="61" t="str">
        <f t="shared" si="19"/>
        <v/>
      </c>
      <c r="B40" s="204" t="s">
        <v>1784</v>
      </c>
      <c r="C40" s="204"/>
      <c r="D40" s="204"/>
      <c r="E40" s="204"/>
      <c r="F40" s="204"/>
      <c r="G40" s="204"/>
      <c r="H40" s="204"/>
      <c r="J40" s="67"/>
      <c r="K40" s="67"/>
      <c r="L40" s="67"/>
      <c r="M40" s="67"/>
      <c r="N40" s="67"/>
    </row>
    <row r="41" spans="1:15" x14ac:dyDescent="0.25">
      <c r="A41" s="61" t="str">
        <f t="shared" si="19"/>
        <v/>
      </c>
      <c r="B41" s="61">
        <f>BS数据!A138</f>
        <v>0</v>
      </c>
      <c r="C41" s="66"/>
      <c r="D41" s="66"/>
      <c r="E41" s="66"/>
      <c r="F41" s="66"/>
      <c r="G41" s="66"/>
      <c r="H41" s="66"/>
    </row>
    <row r="42" spans="1:15" x14ac:dyDescent="0.25">
      <c r="A42" s="61" t="str">
        <f t="shared" si="19"/>
        <v/>
      </c>
      <c r="B42" s="61" t="str">
        <f>B35</f>
        <v>三一重工</v>
      </c>
      <c r="C42" s="132">
        <v>43830</v>
      </c>
      <c r="D42" s="132">
        <v>43465</v>
      </c>
      <c r="E42" s="132">
        <v>43100</v>
      </c>
      <c r="F42" s="132">
        <v>42735</v>
      </c>
      <c r="G42" s="132">
        <v>42369</v>
      </c>
      <c r="H42" s="132">
        <v>42004</v>
      </c>
      <c r="I42" s="132">
        <v>41639</v>
      </c>
      <c r="J42" s="132">
        <v>41274</v>
      </c>
      <c r="K42" s="132">
        <v>40908</v>
      </c>
      <c r="L42" s="132">
        <v>40543</v>
      </c>
      <c r="M42" s="132">
        <v>40178</v>
      </c>
      <c r="N42" s="132">
        <v>39813</v>
      </c>
      <c r="O42" s="132">
        <v>39447</v>
      </c>
    </row>
    <row r="43" spans="1:15" s="63" customFormat="1" x14ac:dyDescent="0.25">
      <c r="A43" s="61" t="str">
        <f t="shared" si="19"/>
        <v>经营性流动资产</v>
      </c>
      <c r="B43" s="61" t="s">
        <v>1332</v>
      </c>
      <c r="C43" s="66">
        <f>IFERROR(SUMIFS(BS!C:C,BS!$B:$B,'BS (分析)'!$B43),0)</f>
        <v>1352674</v>
      </c>
      <c r="D43" s="66">
        <f>IFERROR(SUMIFS(BS!D:D,BS!$B:$B,'BS (分析)'!$B43),0)</f>
        <v>1198504</v>
      </c>
      <c r="E43" s="66">
        <f>IFERROR(SUMIFS(BS!E:E,BS!$B:$B,'BS (分析)'!$B43),0)</f>
        <v>410365</v>
      </c>
      <c r="F43" s="66">
        <f>IFERROR(SUMIFS(BS!F:F,BS!$B:$B,'BS (分析)'!$B43),0)</f>
        <v>744206</v>
      </c>
      <c r="G43" s="66">
        <f>IFERROR(SUMIFS(BS!G:G,BS!$B:$B,'BS (分析)'!$B43),0)</f>
        <v>684088</v>
      </c>
      <c r="H43" s="66">
        <f>IFERROR(SUMIFS(BS!H:H,BS!$B:$B,'BS (分析)'!$B43),0)</f>
        <v>604927</v>
      </c>
      <c r="I43" s="66">
        <f>IFERROR(SUMIFS(BS!I:I,BS!$B:$B,'BS (分析)'!$B43),0)</f>
        <v>638029</v>
      </c>
      <c r="J43" s="66">
        <f>IFERROR(SUMIFS(BS!J:J,BS!$B:$B,'BS (分析)'!$B43),0)</f>
        <v>963111</v>
      </c>
      <c r="K43" s="66">
        <f>IFERROR(SUMIFS(BS!K:K,BS!$B:$B,'BS (分析)'!$B43),0)</f>
        <v>1024699</v>
      </c>
      <c r="L43" s="66">
        <f>IFERROR(SUMIFS(BS!L:L,BS!$B:$B,'BS (分析)'!$B43),0)</f>
        <v>597040</v>
      </c>
      <c r="M43" s="66">
        <f>IFERROR(SUMIFS(BS!M:M,BS!$B:$B,'BS (分析)'!$B43),0)</f>
        <v>307693</v>
      </c>
      <c r="N43" s="66">
        <f>IFERROR(SUMIFS(BS!N:N,BS!$B:$B,'BS (分析)'!$B43),0)</f>
        <v>293756</v>
      </c>
      <c r="O43" s="66">
        <f>IFERROR(SUMIFS(BS!O:O,BS!$B:$B,'BS (分析)'!$B43),0)</f>
        <v>260545</v>
      </c>
    </row>
    <row r="44" spans="1:15" x14ac:dyDescent="0.25">
      <c r="B44" s="61" t="s">
        <v>1335</v>
      </c>
      <c r="C44" s="66">
        <f>IFERROR(SUMIFS(BS!C:C,BS!$B:$B,'BS (分析)'!$B44),0)</f>
        <v>836740</v>
      </c>
      <c r="D44" s="66">
        <f>IFERROR(SUMIFS(BS!D:D,BS!$B:$B,'BS (分析)'!$B44),0)</f>
        <v>155672</v>
      </c>
      <c r="E44" s="66">
        <f>IFERROR(SUMIFS(BS!E:E,BS!$B:$B,'BS (分析)'!$B44),0)</f>
        <v>4007</v>
      </c>
      <c r="F44" s="66">
        <f>IFERROR(SUMIFS(BS!F:F,BS!$B:$B,'BS (分析)'!$B44),0)</f>
        <v>3076</v>
      </c>
      <c r="G44" s="66">
        <f>IFERROR(SUMIFS(BS!G:G,BS!$B:$B,'BS (分析)'!$B44),0)</f>
        <v>3116</v>
      </c>
      <c r="H44" s="66">
        <f>IFERROR(SUMIFS(BS!H:H,BS!$B:$B,'BS (分析)'!$B44),0)</f>
        <v>3578</v>
      </c>
      <c r="I44" s="66">
        <f>IFERROR(SUMIFS(BS!I:I,BS!$B:$B,'BS (分析)'!$B44),0)</f>
        <v>34412</v>
      </c>
      <c r="J44" s="66">
        <f>IFERROR(SUMIFS(BS!J:J,BS!$B:$B,'BS (分析)'!$B44),0)</f>
        <v>8089</v>
      </c>
      <c r="K44" s="66">
        <f>IFERROR(SUMIFS(BS!K:K,BS!$B:$B,'BS (分析)'!$B44),0)</f>
        <v>2073</v>
      </c>
      <c r="L44" s="66">
        <f>IFERROR(SUMIFS(BS!L:L,BS!$B:$B,'BS (分析)'!$B44),0)</f>
        <v>5314</v>
      </c>
      <c r="M44" s="66">
        <f>IFERROR(SUMIFS(BS!M:M,BS!$B:$B,'BS (分析)'!$B44),0)</f>
        <v>258</v>
      </c>
      <c r="N44" s="66">
        <f>IFERROR(SUMIFS(BS!N:N,BS!$B:$B,'BS (分析)'!$B44),0)</f>
        <v>1444</v>
      </c>
      <c r="O44" s="66">
        <f>IFERROR(SUMIFS(BS!O:O,BS!$B:$B,'BS (分析)'!$B44),0)</f>
        <v>41920</v>
      </c>
    </row>
    <row r="45" spans="1:15" x14ac:dyDescent="0.25">
      <c r="B45" s="61" t="s">
        <v>1384</v>
      </c>
      <c r="C45" s="66">
        <f>IFERROR(SUMIFS(BS!C:C,BS!$B:$B,'BS (分析)'!$B45),0)</f>
        <v>864116</v>
      </c>
      <c r="D45" s="66">
        <f>IFERROR(SUMIFS(BS!D:D,BS!$B:$B,'BS (分析)'!$B45),0)</f>
        <v>541675</v>
      </c>
      <c r="E45" s="66">
        <f>IFERROR(SUMIFS(BS!E:E,BS!$B:$B,'BS (分析)'!$B45),0)</f>
        <v>225696</v>
      </c>
      <c r="F45" s="66">
        <f>IFERROR(SUMIFS(BS!F:F,BS!$B:$B,'BS (分析)'!$B45),0)</f>
        <v>890849</v>
      </c>
      <c r="G45" s="66">
        <f>IFERROR(SUMIFS(BS!G:G,BS!$B:$B,'BS (分析)'!$B45),0)</f>
        <v>1157052</v>
      </c>
      <c r="H45" s="66">
        <f>IFERROR(SUMIFS(BS!H:H,BS!$B:$B,'BS (分析)'!$B45),0)</f>
        <v>460192</v>
      </c>
      <c r="I45" s="66">
        <f>IFERROR(SUMIFS(BS!I:I,BS!$B:$B,'BS (分析)'!$B45),0)</f>
        <v>242376</v>
      </c>
      <c r="J45" s="66">
        <f>IFERROR(SUMIFS(BS!J:J,BS!$B:$B,'BS (分析)'!$B45),0)</f>
        <v>565856</v>
      </c>
      <c r="K45" s="66">
        <f>IFERROR(SUMIFS(BS!K:K,BS!$B:$B,'BS (分析)'!$B45),0)</f>
        <v>950213</v>
      </c>
      <c r="L45" s="66">
        <f>IFERROR(SUMIFS(BS!L:L,BS!$B:$B,'BS (分析)'!$B45),0)</f>
        <v>499444</v>
      </c>
      <c r="M45" s="66">
        <f>IFERROR(SUMIFS(BS!M:M,BS!$B:$B,'BS (分析)'!$B45),0)</f>
        <v>94060</v>
      </c>
      <c r="N45" s="66">
        <f>IFERROR(SUMIFS(BS!N:N,BS!$B:$B,'BS (分析)'!$B45),0)</f>
        <v>96176</v>
      </c>
      <c r="O45" s="66">
        <f>IFERROR(SUMIFS(BS!O:O,BS!$B:$B,'BS (分析)'!$B45),0)</f>
        <v>118729</v>
      </c>
    </row>
    <row r="46" spans="1:15" x14ac:dyDescent="0.25">
      <c r="B46" s="61" t="s">
        <v>1413</v>
      </c>
      <c r="C46" s="66">
        <f>IFERROR(SUMIFS(BS!C:C,BS!$B:$B,'BS (分析)'!$B46),0)</f>
        <v>212969</v>
      </c>
      <c r="D46" s="66">
        <f>IFERROR(SUMIFS(BS!D:D,BS!$B:$B,'BS (分析)'!$B46),0)</f>
        <v>291908</v>
      </c>
      <c r="E46" s="66">
        <f>IFERROR(SUMIFS(BS!E:E,BS!$B:$B,'BS (分析)'!$B46),0)</f>
        <v>299921</v>
      </c>
      <c r="F46" s="66">
        <f>IFERROR(SUMIFS(BS!F:F,BS!$B:$B,'BS (分析)'!$B46),0)</f>
        <v>219925</v>
      </c>
      <c r="G46" s="66">
        <f>IFERROR(SUMIFS(BS!G:G,BS!$B:$B,'BS (分析)'!$B46),0)</f>
        <v>621457</v>
      </c>
      <c r="H46" s="66">
        <f>IFERROR(SUMIFS(BS!H:H,BS!$B:$B,'BS (分析)'!$B46),0)</f>
        <v>386789</v>
      </c>
      <c r="I46" s="66">
        <f>IFERROR(SUMIFS(BS!I:I,BS!$B:$B,'BS (分析)'!$B46),0)</f>
        <v>87647</v>
      </c>
      <c r="J46" s="66">
        <f>IFERROR(SUMIFS(BS!J:J,BS!$B:$B,'BS (分析)'!$B46),0)</f>
        <v>166159</v>
      </c>
      <c r="K46" s="66">
        <f>IFERROR(SUMIFS(BS!K:K,BS!$B:$B,'BS (分析)'!$B46),0)</f>
        <v>146179</v>
      </c>
      <c r="L46" s="66">
        <f>IFERROR(SUMIFS(BS!L:L,BS!$B:$B,'BS (分析)'!$B46),0)</f>
        <v>103234</v>
      </c>
      <c r="M46" s="66">
        <f>IFERROR(SUMIFS(BS!M:M,BS!$B:$B,'BS (分析)'!$B46),0)</f>
        <v>46090</v>
      </c>
      <c r="N46" s="66">
        <f>IFERROR(SUMIFS(BS!N:N,BS!$B:$B,'BS (分析)'!$B46),0)</f>
        <v>6835</v>
      </c>
      <c r="O46" s="66">
        <f>IFERROR(SUMIFS(BS!O:O,BS!$B:$B,'BS (分析)'!$B46),0)</f>
        <v>5844</v>
      </c>
    </row>
    <row r="47" spans="1:15" x14ac:dyDescent="0.25">
      <c r="B47" s="61" t="s">
        <v>1416</v>
      </c>
      <c r="C47" s="66">
        <f>IFERROR(SUMIFS(BS!C:C,BS!$B:$B,'BS (分析)'!$B47),0)</f>
        <v>130284</v>
      </c>
      <c r="D47" s="66">
        <f>IFERROR(SUMIFS(BS!D:D,BS!$B:$B,'BS (分析)'!$B47),0)</f>
        <v>194070</v>
      </c>
      <c r="E47" s="66">
        <f>IFERROR(SUMIFS(BS!E:E,BS!$B:$B,'BS (分析)'!$B47),0)</f>
        <v>336692</v>
      </c>
      <c r="F47" s="66">
        <f>IFERROR(SUMIFS(BS!F:F,BS!$B:$B,'BS (分析)'!$B47),0)</f>
        <v>941295</v>
      </c>
      <c r="G47" s="66">
        <f>IFERROR(SUMIFS(BS!G:G,BS!$B:$B,'BS (分析)'!$B47),0)</f>
        <v>870218</v>
      </c>
      <c r="H47" s="66">
        <f>IFERROR(SUMIFS(BS!H:H,BS!$B:$B,'BS (分析)'!$B47),0)</f>
        <v>1613159</v>
      </c>
      <c r="I47" s="66">
        <f>IFERROR(SUMIFS(BS!I:I,BS!$B:$B,'BS (分析)'!$B47),0)</f>
        <v>1961399</v>
      </c>
      <c r="J47" s="66">
        <f>IFERROR(SUMIFS(BS!J:J,BS!$B:$B,'BS (分析)'!$B47),0)</f>
        <v>1569231</v>
      </c>
      <c r="K47" s="66">
        <f>IFERROR(SUMIFS(BS!K:K,BS!$B:$B,'BS (分析)'!$B47),0)</f>
        <v>668038</v>
      </c>
      <c r="L47" s="66">
        <f>IFERROR(SUMIFS(BS!L:L,BS!$B:$B,'BS (分析)'!$B47),0)</f>
        <v>121223</v>
      </c>
      <c r="M47" s="66">
        <f>IFERROR(SUMIFS(BS!M:M,BS!$B:$B,'BS (分析)'!$B47),0)</f>
        <v>133568</v>
      </c>
      <c r="N47" s="66">
        <f>IFERROR(SUMIFS(BS!N:N,BS!$B:$B,'BS (分析)'!$B47),0)</f>
        <v>253156</v>
      </c>
      <c r="O47" s="66">
        <f>IFERROR(SUMIFS(BS!O:O,BS!$B:$B,'BS (分析)'!$B47),0)</f>
        <v>137944</v>
      </c>
    </row>
    <row r="48" spans="1:15" x14ac:dyDescent="0.25">
      <c r="B48" s="61" t="s">
        <v>1417</v>
      </c>
      <c r="C48" s="66">
        <f>IFERROR(SUMIFS(BS!C:C,BS!$B:$B,'BS (分析)'!$B48),0)</f>
        <v>0</v>
      </c>
      <c r="D48" s="66">
        <f>IFERROR(SUMIFS(BS!D:D,BS!$B:$B,'BS (分析)'!$B48),0)</f>
        <v>403348</v>
      </c>
      <c r="E48" s="66">
        <f>IFERROR(SUMIFS(BS!E:E,BS!$B:$B,'BS (分析)'!$B48),0)</f>
        <v>420962</v>
      </c>
      <c r="F48" s="66">
        <f>IFERROR(SUMIFS(BS!F:F,BS!$B:$B,'BS (分析)'!$B48),0)</f>
        <v>418417</v>
      </c>
      <c r="G48" s="66">
        <f>IFERROR(SUMIFS(BS!G:G,BS!$B:$B,'BS (分析)'!$B48),0)</f>
        <v>49696</v>
      </c>
      <c r="H48" s="66">
        <f>IFERROR(SUMIFS(BS!H:H,BS!$B:$B,'BS (分析)'!$B48),0)</f>
        <v>49513</v>
      </c>
      <c r="I48" s="66">
        <f>IFERROR(SUMIFS(BS!I:I,BS!$B:$B,'BS (分析)'!$B48),0)</f>
        <v>49336</v>
      </c>
      <c r="J48" s="66">
        <f>IFERROR(SUMIFS(BS!J:J,BS!$B:$B,'BS (分析)'!$B48),0)</f>
        <v>49168</v>
      </c>
      <c r="K48" s="66">
        <f>IFERROR(SUMIFS(BS!K:K,BS!$B:$B,'BS (分析)'!$B48),0)</f>
        <v>49009</v>
      </c>
      <c r="L48" s="66">
        <f>IFERROR(SUMIFS(BS!L:L,BS!$B:$B,'BS (分析)'!$B48),0)</f>
        <v>48856</v>
      </c>
      <c r="M48" s="66">
        <f>IFERROR(SUMIFS(BS!M:M,BS!$B:$B,'BS (分析)'!$B48),0)</f>
        <v>48710</v>
      </c>
      <c r="N48" s="66">
        <f>IFERROR(SUMIFS(BS!N:N,BS!$B:$B,'BS (分析)'!$B48),0)</f>
        <v>48575</v>
      </c>
      <c r="O48" s="66">
        <f>IFERROR(SUMIFS(BS!O:O,BS!$B:$B,'BS (分析)'!$B48),0)</f>
        <v>48442</v>
      </c>
    </row>
    <row r="49" spans="2:15" x14ac:dyDescent="0.25">
      <c r="B49" s="61" t="s">
        <v>1418</v>
      </c>
      <c r="C49" s="66">
        <f>IFERROR(SUMIFS(BS!C:C,BS!$B:$B,'BS (分析)'!$B49),0)</f>
        <v>0</v>
      </c>
      <c r="D49" s="66">
        <f>IFERROR(SUMIFS(BS!D:D,BS!$B:$B,'BS (分析)'!$B49),0)</f>
        <v>0</v>
      </c>
      <c r="E49" s="66">
        <f>IFERROR(SUMIFS(BS!E:E,BS!$B:$B,'BS (分析)'!$B49),0)</f>
        <v>0</v>
      </c>
      <c r="F49" s="66">
        <f>IFERROR(SUMIFS(BS!F:F,BS!$B:$B,'BS (分析)'!$B49),0)</f>
        <v>0</v>
      </c>
      <c r="G49" s="66">
        <f>IFERROR(SUMIFS(BS!G:G,BS!$B:$B,'BS (分析)'!$B49),0)</f>
        <v>0</v>
      </c>
      <c r="H49" s="66">
        <f>IFERROR(SUMIFS(BS!H:H,BS!$B:$B,'BS (分析)'!$B49),0)</f>
        <v>0</v>
      </c>
      <c r="I49" s="66">
        <f>IFERROR(SUMIFS(BS!I:I,BS!$B:$B,'BS (分析)'!$B49),0)</f>
        <v>0</v>
      </c>
      <c r="J49" s="66">
        <f>IFERROR(SUMIFS(BS!J:J,BS!$B:$B,'BS (分析)'!$B49),0)</f>
        <v>0</v>
      </c>
      <c r="K49" s="66">
        <f>IFERROR(SUMIFS(BS!K:K,BS!$B:$B,'BS (分析)'!$B49),0)</f>
        <v>0</v>
      </c>
      <c r="L49" s="66">
        <f>IFERROR(SUMIFS(BS!L:L,BS!$B:$B,'BS (分析)'!$B49),0)</f>
        <v>0</v>
      </c>
      <c r="M49" s="66">
        <f>IFERROR(SUMIFS(BS!M:M,BS!$B:$B,'BS (分析)'!$B49),0)</f>
        <v>0</v>
      </c>
      <c r="N49" s="66">
        <f>IFERROR(SUMIFS(BS!N:N,BS!$B:$B,'BS (分析)'!$B49),0)</f>
        <v>0</v>
      </c>
      <c r="O49" s="66">
        <f>IFERROR(SUMIFS(BS!O:O,BS!$B:$B,'BS (分析)'!$B49),0)</f>
        <v>0</v>
      </c>
    </row>
    <row r="50" spans="2:15" x14ac:dyDescent="0.25">
      <c r="B50" s="61" t="s">
        <v>1679</v>
      </c>
      <c r="C50" s="66">
        <f>SUM(C43:C44)</f>
        <v>2189414</v>
      </c>
      <c r="D50" s="66">
        <f t="shared" ref="D50:G50" si="35">SUM(D43:D44)</f>
        <v>1354176</v>
      </c>
      <c r="E50" s="66">
        <f t="shared" si="35"/>
        <v>414372</v>
      </c>
      <c r="F50" s="66">
        <f t="shared" si="35"/>
        <v>747282</v>
      </c>
      <c r="G50" s="66">
        <f t="shared" si="35"/>
        <v>687204</v>
      </c>
      <c r="H50" s="66">
        <f t="shared" ref="H50:O50" si="36">SUM(H43:H44)</f>
        <v>608505</v>
      </c>
      <c r="I50" s="66">
        <f t="shared" si="36"/>
        <v>672441</v>
      </c>
      <c r="J50" s="66">
        <f t="shared" si="36"/>
        <v>971200</v>
      </c>
      <c r="K50" s="66">
        <f t="shared" si="36"/>
        <v>1026772</v>
      </c>
      <c r="L50" s="66">
        <f t="shared" si="36"/>
        <v>602354</v>
      </c>
      <c r="M50" s="66">
        <f t="shared" si="36"/>
        <v>307951</v>
      </c>
      <c r="N50" s="66">
        <f t="shared" si="36"/>
        <v>295200</v>
      </c>
      <c r="O50" s="66">
        <f t="shared" si="36"/>
        <v>302465</v>
      </c>
    </row>
    <row r="51" spans="2:15" x14ac:dyDescent="0.25">
      <c r="B51" s="61" t="s">
        <v>1680</v>
      </c>
      <c r="C51" s="66">
        <f>SUM(C45:C49)</f>
        <v>1207369</v>
      </c>
      <c r="D51" s="66">
        <f t="shared" ref="D51:G51" si="37">SUM(D45:D49)</f>
        <v>1431001</v>
      </c>
      <c r="E51" s="66">
        <f t="shared" si="37"/>
        <v>1283271</v>
      </c>
      <c r="F51" s="66">
        <f t="shared" si="37"/>
        <v>2470486</v>
      </c>
      <c r="G51" s="66">
        <f t="shared" si="37"/>
        <v>2698423</v>
      </c>
      <c r="H51" s="66">
        <f t="shared" ref="H51:O51" si="38">SUM(H45:H49)</f>
        <v>2509653</v>
      </c>
      <c r="I51" s="66">
        <f t="shared" si="38"/>
        <v>2340758</v>
      </c>
      <c r="J51" s="66">
        <f t="shared" si="38"/>
        <v>2350414</v>
      </c>
      <c r="K51" s="66">
        <f t="shared" si="38"/>
        <v>1813439</v>
      </c>
      <c r="L51" s="66">
        <f t="shared" si="38"/>
        <v>772757</v>
      </c>
      <c r="M51" s="66">
        <f t="shared" si="38"/>
        <v>322428</v>
      </c>
      <c r="N51" s="66">
        <f t="shared" si="38"/>
        <v>404742</v>
      </c>
      <c r="O51" s="66">
        <f t="shared" si="38"/>
        <v>310959</v>
      </c>
    </row>
    <row r="52" spans="2:15" x14ac:dyDescent="0.25">
      <c r="B52" s="133" t="s">
        <v>1681</v>
      </c>
      <c r="C52" s="134">
        <f>C50-C51</f>
        <v>982045</v>
      </c>
      <c r="D52" s="134">
        <f t="shared" ref="D52:G52" si="39">D50-D51</f>
        <v>-76825</v>
      </c>
      <c r="E52" s="134">
        <f t="shared" si="39"/>
        <v>-868899</v>
      </c>
      <c r="F52" s="134">
        <f t="shared" si="39"/>
        <v>-1723204</v>
      </c>
      <c r="G52" s="134">
        <f t="shared" si="39"/>
        <v>-2011219</v>
      </c>
      <c r="H52" s="134">
        <f t="shared" ref="H52" si="40">H50-H51</f>
        <v>-1901148</v>
      </c>
      <c r="I52" s="134">
        <f t="shared" ref="I52" si="41">I50-I51</f>
        <v>-1668317</v>
      </c>
      <c r="J52" s="134">
        <f t="shared" ref="J52" si="42">J50-J51</f>
        <v>-1379214</v>
      </c>
      <c r="K52" s="134">
        <f t="shared" ref="K52" si="43">K50-K51</f>
        <v>-786667</v>
      </c>
      <c r="L52" s="134">
        <f t="shared" ref="L52" si="44">L50-L51</f>
        <v>-170403</v>
      </c>
      <c r="M52" s="134">
        <f t="shared" ref="M52" si="45">M50-M51</f>
        <v>-14477</v>
      </c>
      <c r="N52" s="134">
        <f t="shared" ref="N52" si="46">N50-N51</f>
        <v>-109542</v>
      </c>
      <c r="O52" s="134">
        <f t="shared" ref="O52" si="47">O50-O51</f>
        <v>-8494</v>
      </c>
    </row>
    <row r="53" spans="2:15" x14ac:dyDescent="0.25">
      <c r="B53" t="s">
        <v>1513</v>
      </c>
      <c r="C53" s="64">
        <f>SUMIFS(CF数据!B:B,CF数据!$A:$A,$B53)</f>
        <v>1326538</v>
      </c>
      <c r="D53" s="64">
        <f>SUMIFS(CF数据!C:C,CF数据!$A:$A,$B53)</f>
        <v>1052690</v>
      </c>
      <c r="E53" s="64">
        <f>SUMIFS(CF数据!D:D,CF数据!$A:$A,$B53)</f>
        <v>856450</v>
      </c>
      <c r="F53" s="64">
        <f>SUMIFS(CF数据!E:E,CF数据!$A:$A,$B53)</f>
        <v>324945</v>
      </c>
      <c r="G53" s="64">
        <f>SUMIFS(CF数据!F:F,CF数据!$A:$A,$B53)</f>
        <v>213598</v>
      </c>
      <c r="H53" s="64">
        <f>SUMIFS(CF数据!G:G,CF数据!$A:$A,$B53)</f>
        <v>123194</v>
      </c>
      <c r="I53" s="64">
        <f>SUMIFS(CF数据!H:H,CF数据!$A:$A,$B53)</f>
        <v>276933</v>
      </c>
      <c r="J53" s="64">
        <f>SUMIFS(CF数据!I:I,CF数据!$A:$A,$B53)</f>
        <v>568174</v>
      </c>
      <c r="K53" s="64">
        <f>SUMIFS(CF数据!J:J,CF数据!$A:$A,$B53)</f>
        <v>227903</v>
      </c>
      <c r="L53" s="64">
        <f>SUMIFS(CF数据!K:K,CF数据!$A:$A,$B53)</f>
        <v>674912</v>
      </c>
      <c r="M53" s="64">
        <f>SUMIFS(CF数据!L:L,CF数据!$A:$A,$B53)</f>
        <v>247113</v>
      </c>
      <c r="N53" s="64">
        <f>SUMIFS(CF数据!M:M,CF数据!$A:$A,$B53)</f>
        <v>64050</v>
      </c>
      <c r="O53" s="64">
        <f>SUMIFS(CF数据!N:N,CF数据!$A:$A,$B53)</f>
        <v>63059</v>
      </c>
    </row>
    <row r="54" spans="2:15" x14ac:dyDescent="0.25">
      <c r="B54" t="s">
        <v>1810</v>
      </c>
      <c r="C54" s="64">
        <f>SUM(C52:C53)</f>
        <v>2308583</v>
      </c>
      <c r="D54" s="64">
        <f t="shared" ref="D54:O54" si="48">SUM(D52:D53)</f>
        <v>975865</v>
      </c>
      <c r="E54" s="64">
        <f t="shared" si="48"/>
        <v>-12449</v>
      </c>
      <c r="F54" s="64">
        <f t="shared" si="48"/>
        <v>-1398259</v>
      </c>
      <c r="G54" s="64">
        <f t="shared" si="48"/>
        <v>-1797621</v>
      </c>
      <c r="H54" s="64">
        <f t="shared" si="48"/>
        <v>-1777954</v>
      </c>
      <c r="I54" s="64">
        <f t="shared" si="48"/>
        <v>-1391384</v>
      </c>
      <c r="J54" s="64">
        <f t="shared" si="48"/>
        <v>-811040</v>
      </c>
      <c r="K54" s="64">
        <f t="shared" si="48"/>
        <v>-558764</v>
      </c>
      <c r="L54" s="64">
        <f t="shared" si="48"/>
        <v>504509</v>
      </c>
      <c r="M54" s="64">
        <f t="shared" si="48"/>
        <v>232636</v>
      </c>
      <c r="N54" s="64">
        <f t="shared" si="48"/>
        <v>-45492</v>
      </c>
      <c r="O54" s="64">
        <f t="shared" si="48"/>
        <v>54565</v>
      </c>
    </row>
    <row r="55" spans="2:15" x14ac:dyDescent="0.25">
      <c r="B55"/>
      <c r="C55" s="197" t="str">
        <f>IF(C52&gt;0,"优秀","差评")</f>
        <v>优秀</v>
      </c>
      <c r="D55" s="197" t="str">
        <f t="shared" ref="D55:G55" si="49">IF(D52&gt;0,"优秀","差评")</f>
        <v>差评</v>
      </c>
      <c r="E55" s="197" t="str">
        <f t="shared" si="49"/>
        <v>差评</v>
      </c>
      <c r="F55" s="197" t="str">
        <f t="shared" si="49"/>
        <v>差评</v>
      </c>
      <c r="G55" s="197" t="str">
        <f t="shared" si="49"/>
        <v>差评</v>
      </c>
      <c r="H55" s="197" t="str">
        <f t="shared" ref="H55:O55" si="50">IF(H52&gt;0,"优秀","差评")</f>
        <v>差评</v>
      </c>
      <c r="I55" s="197" t="str">
        <f t="shared" si="50"/>
        <v>差评</v>
      </c>
      <c r="J55" s="197" t="str">
        <f t="shared" si="50"/>
        <v>差评</v>
      </c>
      <c r="K55" s="197" t="str">
        <f t="shared" si="50"/>
        <v>差评</v>
      </c>
      <c r="L55" s="197" t="str">
        <f t="shared" si="50"/>
        <v>差评</v>
      </c>
      <c r="M55" s="197" t="str">
        <f t="shared" si="50"/>
        <v>差评</v>
      </c>
      <c r="N55" s="197" t="str">
        <f t="shared" si="50"/>
        <v>差评</v>
      </c>
      <c r="O55" s="197" t="str">
        <f t="shared" si="50"/>
        <v>差评</v>
      </c>
    </row>
    <row r="56" spans="2:15" ht="64.5" customHeight="1" x14ac:dyDescent="0.25">
      <c r="B56" s="204" t="s">
        <v>1785</v>
      </c>
      <c r="C56" s="204"/>
      <c r="D56" s="204"/>
      <c r="E56" s="204"/>
      <c r="F56" s="204"/>
      <c r="G56" s="204"/>
      <c r="H56" s="204"/>
    </row>
    <row r="57" spans="2:15" ht="15" x14ac:dyDescent="0.25">
      <c r="B57" s="136" t="s">
        <v>1689</v>
      </c>
      <c r="C57" s="66"/>
      <c r="D57" s="66"/>
      <c r="E57" s="66"/>
      <c r="F57" s="66"/>
      <c r="G57" s="66"/>
      <c r="H57" s="66"/>
    </row>
    <row r="58" spans="2:15" x14ac:dyDescent="0.25">
      <c r="B58" s="61" t="str">
        <f>B42</f>
        <v>三一重工</v>
      </c>
      <c r="C58" s="132">
        <v>43830</v>
      </c>
      <c r="D58" s="132">
        <v>43465</v>
      </c>
      <c r="E58" s="132">
        <v>43100</v>
      </c>
      <c r="F58" s="132">
        <v>42735</v>
      </c>
      <c r="G58" s="132">
        <v>42369</v>
      </c>
      <c r="H58" s="132">
        <v>42004</v>
      </c>
      <c r="I58" s="132">
        <v>41639</v>
      </c>
      <c r="J58" s="132">
        <v>41274</v>
      </c>
      <c r="K58" s="132">
        <v>40908</v>
      </c>
      <c r="L58" s="132">
        <v>40543</v>
      </c>
      <c r="M58" s="132">
        <v>40178</v>
      </c>
      <c r="N58" s="132">
        <v>39813</v>
      </c>
      <c r="O58" s="132">
        <v>39447</v>
      </c>
    </row>
    <row r="59" spans="2:15" x14ac:dyDescent="0.25">
      <c r="B59" s="61" t="s">
        <v>1391</v>
      </c>
      <c r="C59" s="66">
        <f>IFERROR(SUMIFS(BS!C:C,BS!$B:$B,'BS (分析)'!$B59),0)</f>
        <v>1227623</v>
      </c>
      <c r="D59" s="66">
        <f>IFERROR(SUMIFS(BS!D:D,BS!$B:$B,'BS (分析)'!$B59),0)</f>
        <v>878571</v>
      </c>
      <c r="E59" s="66">
        <f>IFERROR(SUMIFS(BS!E:E,BS!$B:$B,'BS (分析)'!$B59),0)</f>
        <v>621783</v>
      </c>
      <c r="F59" s="66">
        <f>IFERROR(SUMIFS(BS!F:F,BS!$B:$B,'BS (分析)'!$B59),0)</f>
        <v>460535</v>
      </c>
      <c r="G59" s="66">
        <f>IFERROR(SUMIFS(BS!G:G,BS!$B:$B,'BS (分析)'!$B59),0)</f>
        <v>364212</v>
      </c>
      <c r="H59" s="66">
        <f>IFERROR(SUMIFS(BS!H:H,BS!$B:$B,'BS (分析)'!$B59),0)</f>
        <v>448794</v>
      </c>
      <c r="I59" s="66">
        <f>IFERROR(SUMIFS(BS!I:I,BS!$B:$B,'BS (分析)'!$B59),0)</f>
        <v>621781</v>
      </c>
      <c r="J59" s="66">
        <f>IFERROR(SUMIFS(BS!J:J,BS!$B:$B,'BS (分析)'!$B59),0)</f>
        <v>419206</v>
      </c>
      <c r="K59" s="66">
        <f>IFERROR(SUMIFS(BS!K:K,BS!$B:$B,'BS (分析)'!$B59),0)</f>
        <v>406682</v>
      </c>
      <c r="L59" s="66">
        <f>IFERROR(SUMIFS(BS!L:L,BS!$B:$B,'BS (分析)'!$B59),0)</f>
        <v>438874</v>
      </c>
      <c r="M59" s="66">
        <f>IFERROR(SUMIFS(BS!M:M,BS!$B:$B,'BS (分析)'!$B59),0)</f>
        <v>126416</v>
      </c>
      <c r="N59" s="66">
        <f>IFERROR(SUMIFS(BS!N:N,BS!$B:$B,'BS (分析)'!$B59),0)</f>
        <v>120146</v>
      </c>
      <c r="O59" s="66">
        <f>IFERROR(SUMIFS(BS!O:O,BS!$B:$B,'BS (分析)'!$B59),0)</f>
        <v>127174</v>
      </c>
    </row>
    <row r="60" spans="2:15" x14ac:dyDescent="0.25">
      <c r="B60" s="61" t="s">
        <v>1392</v>
      </c>
      <c r="C60" s="66">
        <f>IFERROR(SUMIFS(BS!C:C,BS!$B:$B,'BS (分析)'!$B60),0)</f>
        <v>128095</v>
      </c>
      <c r="D60" s="66">
        <f>IFERROR(SUMIFS(BS!D:D,BS!$B:$B,'BS (分析)'!$B60),0)</f>
        <v>135710</v>
      </c>
      <c r="E60" s="66">
        <f>IFERROR(SUMIFS(BS!E:E,BS!$B:$B,'BS (分析)'!$B60),0)</f>
        <v>147017</v>
      </c>
      <c r="F60" s="66">
        <f>IFERROR(SUMIFS(BS!F:F,BS!$B:$B,'BS (分析)'!$B60),0)</f>
        <v>106270</v>
      </c>
      <c r="G60" s="66">
        <f>IFERROR(SUMIFS(BS!G:G,BS!$B:$B,'BS (分析)'!$B60),0)</f>
        <v>89251</v>
      </c>
      <c r="H60" s="66">
        <f>IFERROR(SUMIFS(BS!H:H,BS!$B:$B,'BS (分析)'!$B60),0)</f>
        <v>164359</v>
      </c>
      <c r="I60" s="66">
        <f>IFERROR(SUMIFS(BS!I:I,BS!$B:$B,'BS (分析)'!$B60),0)</f>
        <v>103878</v>
      </c>
      <c r="J60" s="66">
        <f>IFERROR(SUMIFS(BS!J:J,BS!$B:$B,'BS (分析)'!$B60),0)</f>
        <v>188599</v>
      </c>
      <c r="K60" s="66">
        <f>IFERROR(SUMIFS(BS!K:K,BS!$B:$B,'BS (分析)'!$B60),0)</f>
        <v>89212</v>
      </c>
      <c r="L60" s="66">
        <f>IFERROR(SUMIFS(BS!L:L,BS!$B:$B,'BS (分析)'!$B60),0)</f>
        <v>95849</v>
      </c>
      <c r="M60" s="66">
        <f>IFERROR(SUMIFS(BS!M:M,BS!$B:$B,'BS (分析)'!$B60),0)</f>
        <v>44142</v>
      </c>
      <c r="N60" s="66">
        <f>IFERROR(SUMIFS(BS!N:N,BS!$B:$B,'BS (分析)'!$B60),0)</f>
        <v>59280</v>
      </c>
      <c r="O60" s="66">
        <f>IFERROR(SUMIFS(BS!O:O,BS!$B:$B,'BS (分析)'!$B60),0)</f>
        <v>32709</v>
      </c>
    </row>
    <row r="61" spans="2:15" x14ac:dyDescent="0.25">
      <c r="B61" s="61" t="s">
        <v>1682</v>
      </c>
      <c r="C61" s="66">
        <f>IFERROR(SUMIFS(BS!C:C,BS!$B:$B,'BS (分析)'!$B61),0)</f>
        <v>0</v>
      </c>
      <c r="D61" s="66">
        <f>IFERROR(SUMIFS(BS!D:D,BS!$B:$B,'BS (分析)'!$B61),0)</f>
        <v>0</v>
      </c>
      <c r="E61" s="66">
        <f>IFERROR(SUMIFS(BS!E:E,BS!$B:$B,'BS (分析)'!$B61),0)</f>
        <v>0</v>
      </c>
      <c r="F61" s="66">
        <f>IFERROR(SUMIFS(BS!F:F,BS!$B:$B,'BS (分析)'!$B61),0)</f>
        <v>0</v>
      </c>
      <c r="G61" s="66">
        <f>IFERROR(SUMIFS(BS!G:G,BS!$B:$B,'BS (分析)'!$B61),0)</f>
        <v>0</v>
      </c>
      <c r="H61" s="66">
        <f>IFERROR(SUMIFS(BS!H:H,BS!$B:$B,'BS (分析)'!$B61),0)</f>
        <v>0</v>
      </c>
      <c r="I61" s="66">
        <f>IFERROR(SUMIFS(BS!I:I,BS!$B:$B,'BS (分析)'!$B61),0)</f>
        <v>0</v>
      </c>
      <c r="J61" s="66">
        <f>IFERROR(SUMIFS(BS!J:J,BS!$B:$B,'BS (分析)'!$B61),0)</f>
        <v>0</v>
      </c>
      <c r="K61" s="66">
        <f>IFERROR(SUMIFS(BS!K:K,BS!$B:$B,'BS (分析)'!$B61),0)</f>
        <v>0</v>
      </c>
      <c r="L61" s="66">
        <f>IFERROR(SUMIFS(BS!L:L,BS!$B:$B,'BS (分析)'!$B61),0)</f>
        <v>0</v>
      </c>
      <c r="M61" s="66">
        <f>IFERROR(SUMIFS(BS!M:M,BS!$B:$B,'BS (分析)'!$B61),0)</f>
        <v>0</v>
      </c>
      <c r="N61" s="66">
        <f>IFERROR(SUMIFS(BS!N:N,BS!$B:$B,'BS (分析)'!$B61),0)</f>
        <v>0</v>
      </c>
      <c r="O61" s="66">
        <f>IFERROR(SUMIFS(BS!O:O,BS!$B:$B,'BS (分析)'!$B61),0)</f>
        <v>0</v>
      </c>
    </row>
    <row r="62" spans="2:15" x14ac:dyDescent="0.25">
      <c r="B62" s="61" t="s">
        <v>1683</v>
      </c>
      <c r="C62" s="66">
        <f>SUM(C59:C61)</f>
        <v>1355718</v>
      </c>
      <c r="D62" s="66">
        <f t="shared" ref="D62:G62" si="51">SUM(D59:D61)</f>
        <v>1014281</v>
      </c>
      <c r="E62" s="66">
        <f t="shared" si="51"/>
        <v>768800</v>
      </c>
      <c r="F62" s="66">
        <f t="shared" si="51"/>
        <v>566805</v>
      </c>
      <c r="G62" s="66">
        <f t="shared" si="51"/>
        <v>453463</v>
      </c>
      <c r="H62" s="66">
        <f t="shared" ref="H62:O62" si="52">SUM(H59:H61)</f>
        <v>613153</v>
      </c>
      <c r="I62" s="66">
        <f t="shared" si="52"/>
        <v>725659</v>
      </c>
      <c r="J62" s="66">
        <f t="shared" si="52"/>
        <v>607805</v>
      </c>
      <c r="K62" s="66">
        <f t="shared" si="52"/>
        <v>495894</v>
      </c>
      <c r="L62" s="66">
        <f t="shared" si="52"/>
        <v>534723</v>
      </c>
      <c r="M62" s="66">
        <f t="shared" si="52"/>
        <v>170558</v>
      </c>
      <c r="N62" s="66">
        <f t="shared" si="52"/>
        <v>179426</v>
      </c>
      <c r="O62" s="66">
        <f t="shared" si="52"/>
        <v>159883</v>
      </c>
    </row>
    <row r="63" spans="2:15" x14ac:dyDescent="0.25">
      <c r="B63" s="61" t="s">
        <v>1337</v>
      </c>
      <c r="C63" s="66">
        <f>IFERROR(SUMIFS(BS!C:C,BS!$B:$B,'BS (分析)'!$B63),0)</f>
        <v>0</v>
      </c>
      <c r="D63" s="66">
        <f>IFERROR(SUMIFS(BS!D:D,BS!$B:$B,'BS (分析)'!$B63),0)</f>
        <v>66864</v>
      </c>
      <c r="E63" s="66">
        <f>IFERROR(SUMIFS(BS!E:E,BS!$B:$B,'BS (分析)'!$B63),0)</f>
        <v>87377</v>
      </c>
      <c r="F63" s="66">
        <f>IFERROR(SUMIFS(BS!F:F,BS!$B:$B,'BS (分析)'!$B63),0)</f>
        <v>28301</v>
      </c>
      <c r="G63" s="66">
        <f>IFERROR(SUMIFS(BS!G:G,BS!$B:$B,'BS (分析)'!$B63),0)</f>
        <v>54732</v>
      </c>
      <c r="H63" s="66">
        <f>IFERROR(SUMIFS(BS!H:H,BS!$B:$B,'BS (分析)'!$B63),0)</f>
        <v>121498</v>
      </c>
      <c r="I63" s="66">
        <f>IFERROR(SUMIFS(BS!I:I,BS!$B:$B,'BS (分析)'!$B63),0)</f>
        <v>106586</v>
      </c>
      <c r="J63" s="66">
        <f>IFERROR(SUMIFS(BS!J:J,BS!$B:$B,'BS (分析)'!$B63),0)</f>
        <v>170678</v>
      </c>
      <c r="K63" s="66">
        <f>IFERROR(SUMIFS(BS!K:K,BS!$B:$B,'BS (分析)'!$B63),0)</f>
        <v>105092</v>
      </c>
      <c r="L63" s="66">
        <f>IFERROR(SUMIFS(BS!L:L,BS!$B:$B,'BS (分析)'!$B63),0)</f>
        <v>111317</v>
      </c>
      <c r="M63" s="66">
        <f>IFERROR(SUMIFS(BS!M:M,BS!$B:$B,'BS (分析)'!$B63),0)</f>
        <v>18387</v>
      </c>
      <c r="N63" s="66">
        <f>IFERROR(SUMIFS(BS!N:N,BS!$B:$B,'BS (分析)'!$B63),0)</f>
        <v>18956</v>
      </c>
      <c r="O63" s="66">
        <f>IFERROR(SUMIFS(BS!O:O,BS!$B:$B,'BS (分析)'!$B63),0)</f>
        <v>33188</v>
      </c>
    </row>
    <row r="64" spans="2:15" x14ac:dyDescent="0.25">
      <c r="B64" s="61" t="s">
        <v>1338</v>
      </c>
      <c r="C64" s="66">
        <f>IFERROR(SUMIFS(BS!C:C,BS!$B:$B,'BS (分析)'!$B64),0)</f>
        <v>2179289</v>
      </c>
      <c r="D64" s="66">
        <f>IFERROR(SUMIFS(BS!D:D,BS!$B:$B,'BS (分析)'!$B64),0)</f>
        <v>2013336</v>
      </c>
      <c r="E64" s="66">
        <f>IFERROR(SUMIFS(BS!E:E,BS!$B:$B,'BS (分析)'!$B64),0)</f>
        <v>1836563</v>
      </c>
      <c r="F64" s="66">
        <f>IFERROR(SUMIFS(BS!F:F,BS!$B:$B,'BS (分析)'!$B64),0)</f>
        <v>1808479</v>
      </c>
      <c r="G64" s="66">
        <f>IFERROR(SUMIFS(BS!G:G,BS!$B:$B,'BS (分析)'!$B64),0)</f>
        <v>2096139</v>
      </c>
      <c r="H64" s="66">
        <f>IFERROR(SUMIFS(BS!H:H,BS!$B:$B,'BS (分析)'!$B64),0)</f>
        <v>1985131</v>
      </c>
      <c r="I64" s="66">
        <f>IFERROR(SUMIFS(BS!I:I,BS!$B:$B,'BS (分析)'!$B64),0)</f>
        <v>1872766</v>
      </c>
      <c r="J64" s="66">
        <f>IFERROR(SUMIFS(BS!J:J,BS!$B:$B,'BS (分析)'!$B64),0)</f>
        <v>1497445</v>
      </c>
      <c r="K64" s="66">
        <f>IFERROR(SUMIFS(BS!K:K,BS!$B:$B,'BS (分析)'!$B64),0)</f>
        <v>1130487</v>
      </c>
      <c r="L64" s="66">
        <f>IFERROR(SUMIFS(BS!L:L,BS!$B:$B,'BS (分析)'!$B64),0)</f>
        <v>572791</v>
      </c>
      <c r="M64" s="66">
        <f>IFERROR(SUMIFS(BS!M:M,BS!$B:$B,'BS (分析)'!$B64),0)</f>
        <v>385152</v>
      </c>
      <c r="N64" s="66">
        <f>IFERROR(SUMIFS(BS!N:N,BS!$B:$B,'BS (分析)'!$B64),0)</f>
        <v>310186</v>
      </c>
      <c r="O64" s="66">
        <f>IFERROR(SUMIFS(BS!O:O,BS!$B:$B,'BS (分析)'!$B64),0)</f>
        <v>206650</v>
      </c>
    </row>
    <row r="65" spans="2:16" x14ac:dyDescent="0.25">
      <c r="B65" s="61" t="s">
        <v>1339</v>
      </c>
      <c r="C65" s="66">
        <f>IFERROR(SUMIFS(BS!C:C,BS!$B:$B,'BS (分析)'!$B65),0)</f>
        <v>63359</v>
      </c>
      <c r="D65" s="66">
        <f>IFERROR(SUMIFS(BS!D:D,BS!$B:$B,'BS (分析)'!$B65),0)</f>
        <v>98165</v>
      </c>
      <c r="E65" s="66">
        <f>IFERROR(SUMIFS(BS!E:E,BS!$B:$B,'BS (分析)'!$B65),0)</f>
        <v>69744</v>
      </c>
      <c r="F65" s="66">
        <f>IFERROR(SUMIFS(BS!F:F,BS!$B:$B,'BS (分析)'!$B65),0)</f>
        <v>33741</v>
      </c>
      <c r="G65" s="66">
        <f>IFERROR(SUMIFS(BS!G:G,BS!$B:$B,'BS (分析)'!$B65),0)</f>
        <v>25039</v>
      </c>
      <c r="H65" s="66">
        <f>IFERROR(SUMIFS(BS!H:H,BS!$B:$B,'BS (分析)'!$B65),0)</f>
        <v>28838</v>
      </c>
      <c r="I65" s="66">
        <f>IFERROR(SUMIFS(BS!I:I,BS!$B:$B,'BS (分析)'!$B65),0)</f>
        <v>56659</v>
      </c>
      <c r="J65" s="66">
        <f>IFERROR(SUMIFS(BS!J:J,BS!$B:$B,'BS (分析)'!$B65),0)</f>
        <v>99725</v>
      </c>
      <c r="K65" s="66">
        <f>IFERROR(SUMIFS(BS!K:K,BS!$B:$B,'BS (分析)'!$B65),0)</f>
        <v>197712</v>
      </c>
      <c r="L65" s="66">
        <f>IFERROR(SUMIFS(BS!L:L,BS!$B:$B,'BS (分析)'!$B65),0)</f>
        <v>133536</v>
      </c>
      <c r="M65" s="66">
        <f>IFERROR(SUMIFS(BS!M:M,BS!$B:$B,'BS (分析)'!$B65),0)</f>
        <v>51180</v>
      </c>
      <c r="N65" s="66">
        <f>IFERROR(SUMIFS(BS!N:N,BS!$B:$B,'BS (分析)'!$B65),0)</f>
        <v>66942</v>
      </c>
      <c r="O65" s="66">
        <f>IFERROR(SUMIFS(BS!O:O,BS!$B:$B,'BS (分析)'!$B65),0)</f>
        <v>49126</v>
      </c>
    </row>
    <row r="66" spans="2:16" x14ac:dyDescent="0.25">
      <c r="B66" s="61" t="s">
        <v>1685</v>
      </c>
      <c r="C66" s="66">
        <f>IFERROR(SUMIFS(BS!C:C,BS!$B:$B,'BS (分析)'!$B66),0)</f>
        <v>0</v>
      </c>
      <c r="D66" s="66">
        <f>IFERROR(SUMIFS(BS!D:D,BS!$B:$B,'BS (分析)'!$B66),0)</f>
        <v>0</v>
      </c>
      <c r="E66" s="66">
        <f>IFERROR(SUMIFS(BS!E:E,BS!$B:$B,'BS (分析)'!$B66),0)</f>
        <v>0</v>
      </c>
      <c r="F66" s="66">
        <f>IFERROR(SUMIFS(BS!F:F,BS!$B:$B,'BS (分析)'!$B66),0)</f>
        <v>0</v>
      </c>
      <c r="G66" s="66">
        <f>IFERROR(SUMIFS(BS!G:G,BS!$B:$B,'BS (分析)'!$B66),0)</f>
        <v>0</v>
      </c>
      <c r="H66" s="66">
        <f>IFERROR(SUMIFS(BS!H:H,BS!$B:$B,'BS (分析)'!$B66),0)</f>
        <v>0</v>
      </c>
      <c r="I66" s="66">
        <f>IFERROR(SUMIFS(BS!I:I,BS!$B:$B,'BS (分析)'!$B66),0)</f>
        <v>0</v>
      </c>
      <c r="J66" s="66">
        <f>IFERROR(SUMIFS(BS!J:J,BS!$B:$B,'BS (分析)'!$B66),0)</f>
        <v>0</v>
      </c>
      <c r="K66" s="66">
        <f>IFERROR(SUMIFS(BS!K:K,BS!$B:$B,'BS (分析)'!$B66),0)</f>
        <v>0</v>
      </c>
      <c r="L66" s="66">
        <f>IFERROR(SUMIFS(BS!L:L,BS!$B:$B,'BS (分析)'!$B66),0)</f>
        <v>0</v>
      </c>
      <c r="M66" s="66">
        <f>IFERROR(SUMIFS(BS!M:M,BS!$B:$B,'BS (分析)'!$B66),0)</f>
        <v>0</v>
      </c>
      <c r="N66" s="66">
        <f>IFERROR(SUMIFS(BS!N:N,BS!$B:$B,'BS (分析)'!$B66),0)</f>
        <v>0</v>
      </c>
      <c r="O66" s="66">
        <f>IFERROR(SUMIFS(BS!O:O,BS!$B:$B,'BS (分析)'!$B66),0)</f>
        <v>0</v>
      </c>
    </row>
    <row r="67" spans="2:16" x14ac:dyDescent="0.25">
      <c r="B67" s="61" t="s">
        <v>1686</v>
      </c>
      <c r="C67" s="66">
        <f>SUM(C63:C66)</f>
        <v>2242648</v>
      </c>
      <c r="D67" s="66">
        <f t="shared" ref="D67:G67" si="53">SUM(D63:D66)</f>
        <v>2178365</v>
      </c>
      <c r="E67" s="66">
        <f t="shared" si="53"/>
        <v>1993684</v>
      </c>
      <c r="F67" s="66">
        <f t="shared" si="53"/>
        <v>1870521</v>
      </c>
      <c r="G67" s="66">
        <f t="shared" si="53"/>
        <v>2175910</v>
      </c>
      <c r="H67" s="66">
        <f t="shared" ref="H67:O67" si="54">SUM(H63:H66)</f>
        <v>2135467</v>
      </c>
      <c r="I67" s="66">
        <f t="shared" si="54"/>
        <v>2036011</v>
      </c>
      <c r="J67" s="66">
        <f t="shared" si="54"/>
        <v>1767848</v>
      </c>
      <c r="K67" s="66">
        <f t="shared" si="54"/>
        <v>1433291</v>
      </c>
      <c r="L67" s="66">
        <f t="shared" si="54"/>
        <v>817644</v>
      </c>
      <c r="M67" s="66">
        <f t="shared" si="54"/>
        <v>454719</v>
      </c>
      <c r="N67" s="66">
        <f t="shared" si="54"/>
        <v>396084</v>
      </c>
      <c r="O67" s="66">
        <f t="shared" si="54"/>
        <v>288964</v>
      </c>
    </row>
    <row r="68" spans="2:16" x14ac:dyDescent="0.25">
      <c r="B68" s="133" t="s">
        <v>1687</v>
      </c>
      <c r="C68" s="134">
        <f>C62-C67</f>
        <v>-886930</v>
      </c>
      <c r="D68" s="134">
        <f t="shared" ref="D68:G68" si="55">D62-D67</f>
        <v>-1164084</v>
      </c>
      <c r="E68" s="134">
        <f t="shared" si="55"/>
        <v>-1224884</v>
      </c>
      <c r="F68" s="134">
        <f t="shared" si="55"/>
        <v>-1303716</v>
      </c>
      <c r="G68" s="134">
        <f t="shared" si="55"/>
        <v>-1722447</v>
      </c>
      <c r="H68" s="134">
        <f t="shared" ref="H68:O68" si="56">H62-H67</f>
        <v>-1522314</v>
      </c>
      <c r="I68" s="134">
        <f t="shared" si="56"/>
        <v>-1310352</v>
      </c>
      <c r="J68" s="134">
        <f t="shared" si="56"/>
        <v>-1160043</v>
      </c>
      <c r="K68" s="134">
        <f t="shared" si="56"/>
        <v>-937397</v>
      </c>
      <c r="L68" s="134">
        <f t="shared" si="56"/>
        <v>-282921</v>
      </c>
      <c r="M68" s="134">
        <f t="shared" si="56"/>
        <v>-284161</v>
      </c>
      <c r="N68" s="134">
        <f t="shared" si="56"/>
        <v>-216658</v>
      </c>
      <c r="O68" s="134">
        <f t="shared" si="56"/>
        <v>-129081</v>
      </c>
    </row>
    <row r="69" spans="2:16" x14ac:dyDescent="0.25">
      <c r="C69" s="198" t="str">
        <f>IF(C68&gt;0,"优秀","差评")</f>
        <v>差评</v>
      </c>
      <c r="D69" s="198" t="str">
        <f t="shared" ref="D69:N69" si="57">IF(D68&gt;0,"优秀","差评")</f>
        <v>差评</v>
      </c>
      <c r="E69" s="198" t="str">
        <f t="shared" si="57"/>
        <v>差评</v>
      </c>
      <c r="F69" s="198" t="str">
        <f t="shared" si="57"/>
        <v>差评</v>
      </c>
      <c r="G69" s="198" t="str">
        <f t="shared" si="57"/>
        <v>差评</v>
      </c>
      <c r="H69" s="198" t="str">
        <f t="shared" si="57"/>
        <v>差评</v>
      </c>
      <c r="I69" s="198" t="str">
        <f t="shared" si="57"/>
        <v>差评</v>
      </c>
      <c r="J69" s="198" t="str">
        <f t="shared" si="57"/>
        <v>差评</v>
      </c>
      <c r="K69" s="198" t="str">
        <f t="shared" si="57"/>
        <v>差评</v>
      </c>
      <c r="L69" s="198" t="str">
        <f t="shared" si="57"/>
        <v>差评</v>
      </c>
      <c r="M69" s="198" t="str">
        <f t="shared" si="57"/>
        <v>差评</v>
      </c>
      <c r="N69" s="198" t="str">
        <f t="shared" si="57"/>
        <v>差评</v>
      </c>
      <c r="O69" s="198" t="str">
        <f t="shared" ref="O69" si="58">IF(O68&lt;0,"优秀","差评")</f>
        <v>优秀</v>
      </c>
    </row>
    <row r="70" spans="2:16" ht="58.5" customHeight="1" x14ac:dyDescent="0.25">
      <c r="B70" s="204" t="s">
        <v>1786</v>
      </c>
      <c r="C70" s="204"/>
      <c r="D70" s="204"/>
      <c r="E70" s="204"/>
      <c r="F70" s="204"/>
      <c r="G70" s="204"/>
      <c r="H70" s="204"/>
    </row>
    <row r="71" spans="2:16" x14ac:dyDescent="0.25">
      <c r="C71" s="66"/>
      <c r="D71" s="66"/>
      <c r="E71" s="66"/>
      <c r="F71" s="66"/>
      <c r="G71" s="66"/>
      <c r="H71" s="66"/>
    </row>
    <row r="72" spans="2:16" ht="15" x14ac:dyDescent="0.25">
      <c r="B72" s="136" t="s">
        <v>1690</v>
      </c>
      <c r="C72" s="66"/>
      <c r="D72" s="66"/>
      <c r="E72" s="66"/>
      <c r="F72" s="66"/>
      <c r="G72" s="66"/>
      <c r="H72" s="66"/>
    </row>
    <row r="73" spans="2:16" x14ac:dyDescent="0.25">
      <c r="B73" s="61" t="str">
        <f>B58</f>
        <v>三一重工</v>
      </c>
      <c r="C73" s="132">
        <v>43830</v>
      </c>
      <c r="D73" s="132">
        <v>43465</v>
      </c>
      <c r="E73" s="132">
        <v>43100</v>
      </c>
      <c r="F73" s="132">
        <v>42735</v>
      </c>
      <c r="G73" s="132">
        <v>42369</v>
      </c>
      <c r="H73" s="132">
        <v>42004</v>
      </c>
      <c r="I73" s="132">
        <v>41639</v>
      </c>
      <c r="J73" s="132">
        <v>41274</v>
      </c>
      <c r="K73" s="132">
        <v>40908</v>
      </c>
      <c r="L73" s="132">
        <v>40543</v>
      </c>
      <c r="M73" s="132">
        <v>40178</v>
      </c>
      <c r="N73" s="132">
        <v>39813</v>
      </c>
      <c r="O73" s="132">
        <v>39447</v>
      </c>
      <c r="P73" s="132">
        <v>39082</v>
      </c>
    </row>
    <row r="74" spans="2:16" x14ac:dyDescent="0.25">
      <c r="B74" s="61" t="s">
        <v>1684</v>
      </c>
      <c r="C74" s="66">
        <f>IFERROR(SUMIFS(BS!C:C,BS!$B:$B,'BS (分析)'!$B74),0)</f>
        <v>0</v>
      </c>
      <c r="D74" s="66">
        <f>IFERROR(SUMIFS(BS!D:D,BS!$B:$B,'BS (分析)'!$B74),0)</f>
        <v>0</v>
      </c>
      <c r="E74" s="66">
        <f>IFERROR(SUMIFS(BS!E:E,BS!$B:$B,'BS (分析)'!$B74),0)</f>
        <v>0</v>
      </c>
      <c r="F74" s="66">
        <f>IFERROR(SUMIFS(BS!F:F,BS!$B:$B,'BS (分析)'!$B74),0)</f>
        <v>0</v>
      </c>
      <c r="G74" s="66">
        <f>IFERROR(SUMIFS(BS!G:G,BS!$B:$B,'BS (分析)'!$B74),0)</f>
        <v>0</v>
      </c>
      <c r="H74" s="66">
        <f>IFERROR(SUMIFS(BS!H:H,BS!$B:$B,'BS (分析)'!$B74),0)</f>
        <v>0</v>
      </c>
      <c r="I74" s="66">
        <f>IFERROR(SUMIFS(BS!I:I,BS!$B:$B,'BS (分析)'!$B74),0)</f>
        <v>0</v>
      </c>
      <c r="J74" s="66">
        <f>IFERROR(SUMIFS(BS!J:J,BS!$B:$B,'BS (分析)'!$B74),0)</f>
        <v>0</v>
      </c>
      <c r="K74" s="66">
        <f>IFERROR(SUMIFS(BS!K:K,BS!$B:$B,'BS (分析)'!$B74),0)</f>
        <v>0</v>
      </c>
      <c r="L74" s="66">
        <f>IFERROR(SUMIFS(BS!L:L,BS!$B:$B,'BS (分析)'!$B74),0)</f>
        <v>0</v>
      </c>
      <c r="M74" s="66">
        <f>IFERROR(SUMIFS(BS!M:M,BS!$B:$B,'BS (分析)'!$B74),0)</f>
        <v>0</v>
      </c>
      <c r="N74" s="66">
        <f>IFERROR(SUMIFS(BS!N:N,BS!$B:$B,'BS (分析)'!$B74),0)</f>
        <v>0</v>
      </c>
      <c r="O74" s="66">
        <f>IFERROR(SUMIFS(BS!O:O,BS!$B:$B,'BS (分析)'!$B74),0)</f>
        <v>0</v>
      </c>
      <c r="P74" s="66">
        <f>IFERROR(SUMIFS(BS!P:P,BS!$B:$B,'BS (分析)'!$B74),0)</f>
        <v>0</v>
      </c>
    </row>
    <row r="75" spans="2:16" x14ac:dyDescent="0.25">
      <c r="B75" s="61" t="s">
        <v>1338</v>
      </c>
      <c r="C75" s="66">
        <f>IFERROR(SUMIFS(BS!C:C,BS!$B:$B,'BS (分析)'!$B75),0)</f>
        <v>2179289</v>
      </c>
      <c r="D75" s="66">
        <f>IFERROR(SUMIFS(BS!D:D,BS!$B:$B,'BS (分析)'!$B75),0)</f>
        <v>2013336</v>
      </c>
      <c r="E75" s="66">
        <f>IFERROR(SUMIFS(BS!E:E,BS!$B:$B,'BS (分析)'!$B75),0)</f>
        <v>1836563</v>
      </c>
      <c r="F75" s="66">
        <f>IFERROR(SUMIFS(BS!F:F,BS!$B:$B,'BS (分析)'!$B75),0)</f>
        <v>1808479</v>
      </c>
      <c r="G75" s="66">
        <f>IFERROR(SUMIFS(BS!G:G,BS!$B:$B,'BS (分析)'!$B75),0)</f>
        <v>2096139</v>
      </c>
      <c r="H75" s="66">
        <f>IFERROR(SUMIFS(BS!H:H,BS!$B:$B,'BS (分析)'!$B75),0)</f>
        <v>1985131</v>
      </c>
      <c r="I75" s="66">
        <f>IFERROR(SUMIFS(BS!I:I,BS!$B:$B,'BS (分析)'!$B75),0)</f>
        <v>1872766</v>
      </c>
      <c r="J75" s="66">
        <f>IFERROR(SUMIFS(BS!J:J,BS!$B:$B,'BS (分析)'!$B75),0)</f>
        <v>1497445</v>
      </c>
      <c r="K75" s="66">
        <f>IFERROR(SUMIFS(BS!K:K,BS!$B:$B,'BS (分析)'!$B75),0)</f>
        <v>1130487</v>
      </c>
      <c r="L75" s="66">
        <f>IFERROR(SUMIFS(BS!L:L,BS!$B:$B,'BS (分析)'!$B75),0)</f>
        <v>572791</v>
      </c>
      <c r="M75" s="66">
        <f>IFERROR(SUMIFS(BS!M:M,BS!$B:$B,'BS (分析)'!$B75),0)</f>
        <v>385152</v>
      </c>
      <c r="N75" s="66">
        <f>IFERROR(SUMIFS(BS!N:N,BS!$B:$B,'BS (分析)'!$B75),0)</f>
        <v>310186</v>
      </c>
      <c r="O75" s="66">
        <f>IFERROR(SUMIFS(BS!O:O,BS!$B:$B,'BS (分析)'!$B75),0)</f>
        <v>206650</v>
      </c>
      <c r="P75" s="66">
        <f>IFERROR(SUMIFS(BS!P:P,BS!$B:$B,'BS (分析)'!$B75),0)</f>
        <v>0</v>
      </c>
    </row>
    <row r="76" spans="2:16" x14ac:dyDescent="0.25">
      <c r="B76" s="61" t="s">
        <v>1383</v>
      </c>
      <c r="C76" s="66">
        <f>IFERROR(SUMIFS(BS!C:C,BS!$B:$B,'BS (分析)'!$B76),0)</f>
        <v>8981016</v>
      </c>
      <c r="D76" s="66">
        <f>IFERROR(SUMIFS(BS!D:D,BS!$B:$B,'BS (分析)'!$B76),0)</f>
        <v>7377471</v>
      </c>
      <c r="E76" s="66">
        <f>IFERROR(SUMIFS(BS!E:E,BS!$B:$B,'BS (分析)'!$B76),0)</f>
        <v>5823771</v>
      </c>
      <c r="F76" s="66">
        <f>IFERROR(SUMIFS(BS!F:F,BS!$B:$B,'BS (分析)'!$B76),0)</f>
        <v>6155497</v>
      </c>
      <c r="G76" s="66">
        <f>IFERROR(SUMIFS(BS!G:G,BS!$B:$B,'BS (分析)'!$B76),0)</f>
        <v>6122776</v>
      </c>
      <c r="H76" s="66">
        <f>IFERROR(SUMIFS(BS!H:H,BS!$B:$B,'BS (分析)'!$B76),0)</f>
        <v>6300946</v>
      </c>
      <c r="I76" s="66">
        <f>IFERROR(SUMIFS(BS!I:I,BS!$B:$B,'BS (分析)'!$B76),0)</f>
        <v>6386780</v>
      </c>
      <c r="J76" s="66">
        <f>IFERROR(SUMIFS(BS!J:J,BS!$B:$B,'BS (分析)'!$B76),0)</f>
        <v>6446142</v>
      </c>
      <c r="K76" s="66">
        <f>IFERROR(SUMIFS(BS!K:K,BS!$B:$B,'BS (分析)'!$B76),0)</f>
        <v>5130673</v>
      </c>
      <c r="L76" s="66">
        <f>IFERROR(SUMIFS(BS!L:L,BS!$B:$B,'BS (分析)'!$B76),0)</f>
        <v>3134078</v>
      </c>
      <c r="M76" s="66">
        <f>IFERROR(SUMIFS(BS!M:M,BS!$B:$B,'BS (分析)'!$B76),0)</f>
        <v>1583700</v>
      </c>
      <c r="N76" s="66">
        <f>IFERROR(SUMIFS(BS!N:N,BS!$B:$B,'BS (分析)'!$B76),0)</f>
        <v>1396733</v>
      </c>
      <c r="O76" s="66">
        <f>IFERROR(SUMIFS(BS!O:O,BS!$B:$B,'BS (分析)'!$B76),0)</f>
        <v>1117913</v>
      </c>
      <c r="P76" s="66">
        <f>IFERROR(SUMIFS(BS!P:P,BS!$B:$B,'BS (分析)'!$B76),0)</f>
        <v>0</v>
      </c>
    </row>
    <row r="77" spans="2:16" x14ac:dyDescent="0.25">
      <c r="B77" s="133" t="s">
        <v>1688</v>
      </c>
      <c r="C77" s="135">
        <f>SUM(C74:C75)/C76</f>
        <v>0.24265506263433892</v>
      </c>
      <c r="D77" s="135">
        <f t="shared" ref="D77:G77" si="59">SUM(D74:D75)/D76</f>
        <v>0.27290327539071318</v>
      </c>
      <c r="E77" s="135">
        <f t="shared" si="59"/>
        <v>0.31535632153118659</v>
      </c>
      <c r="F77" s="135">
        <f t="shared" si="59"/>
        <v>0.29379902223979637</v>
      </c>
      <c r="G77" s="135">
        <f t="shared" si="59"/>
        <v>0.34235108388743929</v>
      </c>
      <c r="H77" s="135">
        <f t="shared" ref="H77:P77" si="60">SUM(H74:H75)/H76</f>
        <v>0.31505285079415057</v>
      </c>
      <c r="I77" s="135">
        <f t="shared" si="60"/>
        <v>0.29322538117799579</v>
      </c>
      <c r="J77" s="135">
        <f t="shared" si="60"/>
        <v>0.2323009638943728</v>
      </c>
      <c r="K77" s="135">
        <f t="shared" si="60"/>
        <v>0.22033893019492765</v>
      </c>
      <c r="L77" s="135">
        <f t="shared" si="60"/>
        <v>0.18276220311045227</v>
      </c>
      <c r="M77" s="135">
        <f t="shared" si="60"/>
        <v>0.24319757529835195</v>
      </c>
      <c r="N77" s="135">
        <f t="shared" si="60"/>
        <v>0.22207966733799517</v>
      </c>
      <c r="O77" s="135">
        <f t="shared" si="60"/>
        <v>0.18485338304501334</v>
      </c>
      <c r="P77" s="135" t="e">
        <f t="shared" si="60"/>
        <v>#DIV/0!</v>
      </c>
    </row>
    <row r="78" spans="2:16" x14ac:dyDescent="0.25">
      <c r="B78" s="61" t="s">
        <v>1774</v>
      </c>
      <c r="C78" s="196" t="str">
        <f>IF(C77&lt;1%,"最优秀",IF(C77&lt;3%,"优秀",IF(C77&lt;10%,"一般","淘汰")))</f>
        <v>淘汰</v>
      </c>
      <c r="D78" s="196" t="str">
        <f t="shared" ref="D78:G78" si="61">IF(D77&lt;1%,"最优秀",IF(D77&lt;3%,"优秀",IF(D77&lt;10%,"一般","淘汰")))</f>
        <v>淘汰</v>
      </c>
      <c r="E78" s="196" t="str">
        <f t="shared" si="61"/>
        <v>淘汰</v>
      </c>
      <c r="F78" s="196" t="str">
        <f t="shared" si="61"/>
        <v>淘汰</v>
      </c>
      <c r="G78" s="196" t="str">
        <f t="shared" si="61"/>
        <v>淘汰</v>
      </c>
      <c r="H78" s="196" t="str">
        <f t="shared" ref="H78" si="62">IF(H77&lt;1%,"最优秀",IF(H77&lt;3%,"优秀",IF(H77&lt;10%,"一般","淘汰")))</f>
        <v>淘汰</v>
      </c>
      <c r="I78" s="196" t="str">
        <f t="shared" ref="I78" si="63">IF(I77&lt;1%,"最优秀",IF(I77&lt;3%,"优秀",IF(I77&lt;10%,"一般","淘汰")))</f>
        <v>淘汰</v>
      </c>
      <c r="J78" s="196" t="str">
        <f t="shared" ref="J78" si="64">IF(J77&lt;1%,"最优秀",IF(J77&lt;3%,"优秀",IF(J77&lt;10%,"一般","淘汰")))</f>
        <v>淘汰</v>
      </c>
      <c r="K78" s="196" t="str">
        <f t="shared" ref="K78" si="65">IF(K77&lt;1%,"最优秀",IF(K77&lt;3%,"优秀",IF(K77&lt;10%,"一般","淘汰")))</f>
        <v>淘汰</v>
      </c>
      <c r="L78" s="196" t="str">
        <f t="shared" ref="L78" si="66">IF(L77&lt;1%,"最优秀",IF(L77&lt;3%,"优秀",IF(L77&lt;10%,"一般","淘汰")))</f>
        <v>淘汰</v>
      </c>
      <c r="M78" s="196" t="str">
        <f t="shared" ref="M78" si="67">IF(M77&lt;1%,"最优秀",IF(M77&lt;3%,"优秀",IF(M77&lt;10%,"一般","淘汰")))</f>
        <v>淘汰</v>
      </c>
      <c r="N78" s="196" t="str">
        <f t="shared" ref="N78" si="68">IF(N77&lt;1%,"最优秀",IF(N77&lt;3%,"优秀",IF(N77&lt;10%,"一般","淘汰")))</f>
        <v>淘汰</v>
      </c>
      <c r="O78" s="196" t="str">
        <f t="shared" ref="O78" si="69">IF(O77&lt;1%,"最优秀",IF(O77&lt;3%,"优秀",IF(O77&lt;10%,"一般","淘汰")))</f>
        <v>淘汰</v>
      </c>
      <c r="P78" s="196" t="e">
        <f t="shared" ref="P78" si="70">IF(P77&lt;1%,"最优秀",IF(P77&lt;3%,"优秀",IF(P77&lt;10%,"一般","淘汰")))</f>
        <v>#DIV/0!</v>
      </c>
    </row>
    <row r="79" spans="2:16" ht="36.75" customHeight="1" x14ac:dyDescent="0.25">
      <c r="B79" s="204" t="s">
        <v>1787</v>
      </c>
      <c r="C79" s="204"/>
      <c r="D79" s="204"/>
      <c r="E79" s="204"/>
      <c r="F79" s="204"/>
      <c r="G79" s="204"/>
      <c r="H79" s="204"/>
    </row>
    <row r="80" spans="2:16" x14ac:dyDescent="0.25">
      <c r="C80" s="66"/>
      <c r="D80" s="66"/>
      <c r="E80" s="66"/>
      <c r="F80" s="66"/>
      <c r="G80" s="66"/>
      <c r="H80" s="66"/>
    </row>
    <row r="81" spans="2:16" ht="15" x14ac:dyDescent="0.25">
      <c r="B81" s="136" t="s">
        <v>1716</v>
      </c>
      <c r="C81" s="66"/>
      <c r="D81" s="66"/>
      <c r="E81" s="66"/>
      <c r="F81" s="66"/>
      <c r="G81" s="66"/>
      <c r="H81" s="66"/>
    </row>
    <row r="82" spans="2:16" x14ac:dyDescent="0.25">
      <c r="B82" s="61" t="str">
        <f>B58</f>
        <v>三一重工</v>
      </c>
      <c r="C82" s="132">
        <v>43830</v>
      </c>
      <c r="D82" s="132">
        <v>43465</v>
      </c>
      <c r="E82" s="132">
        <v>43100</v>
      </c>
      <c r="F82" s="132">
        <v>42735</v>
      </c>
      <c r="G82" s="132">
        <v>42369</v>
      </c>
      <c r="H82" s="132">
        <v>42004</v>
      </c>
      <c r="I82" s="132">
        <v>41639</v>
      </c>
      <c r="J82" s="132">
        <v>41274</v>
      </c>
      <c r="K82" s="132">
        <v>40908</v>
      </c>
      <c r="L82" s="132">
        <v>40543</v>
      </c>
      <c r="M82" s="132">
        <v>40178</v>
      </c>
      <c r="N82" s="132">
        <v>39813</v>
      </c>
      <c r="O82" s="132">
        <v>39447</v>
      </c>
      <c r="P82" s="132">
        <v>39082</v>
      </c>
    </row>
    <row r="83" spans="2:16" x14ac:dyDescent="0.25">
      <c r="B83" s="61" t="s">
        <v>1368</v>
      </c>
      <c r="C83" s="66">
        <f>IFERROR(SUMIFS(BS!C:C,BS!$B:$B,'BS (分析)'!$B83),0)</f>
        <v>1061538</v>
      </c>
      <c r="D83" s="66">
        <f>IFERROR(SUMIFS(BS!D:D,BS!$B:$B,'BS (分析)'!$B83),0)</f>
        <v>1186724</v>
      </c>
      <c r="E83" s="66">
        <f>IFERROR(SUMIFS(BS!E:E,BS!$B:$B,'BS (分析)'!$B83),0)</f>
        <v>1280543</v>
      </c>
      <c r="F83" s="66">
        <f>IFERROR(SUMIFS(BS!F:F,BS!$B:$B,'BS (分析)'!$B83),0)</f>
        <v>1401442</v>
      </c>
      <c r="G83" s="66">
        <f>IFERROR(SUMIFS(BS!G:G,BS!$B:$B,'BS (分析)'!$B83),0)</f>
        <v>1522594</v>
      </c>
      <c r="H83" s="66">
        <f>IFERROR(SUMIFS(BS!H:H,BS!$B:$B,'BS (分析)'!$B83),0)</f>
        <v>1608232</v>
      </c>
      <c r="I83" s="66">
        <f>IFERROR(SUMIFS(BS!I:I,BS!$B:$B,'BS (分析)'!$B83),0)</f>
        <v>1618880</v>
      </c>
      <c r="J83" s="66">
        <f>IFERROR(SUMIFS(BS!J:J,BS!$B:$B,'BS (分析)'!$B83),0)</f>
        <v>1491739</v>
      </c>
      <c r="K83" s="66">
        <f>IFERROR(SUMIFS(BS!K:K,BS!$B:$B,'BS (分析)'!$B83),0)</f>
        <v>1052884</v>
      </c>
      <c r="L83" s="66">
        <f>IFERROR(SUMIFS(BS!L:L,BS!$B:$B,'BS (分析)'!$B83),0)</f>
        <v>614838</v>
      </c>
      <c r="M83" s="66">
        <f>IFERROR(SUMIFS(BS!M:M,BS!$B:$B,'BS (分析)'!$B83),0)</f>
        <v>294931</v>
      </c>
      <c r="N83" s="66">
        <f>IFERROR(SUMIFS(BS!N:N,BS!$B:$B,'BS (分析)'!$B83),0)</f>
        <v>241996</v>
      </c>
      <c r="O83" s="66">
        <f>IFERROR(SUMIFS(BS!O:O,BS!$B:$B,'BS (分析)'!$B83),0)</f>
        <v>165055</v>
      </c>
      <c r="P83" s="66">
        <f>IFERROR(SUMIFS(BS!P:P,BS!$B:$B,'BS (分析)'!$B83),0)</f>
        <v>0</v>
      </c>
    </row>
    <row r="84" spans="2:16" x14ac:dyDescent="0.25">
      <c r="B84" s="61" t="s">
        <v>1369</v>
      </c>
      <c r="C84" s="66">
        <f>IFERROR(SUMIFS(BS!C:C,BS!$B:$B,'BS (分析)'!$B84),0)</f>
        <v>106714</v>
      </c>
      <c r="D84" s="66">
        <f>IFERROR(SUMIFS(BS!D:D,BS!$B:$B,'BS (分析)'!$B84),0)</f>
        <v>73000</v>
      </c>
      <c r="E84" s="66">
        <f>IFERROR(SUMIFS(BS!E:E,BS!$B:$B,'BS (分析)'!$B84),0)</f>
        <v>76102</v>
      </c>
      <c r="F84" s="66">
        <f>IFERROR(SUMIFS(BS!F:F,BS!$B:$B,'BS (分析)'!$B84),0)</f>
        <v>96581</v>
      </c>
      <c r="G84" s="66">
        <f>IFERROR(SUMIFS(BS!G:G,BS!$B:$B,'BS (分析)'!$B84),0)</f>
        <v>98308</v>
      </c>
      <c r="H84" s="66">
        <f>IFERROR(SUMIFS(BS!H:H,BS!$B:$B,'BS (分析)'!$B84),0)</f>
        <v>128173</v>
      </c>
      <c r="I84" s="66">
        <f>IFERROR(SUMIFS(BS!I:I,BS!$B:$B,'BS (分析)'!$B84),0)</f>
        <v>199369</v>
      </c>
      <c r="J84" s="66">
        <f>IFERROR(SUMIFS(BS!J:J,BS!$B:$B,'BS (分析)'!$B84),0)</f>
        <v>316865</v>
      </c>
      <c r="K84" s="66">
        <f>IFERROR(SUMIFS(BS!K:K,BS!$B:$B,'BS (分析)'!$B84),0)</f>
        <v>314231</v>
      </c>
      <c r="L84" s="66">
        <f>IFERROR(SUMIFS(BS!L:L,BS!$B:$B,'BS (分析)'!$B84),0)</f>
        <v>216649</v>
      </c>
      <c r="M84" s="66">
        <f>IFERROR(SUMIFS(BS!M:M,BS!$B:$B,'BS (分析)'!$B84),0)</f>
        <v>91663</v>
      </c>
      <c r="N84" s="66">
        <f>IFERROR(SUMIFS(BS!N:N,BS!$B:$B,'BS (分析)'!$B84),0)</f>
        <v>63317</v>
      </c>
      <c r="O84" s="66">
        <f>IFERROR(SUMIFS(BS!O:O,BS!$B:$B,'BS (分析)'!$B84),0)</f>
        <v>45961</v>
      </c>
      <c r="P84" s="66">
        <f>IFERROR(SUMIFS(BS!P:P,BS!$B:$B,'BS (分析)'!$B84),0)</f>
        <v>0</v>
      </c>
    </row>
    <row r="85" spans="2:16" x14ac:dyDescent="0.25">
      <c r="B85" s="61" t="s">
        <v>1370</v>
      </c>
      <c r="C85" s="66">
        <f>IFERROR(SUMIFS(BS!C:C,BS!$B:$B,'BS (分析)'!$B85),0)</f>
        <v>3764</v>
      </c>
      <c r="D85" s="66">
        <f>IFERROR(SUMIFS(BS!D:D,BS!$B:$B,'BS (分析)'!$B85),0)</f>
        <v>6107</v>
      </c>
      <c r="E85" s="66">
        <f>IFERROR(SUMIFS(BS!E:E,BS!$B:$B,'BS (分析)'!$B85),0)</f>
        <v>7235</v>
      </c>
      <c r="F85" s="66">
        <f>IFERROR(SUMIFS(BS!F:F,BS!$B:$B,'BS (分析)'!$B85),0)</f>
        <v>11654</v>
      </c>
      <c r="G85" s="66">
        <f>IFERROR(SUMIFS(BS!G:G,BS!$B:$B,'BS (分析)'!$B85),0)</f>
        <v>11098</v>
      </c>
      <c r="H85" s="66">
        <f>IFERROR(SUMIFS(BS!H:H,BS!$B:$B,'BS (分析)'!$B85),0)</f>
        <v>21040</v>
      </c>
      <c r="I85" s="66">
        <f>IFERROR(SUMIFS(BS!I:I,BS!$B:$B,'BS (分析)'!$B85),0)</f>
        <v>23224</v>
      </c>
      <c r="J85" s="66">
        <f>IFERROR(SUMIFS(BS!J:J,BS!$B:$B,'BS (分析)'!$B85),0)</f>
        <v>68205</v>
      </c>
      <c r="K85" s="66">
        <f>IFERROR(SUMIFS(BS!K:K,BS!$B:$B,'BS (分析)'!$B85),0)</f>
        <v>116337</v>
      </c>
      <c r="L85" s="66">
        <f>IFERROR(SUMIFS(BS!L:L,BS!$B:$B,'BS (分析)'!$B85),0)</f>
        <v>67492</v>
      </c>
      <c r="M85" s="66">
        <f>IFERROR(SUMIFS(BS!M:M,BS!$B:$B,'BS (分析)'!$B85),0)</f>
        <v>14662</v>
      </c>
      <c r="N85" s="66">
        <f>IFERROR(SUMIFS(BS!N:N,BS!$B:$B,'BS (分析)'!$B85),0)</f>
        <v>9548</v>
      </c>
      <c r="O85" s="66">
        <f>IFERROR(SUMIFS(BS!O:O,BS!$B:$B,'BS (分析)'!$B85),0)</f>
        <v>5837</v>
      </c>
      <c r="P85" s="66">
        <f>IFERROR(SUMIFS(BS!P:P,BS!$B:$B,'BS (分析)'!$B85),0)</f>
        <v>0</v>
      </c>
    </row>
    <row r="86" spans="2:16" x14ac:dyDescent="0.25">
      <c r="B86" s="61" t="s">
        <v>1383</v>
      </c>
      <c r="C86" s="66">
        <f>IFERROR(SUMIFS(BS!C:C,BS!$B:$B,'BS (分析)'!$B86),0)</f>
        <v>8981016</v>
      </c>
      <c r="D86" s="66">
        <f>IFERROR(SUMIFS(BS!D:D,BS!$B:$B,'BS (分析)'!$B86),0)</f>
        <v>7377471</v>
      </c>
      <c r="E86" s="66">
        <f>IFERROR(SUMIFS(BS!E:E,BS!$B:$B,'BS (分析)'!$B86),0)</f>
        <v>5823771</v>
      </c>
      <c r="F86" s="66">
        <f>IFERROR(SUMIFS(BS!F:F,BS!$B:$B,'BS (分析)'!$B86),0)</f>
        <v>6155497</v>
      </c>
      <c r="G86" s="66">
        <f>IFERROR(SUMIFS(BS!G:G,BS!$B:$B,'BS (分析)'!$B86),0)</f>
        <v>6122776</v>
      </c>
      <c r="H86" s="66">
        <f>IFERROR(SUMIFS(BS!H:H,BS!$B:$B,'BS (分析)'!$B86),0)</f>
        <v>6300946</v>
      </c>
      <c r="I86" s="66">
        <f>IFERROR(SUMIFS(BS!I:I,BS!$B:$B,'BS (分析)'!$B86),0)</f>
        <v>6386780</v>
      </c>
      <c r="J86" s="66">
        <f>IFERROR(SUMIFS(BS!J:J,BS!$B:$B,'BS (分析)'!$B86),0)</f>
        <v>6446142</v>
      </c>
      <c r="K86" s="66">
        <f>IFERROR(SUMIFS(BS!K:K,BS!$B:$B,'BS (分析)'!$B86),0)</f>
        <v>5130673</v>
      </c>
      <c r="L86" s="66">
        <f>IFERROR(SUMIFS(BS!L:L,BS!$B:$B,'BS (分析)'!$B86),0)</f>
        <v>3134078</v>
      </c>
      <c r="M86" s="66">
        <f>IFERROR(SUMIFS(BS!M:M,BS!$B:$B,'BS (分析)'!$B86),0)</f>
        <v>1583700</v>
      </c>
      <c r="N86" s="66">
        <f>IFERROR(SUMIFS(BS!N:N,BS!$B:$B,'BS (分析)'!$B86),0)</f>
        <v>1396733</v>
      </c>
      <c r="O86" s="66">
        <f>IFERROR(SUMIFS(BS!O:O,BS!$B:$B,'BS (分析)'!$B86),0)</f>
        <v>1117913</v>
      </c>
      <c r="P86" s="66">
        <f>IFERROR(SUMIFS(BS!P:P,BS!$B:$B,'BS (分析)'!$B86),0)</f>
        <v>0</v>
      </c>
    </row>
    <row r="87" spans="2:16" x14ac:dyDescent="0.25">
      <c r="B87" s="133" t="s">
        <v>1693</v>
      </c>
      <c r="C87" s="135">
        <f>SUM(C83:C85)/C86</f>
        <v>0.13049926645270424</v>
      </c>
      <c r="D87" s="135">
        <f t="shared" ref="D87:G87" si="71">SUM(D83:D85)/D86</f>
        <v>0.17158061346496653</v>
      </c>
      <c r="E87" s="135">
        <f t="shared" si="71"/>
        <v>0.23419190074609733</v>
      </c>
      <c r="F87" s="135">
        <f t="shared" si="71"/>
        <v>0.2452567193193336</v>
      </c>
      <c r="G87" s="135">
        <f t="shared" si="71"/>
        <v>0.26654576290231752</v>
      </c>
      <c r="H87" s="135">
        <f t="shared" ref="H87:P87" si="72">SUM(H83:H85)/H86</f>
        <v>0.27891764189059864</v>
      </c>
      <c r="I87" s="135">
        <f t="shared" si="72"/>
        <v>0.28832572908413945</v>
      </c>
      <c r="J87" s="135">
        <f t="shared" si="72"/>
        <v>0.29115228922974395</v>
      </c>
      <c r="K87" s="135">
        <f t="shared" si="72"/>
        <v>0.28913399860018363</v>
      </c>
      <c r="L87" s="135">
        <f t="shared" si="72"/>
        <v>0.28684002121198005</v>
      </c>
      <c r="M87" s="135">
        <f t="shared" si="72"/>
        <v>0.25336616783481719</v>
      </c>
      <c r="N87" s="135">
        <f t="shared" si="72"/>
        <v>0.22542676374081516</v>
      </c>
      <c r="O87" s="135">
        <f t="shared" si="72"/>
        <v>0.19398021134023846</v>
      </c>
      <c r="P87" s="135" t="e">
        <f t="shared" si="72"/>
        <v>#DIV/0!</v>
      </c>
    </row>
    <row r="88" spans="2:16" ht="59.25" customHeight="1" x14ac:dyDescent="0.25">
      <c r="B88" s="204" t="s">
        <v>1788</v>
      </c>
      <c r="C88" s="204"/>
      <c r="D88" s="204"/>
      <c r="E88" s="204"/>
      <c r="F88" s="204"/>
      <c r="G88" s="204"/>
      <c r="H88" s="204"/>
    </row>
    <row r="90" spans="2:16" ht="15" x14ac:dyDescent="0.25">
      <c r="B90" s="136" t="s">
        <v>1694</v>
      </c>
    </row>
    <row r="91" spans="2:16" x14ac:dyDescent="0.25">
      <c r="B91" s="61" t="str">
        <f>B82</f>
        <v>三一重工</v>
      </c>
      <c r="C91" s="132">
        <v>43830</v>
      </c>
      <c r="D91" s="132">
        <v>43465</v>
      </c>
      <c r="E91" s="132">
        <v>43100</v>
      </c>
      <c r="F91" s="132">
        <v>42735</v>
      </c>
      <c r="G91" s="132">
        <v>42369</v>
      </c>
      <c r="H91" s="132">
        <v>42004</v>
      </c>
      <c r="I91" s="132">
        <v>41639</v>
      </c>
      <c r="J91" s="132">
        <v>41274</v>
      </c>
      <c r="K91" s="132">
        <v>40908</v>
      </c>
      <c r="L91" s="132">
        <v>40543</v>
      </c>
      <c r="M91" s="132">
        <v>40178</v>
      </c>
      <c r="N91" s="132">
        <v>39813</v>
      </c>
      <c r="O91" s="132">
        <v>39447</v>
      </c>
      <c r="P91" s="132">
        <v>39082</v>
      </c>
    </row>
    <row r="92" spans="2:16" x14ac:dyDescent="0.25">
      <c r="B92" s="61" t="s">
        <v>1776</v>
      </c>
      <c r="C92" s="66">
        <f>IFERROR(SUMIFS(BS!C:C,BS!$B:$B,'BS (分析)'!$B92),0)</f>
        <v>0</v>
      </c>
      <c r="D92" s="66">
        <f>IFERROR(SUMIFS(BS!D:D,BS!$B:$B,'BS (分析)'!$B92),0)</f>
        <v>0</v>
      </c>
      <c r="E92" s="66">
        <f>IFERROR(SUMIFS(BS!E:E,BS!$B:$B,'BS (分析)'!$B92),0)</f>
        <v>0</v>
      </c>
      <c r="F92" s="66">
        <f>IFERROR(SUMIFS(BS!F:F,BS!$B:$B,'BS (分析)'!$B92),0)</f>
        <v>0</v>
      </c>
      <c r="G92" s="66">
        <f>IFERROR(SUMIFS(BS!G:G,BS!$B:$B,'BS (分析)'!$B92),0)</f>
        <v>0</v>
      </c>
      <c r="H92" s="66">
        <f>IFERROR(SUMIFS(BS!H:H,BS!$B:$B,'BS (分析)'!$B92),0)</f>
        <v>0</v>
      </c>
      <c r="I92" s="66">
        <f>IFERROR(SUMIFS(BS!I:I,BS!$B:$B,'BS (分析)'!$B92),0)</f>
        <v>0</v>
      </c>
      <c r="J92" s="66">
        <f>IFERROR(SUMIFS(BS!J:J,BS!$B:$B,'BS (分析)'!$B92),0)</f>
        <v>0</v>
      </c>
      <c r="K92" s="66">
        <f>IFERROR(SUMIFS(BS!K:K,BS!$B:$B,'BS (分析)'!$B92),0)</f>
        <v>0</v>
      </c>
      <c r="L92" s="66">
        <f>IFERROR(SUMIFS(BS!L:L,BS!$B:$B,'BS (分析)'!$B92),0)</f>
        <v>0</v>
      </c>
      <c r="M92" s="66">
        <f>IFERROR(SUMIFS(BS!M:M,BS!$B:$B,'BS (分析)'!$B92),0)</f>
        <v>0</v>
      </c>
      <c r="N92" s="66">
        <f>IFERROR(SUMIFS(BS!N:N,BS!$B:$B,'BS (分析)'!$B92),0)</f>
        <v>0</v>
      </c>
      <c r="O92" s="66">
        <f>IFERROR(SUMIFS(BS!O:O,BS!$B:$B,'BS (分析)'!$B92),0)</f>
        <v>0</v>
      </c>
      <c r="P92" s="66">
        <f>IFERROR(SUMIFS(BS!P:P,BS!$B:$B,'BS (分析)'!$B92),0)</f>
        <v>0</v>
      </c>
    </row>
    <row r="93" spans="2:16" x14ac:dyDescent="0.25">
      <c r="B93" s="61" t="s">
        <v>1358</v>
      </c>
      <c r="C93" s="66">
        <f>IFERROR(SUMIFS(BS!C:C,BS!$B:$B,'BS (分析)'!$B93),0)</f>
        <v>0</v>
      </c>
      <c r="D93" s="66">
        <f>IFERROR(SUMIFS(BS!D:D,BS!$B:$B,'BS (分析)'!$B93),0)</f>
        <v>112051</v>
      </c>
      <c r="E93" s="66">
        <f>IFERROR(SUMIFS(BS!E:E,BS!$B:$B,'BS (分析)'!$B93),0)</f>
        <v>68124</v>
      </c>
      <c r="F93" s="66">
        <f>IFERROR(SUMIFS(BS!F:F,BS!$B:$B,'BS (分析)'!$B93),0)</f>
        <v>65251</v>
      </c>
      <c r="G93" s="66">
        <f>IFERROR(SUMIFS(BS!G:G,BS!$B:$B,'BS (分析)'!$B93),0)</f>
        <v>39605</v>
      </c>
      <c r="H93" s="66">
        <f>IFERROR(SUMIFS(BS!H:H,BS!$B:$B,'BS (分析)'!$B93),0)</f>
        <v>51975</v>
      </c>
      <c r="I93" s="66">
        <f>IFERROR(SUMIFS(BS!I:I,BS!$B:$B,'BS (分析)'!$B93),0)</f>
        <v>40133</v>
      </c>
      <c r="J93" s="66">
        <f>IFERROR(SUMIFS(BS!J:J,BS!$B:$B,'BS (分析)'!$B93),0)</f>
        <v>29444</v>
      </c>
      <c r="K93" s="66">
        <f>IFERROR(SUMIFS(BS!K:K,BS!$B:$B,'BS (分析)'!$B93),0)</f>
        <v>0</v>
      </c>
      <c r="L93" s="66">
        <f>IFERROR(SUMIFS(BS!L:L,BS!$B:$B,'BS (分析)'!$B93),0)</f>
        <v>0</v>
      </c>
      <c r="M93" s="66">
        <f>IFERROR(SUMIFS(BS!M:M,BS!$B:$B,'BS (分析)'!$B93),0)</f>
        <v>0</v>
      </c>
      <c r="N93" s="66">
        <f>IFERROR(SUMIFS(BS!N:N,BS!$B:$B,'BS (分析)'!$B93),0)</f>
        <v>0</v>
      </c>
      <c r="O93" s="66">
        <f>IFERROR(SUMIFS(BS!O:O,BS!$B:$B,'BS (分析)'!$B93),0)</f>
        <v>0</v>
      </c>
      <c r="P93" s="66">
        <f>IFERROR(SUMIFS(BS!P:P,BS!$B:$B,'BS (分析)'!$B93),0)</f>
        <v>0</v>
      </c>
    </row>
    <row r="94" spans="2:16" x14ac:dyDescent="0.25">
      <c r="B94" s="61" t="s">
        <v>1695</v>
      </c>
      <c r="C94" s="66">
        <f>IFERROR(SUMIFS(BS!C:C,BS!$B:$B,'BS (分析)'!$B94),0)</f>
        <v>0</v>
      </c>
      <c r="D94" s="66">
        <f>IFERROR(SUMIFS(BS!D:D,BS!$B:$B,'BS (分析)'!$B94),0)</f>
        <v>0</v>
      </c>
      <c r="E94" s="66">
        <f>IFERROR(SUMIFS(BS!E:E,BS!$B:$B,'BS (分析)'!$B94),0)</f>
        <v>0</v>
      </c>
      <c r="F94" s="66">
        <f>IFERROR(SUMIFS(BS!F:F,BS!$B:$B,'BS (分析)'!$B94),0)</f>
        <v>0</v>
      </c>
      <c r="G94" s="66">
        <f>IFERROR(SUMIFS(BS!G:G,BS!$B:$B,'BS (分析)'!$B94),0)</f>
        <v>0</v>
      </c>
      <c r="H94" s="66">
        <f>IFERROR(SUMIFS(BS!H:H,BS!$B:$B,'BS (分析)'!$B94),0)</f>
        <v>0</v>
      </c>
      <c r="I94" s="66">
        <f>IFERROR(SUMIFS(BS!I:I,BS!$B:$B,'BS (分析)'!$B94),0)</f>
        <v>0</v>
      </c>
      <c r="J94" s="66">
        <f>IFERROR(SUMIFS(BS!J:J,BS!$B:$B,'BS (分析)'!$B94),0)</f>
        <v>0</v>
      </c>
      <c r="K94" s="66">
        <f>IFERROR(SUMIFS(BS!K:K,BS!$B:$B,'BS (分析)'!$B94),0)</f>
        <v>0</v>
      </c>
      <c r="L94" s="66">
        <f>IFERROR(SUMIFS(BS!L:L,BS!$B:$B,'BS (分析)'!$B94),0)</f>
        <v>0</v>
      </c>
      <c r="M94" s="66">
        <f>IFERROR(SUMIFS(BS!M:M,BS!$B:$B,'BS (分析)'!$B94),0)</f>
        <v>0</v>
      </c>
      <c r="N94" s="66">
        <f>IFERROR(SUMIFS(BS!N:N,BS!$B:$B,'BS (分析)'!$B94),0)</f>
        <v>0</v>
      </c>
      <c r="O94" s="66">
        <f>IFERROR(SUMIFS(BS!O:O,BS!$B:$B,'BS (分析)'!$B94),0)</f>
        <v>0</v>
      </c>
      <c r="P94" s="66">
        <f>IFERROR(SUMIFS(BS!P:P,BS!$B:$B,'BS (分析)'!$B94),0)</f>
        <v>0</v>
      </c>
    </row>
    <row r="95" spans="2:16" x14ac:dyDescent="0.25">
      <c r="B95" s="61" t="s">
        <v>1359</v>
      </c>
      <c r="C95" s="66">
        <f>IFERROR(SUMIFS(BS!C:C,BS!$B:$B,'BS (分析)'!$B95),0)</f>
        <v>0</v>
      </c>
      <c r="D95" s="66">
        <f>IFERROR(SUMIFS(BS!D:D,BS!$B:$B,'BS (分析)'!$B95),0)</f>
        <v>0</v>
      </c>
      <c r="E95" s="66">
        <f>IFERROR(SUMIFS(BS!E:E,BS!$B:$B,'BS (分析)'!$B95),0)</f>
        <v>0</v>
      </c>
      <c r="F95" s="66">
        <f>IFERROR(SUMIFS(BS!F:F,BS!$B:$B,'BS (分析)'!$B95),0)</f>
        <v>0</v>
      </c>
      <c r="G95" s="66">
        <f>IFERROR(SUMIFS(BS!G:G,BS!$B:$B,'BS (分析)'!$B95),0)</f>
        <v>0</v>
      </c>
      <c r="H95" s="66">
        <f>IFERROR(SUMIFS(BS!H:H,BS!$B:$B,'BS (分析)'!$B95),0)</f>
        <v>0</v>
      </c>
      <c r="I95" s="66">
        <f>IFERROR(SUMIFS(BS!I:I,BS!$B:$B,'BS (分析)'!$B95),0)</f>
        <v>0</v>
      </c>
      <c r="J95" s="66">
        <f>IFERROR(SUMIFS(BS!J:J,BS!$B:$B,'BS (分析)'!$B95),0)</f>
        <v>0</v>
      </c>
      <c r="K95" s="66">
        <f>IFERROR(SUMIFS(BS!K:K,BS!$B:$B,'BS (分析)'!$B95),0)</f>
        <v>0</v>
      </c>
      <c r="L95" s="66">
        <f>IFERROR(SUMIFS(BS!L:L,BS!$B:$B,'BS (分析)'!$B95),0)</f>
        <v>0</v>
      </c>
      <c r="M95" s="66">
        <f>IFERROR(SUMIFS(BS!M:M,BS!$B:$B,'BS (分析)'!$B95),0)</f>
        <v>0</v>
      </c>
      <c r="N95" s="66">
        <f>IFERROR(SUMIFS(BS!N:N,BS!$B:$B,'BS (分析)'!$B95),0)</f>
        <v>0</v>
      </c>
      <c r="O95" s="66">
        <f>IFERROR(SUMIFS(BS!O:O,BS!$B:$B,'BS (分析)'!$B95),0)</f>
        <v>0</v>
      </c>
      <c r="P95" s="66">
        <f>IFERROR(SUMIFS(BS!P:P,BS!$B:$B,'BS (分析)'!$B95),0)</f>
        <v>0</v>
      </c>
    </row>
    <row r="96" spans="2:16" x14ac:dyDescent="0.25">
      <c r="B96" s="61" t="s">
        <v>1360</v>
      </c>
      <c r="C96" s="66">
        <f>IFERROR(SUMIFS(BS!C:C,BS!$B:$B,'BS (分析)'!$B96),0)</f>
        <v>128589</v>
      </c>
      <c r="D96" s="66">
        <f>IFERROR(SUMIFS(BS!D:D,BS!$B:$B,'BS (分析)'!$B96),0)</f>
        <v>36579</v>
      </c>
      <c r="E96" s="66">
        <f>IFERROR(SUMIFS(BS!E:E,BS!$B:$B,'BS (分析)'!$B96),0)</f>
        <v>27324</v>
      </c>
      <c r="F96" s="66">
        <f>IFERROR(SUMIFS(BS!F:F,BS!$B:$B,'BS (分析)'!$B96),0)</f>
        <v>29759</v>
      </c>
      <c r="G96" s="66">
        <f>IFERROR(SUMIFS(BS!G:G,BS!$B:$B,'BS (分析)'!$B96),0)</f>
        <v>26217</v>
      </c>
      <c r="H96" s="66">
        <f>IFERROR(SUMIFS(BS!H:H,BS!$B:$B,'BS (分析)'!$B96),0)</f>
        <v>36416</v>
      </c>
      <c r="I96" s="66">
        <f>IFERROR(SUMIFS(BS!I:I,BS!$B:$B,'BS (分析)'!$B96),0)</f>
        <v>14532</v>
      </c>
      <c r="J96" s="66">
        <f>IFERROR(SUMIFS(BS!J:J,BS!$B:$B,'BS (分析)'!$B96),0)</f>
        <v>0</v>
      </c>
      <c r="K96" s="66">
        <f>IFERROR(SUMIFS(BS!K:K,BS!$B:$B,'BS (分析)'!$B96),0)</f>
        <v>0</v>
      </c>
      <c r="L96" s="66">
        <f>IFERROR(SUMIFS(BS!L:L,BS!$B:$B,'BS (分析)'!$B96),0)</f>
        <v>0</v>
      </c>
      <c r="M96" s="66">
        <f>IFERROR(SUMIFS(BS!M:M,BS!$B:$B,'BS (分析)'!$B96),0)</f>
        <v>0</v>
      </c>
      <c r="N96" s="66">
        <f>IFERROR(SUMIFS(BS!N:N,BS!$B:$B,'BS (分析)'!$B96),0)</f>
        <v>0</v>
      </c>
      <c r="O96" s="66">
        <f>IFERROR(SUMIFS(BS!O:O,BS!$B:$B,'BS (分析)'!$B96),0)</f>
        <v>0</v>
      </c>
      <c r="P96" s="66">
        <f>IFERROR(SUMIFS(BS!P:P,BS!$B:$B,'BS (分析)'!$B96),0)</f>
        <v>0</v>
      </c>
    </row>
    <row r="97" spans="2:16" x14ac:dyDescent="0.25">
      <c r="B97" s="61" t="s">
        <v>1361</v>
      </c>
      <c r="C97" s="66">
        <f>IFERROR(SUMIFS(BS!C:C,BS!$B:$B,'BS (分析)'!$B97),0)</f>
        <v>298544</v>
      </c>
      <c r="D97" s="66">
        <f>IFERROR(SUMIFS(BS!D:D,BS!$B:$B,'BS (分析)'!$B97),0)</f>
        <v>232835</v>
      </c>
      <c r="E97" s="66">
        <f>IFERROR(SUMIFS(BS!E:E,BS!$B:$B,'BS (分析)'!$B97),0)</f>
        <v>140427</v>
      </c>
      <c r="F97" s="66">
        <f>IFERROR(SUMIFS(BS!F:F,BS!$B:$B,'BS (分析)'!$B97),0)</f>
        <v>152794</v>
      </c>
      <c r="G97" s="66">
        <f>IFERROR(SUMIFS(BS!G:G,BS!$B:$B,'BS (分析)'!$B97),0)</f>
        <v>102553</v>
      </c>
      <c r="H97" s="66">
        <f>IFERROR(SUMIFS(BS!H:H,BS!$B:$B,'BS (分析)'!$B97),0)</f>
        <v>101724</v>
      </c>
      <c r="I97" s="66">
        <f>IFERROR(SUMIFS(BS!I:I,BS!$B:$B,'BS (分析)'!$B97),0)</f>
        <v>37550</v>
      </c>
      <c r="J97" s="66">
        <f>IFERROR(SUMIFS(BS!J:J,BS!$B:$B,'BS (分析)'!$B97),0)</f>
        <v>31041</v>
      </c>
      <c r="K97" s="66">
        <f>IFERROR(SUMIFS(BS!K:K,BS!$B:$B,'BS (分析)'!$B97),0)</f>
        <v>32890</v>
      </c>
      <c r="L97" s="66">
        <f>IFERROR(SUMIFS(BS!L:L,BS!$B:$B,'BS (分析)'!$B97),0)</f>
        <v>19794</v>
      </c>
      <c r="M97" s="66">
        <f>IFERROR(SUMIFS(BS!M:M,BS!$B:$B,'BS (分析)'!$B97),0)</f>
        <v>20667</v>
      </c>
      <c r="N97" s="66">
        <f>IFERROR(SUMIFS(BS!N:N,BS!$B:$B,'BS (分析)'!$B97),0)</f>
        <v>18621</v>
      </c>
      <c r="O97" s="66">
        <f>IFERROR(SUMIFS(BS!O:O,BS!$B:$B,'BS (分析)'!$B97),0)</f>
        <v>16941</v>
      </c>
      <c r="P97" s="66">
        <f>IFERROR(SUMIFS(BS!P:P,BS!$B:$B,'BS (分析)'!$B97),0)</f>
        <v>0</v>
      </c>
    </row>
    <row r="98" spans="2:16" x14ac:dyDescent="0.25">
      <c r="B98" s="61" t="s">
        <v>1697</v>
      </c>
      <c r="C98" s="66">
        <f>IFERROR(SUMIFS(BS!C:C,BS!$B:$B,'BS (分析)'!$B98),0)</f>
        <v>0</v>
      </c>
      <c r="D98" s="66">
        <f>IFERROR(SUMIFS(BS!D:D,BS!$B:$B,'BS (分析)'!$B98),0)</f>
        <v>0</v>
      </c>
      <c r="E98" s="66">
        <f>IFERROR(SUMIFS(BS!E:E,BS!$B:$B,'BS (分析)'!$B98),0)</f>
        <v>0</v>
      </c>
      <c r="F98" s="66">
        <f>IFERROR(SUMIFS(BS!F:F,BS!$B:$B,'BS (分析)'!$B98),0)</f>
        <v>0</v>
      </c>
      <c r="G98" s="66">
        <f>IFERROR(SUMIFS(BS!G:G,BS!$B:$B,'BS (分析)'!$B98),0)</f>
        <v>0</v>
      </c>
      <c r="H98" s="66">
        <f>IFERROR(SUMIFS(BS!H:H,BS!$B:$B,'BS (分析)'!$B98),0)</f>
        <v>0</v>
      </c>
      <c r="I98" s="66">
        <f>IFERROR(SUMIFS(BS!I:I,BS!$B:$B,'BS (分析)'!$B98),0)</f>
        <v>0</v>
      </c>
      <c r="J98" s="66">
        <f>IFERROR(SUMIFS(BS!J:J,BS!$B:$B,'BS (分析)'!$B98),0)</f>
        <v>0</v>
      </c>
      <c r="K98" s="66">
        <f>IFERROR(SUMIFS(BS!K:K,BS!$B:$B,'BS (分析)'!$B98),0)</f>
        <v>0</v>
      </c>
      <c r="L98" s="66">
        <f>IFERROR(SUMIFS(BS!L:L,BS!$B:$B,'BS (分析)'!$B98),0)</f>
        <v>0</v>
      </c>
      <c r="M98" s="66">
        <f>IFERROR(SUMIFS(BS!M:M,BS!$B:$B,'BS (分析)'!$B98),0)</f>
        <v>0</v>
      </c>
      <c r="N98" s="66">
        <f>IFERROR(SUMIFS(BS!N:N,BS!$B:$B,'BS (分析)'!$B98),0)</f>
        <v>0</v>
      </c>
      <c r="O98" s="66">
        <f>IFERROR(SUMIFS(BS!O:O,BS!$B:$B,'BS (分析)'!$B98),0)</f>
        <v>0</v>
      </c>
      <c r="P98" s="66">
        <f>IFERROR(SUMIFS(BS!P:P,BS!$B:$B,'BS (分析)'!$B98),0)</f>
        <v>0</v>
      </c>
    </row>
    <row r="99" spans="2:16" x14ac:dyDescent="0.25">
      <c r="B99" s="61" t="s">
        <v>1363</v>
      </c>
      <c r="C99" s="66">
        <f>IFERROR(SUMIFS(BS!C:C,BS!$B:$B,'BS (分析)'!$B99),0)</f>
        <v>12632</v>
      </c>
      <c r="D99" s="66">
        <f>IFERROR(SUMIFS(BS!D:D,BS!$B:$B,'BS (分析)'!$B99),0)</f>
        <v>5011</v>
      </c>
      <c r="E99" s="66">
        <f>IFERROR(SUMIFS(BS!E:E,BS!$B:$B,'BS (分析)'!$B99),0)</f>
        <v>3770</v>
      </c>
      <c r="F99" s="66">
        <f>IFERROR(SUMIFS(BS!F:F,BS!$B:$B,'BS (分析)'!$B99),0)</f>
        <v>0</v>
      </c>
      <c r="G99" s="66">
        <f>IFERROR(SUMIFS(BS!G:G,BS!$B:$B,'BS (分析)'!$B99),0)</f>
        <v>0</v>
      </c>
      <c r="H99" s="66">
        <f>IFERROR(SUMIFS(BS!H:H,BS!$B:$B,'BS (分析)'!$B99),0)</f>
        <v>0</v>
      </c>
      <c r="I99" s="66">
        <f>IFERROR(SUMIFS(BS!I:I,BS!$B:$B,'BS (分析)'!$B99),0)</f>
        <v>0</v>
      </c>
      <c r="J99" s="66">
        <f>IFERROR(SUMIFS(BS!J:J,BS!$B:$B,'BS (分析)'!$B99),0)</f>
        <v>0</v>
      </c>
      <c r="K99" s="66">
        <f>IFERROR(SUMIFS(BS!K:K,BS!$B:$B,'BS (分析)'!$B99),0)</f>
        <v>0</v>
      </c>
      <c r="L99" s="66">
        <f>IFERROR(SUMIFS(BS!L:L,BS!$B:$B,'BS (分析)'!$B99),0)</f>
        <v>0</v>
      </c>
      <c r="M99" s="66">
        <f>IFERROR(SUMIFS(BS!M:M,BS!$B:$B,'BS (分析)'!$B99),0)</f>
        <v>0</v>
      </c>
      <c r="N99" s="66">
        <f>IFERROR(SUMIFS(BS!N:N,BS!$B:$B,'BS (分析)'!$B99),0)</f>
        <v>0</v>
      </c>
      <c r="O99" s="66">
        <f>IFERROR(SUMIFS(BS!O:O,BS!$B:$B,'BS (分析)'!$B99),0)</f>
        <v>0</v>
      </c>
      <c r="P99" s="66">
        <f>IFERROR(SUMIFS(BS!P:P,BS!$B:$B,'BS (分析)'!$B99),0)</f>
        <v>0</v>
      </c>
    </row>
    <row r="100" spans="2:16" x14ac:dyDescent="0.25">
      <c r="B100" s="61" t="s">
        <v>1696</v>
      </c>
      <c r="C100" s="66">
        <f>SUM(C92:C99)</f>
        <v>439765</v>
      </c>
      <c r="D100" s="66">
        <f t="shared" ref="D100:G100" si="73">SUM(D92:D99)</f>
        <v>386476</v>
      </c>
      <c r="E100" s="66">
        <f t="shared" si="73"/>
        <v>239645</v>
      </c>
      <c r="F100" s="66">
        <f t="shared" si="73"/>
        <v>247804</v>
      </c>
      <c r="G100" s="66">
        <f t="shared" si="73"/>
        <v>168375</v>
      </c>
      <c r="H100" s="66">
        <f t="shared" ref="H100:P100" si="74">SUM(H92:H99)</f>
        <v>190115</v>
      </c>
      <c r="I100" s="66">
        <f t="shared" si="74"/>
        <v>92215</v>
      </c>
      <c r="J100" s="66">
        <f t="shared" si="74"/>
        <v>60485</v>
      </c>
      <c r="K100" s="66">
        <f t="shared" si="74"/>
        <v>32890</v>
      </c>
      <c r="L100" s="66">
        <f t="shared" si="74"/>
        <v>19794</v>
      </c>
      <c r="M100" s="66">
        <f t="shared" si="74"/>
        <v>20667</v>
      </c>
      <c r="N100" s="66">
        <f t="shared" si="74"/>
        <v>18621</v>
      </c>
      <c r="O100" s="66">
        <f t="shared" si="74"/>
        <v>16941</v>
      </c>
      <c r="P100" s="66">
        <f t="shared" si="74"/>
        <v>0</v>
      </c>
    </row>
    <row r="101" spans="2:16" x14ac:dyDescent="0.25">
      <c r="B101" s="61" t="s">
        <v>1383</v>
      </c>
      <c r="C101" s="66">
        <f>IFERROR(SUMIFS(BS数据!B:B,BS数据!$A:$A,'BS (分析)'!$B101),0)</f>
        <v>9054130</v>
      </c>
      <c r="D101" s="66">
        <f>IFERROR(SUMIFS(BS数据!C:C,BS数据!$A:$A,'BS (分析)'!$B101),0)</f>
        <v>7377472</v>
      </c>
      <c r="E101" s="66">
        <f>IFERROR(SUMIFS(BS数据!D:D,BS数据!$A:$A,'BS (分析)'!$B101),0)</f>
        <v>5823769</v>
      </c>
      <c r="F101" s="66">
        <f>IFERROR(SUMIFS(BS数据!E:E,BS数据!$A:$A,'BS (分析)'!$B101),0)</f>
        <v>6155497</v>
      </c>
      <c r="G101" s="66">
        <f>IFERROR(SUMIFS(BS数据!F:F,BS数据!$A:$A,'BS (分析)'!$B101),0)</f>
        <v>6122774</v>
      </c>
      <c r="H101" s="66">
        <f>IFERROR(SUMIFS(BS数据!G:G,BS数据!$A:$A,'BS (分析)'!$B101),0)</f>
        <v>6300945</v>
      </c>
      <c r="I101" s="66">
        <f>IFERROR(SUMIFS(BS数据!H:H,BS数据!$A:$A,'BS (分析)'!$B101),0)</f>
        <v>6386778</v>
      </c>
      <c r="J101" s="66">
        <f>IFERROR(SUMIFS(BS数据!I:I,BS数据!$A:$A,'BS (分析)'!$B101),0)</f>
        <v>6446140</v>
      </c>
      <c r="K101" s="66">
        <f>IFERROR(SUMIFS(BS数据!J:J,BS数据!$A:$A,'BS (分析)'!$B101),0)</f>
        <v>5130672</v>
      </c>
      <c r="L101" s="66">
        <f>IFERROR(SUMIFS(BS数据!K:K,BS数据!$A:$A,'BS (分析)'!$B101),0)</f>
        <v>3134077</v>
      </c>
      <c r="M101" s="66">
        <f>IFERROR(SUMIFS(BS数据!L:L,BS数据!$A:$A,'BS (分析)'!$B101),0)</f>
        <v>1583700</v>
      </c>
      <c r="N101" s="66">
        <f>IFERROR(SUMIFS(BS数据!M:M,BS数据!$A:$A,'BS (分析)'!$B101),0)</f>
        <v>1396734</v>
      </c>
      <c r="O101" s="66">
        <f>IFERROR(SUMIFS(BS数据!N:N,BS数据!$A:$A,'BS (分析)'!$B101),0)</f>
        <v>1117913</v>
      </c>
      <c r="P101" s="66">
        <f>IFERROR(SUMIFS(BS数据!O:O,BS数据!$A:$A,'BS (分析)'!$B101),0)</f>
        <v>631247</v>
      </c>
    </row>
    <row r="102" spans="2:16" x14ac:dyDescent="0.25">
      <c r="B102" s="133" t="s">
        <v>1770</v>
      </c>
      <c r="C102" s="138">
        <f>C100/C101</f>
        <v>4.8570652287961404E-2</v>
      </c>
      <c r="D102" s="138">
        <f t="shared" ref="D102:G102" si="75">D100/D101</f>
        <v>5.2385966358123759E-2</v>
      </c>
      <c r="E102" s="138">
        <f t="shared" si="75"/>
        <v>4.114946866882941E-2</v>
      </c>
      <c r="F102" s="138">
        <f t="shared" si="75"/>
        <v>4.0257350462521546E-2</v>
      </c>
      <c r="G102" s="138">
        <f t="shared" si="75"/>
        <v>2.7499790127808083E-2</v>
      </c>
      <c r="H102" s="138">
        <f t="shared" ref="H102:P102" si="76">H100/H101</f>
        <v>3.017245825824539E-2</v>
      </c>
      <c r="I102" s="138">
        <f t="shared" si="76"/>
        <v>1.4438422628749583E-2</v>
      </c>
      <c r="J102" s="138">
        <f t="shared" si="76"/>
        <v>9.3831347131771888E-3</v>
      </c>
      <c r="K102" s="138">
        <f t="shared" si="76"/>
        <v>6.4104663092865808E-3</v>
      </c>
      <c r="L102" s="138">
        <f t="shared" si="76"/>
        <v>6.3157350633057194E-3</v>
      </c>
      <c r="M102" s="138">
        <f t="shared" si="76"/>
        <v>1.304982004167456E-2</v>
      </c>
      <c r="N102" s="138">
        <f t="shared" si="76"/>
        <v>1.3331815506746452E-2</v>
      </c>
      <c r="O102" s="138">
        <f t="shared" si="76"/>
        <v>1.5154130956523451E-2</v>
      </c>
      <c r="P102" s="138">
        <f t="shared" si="76"/>
        <v>0</v>
      </c>
    </row>
    <row r="103" spans="2:16" x14ac:dyDescent="0.25">
      <c r="B103" s="61" t="s">
        <v>1774</v>
      </c>
      <c r="C103" s="199" t="str">
        <f>IF(C102&gt;10%,"不务正业","专注主业")</f>
        <v>专注主业</v>
      </c>
      <c r="D103" s="199" t="str">
        <f t="shared" ref="D103:G103" si="77">IF(D102&gt;10%,"不务正业","专注主业")</f>
        <v>专注主业</v>
      </c>
      <c r="E103" s="199" t="str">
        <f t="shared" si="77"/>
        <v>专注主业</v>
      </c>
      <c r="F103" s="199" t="str">
        <f t="shared" si="77"/>
        <v>专注主业</v>
      </c>
      <c r="G103" s="199" t="str">
        <f t="shared" si="77"/>
        <v>专注主业</v>
      </c>
      <c r="H103" s="199" t="str">
        <f t="shared" ref="H103" si="78">IF(H102&gt;10%,"不务正业","专注主业")</f>
        <v>专注主业</v>
      </c>
      <c r="I103" s="199" t="str">
        <f t="shared" ref="I103" si="79">IF(I102&gt;10%,"不务正业","专注主业")</f>
        <v>专注主业</v>
      </c>
      <c r="J103" s="199" t="str">
        <f t="shared" ref="J103" si="80">IF(J102&gt;10%,"不务正业","专注主业")</f>
        <v>专注主业</v>
      </c>
      <c r="K103" s="199" t="str">
        <f t="shared" ref="K103" si="81">IF(K102&gt;10%,"不务正业","专注主业")</f>
        <v>专注主业</v>
      </c>
      <c r="L103" s="199" t="str">
        <f t="shared" ref="L103" si="82">IF(L102&gt;10%,"不务正业","专注主业")</f>
        <v>专注主业</v>
      </c>
      <c r="M103" s="199" t="str">
        <f t="shared" ref="M103" si="83">IF(M102&gt;10%,"不务正业","专注主业")</f>
        <v>专注主业</v>
      </c>
      <c r="N103" s="199" t="str">
        <f t="shared" ref="N103" si="84">IF(N102&gt;10%,"不务正业","专注主业")</f>
        <v>专注主业</v>
      </c>
      <c r="O103" s="199" t="str">
        <f t="shared" ref="O103" si="85">IF(O102&gt;10%,"不务正业","专注主业")</f>
        <v>专注主业</v>
      </c>
      <c r="P103" s="199" t="str">
        <f t="shared" ref="P103" si="86">IF(P102&gt;10%,"不务正业","专注主业")</f>
        <v>专注主业</v>
      </c>
    </row>
    <row r="104" spans="2:16" ht="61.5" customHeight="1" x14ac:dyDescent="0.25">
      <c r="B104" s="204" t="s">
        <v>1789</v>
      </c>
      <c r="C104" s="204"/>
      <c r="D104" s="204"/>
      <c r="E104" s="204"/>
      <c r="F104" s="204"/>
      <c r="G104" s="204"/>
      <c r="H104" s="204"/>
    </row>
    <row r="106" spans="2:16" ht="15" x14ac:dyDescent="0.25">
      <c r="B106" s="136" t="s">
        <v>1698</v>
      </c>
    </row>
    <row r="107" spans="2:16" ht="15" x14ac:dyDescent="0.25">
      <c r="B107" s="136"/>
    </row>
    <row r="108" spans="2:16" x14ac:dyDescent="0.25">
      <c r="B108" s="61" t="str">
        <f>B91</f>
        <v>三一重工</v>
      </c>
      <c r="C108" s="132">
        <v>43830</v>
      </c>
      <c r="D108" s="132">
        <v>43465</v>
      </c>
      <c r="E108" s="132">
        <v>43100</v>
      </c>
      <c r="F108" s="132">
        <v>42735</v>
      </c>
      <c r="G108" s="132">
        <v>42369</v>
      </c>
      <c r="H108" s="132">
        <v>42004</v>
      </c>
      <c r="I108" s="132">
        <v>41639</v>
      </c>
      <c r="J108" s="132">
        <v>41274</v>
      </c>
      <c r="K108" s="132">
        <v>40908</v>
      </c>
      <c r="L108" s="132">
        <v>40543</v>
      </c>
      <c r="M108" s="132">
        <v>40178</v>
      </c>
      <c r="N108" s="132">
        <v>39813</v>
      </c>
      <c r="O108" s="132">
        <v>39447</v>
      </c>
      <c r="P108" s="132">
        <v>39082</v>
      </c>
    </row>
    <row r="109" spans="2:16" x14ac:dyDescent="0.25">
      <c r="B109" s="61" t="s">
        <v>1351</v>
      </c>
      <c r="C109" s="66">
        <f>IFERROR(SUMIFS(BS!C:C,BS!$B:$B,'BS (分析)'!$B109),0)</f>
        <v>1425174</v>
      </c>
      <c r="D109" s="66">
        <f>IFERROR(SUMIFS(BS!D:D,BS!$B:$B,'BS (分析)'!$B109),0)</f>
        <v>1159463</v>
      </c>
      <c r="E109" s="66">
        <f>IFERROR(SUMIFS(BS!E:E,BS!$B:$B,'BS (分析)'!$B109),0)</f>
        <v>764189</v>
      </c>
      <c r="F109" s="66">
        <f>IFERROR(SUMIFS(BS!F:F,BS!$B:$B,'BS (分析)'!$B109),0)</f>
        <v>622030</v>
      </c>
      <c r="G109" s="66">
        <f>IFERROR(SUMIFS(BS!G:G,BS!$B:$B,'BS (分析)'!$B109),0)</f>
        <v>552085</v>
      </c>
      <c r="H109" s="66">
        <f>IFERROR(SUMIFS(BS!H:H,BS!$B:$B,'BS (分析)'!$B109),0)</f>
        <v>726915</v>
      </c>
      <c r="I109" s="66">
        <f>IFERROR(SUMIFS(BS!I:I,BS!$B:$B,'BS (分析)'!$B109),0)</f>
        <v>941684</v>
      </c>
      <c r="J109" s="66">
        <f>IFERROR(SUMIFS(BS!J:J,BS!$B:$B,'BS (分析)'!$B109),0)</f>
        <v>1051136</v>
      </c>
      <c r="K109" s="66">
        <f>IFERROR(SUMIFS(BS!K:K,BS!$B:$B,'BS (分析)'!$B109),0)</f>
        <v>813441</v>
      </c>
      <c r="L109" s="66">
        <f>IFERROR(SUMIFS(BS!L:L,BS!$B:$B,'BS (分析)'!$B109),0)</f>
        <v>568727</v>
      </c>
      <c r="M109" s="66">
        <f>IFERROR(SUMIFS(BS!M:M,BS!$B:$B,'BS (分析)'!$B109),0)</f>
        <v>293953</v>
      </c>
      <c r="N109" s="66">
        <f>IFERROR(SUMIFS(BS!N:N,BS!$B:$B,'BS (分析)'!$B109),0)</f>
        <v>301258</v>
      </c>
      <c r="O109" s="66">
        <f>IFERROR(SUMIFS(BS!O:O,BS!$B:$B,'BS (分析)'!$B109),0)</f>
        <v>234290</v>
      </c>
      <c r="P109" s="66">
        <f>IFERROR(SUMIFS(BS!P:P,BS!$B:$B,'BS (分析)'!$B109),0)</f>
        <v>0</v>
      </c>
    </row>
    <row r="110" spans="2:16" x14ac:dyDescent="0.25">
      <c r="B110" s="61" t="s">
        <v>1383</v>
      </c>
      <c r="C110" s="66">
        <f>IFERROR(SUMIFS(BS!C:C,BS!$B:$B,'BS (分析)'!$B110),0)</f>
        <v>8981016</v>
      </c>
      <c r="D110" s="66">
        <f>IFERROR(SUMIFS(BS!D:D,BS!$B:$B,'BS (分析)'!$B110),0)</f>
        <v>7377471</v>
      </c>
      <c r="E110" s="66">
        <f>IFERROR(SUMIFS(BS!E:E,BS!$B:$B,'BS (分析)'!$B110),0)</f>
        <v>5823771</v>
      </c>
      <c r="F110" s="66">
        <f>IFERROR(SUMIFS(BS!F:F,BS!$B:$B,'BS (分析)'!$B110),0)</f>
        <v>6155497</v>
      </c>
      <c r="G110" s="66">
        <f>IFERROR(SUMIFS(BS!G:G,BS!$B:$B,'BS (分析)'!$B110),0)</f>
        <v>6122776</v>
      </c>
      <c r="H110" s="66">
        <f>IFERROR(SUMIFS(BS!H:H,BS!$B:$B,'BS (分析)'!$B110),0)</f>
        <v>6300946</v>
      </c>
      <c r="I110" s="66">
        <f>IFERROR(SUMIFS(BS!I:I,BS!$B:$B,'BS (分析)'!$B110),0)</f>
        <v>6386780</v>
      </c>
      <c r="J110" s="66">
        <f>IFERROR(SUMIFS(BS!J:J,BS!$B:$B,'BS (分析)'!$B110),0)</f>
        <v>6446142</v>
      </c>
      <c r="K110" s="66">
        <f>IFERROR(SUMIFS(BS!K:K,BS!$B:$B,'BS (分析)'!$B110),0)</f>
        <v>5130673</v>
      </c>
      <c r="L110" s="66">
        <f>IFERROR(SUMIFS(BS!L:L,BS!$B:$B,'BS (分析)'!$B110),0)</f>
        <v>3134078</v>
      </c>
      <c r="M110" s="66">
        <f>IFERROR(SUMIFS(BS!M:M,BS!$B:$B,'BS (分析)'!$B110),0)</f>
        <v>1583700</v>
      </c>
      <c r="N110" s="66">
        <f>IFERROR(SUMIFS(BS!N:N,BS!$B:$B,'BS (分析)'!$B110),0)</f>
        <v>1396733</v>
      </c>
      <c r="O110" s="66">
        <f>IFERROR(SUMIFS(BS!O:O,BS!$B:$B,'BS (分析)'!$B110),0)</f>
        <v>1117913</v>
      </c>
      <c r="P110" s="66">
        <f>IFERROR(SUMIFS(BS!P:P,BS!$B:$B,'BS (分析)'!$B110),0)</f>
        <v>0</v>
      </c>
    </row>
    <row r="111" spans="2:16" x14ac:dyDescent="0.25">
      <c r="B111" s="133" t="s">
        <v>1768</v>
      </c>
      <c r="C111" s="135">
        <f>C109/C110</f>
        <v>0.15868739127065357</v>
      </c>
      <c r="D111" s="135">
        <f t="shared" ref="D111" si="87">D109/D110</f>
        <v>0.15716266454995215</v>
      </c>
      <c r="E111" s="135">
        <f t="shared" ref="E111" si="88">E109/E110</f>
        <v>0.13121893013993854</v>
      </c>
      <c r="F111" s="135">
        <f t="shared" ref="F111:P111" si="89">F109/F110</f>
        <v>0.1010527663322718</v>
      </c>
      <c r="G111" s="135">
        <f t="shared" ref="G111:O111" si="90">G109/G110</f>
        <v>9.0169067102895809E-2</v>
      </c>
      <c r="H111" s="135">
        <f t="shared" si="89"/>
        <v>0.11536601011975027</v>
      </c>
      <c r="I111" s="135">
        <f t="shared" si="90"/>
        <v>0.14744268629888613</v>
      </c>
      <c r="J111" s="135">
        <f t="shared" si="89"/>
        <v>0.16306435694404497</v>
      </c>
      <c r="K111" s="135">
        <f t="shared" si="90"/>
        <v>0.15854469774238195</v>
      </c>
      <c r="L111" s="135">
        <f t="shared" si="89"/>
        <v>0.18146549001014015</v>
      </c>
      <c r="M111" s="135">
        <f t="shared" si="90"/>
        <v>0.18561154259013701</v>
      </c>
      <c r="N111" s="135">
        <f t="shared" si="89"/>
        <v>0.21568760815417121</v>
      </c>
      <c r="O111" s="135">
        <f t="shared" si="90"/>
        <v>0.20957802619702964</v>
      </c>
      <c r="P111" s="135" t="e">
        <f t="shared" si="89"/>
        <v>#DIV/0!</v>
      </c>
    </row>
    <row r="112" spans="2:16" ht="43.5" customHeight="1" x14ac:dyDescent="0.25">
      <c r="B112" s="204" t="s">
        <v>1790</v>
      </c>
      <c r="C112" s="204"/>
      <c r="D112" s="204"/>
      <c r="E112" s="204"/>
      <c r="F112" s="204"/>
      <c r="G112" s="204"/>
      <c r="H112" s="204"/>
    </row>
    <row r="114" spans="2:15" x14ac:dyDescent="0.25">
      <c r="B114" s="61" t="str">
        <f>B108</f>
        <v>三一重工</v>
      </c>
      <c r="C114" s="132">
        <v>43830</v>
      </c>
      <c r="D114" s="132">
        <v>43465</v>
      </c>
      <c r="E114" s="132">
        <v>43100</v>
      </c>
      <c r="F114" s="132">
        <v>42735</v>
      </c>
      <c r="G114" s="132">
        <v>42369</v>
      </c>
      <c r="H114" s="132">
        <v>42004</v>
      </c>
      <c r="I114" s="132">
        <v>41639</v>
      </c>
      <c r="J114" s="132">
        <v>41274</v>
      </c>
      <c r="K114" s="132">
        <v>40908</v>
      </c>
      <c r="L114" s="132">
        <v>40543</v>
      </c>
      <c r="M114" s="132">
        <v>40178</v>
      </c>
      <c r="N114" s="132">
        <v>39813</v>
      </c>
      <c r="O114" s="132">
        <v>39447</v>
      </c>
    </row>
    <row r="115" spans="2:15" x14ac:dyDescent="0.25">
      <c r="B115" s="61" t="s">
        <v>1702</v>
      </c>
      <c r="C115" s="66">
        <f>IFERROR(SUMIFS(BS!C:C,BS!$B:$B,'BS (分析)'!$B115),0)</f>
        <v>4945</v>
      </c>
      <c r="D115" s="66">
        <f>IFERROR(SUMIFS(BS!D:D,BS!$B:$B,'BS (分析)'!$B115),0)</f>
        <v>5085</v>
      </c>
      <c r="E115" s="66">
        <f>IFERROR(SUMIFS(BS!E:E,BS!$B:$B,'BS (分析)'!$B115),0)</f>
        <v>5062</v>
      </c>
      <c r="F115" s="66">
        <f>IFERROR(SUMIFS(BS!F:F,BS!$B:$B,'BS (分析)'!$B115),0)</f>
        <v>3617</v>
      </c>
      <c r="G115" s="66">
        <f>IFERROR(SUMIFS(BS!G:G,BS!$B:$B,'BS (分析)'!$B115),0)</f>
        <v>3513</v>
      </c>
      <c r="H115" s="66">
        <f>IFERROR(SUMIFS(BS!H:H,BS!$B:$B,'BS (分析)'!$B115),0)</f>
        <v>3693</v>
      </c>
      <c r="I115" s="66">
        <f>IFERROR(SUMIFS(BS!I:I,BS!$B:$B,'BS (分析)'!$B115),0)</f>
        <v>4170</v>
      </c>
      <c r="J115" s="66">
        <f>IFERROR(SUMIFS(BS!J:J,BS!$B:$B,'BS (分析)'!$B115),0)</f>
        <v>4118</v>
      </c>
      <c r="K115" s="66">
        <f>IFERROR(SUMIFS(BS!K:K,BS!$B:$B,'BS (分析)'!$B115),0)</f>
        <v>0</v>
      </c>
      <c r="L115" s="66">
        <f>IFERROR(SUMIFS(BS!L:L,BS!$B:$B,'BS (分析)'!$B115),0)</f>
        <v>0</v>
      </c>
      <c r="M115" s="66">
        <f>IFERROR(SUMIFS(BS!M:M,BS!$B:$B,'BS (分析)'!$B115),0)</f>
        <v>0</v>
      </c>
      <c r="N115" s="66">
        <f>IFERROR(SUMIFS(BS!N:N,BS!$B:$B,'BS (分析)'!$B115),0)</f>
        <v>0</v>
      </c>
      <c r="O115" s="66">
        <f>IFERROR(SUMIFS(BS!O:O,BS!$B:$B,'BS (分析)'!$B115),0)</f>
        <v>0</v>
      </c>
    </row>
    <row r="116" spans="2:15" x14ac:dyDescent="0.25">
      <c r="B116" s="61" t="s">
        <v>1703</v>
      </c>
      <c r="C116" s="66">
        <f>IFERROR(SUMIFS(BS!C:C,BS!$B:$B,'BS (分析)'!$B116),0)</f>
        <v>8981016</v>
      </c>
      <c r="D116" s="66">
        <f>IFERROR(SUMIFS(BS!D:D,BS!$B:$B,'BS (分析)'!$B116),0)</f>
        <v>7377471</v>
      </c>
      <c r="E116" s="66">
        <f>IFERROR(SUMIFS(BS!E:E,BS!$B:$B,'BS (分析)'!$B116),0)</f>
        <v>5823771</v>
      </c>
      <c r="F116" s="66">
        <f>IFERROR(SUMIFS(BS!F:F,BS!$B:$B,'BS (分析)'!$B116),0)</f>
        <v>6155497</v>
      </c>
      <c r="G116" s="66">
        <f>IFERROR(SUMIFS(BS!G:G,BS!$B:$B,'BS (分析)'!$B116),0)</f>
        <v>6122776</v>
      </c>
      <c r="H116" s="66">
        <f>IFERROR(SUMIFS(BS!H:H,BS!$B:$B,'BS (分析)'!$B116),0)</f>
        <v>6300946</v>
      </c>
      <c r="I116" s="66">
        <f>IFERROR(SUMIFS(BS!I:I,BS!$B:$B,'BS (分析)'!$B116),0)</f>
        <v>6386780</v>
      </c>
      <c r="J116" s="66">
        <f>IFERROR(SUMIFS(BS!J:J,BS!$B:$B,'BS (分析)'!$B116),0)</f>
        <v>6446142</v>
      </c>
      <c r="K116" s="66">
        <f>IFERROR(SUMIFS(BS!K:K,BS!$B:$B,'BS (分析)'!$B116),0)</f>
        <v>5130673</v>
      </c>
      <c r="L116" s="66">
        <f>IFERROR(SUMIFS(BS!L:L,BS!$B:$B,'BS (分析)'!$B116),0)</f>
        <v>3134078</v>
      </c>
      <c r="M116" s="66">
        <f>IFERROR(SUMIFS(BS!M:M,BS!$B:$B,'BS (分析)'!$B116),0)</f>
        <v>1583700</v>
      </c>
      <c r="N116" s="66">
        <f>IFERROR(SUMIFS(BS!N:N,BS!$B:$B,'BS (分析)'!$B116),0)</f>
        <v>1396733</v>
      </c>
      <c r="O116" s="66">
        <f>IFERROR(SUMIFS(BS!O:O,BS!$B:$B,'BS (分析)'!$B116),0)</f>
        <v>1117913</v>
      </c>
    </row>
    <row r="117" spans="2:15" x14ac:dyDescent="0.25">
      <c r="B117" s="133" t="s">
        <v>1769</v>
      </c>
      <c r="C117" s="138">
        <f>C115/C116</f>
        <v>5.5060585572946311E-4</v>
      </c>
      <c r="D117" s="138">
        <f t="shared" ref="D117:G117" si="91">D115/D116</f>
        <v>6.8926058807957356E-4</v>
      </c>
      <c r="E117" s="138">
        <f t="shared" si="91"/>
        <v>8.6919626475697614E-4</v>
      </c>
      <c r="F117" s="138">
        <f t="shared" si="91"/>
        <v>5.8760486764919222E-4</v>
      </c>
      <c r="G117" s="138">
        <f t="shared" si="91"/>
        <v>5.7375935360039307E-4</v>
      </c>
      <c r="H117" s="138">
        <f t="shared" ref="H117:O117" si="92">H115/H116</f>
        <v>5.861024677881702E-4</v>
      </c>
      <c r="I117" s="138">
        <f t="shared" si="92"/>
        <v>6.5291116963477687E-4</v>
      </c>
      <c r="J117" s="138">
        <f t="shared" si="92"/>
        <v>6.3883172291271273E-4</v>
      </c>
      <c r="K117" s="138">
        <f t="shared" si="92"/>
        <v>0</v>
      </c>
      <c r="L117" s="138">
        <f t="shared" si="92"/>
        <v>0</v>
      </c>
      <c r="M117" s="138">
        <f t="shared" si="92"/>
        <v>0</v>
      </c>
      <c r="N117" s="138">
        <f t="shared" si="92"/>
        <v>0</v>
      </c>
      <c r="O117" s="138">
        <f t="shared" si="92"/>
        <v>0</v>
      </c>
    </row>
    <row r="118" spans="2:15" x14ac:dyDescent="0.25">
      <c r="C118" s="199" t="str">
        <f>IF(C117&lt;0.5%,"优秀","暴雷风险")</f>
        <v>优秀</v>
      </c>
      <c r="D118" s="199" t="str">
        <f t="shared" ref="D118:G118" si="93">IF(D117&lt;0.5%,"优秀","暴雷风险")</f>
        <v>优秀</v>
      </c>
      <c r="E118" s="199" t="str">
        <f t="shared" si="93"/>
        <v>优秀</v>
      </c>
      <c r="F118" s="199" t="str">
        <f t="shared" si="93"/>
        <v>优秀</v>
      </c>
      <c r="G118" s="199" t="str">
        <f t="shared" si="93"/>
        <v>优秀</v>
      </c>
      <c r="H118" s="199" t="str">
        <f t="shared" ref="H118" si="94">IF(H117&lt;0.5%,"优秀","暴雷风险")</f>
        <v>优秀</v>
      </c>
      <c r="I118" s="199" t="str">
        <f t="shared" ref="I118" si="95">IF(I117&lt;0.5%,"优秀","暴雷风险")</f>
        <v>优秀</v>
      </c>
      <c r="J118" s="199" t="str">
        <f t="shared" ref="J118" si="96">IF(J117&lt;0.5%,"优秀","暴雷风险")</f>
        <v>优秀</v>
      </c>
      <c r="K118" s="199" t="str">
        <f t="shared" ref="K118" si="97">IF(K117&lt;0.5%,"优秀","暴雷风险")</f>
        <v>优秀</v>
      </c>
      <c r="L118" s="199" t="str">
        <f t="shared" ref="L118" si="98">IF(L117&lt;0.5%,"优秀","暴雷风险")</f>
        <v>优秀</v>
      </c>
      <c r="M118" s="199" t="str">
        <f t="shared" ref="M118" si="99">IF(M117&lt;0.5%,"优秀","暴雷风险")</f>
        <v>优秀</v>
      </c>
      <c r="N118" s="199" t="str">
        <f t="shared" ref="N118" si="100">IF(N117&lt;0.5%,"优秀","暴雷风险")</f>
        <v>优秀</v>
      </c>
      <c r="O118" s="199" t="str">
        <f t="shared" ref="O118" si="101">IF(O117&lt;0.5%,"优秀","暴雷风险")</f>
        <v>优秀</v>
      </c>
    </row>
    <row r="119" spans="2:15" ht="48" customHeight="1" x14ac:dyDescent="0.25">
      <c r="B119" s="204" t="s">
        <v>1791</v>
      </c>
      <c r="C119" s="204"/>
      <c r="D119" s="204"/>
      <c r="E119" s="204"/>
      <c r="F119" s="204"/>
      <c r="G119" s="204"/>
      <c r="H119" s="204"/>
    </row>
  </sheetData>
  <mergeCells count="9">
    <mergeCell ref="B104:H104"/>
    <mergeCell ref="B112:H112"/>
    <mergeCell ref="B119:H119"/>
    <mergeCell ref="B23:H23"/>
    <mergeCell ref="B40:H40"/>
    <mergeCell ref="B56:H56"/>
    <mergeCell ref="B70:H70"/>
    <mergeCell ref="B79:H79"/>
    <mergeCell ref="B88:H88"/>
  </mergeCells>
  <phoneticPr fontId="3"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D8139-062C-4B9A-85AB-464F7740D302}">
  <sheetPr codeName="Sheet21">
    <tabColor rgb="FFFFFF00"/>
  </sheetPr>
  <dimension ref="A3:P77"/>
  <sheetViews>
    <sheetView topLeftCell="C32" workbookViewId="0">
      <selection activeCell="D44" sqref="D44:O44"/>
    </sheetView>
  </sheetViews>
  <sheetFormatPr defaultRowHeight="14" x14ac:dyDescent="0.25"/>
  <cols>
    <col min="1" max="1" width="31.08984375" customWidth="1"/>
    <col min="2" max="2" width="21.6328125" style="59" customWidth="1"/>
    <col min="3" max="3" width="18.26953125" style="60" customWidth="1"/>
    <col min="4" max="4" width="16.7265625" style="60" customWidth="1"/>
    <col min="5" max="5" width="15.6328125" style="60" customWidth="1"/>
    <col min="6" max="6" width="15.36328125" style="60" customWidth="1"/>
    <col min="7" max="7" width="14.36328125" bestFit="1" customWidth="1"/>
    <col min="8" max="8" width="14.36328125" customWidth="1"/>
    <col min="9" max="9" width="13.453125" customWidth="1"/>
    <col min="10" max="13" width="10.26953125" bestFit="1" customWidth="1"/>
  </cols>
  <sheetData>
    <row r="3" spans="1:16" ht="15" x14ac:dyDescent="0.25">
      <c r="A3" s="139" t="s">
        <v>1699</v>
      </c>
    </row>
    <row r="4" spans="1:16" x14ac:dyDescent="0.25">
      <c r="A4" t="str">
        <f>自选股!B2</f>
        <v>三一重工</v>
      </c>
      <c r="B4" s="125">
        <v>43830</v>
      </c>
      <c r="C4" s="125">
        <v>43465</v>
      </c>
      <c r="D4" s="143">
        <v>43100</v>
      </c>
      <c r="E4" s="125">
        <v>42735</v>
      </c>
      <c r="F4" s="143">
        <v>42369</v>
      </c>
      <c r="G4" s="125">
        <v>42004</v>
      </c>
      <c r="H4" s="143">
        <v>41639</v>
      </c>
      <c r="I4" s="125">
        <v>41274</v>
      </c>
      <c r="J4" s="143">
        <v>40908</v>
      </c>
      <c r="K4" s="125">
        <v>40543</v>
      </c>
      <c r="L4" s="143">
        <v>40178</v>
      </c>
      <c r="M4" s="125">
        <v>39813</v>
      </c>
      <c r="N4" s="125">
        <v>38352</v>
      </c>
      <c r="O4" s="143">
        <v>37986</v>
      </c>
      <c r="P4" s="125">
        <v>37621</v>
      </c>
    </row>
    <row r="5" spans="1:16" x14ac:dyDescent="0.25">
      <c r="A5" t="s">
        <v>1440</v>
      </c>
      <c r="B5" s="141">
        <f>SUMIFS(PL!B:B,PL!$A:$A,$A5)</f>
        <v>7566576</v>
      </c>
      <c r="C5" s="141">
        <f>SUMIFS(PL!C:C,PL!$A:$A,$A5)</f>
        <v>5582150</v>
      </c>
      <c r="D5" s="141">
        <f>SUMIFS(PL!D:D,PL!$A:$A,$A5)</f>
        <v>3833509</v>
      </c>
      <c r="E5" s="141">
        <f>SUMIFS(PL!E:E,PL!$A:$A,$A5)</f>
        <v>2328007</v>
      </c>
      <c r="F5" s="141">
        <f>SUMIFS(PL!F:F,PL!$A:$A,$A5)</f>
        <v>2336687</v>
      </c>
      <c r="G5" s="141">
        <f>SUMIFS(PL!G:G,PL!$A:$A,$A5)</f>
        <v>3036472</v>
      </c>
      <c r="H5" s="141">
        <f>SUMIFS(PL!H:H,PL!$A:$A,$A5)</f>
        <v>3732789</v>
      </c>
      <c r="I5" s="141">
        <f>SUMIFS(PL!I:I,PL!$A:$A,$A5)</f>
        <v>4683054</v>
      </c>
      <c r="J5" s="141">
        <f>SUMIFS(PL!J:J,PL!$A:$A,$A5)</f>
        <v>5077630</v>
      </c>
      <c r="K5" s="141">
        <f>SUMIFS(PL!K:K,PL!$A:$A,$A5)</f>
        <v>3395494</v>
      </c>
      <c r="L5" s="141">
        <f>SUMIFS(PL!L:L,PL!$A:$A,$A5)</f>
        <v>1649588</v>
      </c>
      <c r="M5" s="141">
        <f>SUMIFS(PL!M:M,PL!$A:$A,$A5)</f>
        <v>1374526</v>
      </c>
      <c r="N5" s="141">
        <f>SUMIFS(PL!Q:Q,PL!$A:$A,$A5)</f>
        <v>0</v>
      </c>
      <c r="O5" s="141">
        <f>SUMIFS(PL!R:R,PL!$A:$A,$A5)</f>
        <v>0</v>
      </c>
      <c r="P5" s="141">
        <f>SUMIFS(PL!S:S,PL!$A:$A,$A5)</f>
        <v>0</v>
      </c>
    </row>
    <row r="6" spans="1:16" x14ac:dyDescent="0.25">
      <c r="A6" t="s">
        <v>1700</v>
      </c>
      <c r="B6" s="142">
        <f>(B5-C5)/C5</f>
        <v>0.35549492579024211</v>
      </c>
      <c r="C6" s="142">
        <f t="shared" ref="C6:E6" si="0">(C5-D5)/D5</f>
        <v>0.45614631399065453</v>
      </c>
      <c r="D6" s="142">
        <f t="shared" si="0"/>
        <v>0.64669135445039472</v>
      </c>
      <c r="E6" s="142">
        <f t="shared" si="0"/>
        <v>-3.7146609708531781E-3</v>
      </c>
      <c r="F6" s="142">
        <v>-0.161</v>
      </c>
      <c r="G6" s="142">
        <f t="shared" ref="G6" si="1">(G5-H5)/H5</f>
        <v>-0.18654068044028205</v>
      </c>
      <c r="H6" s="142">
        <v>0.83899999999999997</v>
      </c>
      <c r="I6" s="142">
        <f t="shared" ref="I6" si="2">(I5-J5)/J5</f>
        <v>-7.7708694804465864E-2</v>
      </c>
      <c r="J6" s="142">
        <v>1.839</v>
      </c>
      <c r="K6" s="142">
        <f t="shared" ref="K6" si="3">(K5-L5)/L5</f>
        <v>1.0583891250421318</v>
      </c>
      <c r="L6" s="142">
        <v>2.839</v>
      </c>
      <c r="M6" s="142" t="e">
        <f>(M5-#REF!)/#REF!</f>
        <v>#REF!</v>
      </c>
      <c r="N6" s="142" t="e">
        <f t="shared" ref="N6" si="4">(N5-O5)/O5</f>
        <v>#DIV/0!</v>
      </c>
      <c r="O6" s="142">
        <v>5.8390000000000004</v>
      </c>
      <c r="P6" s="142" t="e">
        <f t="shared" ref="P6" si="5">(P5-Q5)/Q5</f>
        <v>#DIV/0!</v>
      </c>
    </row>
    <row r="7" spans="1:16" x14ac:dyDescent="0.25">
      <c r="A7" s="80" t="s">
        <v>1704</v>
      </c>
      <c r="B7" s="64">
        <f>SUMIFS(CF数据!B:B,CF数据!$A:$A,$A7)</f>
        <v>7876473</v>
      </c>
      <c r="C7" s="64">
        <f>SUMIFS(CF数据!C:C,CF数据!$A:$A,$A7)</f>
        <v>5964547</v>
      </c>
      <c r="D7" s="64">
        <f>SUMIFS(CF数据!D:D,CF数据!$A:$A,$A7)</f>
        <v>4144025</v>
      </c>
      <c r="E7" s="64">
        <f>SUMIFS(CF数据!E:E,CF数据!$A:$A,$A7)</f>
        <v>2596401</v>
      </c>
      <c r="F7" s="64">
        <f>SUMIFS(CF数据!F:F,CF数据!$A:$A,$A7)</f>
        <v>2394437</v>
      </c>
      <c r="G7" s="64">
        <f>SUMIFS(CF数据!G:G,CF数据!$A:$A,$A7)</f>
        <v>3244284</v>
      </c>
      <c r="H7" s="64">
        <f>SUMIFS(CF数据!H:H,CF数据!$A:$A,$A7)</f>
        <v>3730626</v>
      </c>
      <c r="I7" s="64">
        <f>SUMIFS(CF数据!I:I,CF数据!$A:$A,$A7)</f>
        <v>5052703</v>
      </c>
      <c r="J7" s="64">
        <f>SUMIFS(CF数据!J:J,CF数据!$A:$A,$A7)</f>
        <v>5257022</v>
      </c>
      <c r="K7" s="64">
        <f>SUMIFS(CF数据!K:K,CF数据!$A:$A,$A7)</f>
        <v>3732983</v>
      </c>
      <c r="L7" s="64">
        <f>SUMIFS(CF数据!L:L,CF数据!$A:$A,$A7)</f>
        <v>1657653</v>
      </c>
      <c r="M7" s="64">
        <f>SUMIFS(CF数据!M:M,CF数据!$A:$A,$A7)</f>
        <v>1420493</v>
      </c>
      <c r="N7" s="64">
        <f>SUMIFS(CF数据!Q:Q,CF数据!$A:$A,$A7)</f>
        <v>0</v>
      </c>
      <c r="O7" s="64">
        <f>SUMIFS(CF数据!R:R,CF数据!$A:$A,$A7)</f>
        <v>0</v>
      </c>
      <c r="P7" s="64">
        <f>SUMIFS(CF数据!S:S,CF数据!$A:$A,$A7)</f>
        <v>0</v>
      </c>
    </row>
    <row r="8" spans="1:16" x14ac:dyDescent="0.25">
      <c r="A8" s="140" t="s">
        <v>1701</v>
      </c>
      <c r="B8" s="135">
        <f>B7/B5</f>
        <v>1.0409560414115975</v>
      </c>
      <c r="C8" s="135">
        <f t="shared" ref="C8:F8" si="6">C7/C5</f>
        <v>1.0685035335847299</v>
      </c>
      <c r="D8" s="135">
        <f t="shared" si="6"/>
        <v>1.0810004619788294</v>
      </c>
      <c r="E8" s="135">
        <f t="shared" si="6"/>
        <v>1.1152891722404614</v>
      </c>
      <c r="F8" s="135">
        <f t="shared" si="6"/>
        <v>1.0247144782334989</v>
      </c>
      <c r="G8" s="135">
        <f t="shared" ref="G8:P8" si="7">G7/G5</f>
        <v>1.0684386353636721</v>
      </c>
      <c r="H8" s="135">
        <f t="shared" si="7"/>
        <v>0.99942054051273721</v>
      </c>
      <c r="I8" s="135">
        <f t="shared" si="7"/>
        <v>1.0789333200086952</v>
      </c>
      <c r="J8" s="135">
        <f t="shared" si="7"/>
        <v>1.0353298684622549</v>
      </c>
      <c r="K8" s="135">
        <f t="shared" si="7"/>
        <v>1.0993931958059711</v>
      </c>
      <c r="L8" s="135">
        <f t="shared" si="7"/>
        <v>1.0048890995812287</v>
      </c>
      <c r="M8" s="135">
        <f t="shared" si="7"/>
        <v>1.0334420738494579</v>
      </c>
      <c r="N8" s="135" t="e">
        <f t="shared" si="7"/>
        <v>#DIV/0!</v>
      </c>
      <c r="O8" s="135" t="e">
        <f t="shared" si="7"/>
        <v>#DIV/0!</v>
      </c>
      <c r="P8" s="135" t="e">
        <f t="shared" si="7"/>
        <v>#DIV/0!</v>
      </c>
    </row>
    <row r="9" spans="1:16" x14ac:dyDescent="0.25">
      <c r="A9" s="195" t="s">
        <v>1802</v>
      </c>
      <c r="B9" s="200" t="str">
        <f>IF(B6&gt;10%,"优秀","差评")</f>
        <v>优秀</v>
      </c>
      <c r="C9" s="200" t="str">
        <f t="shared" ref="C9:F9" si="8">IF(C6&gt;10%,"优秀","差评")</f>
        <v>优秀</v>
      </c>
      <c r="D9" s="200" t="str">
        <f t="shared" si="8"/>
        <v>优秀</v>
      </c>
      <c r="E9" s="200" t="str">
        <f t="shared" si="8"/>
        <v>差评</v>
      </c>
      <c r="F9" s="200" t="str">
        <f t="shared" si="8"/>
        <v>差评</v>
      </c>
      <c r="G9" s="200" t="str">
        <f t="shared" ref="G9:P9" si="9">IF(G6&gt;10%,"优秀","差评")</f>
        <v>差评</v>
      </c>
      <c r="H9" s="200" t="str">
        <f t="shared" si="9"/>
        <v>优秀</v>
      </c>
      <c r="I9" s="200" t="str">
        <f t="shared" si="9"/>
        <v>差评</v>
      </c>
      <c r="J9" s="200" t="str">
        <f t="shared" si="9"/>
        <v>优秀</v>
      </c>
      <c r="K9" s="200" t="str">
        <f t="shared" si="9"/>
        <v>优秀</v>
      </c>
      <c r="L9" s="200" t="str">
        <f t="shared" si="9"/>
        <v>优秀</v>
      </c>
      <c r="M9" s="200" t="e">
        <f t="shared" si="9"/>
        <v>#REF!</v>
      </c>
      <c r="N9" s="200" t="e">
        <f t="shared" si="9"/>
        <v>#DIV/0!</v>
      </c>
      <c r="O9" s="200" t="str">
        <f t="shared" si="9"/>
        <v>优秀</v>
      </c>
      <c r="P9" s="200" t="e">
        <f t="shared" si="9"/>
        <v>#DIV/0!</v>
      </c>
    </row>
    <row r="10" spans="1:16" x14ac:dyDescent="0.25">
      <c r="A10" s="140" t="s">
        <v>1803</v>
      </c>
      <c r="B10" s="135" t="str">
        <f>IF(B8&gt;100%,"优秀",IF(B8&gt;80%,"良好","差评"))</f>
        <v>优秀</v>
      </c>
      <c r="C10" s="135" t="str">
        <f t="shared" ref="C10:F10" si="10">IF(C8&gt;100%,"优秀",IF(C8&gt;80%,"良好","差评"))</f>
        <v>优秀</v>
      </c>
      <c r="D10" s="135" t="str">
        <f t="shared" si="10"/>
        <v>优秀</v>
      </c>
      <c r="E10" s="135" t="str">
        <f t="shared" si="10"/>
        <v>优秀</v>
      </c>
      <c r="F10" s="135" t="str">
        <f t="shared" si="10"/>
        <v>优秀</v>
      </c>
      <c r="G10" s="135" t="str">
        <f t="shared" ref="G10:P10" si="11">IF(G8&gt;100%,"优秀",IF(G8&gt;80%,"良好","差评"))</f>
        <v>优秀</v>
      </c>
      <c r="H10" s="135" t="str">
        <f t="shared" si="11"/>
        <v>良好</v>
      </c>
      <c r="I10" s="135" t="str">
        <f t="shared" si="11"/>
        <v>优秀</v>
      </c>
      <c r="J10" s="135" t="str">
        <f t="shared" si="11"/>
        <v>优秀</v>
      </c>
      <c r="K10" s="135" t="str">
        <f t="shared" si="11"/>
        <v>优秀</v>
      </c>
      <c r="L10" s="135" t="str">
        <f t="shared" si="11"/>
        <v>优秀</v>
      </c>
      <c r="M10" s="135" t="str">
        <f t="shared" si="11"/>
        <v>优秀</v>
      </c>
      <c r="N10" s="135" t="e">
        <f t="shared" si="11"/>
        <v>#DIV/0!</v>
      </c>
      <c r="O10" s="135" t="e">
        <f t="shared" si="11"/>
        <v>#DIV/0!</v>
      </c>
      <c r="P10" s="135" t="e">
        <f t="shared" si="11"/>
        <v>#DIV/0!</v>
      </c>
    </row>
    <row r="11" spans="1:16" ht="57.75" customHeight="1" x14ac:dyDescent="0.25">
      <c r="A11" s="205" t="s">
        <v>1792</v>
      </c>
      <c r="B11" s="205"/>
      <c r="C11" s="205"/>
      <c r="D11" s="205"/>
      <c r="E11" s="205"/>
      <c r="F11" s="205"/>
      <c r="G11" s="205"/>
    </row>
    <row r="13" spans="1:16" ht="15" x14ac:dyDescent="0.25">
      <c r="A13" s="139" t="s">
        <v>1705</v>
      </c>
    </row>
    <row r="14" spans="1:16" x14ac:dyDescent="0.25">
      <c r="A14" t="str">
        <f>A4</f>
        <v>三一重工</v>
      </c>
      <c r="B14" s="125">
        <v>43830</v>
      </c>
      <c r="C14" s="125">
        <v>43465</v>
      </c>
      <c r="D14" s="143">
        <v>43100</v>
      </c>
      <c r="E14" s="125">
        <v>42735</v>
      </c>
      <c r="F14" s="143">
        <v>42369</v>
      </c>
      <c r="G14" s="125">
        <v>42004</v>
      </c>
      <c r="H14" s="143">
        <v>41639</v>
      </c>
      <c r="I14" s="125">
        <v>41274</v>
      </c>
      <c r="J14" s="143">
        <v>40908</v>
      </c>
      <c r="K14" s="125">
        <v>40543</v>
      </c>
      <c r="L14" s="143">
        <v>40178</v>
      </c>
      <c r="M14" s="125">
        <v>39813</v>
      </c>
    </row>
    <row r="15" spans="1:16" x14ac:dyDescent="0.25">
      <c r="A15" t="s">
        <v>1440</v>
      </c>
      <c r="B15" s="141">
        <f>SUMIFS(PL!B:B,PL!$A:$A,$A15)</f>
        <v>7566576</v>
      </c>
      <c r="C15" s="141">
        <f>SUMIFS(PL!C:C,PL!$A:$A,$A15)</f>
        <v>5582150</v>
      </c>
      <c r="D15" s="141">
        <f>SUMIFS(PL!D:D,PL!$A:$A,$A15)</f>
        <v>3833509</v>
      </c>
      <c r="E15" s="141">
        <f>SUMIFS(PL!E:E,PL!$A:$A,$A15)</f>
        <v>2328007</v>
      </c>
      <c r="F15" s="141">
        <f>SUMIFS(PL!F:F,PL!$A:$A,$A15)</f>
        <v>2336687</v>
      </c>
      <c r="G15" s="141">
        <f>SUMIFS(PL!G:G,PL!$A:$A,$A15)</f>
        <v>3036472</v>
      </c>
      <c r="H15" s="141">
        <f>SUMIFS(PL!H:H,PL!$A:$A,$A15)</f>
        <v>3732789</v>
      </c>
      <c r="I15" s="141">
        <f>SUMIFS(PL!I:I,PL!$A:$A,$A15)</f>
        <v>4683054</v>
      </c>
      <c r="J15" s="141">
        <f>SUMIFS(PL!J:J,PL!$A:$A,$A15)</f>
        <v>5077630</v>
      </c>
      <c r="K15" s="141">
        <f>SUMIFS(PL!K:K,PL!$A:$A,$A15)</f>
        <v>3395494</v>
      </c>
      <c r="L15" s="141">
        <f>SUMIFS(PL!L:L,PL!$A:$A,$A15)</f>
        <v>1649588</v>
      </c>
      <c r="M15" s="141">
        <f>SUMIFS(PL!M:M,PL!$A:$A,$A15)</f>
        <v>1374526</v>
      </c>
    </row>
    <row r="16" spans="1:16" x14ac:dyDescent="0.25">
      <c r="A16" t="s">
        <v>1448</v>
      </c>
      <c r="B16" s="141">
        <f>SUMIFS(PL!B:B,PL!$A:$A,$A16)</f>
        <v>5093227</v>
      </c>
      <c r="C16" s="141">
        <f>SUMIFS(PL!C:C,PL!$A:$A,$A16)</f>
        <v>3872796</v>
      </c>
      <c r="D16" s="141">
        <f>SUMIFS(PL!D:D,PL!$A:$A,$A16)</f>
        <v>2680585</v>
      </c>
      <c r="E16" s="141">
        <f>SUMIFS(PL!E:E,PL!$A:$A,$A16)</f>
        <v>1717940</v>
      </c>
      <c r="F16" s="141">
        <f>SUMIFS(PL!F:F,PL!$A:$A,$A16)</f>
        <v>1757677</v>
      </c>
      <c r="G16" s="141">
        <f>SUMIFS(PL!G:G,PL!$A:$A,$A16)</f>
        <v>2253867</v>
      </c>
      <c r="H16" s="141">
        <f>SUMIFS(PL!H:H,PL!$A:$A,$A16)</f>
        <v>2755269</v>
      </c>
      <c r="I16" s="141">
        <f>SUMIFS(PL!I:I,PL!$A:$A,$A16)</f>
        <v>3196325</v>
      </c>
      <c r="J16" s="141">
        <f>SUMIFS(PL!J:J,PL!$A:$A,$A16)</f>
        <v>3225223</v>
      </c>
      <c r="K16" s="141">
        <f>SUMIFS(PL!K:K,PL!$A:$A,$A16)</f>
        <v>2144184</v>
      </c>
      <c r="L16" s="141">
        <f>SUMIFS(PL!L:L,PL!$A:$A,$A16)</f>
        <v>1116108</v>
      </c>
      <c r="M16" s="141">
        <f>SUMIFS(PL!M:M,PL!$A:$A,$A16)</f>
        <v>962756</v>
      </c>
    </row>
    <row r="17" spans="1:13" x14ac:dyDescent="0.25">
      <c r="A17" t="s">
        <v>1706</v>
      </c>
      <c r="B17" s="141">
        <f>B15-B16</f>
        <v>2473349</v>
      </c>
      <c r="C17" s="141">
        <f t="shared" ref="C17:F17" si="12">C15-C16</f>
        <v>1709354</v>
      </c>
      <c r="D17" s="141">
        <f t="shared" si="12"/>
        <v>1152924</v>
      </c>
      <c r="E17" s="141">
        <f t="shared" si="12"/>
        <v>610067</v>
      </c>
      <c r="F17" s="141">
        <f t="shared" si="12"/>
        <v>579010</v>
      </c>
      <c r="G17" s="141">
        <f t="shared" ref="G17:M17" si="13">G15-G16</f>
        <v>782605</v>
      </c>
      <c r="H17" s="141">
        <f t="shared" si="13"/>
        <v>977520</v>
      </c>
      <c r="I17" s="141">
        <f t="shared" si="13"/>
        <v>1486729</v>
      </c>
      <c r="J17" s="141">
        <f t="shared" si="13"/>
        <v>1852407</v>
      </c>
      <c r="K17" s="141">
        <f t="shared" si="13"/>
        <v>1251310</v>
      </c>
      <c r="L17" s="141">
        <f t="shared" si="13"/>
        <v>533480</v>
      </c>
      <c r="M17" s="141">
        <f t="shared" si="13"/>
        <v>411770</v>
      </c>
    </row>
    <row r="18" spans="1:13" x14ac:dyDescent="0.25">
      <c r="A18" s="140" t="s">
        <v>1707</v>
      </c>
      <c r="B18" s="135">
        <f>B17/B15</f>
        <v>0.32687823395945537</v>
      </c>
      <c r="C18" s="135">
        <f t="shared" ref="C18:F18" si="14">C17/C15</f>
        <v>0.30621785512750466</v>
      </c>
      <c r="D18" s="135">
        <f t="shared" si="14"/>
        <v>0.30074900045884856</v>
      </c>
      <c r="E18" s="135">
        <f t="shared" si="14"/>
        <v>0.26205548351014407</v>
      </c>
      <c r="F18" s="135">
        <f t="shared" si="14"/>
        <v>0.24779099639789154</v>
      </c>
      <c r="G18" s="135">
        <f t="shared" ref="G18:M18" si="15">G17/G15</f>
        <v>0.25773496347076474</v>
      </c>
      <c r="H18" s="135">
        <f t="shared" si="15"/>
        <v>0.26187389643507841</v>
      </c>
      <c r="I18" s="135">
        <f t="shared" si="15"/>
        <v>0.31746996724786858</v>
      </c>
      <c r="J18" s="135">
        <f t="shared" si="15"/>
        <v>0.3648172474166097</v>
      </c>
      <c r="K18" s="135">
        <f t="shared" si="15"/>
        <v>0.36852075132513856</v>
      </c>
      <c r="L18" s="135">
        <f t="shared" si="15"/>
        <v>0.32340196461176973</v>
      </c>
      <c r="M18" s="135">
        <f t="shared" si="15"/>
        <v>0.29957236167231466</v>
      </c>
    </row>
    <row r="19" spans="1:13" x14ac:dyDescent="0.25">
      <c r="A19" s="140" t="s">
        <v>1708</v>
      </c>
      <c r="B19" s="135">
        <f>(B18-C18)/C18</f>
        <v>6.7469543287565742E-2</v>
      </c>
      <c r="C19" s="135">
        <f t="shared" ref="C19:E19" si="16">(C18-D18)/D18</f>
        <v>1.8184115858447883E-2</v>
      </c>
      <c r="D19" s="135">
        <f t="shared" si="16"/>
        <v>0.14765391065440794</v>
      </c>
      <c r="E19" s="135">
        <f t="shared" si="16"/>
        <v>5.7566607825198242E-2</v>
      </c>
      <c r="F19" s="135">
        <f t="shared" ref="F19" si="17">(F18-G18)/G18</f>
        <v>-3.8582142441846719E-2</v>
      </c>
      <c r="G19" s="135">
        <f t="shared" ref="G19" si="18">(G18-H18)/H18</f>
        <v>-1.5805061217087586E-2</v>
      </c>
      <c r="H19" s="135">
        <f t="shared" ref="H19" si="19">(H18-I18)/I18</f>
        <v>-0.17512229989737219</v>
      </c>
      <c r="I19" s="135">
        <f t="shared" ref="I19" si="20">(I18-J18)/J18</f>
        <v>-0.12978355739489486</v>
      </c>
      <c r="J19" s="135">
        <f t="shared" ref="J19" si="21">(J18-K18)/K18</f>
        <v>-1.0049648208986017E-2</v>
      </c>
      <c r="K19" s="135">
        <f t="shared" ref="K19" si="22">(K18-L18)/L18</f>
        <v>0.1395130260495851</v>
      </c>
      <c r="L19" s="135">
        <f t="shared" ref="L19" si="23">(L18-M18)/M18</f>
        <v>7.9545398669056577E-2</v>
      </c>
      <c r="M19" s="135" t="e">
        <f>(M18-#REF!)/#REF!</f>
        <v>#REF!</v>
      </c>
    </row>
    <row r="20" spans="1:13" x14ac:dyDescent="0.25">
      <c r="A20" s="72" t="s">
        <v>1804</v>
      </c>
      <c r="B20" s="196" t="str">
        <f>IF(B18&gt;40%,"优秀",IF(B18&lt;10%,"差评","一般"))</f>
        <v>一般</v>
      </c>
      <c r="C20" s="196" t="str">
        <f t="shared" ref="C20:F20" si="24">IF(C18&gt;40%,"优秀",IF(C18&lt;10%,"差评","一般"))</f>
        <v>一般</v>
      </c>
      <c r="D20" s="196" t="str">
        <f t="shared" si="24"/>
        <v>一般</v>
      </c>
      <c r="E20" s="196" t="str">
        <f t="shared" si="24"/>
        <v>一般</v>
      </c>
      <c r="F20" s="196" t="str">
        <f t="shared" si="24"/>
        <v>一般</v>
      </c>
      <c r="G20" s="196" t="str">
        <f t="shared" ref="G20:M20" si="25">IF(G18&gt;40%,"优秀",IF(G18&lt;10%,"差评","一般"))</f>
        <v>一般</v>
      </c>
      <c r="H20" s="196" t="str">
        <f t="shared" si="25"/>
        <v>一般</v>
      </c>
      <c r="I20" s="196" t="str">
        <f t="shared" si="25"/>
        <v>一般</v>
      </c>
      <c r="J20" s="196" t="str">
        <f t="shared" si="25"/>
        <v>一般</v>
      </c>
      <c r="K20" s="196" t="str">
        <f t="shared" si="25"/>
        <v>一般</v>
      </c>
      <c r="L20" s="196" t="str">
        <f t="shared" si="25"/>
        <v>一般</v>
      </c>
      <c r="M20" s="196" t="str">
        <f t="shared" si="25"/>
        <v>一般</v>
      </c>
    </row>
    <row r="21" spans="1:13" x14ac:dyDescent="0.25">
      <c r="A21" s="72" t="s">
        <v>1805</v>
      </c>
      <c r="B21" s="201" t="str">
        <f>IF(ABS(B19)&lt;10%,"优秀",IF(ABS(B19)&gt;20%,"淘汰","一般"))</f>
        <v>优秀</v>
      </c>
      <c r="C21" s="201" t="str">
        <f t="shared" ref="C21:F21" si="26">IF(ABS(C19)&lt;10%,"优秀",IF(ABS(C19)&gt;20%,"淘汰","一般"))</f>
        <v>优秀</v>
      </c>
      <c r="D21" s="201" t="str">
        <f t="shared" si="26"/>
        <v>一般</v>
      </c>
      <c r="E21" s="201" t="str">
        <f t="shared" si="26"/>
        <v>优秀</v>
      </c>
      <c r="F21" s="201" t="str">
        <f t="shared" si="26"/>
        <v>优秀</v>
      </c>
      <c r="G21" s="201" t="str">
        <f t="shared" ref="G21:M21" si="27">IF(ABS(G19)&lt;10%,"优秀",IF(ABS(G19)&gt;20%,"淘汰","一般"))</f>
        <v>优秀</v>
      </c>
      <c r="H21" s="201" t="str">
        <f t="shared" si="27"/>
        <v>一般</v>
      </c>
      <c r="I21" s="201" t="str">
        <f t="shared" si="27"/>
        <v>一般</v>
      </c>
      <c r="J21" s="201" t="str">
        <f t="shared" si="27"/>
        <v>优秀</v>
      </c>
      <c r="K21" s="201" t="str">
        <f t="shared" si="27"/>
        <v>一般</v>
      </c>
      <c r="L21" s="201" t="str">
        <f t="shared" si="27"/>
        <v>优秀</v>
      </c>
      <c r="M21" s="201" t="e">
        <f t="shared" si="27"/>
        <v>#REF!</v>
      </c>
    </row>
    <row r="22" spans="1:13" ht="64.5" customHeight="1" x14ac:dyDescent="0.25">
      <c r="A22" s="205" t="s">
        <v>1793</v>
      </c>
      <c r="B22" s="205"/>
      <c r="C22" s="205"/>
      <c r="D22" s="205"/>
      <c r="E22" s="205"/>
      <c r="F22" s="205"/>
      <c r="G22" s="205"/>
    </row>
    <row r="24" spans="1:13" ht="15" x14ac:dyDescent="0.25">
      <c r="A24" s="139" t="s">
        <v>1709</v>
      </c>
    </row>
    <row r="25" spans="1:13" x14ac:dyDescent="0.25">
      <c r="A25" t="str">
        <f>A14</f>
        <v>三一重工</v>
      </c>
      <c r="B25" s="125">
        <v>43830</v>
      </c>
      <c r="C25" s="125">
        <v>43465</v>
      </c>
      <c r="D25" s="143">
        <v>43100</v>
      </c>
      <c r="E25" s="125">
        <v>42735</v>
      </c>
      <c r="F25" s="143">
        <v>42369</v>
      </c>
      <c r="G25" s="125">
        <v>42004</v>
      </c>
      <c r="H25" s="143">
        <v>41639</v>
      </c>
      <c r="I25" s="125">
        <v>41274</v>
      </c>
      <c r="J25" s="143">
        <v>40908</v>
      </c>
      <c r="K25" s="125">
        <v>40543</v>
      </c>
      <c r="L25" s="143">
        <v>40178</v>
      </c>
      <c r="M25" s="125">
        <v>39813</v>
      </c>
    </row>
    <row r="26" spans="1:13" x14ac:dyDescent="0.25">
      <c r="A26" t="s">
        <v>1440</v>
      </c>
      <c r="B26" s="141">
        <f>SUMIFS(PL!B:B,PL!$A:$A,$A26)</f>
        <v>7566576</v>
      </c>
      <c r="C26" s="141">
        <f>SUMIFS(PL!C:C,PL!$A:$A,$A26)</f>
        <v>5582150</v>
      </c>
      <c r="D26" s="141">
        <f>SUMIFS(PL!D:D,PL!$A:$A,$A26)</f>
        <v>3833509</v>
      </c>
      <c r="E26" s="141">
        <f>SUMIFS(PL!E:E,PL!$A:$A,$A26)</f>
        <v>2328007</v>
      </c>
      <c r="F26" s="141">
        <f>SUMIFS(PL!F:F,PL!$A:$A,$A26)</f>
        <v>2336687</v>
      </c>
      <c r="G26" s="141">
        <f>SUMIFS(PL!G:G,PL!$A:$A,$A26)</f>
        <v>3036472</v>
      </c>
      <c r="H26" s="141">
        <f>SUMIFS(PL!H:H,PL!$A:$A,$A26)</f>
        <v>3732789</v>
      </c>
      <c r="I26" s="141">
        <f>SUMIFS(PL!I:I,PL!$A:$A,$A26)</f>
        <v>4683054</v>
      </c>
      <c r="J26" s="141">
        <f>SUMIFS(PL!J:J,PL!$A:$A,$A26)</f>
        <v>5077630</v>
      </c>
      <c r="K26" s="141">
        <f>SUMIFS(PL!K:K,PL!$A:$A,$A26)</f>
        <v>3395494</v>
      </c>
      <c r="L26" s="141">
        <f>SUMIFS(PL!L:L,PL!$A:$A,$A26)</f>
        <v>1649588</v>
      </c>
      <c r="M26" s="141">
        <f>SUMIFS(PL!M:M,PL!$A:$A,$A26)</f>
        <v>1374526</v>
      </c>
    </row>
    <row r="27" spans="1:13" x14ac:dyDescent="0.25">
      <c r="A27" t="s">
        <v>1460</v>
      </c>
      <c r="B27" s="141">
        <f>SUMIFS(PL!B:B,PL!$A:$A,$A27)</f>
        <v>548759</v>
      </c>
      <c r="C27" s="141">
        <f>SUMIFS(PL!C:C,PL!$A:$A,$A27)</f>
        <v>444663</v>
      </c>
      <c r="D27" s="141">
        <f>SUMIFS(PL!D:D,PL!$A:$A,$A27)</f>
        <v>383226</v>
      </c>
      <c r="E27" s="141">
        <f>SUMIFS(PL!E:E,PL!$A:$A,$A27)</f>
        <v>235907</v>
      </c>
      <c r="F27" s="141">
        <f>SUMIFS(PL!F:F,PL!$A:$A,$A27)</f>
        <v>193928</v>
      </c>
      <c r="G27" s="141">
        <f>SUMIFS(PL!G:G,PL!$A:$A,$A27)</f>
        <v>287217</v>
      </c>
      <c r="H27" s="141">
        <f>SUMIFS(PL!H:H,PL!$A:$A,$A27)</f>
        <v>304435</v>
      </c>
      <c r="I27" s="141">
        <f>SUMIFS(PL!I:I,PL!$A:$A,$A27)</f>
        <v>397413</v>
      </c>
      <c r="J27" s="141">
        <f>SUMIFS(PL!J:J,PL!$A:$A,$A27)</f>
        <v>421600</v>
      </c>
      <c r="K27" s="141">
        <f>SUMIFS(PL!K:K,PL!$A:$A,$A27)</f>
        <v>320483</v>
      </c>
      <c r="L27" s="141">
        <f>SUMIFS(PL!L:L,PL!$A:$A,$A27)</f>
        <v>168075</v>
      </c>
      <c r="M27" s="141">
        <f>SUMIFS(PL!M:M,PL!$A:$A,$A27)</f>
        <v>133146</v>
      </c>
    </row>
    <row r="28" spans="1:13" x14ac:dyDescent="0.25">
      <c r="A28" t="s">
        <v>1461</v>
      </c>
      <c r="B28" s="141">
        <f>SUMIFS(PL!B:B,PL!$A:$A,$A28)</f>
        <v>205166</v>
      </c>
      <c r="C28" s="141">
        <f>SUMIFS(PL!C:C,PL!$A:$A,$A28)</f>
        <v>204590</v>
      </c>
      <c r="D28" s="141">
        <f>SUMIFS(PL!D:D,PL!$A:$A,$A28)</f>
        <v>253314</v>
      </c>
      <c r="E28" s="141">
        <f>SUMIFS(PL!E:E,PL!$A:$A,$A28)</f>
        <v>212081</v>
      </c>
      <c r="F28" s="141">
        <f>SUMIFS(PL!F:F,PL!$A:$A,$A28)</f>
        <v>200277</v>
      </c>
      <c r="G28" s="141">
        <f>SUMIFS(PL!G:G,PL!$A:$A,$A28)</f>
        <v>253252</v>
      </c>
      <c r="H28" s="141">
        <f>SUMIFS(PL!H:H,PL!$A:$A,$A28)</f>
        <v>294545</v>
      </c>
      <c r="I28" s="141">
        <f>SUMIFS(PL!I:I,PL!$A:$A,$A28)</f>
        <v>336724</v>
      </c>
      <c r="J28" s="141">
        <f>SUMIFS(PL!J:J,PL!$A:$A,$A28)</f>
        <v>306314</v>
      </c>
      <c r="K28" s="141">
        <f>SUMIFS(PL!K:K,PL!$A:$A,$A28)</f>
        <v>192150</v>
      </c>
      <c r="L28" s="141">
        <f>SUMIFS(PL!L:L,PL!$A:$A,$A28)</f>
        <v>77065</v>
      </c>
      <c r="M28" s="141">
        <f>SUMIFS(PL!M:M,PL!$A:$A,$A28)</f>
        <v>77178</v>
      </c>
    </row>
    <row r="29" spans="1:13" x14ac:dyDescent="0.25">
      <c r="A29" t="s">
        <v>1452</v>
      </c>
      <c r="B29" s="141">
        <f>SUMIFS(PL!B:B,PL!$A:$A,$A29)</f>
        <v>364441</v>
      </c>
      <c r="C29" s="141">
        <f>SUMIFS(PL!C:C,PL!$A:$A,$A29)</f>
        <v>175448</v>
      </c>
      <c r="D29" s="141">
        <f>SUMIFS(PL!D:D,PL!$A:$A,$A29)</f>
        <v>0</v>
      </c>
      <c r="E29" s="141">
        <f>SUMIFS(PL!E:E,PL!$A:$A,$A29)</f>
        <v>0</v>
      </c>
      <c r="F29" s="141">
        <f>SUMIFS(PL!F:F,PL!$A:$A,$A29)</f>
        <v>0</v>
      </c>
      <c r="G29" s="141">
        <f>SUMIFS(PL!G:G,PL!$A:$A,$A29)</f>
        <v>0</v>
      </c>
      <c r="H29" s="141">
        <f>SUMIFS(PL!H:H,PL!$A:$A,$A29)</f>
        <v>0</v>
      </c>
      <c r="I29" s="141">
        <f>SUMIFS(PL!I:I,PL!$A:$A,$A29)</f>
        <v>0</v>
      </c>
      <c r="J29" s="141">
        <f>SUMIFS(PL!J:J,PL!$A:$A,$A29)</f>
        <v>0</v>
      </c>
      <c r="K29" s="141">
        <f>SUMIFS(PL!K:K,PL!$A:$A,$A29)</f>
        <v>0</v>
      </c>
      <c r="L29" s="141">
        <f>SUMIFS(PL!L:L,PL!$A:$A,$A29)</f>
        <v>0</v>
      </c>
      <c r="M29" s="141">
        <f>SUMIFS(PL!M:M,PL!$A:$A,$A29)</f>
        <v>0</v>
      </c>
    </row>
    <row r="30" spans="1:13" x14ac:dyDescent="0.25">
      <c r="A30" t="s">
        <v>1462</v>
      </c>
      <c r="B30" s="141">
        <f>SUMIFS(PL!B:B,PL!$A:$A,$A30)</f>
        <v>-4639</v>
      </c>
      <c r="C30" s="141">
        <f>SUMIFS(PL!C:C,PL!$A:$A,$A30)</f>
        <v>13565</v>
      </c>
      <c r="D30" s="141">
        <f>SUMIFS(PL!D:D,PL!$A:$A,$A30)</f>
        <v>131903</v>
      </c>
      <c r="E30" s="141">
        <f>SUMIFS(PL!E:E,PL!$A:$A,$A30)</f>
        <v>87539</v>
      </c>
      <c r="F30" s="141">
        <f>SUMIFS(PL!F:F,PL!$A:$A,$A30)</f>
        <v>132122</v>
      </c>
      <c r="G30" s="141">
        <f>SUMIFS(PL!G:G,PL!$A:$A,$A30)</f>
        <v>123035</v>
      </c>
      <c r="H30" s="141">
        <f>SUMIFS(PL!H:H,PL!$A:$A,$A30)</f>
        <v>32495</v>
      </c>
      <c r="I30" s="141">
        <f>SUMIFS(PL!I:I,PL!$A:$A,$A30)</f>
        <v>135848</v>
      </c>
      <c r="J30" s="141">
        <f>SUMIFS(PL!J:J,PL!$A:$A,$A30)</f>
        <v>80727</v>
      </c>
      <c r="K30" s="141">
        <f>SUMIFS(PL!K:K,PL!$A:$A,$A30)</f>
        <v>29833</v>
      </c>
      <c r="L30" s="141">
        <f>SUMIFS(PL!L:L,PL!$A:$A,$A30)</f>
        <v>8869</v>
      </c>
      <c r="M30" s="141">
        <f>SUMIFS(PL!M:M,PL!$A:$A,$A30)</f>
        <v>13289</v>
      </c>
    </row>
    <row r="31" spans="1:13" x14ac:dyDescent="0.25">
      <c r="A31" t="s">
        <v>1710</v>
      </c>
      <c r="B31" s="141">
        <f t="shared" ref="B31:F31" si="28">SUM(B27:B30)</f>
        <v>1113727</v>
      </c>
      <c r="C31" s="144">
        <f t="shared" si="28"/>
        <v>838266</v>
      </c>
      <c r="D31" s="144">
        <f t="shared" si="28"/>
        <v>768443</v>
      </c>
      <c r="E31" s="144">
        <f t="shared" si="28"/>
        <v>535527</v>
      </c>
      <c r="F31" s="144">
        <f t="shared" si="28"/>
        <v>526327</v>
      </c>
      <c r="G31" s="144">
        <f t="shared" ref="G31:M31" si="29">SUM(G27:G30)</f>
        <v>663504</v>
      </c>
      <c r="H31" s="144">
        <f t="shared" si="29"/>
        <v>631475</v>
      </c>
      <c r="I31" s="144">
        <f t="shared" si="29"/>
        <v>869985</v>
      </c>
      <c r="J31" s="144">
        <f t="shared" si="29"/>
        <v>808641</v>
      </c>
      <c r="K31" s="144">
        <f t="shared" si="29"/>
        <v>542466</v>
      </c>
      <c r="L31" s="144">
        <f t="shared" si="29"/>
        <v>254009</v>
      </c>
      <c r="M31" s="144">
        <f t="shared" si="29"/>
        <v>223613</v>
      </c>
    </row>
    <row r="32" spans="1:13" x14ac:dyDescent="0.25">
      <c r="A32" s="140" t="s">
        <v>1711</v>
      </c>
      <c r="B32" s="135">
        <f>B31/B26</f>
        <v>0.14719035399895541</v>
      </c>
      <c r="C32" s="135">
        <f t="shared" ref="C32:F32" si="30">C31/C26</f>
        <v>0.15016902089696621</v>
      </c>
      <c r="D32" s="135">
        <f t="shared" si="30"/>
        <v>0.20045420527250621</v>
      </c>
      <c r="E32" s="135">
        <f t="shared" si="30"/>
        <v>0.23003667944297418</v>
      </c>
      <c r="F32" s="135">
        <f t="shared" si="30"/>
        <v>0.22524497290394477</v>
      </c>
      <c r="G32" s="135">
        <f t="shared" ref="G32:M32" si="31">G31/G26</f>
        <v>0.21851148306323917</v>
      </c>
      <c r="H32" s="135">
        <f t="shared" si="31"/>
        <v>0.16916975484014768</v>
      </c>
      <c r="I32" s="135">
        <f t="shared" si="31"/>
        <v>0.18577300197691507</v>
      </c>
      <c r="J32" s="135">
        <f t="shared" si="31"/>
        <v>0.15925559759178987</v>
      </c>
      <c r="K32" s="135">
        <f t="shared" si="31"/>
        <v>0.15976055325086719</v>
      </c>
      <c r="L32" s="135">
        <f t="shared" si="31"/>
        <v>0.15398329764765506</v>
      </c>
      <c r="M32" s="135">
        <f t="shared" si="31"/>
        <v>0.16268371787801758</v>
      </c>
    </row>
    <row r="33" spans="1:15" x14ac:dyDescent="0.25">
      <c r="A33" s="72" t="s">
        <v>1707</v>
      </c>
      <c r="B33" s="131">
        <f>B18</f>
        <v>0.32687823395945537</v>
      </c>
      <c r="C33" s="131">
        <f t="shared" ref="C33:F33" si="32">C18</f>
        <v>0.30621785512750466</v>
      </c>
      <c r="D33" s="131">
        <f t="shared" si="32"/>
        <v>0.30074900045884856</v>
      </c>
      <c r="E33" s="131">
        <f t="shared" si="32"/>
        <v>0.26205548351014407</v>
      </c>
      <c r="F33" s="131">
        <f t="shared" si="32"/>
        <v>0.24779099639789154</v>
      </c>
      <c r="G33" s="131">
        <f t="shared" ref="G33:M33" si="33">G18</f>
        <v>0.25773496347076474</v>
      </c>
      <c r="H33" s="131">
        <f t="shared" si="33"/>
        <v>0.26187389643507841</v>
      </c>
      <c r="I33" s="131">
        <f t="shared" si="33"/>
        <v>0.31746996724786858</v>
      </c>
      <c r="J33" s="131">
        <f t="shared" si="33"/>
        <v>0.3648172474166097</v>
      </c>
      <c r="K33" s="131">
        <f t="shared" si="33"/>
        <v>0.36852075132513856</v>
      </c>
      <c r="L33" s="131">
        <f t="shared" si="33"/>
        <v>0.32340196461176973</v>
      </c>
      <c r="M33" s="131">
        <f t="shared" si="33"/>
        <v>0.29957236167231466</v>
      </c>
    </row>
    <row r="34" spans="1:15" x14ac:dyDescent="0.25">
      <c r="A34" s="140" t="s">
        <v>1712</v>
      </c>
      <c r="B34" s="135">
        <f>B32/B33</f>
        <v>0.45029108306187282</v>
      </c>
      <c r="C34" s="135">
        <f t="shared" ref="C34:F34" si="34">C32/C33</f>
        <v>0.49039929704438046</v>
      </c>
      <c r="D34" s="135">
        <f t="shared" si="34"/>
        <v>0.66651661341077117</v>
      </c>
      <c r="E34" s="135">
        <f t="shared" si="34"/>
        <v>0.87781669882160485</v>
      </c>
      <c r="F34" s="135">
        <f t="shared" si="34"/>
        <v>0.90901193416348591</v>
      </c>
      <c r="G34" s="135">
        <f t="shared" ref="G34:M34" si="35">G32/G33</f>
        <v>0.84781467023594281</v>
      </c>
      <c r="H34" s="135">
        <f t="shared" si="35"/>
        <v>0.64599701284884203</v>
      </c>
      <c r="I34" s="135">
        <f t="shared" si="35"/>
        <v>0.58516716899986487</v>
      </c>
      <c r="J34" s="135">
        <f t="shared" si="35"/>
        <v>0.43653527545512405</v>
      </c>
      <c r="K34" s="135">
        <f t="shared" si="35"/>
        <v>0.43351847264067261</v>
      </c>
      <c r="L34" s="135">
        <f t="shared" si="35"/>
        <v>0.47613593761715528</v>
      </c>
      <c r="M34" s="135">
        <f t="shared" si="35"/>
        <v>0.54305316074507615</v>
      </c>
    </row>
    <row r="35" spans="1:15" x14ac:dyDescent="0.25">
      <c r="A35" s="72" t="s">
        <v>1806</v>
      </c>
      <c r="B35" s="196" t="str">
        <f>IF(B34&gt;60%,"淘汰","优秀")</f>
        <v>优秀</v>
      </c>
      <c r="C35" s="196" t="str">
        <f t="shared" ref="C35:F35" si="36">IF(C34&gt;60%,"淘汰","优秀")</f>
        <v>优秀</v>
      </c>
      <c r="D35" s="196" t="str">
        <f t="shared" si="36"/>
        <v>淘汰</v>
      </c>
      <c r="E35" s="196" t="str">
        <f t="shared" si="36"/>
        <v>淘汰</v>
      </c>
      <c r="F35" s="196" t="str">
        <f t="shared" si="36"/>
        <v>淘汰</v>
      </c>
      <c r="G35" s="196" t="str">
        <f t="shared" ref="G35" si="37">IF(G34&gt;60%,"淘汰","优秀")</f>
        <v>淘汰</v>
      </c>
      <c r="H35" s="196" t="str">
        <f t="shared" ref="H35" si="38">IF(H34&gt;60%,"淘汰","优秀")</f>
        <v>淘汰</v>
      </c>
      <c r="I35" s="196" t="str">
        <f t="shared" ref="I35" si="39">IF(I34&gt;60%,"淘汰","优秀")</f>
        <v>优秀</v>
      </c>
      <c r="J35" s="196" t="str">
        <f t="shared" ref="J35" si="40">IF(J34&gt;60%,"淘汰","优秀")</f>
        <v>优秀</v>
      </c>
      <c r="K35" s="196" t="str">
        <f t="shared" ref="K35" si="41">IF(K34&gt;60%,"淘汰","优秀")</f>
        <v>优秀</v>
      </c>
      <c r="L35" s="196" t="str">
        <f t="shared" ref="L35" si="42">IF(L34&gt;60%,"淘汰","优秀")</f>
        <v>优秀</v>
      </c>
      <c r="M35" s="196" t="str">
        <f t="shared" ref="M35" si="43">IF(M34&gt;60%,"淘汰","优秀")</f>
        <v>优秀</v>
      </c>
    </row>
    <row r="36" spans="1:15" ht="55.5" customHeight="1" x14ac:dyDescent="0.25">
      <c r="A36" s="205" t="s">
        <v>1794</v>
      </c>
      <c r="B36" s="205"/>
      <c r="C36" s="205"/>
      <c r="D36" s="205"/>
      <c r="E36" s="205"/>
      <c r="F36" s="205"/>
      <c r="G36" s="205"/>
    </row>
    <row r="39" spans="1:15" ht="15" x14ac:dyDescent="0.25">
      <c r="A39" s="139" t="s">
        <v>1713</v>
      </c>
    </row>
    <row r="40" spans="1:15" x14ac:dyDescent="0.25">
      <c r="A40" t="str">
        <f>A25</f>
        <v>三一重工</v>
      </c>
      <c r="B40" s="125">
        <v>43830</v>
      </c>
      <c r="C40" s="125">
        <v>43465</v>
      </c>
      <c r="D40" s="143">
        <v>43100</v>
      </c>
      <c r="E40" s="125">
        <v>42735</v>
      </c>
      <c r="F40" s="143">
        <v>42369</v>
      </c>
      <c r="G40" s="125">
        <v>42004</v>
      </c>
      <c r="H40" s="143">
        <v>41639</v>
      </c>
      <c r="I40" s="125">
        <v>41274</v>
      </c>
      <c r="J40" s="143">
        <v>40908</v>
      </c>
      <c r="K40" s="125">
        <v>40543</v>
      </c>
      <c r="L40" s="143">
        <v>40178</v>
      </c>
      <c r="M40" s="125">
        <v>39813</v>
      </c>
    </row>
    <row r="41" spans="1:15" x14ac:dyDescent="0.25">
      <c r="A41" t="s">
        <v>1460</v>
      </c>
      <c r="B41" s="141">
        <f>SUMIFS(PL!B:B,PL!$A:$A,$A41)</f>
        <v>548759</v>
      </c>
      <c r="C41" s="141">
        <f>SUMIFS(PL!C:C,PL!$A:$A,$A41)</f>
        <v>444663</v>
      </c>
      <c r="D41" s="141">
        <f>SUMIFS(PL!D:D,PL!$A:$A,$A41)</f>
        <v>383226</v>
      </c>
      <c r="E41" s="141">
        <f>SUMIFS(PL!E:E,PL!$A:$A,$A41)</f>
        <v>235907</v>
      </c>
      <c r="F41" s="141">
        <f>SUMIFS(PL!F:F,PL!$A:$A,$A41)</f>
        <v>193928</v>
      </c>
      <c r="G41" s="141">
        <f>SUMIFS(PL!G:G,PL!$A:$A,$A41)</f>
        <v>287217</v>
      </c>
      <c r="H41" s="141">
        <f>SUMIFS(PL!H:H,PL!$A:$A,$A41)</f>
        <v>304435</v>
      </c>
      <c r="I41" s="141">
        <f>SUMIFS(PL!I:I,PL!$A:$A,$A41)</f>
        <v>397413</v>
      </c>
      <c r="J41" s="141">
        <f>SUMIFS(PL!J:J,PL!$A:$A,$A41)</f>
        <v>421600</v>
      </c>
      <c r="K41" s="141">
        <f>SUMIFS(PL!K:K,PL!$A:$A,$A41)</f>
        <v>320483</v>
      </c>
      <c r="L41" s="141">
        <f>SUMIFS(PL!L:L,PL!$A:$A,$A41)</f>
        <v>168075</v>
      </c>
      <c r="M41" s="141">
        <f>SUMIFS(PL!M:M,PL!$A:$A,$A41)</f>
        <v>133146</v>
      </c>
    </row>
    <row r="42" spans="1:15" x14ac:dyDescent="0.25">
      <c r="A42" t="s">
        <v>1440</v>
      </c>
      <c r="B42" s="141">
        <f>SUMIFS(PL!B:B,PL!$A:$A,$A42)</f>
        <v>7566576</v>
      </c>
      <c r="C42" s="141">
        <f>SUMIFS(PL!C:C,PL!$A:$A,$A42)</f>
        <v>5582150</v>
      </c>
      <c r="D42" s="141">
        <f>SUMIFS(PL!D:D,PL!$A:$A,$A42)</f>
        <v>3833509</v>
      </c>
      <c r="E42" s="141">
        <f>SUMIFS(PL!E:E,PL!$A:$A,$A42)</f>
        <v>2328007</v>
      </c>
      <c r="F42" s="141">
        <f>SUMIFS(PL!F:F,PL!$A:$A,$A42)</f>
        <v>2336687</v>
      </c>
      <c r="G42" s="141">
        <f>SUMIFS(PL!G:G,PL!$A:$A,$A42)</f>
        <v>3036472</v>
      </c>
      <c r="H42" s="141">
        <f>SUMIFS(PL!H:H,PL!$A:$A,$A42)</f>
        <v>3732789</v>
      </c>
      <c r="I42" s="141">
        <f>SUMIFS(PL!I:I,PL!$A:$A,$A42)</f>
        <v>4683054</v>
      </c>
      <c r="J42" s="141">
        <f>SUMIFS(PL!J:J,PL!$A:$A,$A42)</f>
        <v>5077630</v>
      </c>
      <c r="K42" s="141">
        <f>SUMIFS(PL!K:K,PL!$A:$A,$A42)</f>
        <v>3395494</v>
      </c>
      <c r="L42" s="141">
        <f>SUMIFS(PL!L:L,PL!$A:$A,$A42)</f>
        <v>1649588</v>
      </c>
      <c r="M42" s="141">
        <f>SUMIFS(PL!M:M,PL!$A:$A,$A42)</f>
        <v>1374526</v>
      </c>
    </row>
    <row r="43" spans="1:15" x14ac:dyDescent="0.25">
      <c r="A43" s="140" t="s">
        <v>1715</v>
      </c>
      <c r="B43" s="135">
        <f>B41/B42</f>
        <v>7.2524084870091834E-2</v>
      </c>
      <c r="C43" s="135">
        <f t="shared" ref="C43:F43" si="44">C41/C42</f>
        <v>7.9658017072275017E-2</v>
      </c>
      <c r="D43" s="135">
        <f t="shared" si="44"/>
        <v>9.9967418884369386E-2</v>
      </c>
      <c r="E43" s="135">
        <f t="shared" si="44"/>
        <v>0.10133431729371947</v>
      </c>
      <c r="F43" s="135">
        <f t="shared" si="44"/>
        <v>8.29927157552552E-2</v>
      </c>
      <c r="G43" s="135">
        <f t="shared" ref="G43:M43" si="45">G41/G42</f>
        <v>9.4589049396799976E-2</v>
      </c>
      <c r="H43" s="135">
        <f t="shared" si="45"/>
        <v>8.1556980584758479E-2</v>
      </c>
      <c r="I43" s="135">
        <f t="shared" si="45"/>
        <v>8.4861929843217693E-2</v>
      </c>
      <c r="J43" s="135">
        <f t="shared" si="45"/>
        <v>8.3030862823797721E-2</v>
      </c>
      <c r="K43" s="135">
        <f t="shared" si="45"/>
        <v>9.4384793493965821E-2</v>
      </c>
      <c r="L43" s="135">
        <f t="shared" si="45"/>
        <v>0.10188907775759766</v>
      </c>
      <c r="M43" s="135">
        <f t="shared" si="45"/>
        <v>9.6866847189503877E-2</v>
      </c>
    </row>
    <row r="44" spans="1:15" x14ac:dyDescent="0.25">
      <c r="A44" s="72" t="s">
        <v>1807</v>
      </c>
      <c r="B44" s="196" t="str">
        <f t="shared" ref="B44:C44" si="46">IF(B43&lt;15%,"优秀",IF(B43&lt;30%,"一般","淘汰"))</f>
        <v>优秀</v>
      </c>
      <c r="C44" s="196" t="str">
        <f t="shared" ref="C44" si="47">IF(C43&lt;15%,"优秀",IF(C43&lt;30%,"一般","淘汰"))</f>
        <v>优秀</v>
      </c>
      <c r="D44" s="196" t="str">
        <f t="shared" ref="D44" si="48">IF(D43&lt;15%,"优秀",IF(D43&lt;30%,"一般","淘汰"))</f>
        <v>优秀</v>
      </c>
      <c r="E44" s="196" t="str">
        <f t="shared" ref="E44" si="49">IF(E43&lt;15%,"优秀",IF(E43&lt;30%,"一般","淘汰"))</f>
        <v>优秀</v>
      </c>
      <c r="F44" s="196" t="str">
        <f t="shared" ref="F44" si="50">IF(F43&lt;15%,"优秀",IF(F43&lt;30%,"一般","淘汰"))</f>
        <v>优秀</v>
      </c>
      <c r="G44" s="196" t="str">
        <f t="shared" ref="G44" si="51">IF(G43&lt;15%,"优秀",IF(G43&lt;30%,"一般","淘汰"))</f>
        <v>优秀</v>
      </c>
      <c r="H44" s="196" t="str">
        <f t="shared" ref="H44" si="52">IF(H43&lt;15%,"优秀",IF(H43&lt;30%,"一般","淘汰"))</f>
        <v>优秀</v>
      </c>
      <c r="I44" s="196" t="str">
        <f t="shared" ref="I44" si="53">IF(I43&lt;15%,"优秀",IF(I43&lt;30%,"一般","淘汰"))</f>
        <v>优秀</v>
      </c>
      <c r="J44" s="196" t="str">
        <f t="shared" ref="J44" si="54">IF(J43&lt;15%,"优秀",IF(J43&lt;30%,"一般","淘汰"))</f>
        <v>优秀</v>
      </c>
      <c r="K44" s="196" t="str">
        <f t="shared" ref="K44" si="55">IF(K43&lt;15%,"优秀",IF(K43&lt;30%,"一般","淘汰"))</f>
        <v>优秀</v>
      </c>
      <c r="L44" s="196" t="str">
        <f t="shared" ref="L44" si="56">IF(L43&lt;15%,"优秀",IF(L43&lt;30%,"一般","淘汰"))</f>
        <v>优秀</v>
      </c>
      <c r="M44" s="196" t="str">
        <f t="shared" ref="M44" si="57">IF(M43&lt;15%,"优秀",IF(M43&lt;30%,"一般","淘汰"))</f>
        <v>优秀</v>
      </c>
      <c r="N44" s="196" t="str">
        <f t="shared" ref="N44" si="58">IF(N43&lt;15%,"优秀",IF(N43&lt;30%,"一般","淘汰"))</f>
        <v>优秀</v>
      </c>
      <c r="O44" s="196" t="str">
        <f t="shared" ref="O44" si="59">IF(O43&lt;15%,"优秀",IF(O43&lt;30%,"一般","淘汰"))</f>
        <v>优秀</v>
      </c>
    </row>
    <row r="45" spans="1:15" ht="53.25" customHeight="1" x14ac:dyDescent="0.25">
      <c r="A45" s="205" t="s">
        <v>1795</v>
      </c>
      <c r="B45" s="205"/>
      <c r="C45" s="205"/>
      <c r="D45" s="205"/>
      <c r="E45" s="205"/>
      <c r="F45" s="205"/>
      <c r="G45" s="205"/>
    </row>
    <row r="46" spans="1:15" x14ac:dyDescent="0.25">
      <c r="G46" s="60"/>
    </row>
    <row r="47" spans="1:15" ht="15" x14ac:dyDescent="0.25">
      <c r="A47" s="139" t="s">
        <v>1717</v>
      </c>
      <c r="G47" s="60"/>
    </row>
    <row r="48" spans="1:15" x14ac:dyDescent="0.25">
      <c r="A48" t="str">
        <f>A40</f>
        <v>三一重工</v>
      </c>
      <c r="B48" s="125">
        <v>43830</v>
      </c>
      <c r="C48" s="125">
        <v>43465</v>
      </c>
      <c r="D48" s="143">
        <v>43100</v>
      </c>
      <c r="E48" s="125">
        <v>42735</v>
      </c>
      <c r="F48" s="143">
        <v>42369</v>
      </c>
      <c r="G48" s="125">
        <v>42004</v>
      </c>
      <c r="H48" s="143">
        <v>41639</v>
      </c>
      <c r="I48" s="125">
        <v>41274</v>
      </c>
      <c r="J48" s="143">
        <v>40908</v>
      </c>
      <c r="K48" s="125">
        <v>40543</v>
      </c>
      <c r="L48" s="143">
        <v>40178</v>
      </c>
      <c r="M48" s="125">
        <v>39813</v>
      </c>
    </row>
    <row r="49" spans="1:13" x14ac:dyDescent="0.25">
      <c r="A49" t="s">
        <v>1440</v>
      </c>
      <c r="B49" s="141">
        <f>SUMIFS(PL!B:B,PL!$A:$A,$A49)</f>
        <v>7566576</v>
      </c>
      <c r="C49" s="141">
        <f>SUMIFS(PL!C:C,PL!$A:$A,$A49)</f>
        <v>5582150</v>
      </c>
      <c r="D49" s="141">
        <f>SUMIFS(PL!D:D,PL!$A:$A,$A49)</f>
        <v>3833509</v>
      </c>
      <c r="E49" s="141">
        <f>SUMIFS(PL!E:E,PL!$A:$A,$A49)</f>
        <v>2328007</v>
      </c>
      <c r="F49" s="141">
        <f>SUMIFS(PL!F:F,PL!$A:$A,$A49)</f>
        <v>2336687</v>
      </c>
      <c r="G49" s="141">
        <f>SUMIFS(PL!G:G,PL!$A:$A,$A49)</f>
        <v>3036472</v>
      </c>
      <c r="H49" s="141">
        <f>SUMIFS(PL!H:H,PL!$A:$A,$A49)</f>
        <v>3732789</v>
      </c>
      <c r="I49" s="141">
        <f>SUMIFS(PL!I:I,PL!$A:$A,$A49)</f>
        <v>4683054</v>
      </c>
      <c r="J49" s="141">
        <f>SUMIFS(PL!J:J,PL!$A:$A,$A49)</f>
        <v>5077630</v>
      </c>
      <c r="K49" s="141">
        <f>SUMIFS(PL!K:K,PL!$A:$A,$A49)</f>
        <v>3395494</v>
      </c>
      <c r="L49" s="141">
        <f>SUMIFS(PL!L:L,PL!$A:$A,$A49)</f>
        <v>1649588</v>
      </c>
      <c r="M49" s="141">
        <f>SUMIFS(PL!M:M,PL!$A:$A,$A49)</f>
        <v>1374526</v>
      </c>
    </row>
    <row r="50" spans="1:13" x14ac:dyDescent="0.25">
      <c r="A50" t="s">
        <v>1448</v>
      </c>
      <c r="B50" s="141">
        <f>SUMIFS(PL!B:B,PL!$A:$A,$A50)</f>
        <v>5093227</v>
      </c>
      <c r="C50" s="141">
        <f>SUMIFS(PL!C:C,PL!$A:$A,$A50)</f>
        <v>3872796</v>
      </c>
      <c r="D50" s="141">
        <f>SUMIFS(PL!D:D,PL!$A:$A,$A50)</f>
        <v>2680585</v>
      </c>
      <c r="E50" s="141">
        <f>SUMIFS(PL!E:E,PL!$A:$A,$A50)</f>
        <v>1717940</v>
      </c>
      <c r="F50" s="141">
        <f>SUMIFS(PL!F:F,PL!$A:$A,$A50)</f>
        <v>1757677</v>
      </c>
      <c r="G50" s="141">
        <f>SUMIFS(PL!G:G,PL!$A:$A,$A50)</f>
        <v>2253867</v>
      </c>
      <c r="H50" s="141">
        <f>SUMIFS(PL!H:H,PL!$A:$A,$A50)</f>
        <v>2755269</v>
      </c>
      <c r="I50" s="141">
        <f>SUMIFS(PL!I:I,PL!$A:$A,$A50)</f>
        <v>3196325</v>
      </c>
      <c r="J50" s="141">
        <f>SUMIFS(PL!J:J,PL!$A:$A,$A50)</f>
        <v>3225223</v>
      </c>
      <c r="K50" s="141">
        <f>SUMIFS(PL!K:K,PL!$A:$A,$A50)</f>
        <v>2144184</v>
      </c>
      <c r="L50" s="141">
        <f>SUMIFS(PL!L:L,PL!$A:$A,$A50)</f>
        <v>1116108</v>
      </c>
      <c r="M50" s="141">
        <f>SUMIFS(PL!M:M,PL!$A:$A,$A50)</f>
        <v>962756</v>
      </c>
    </row>
    <row r="51" spans="1:13" x14ac:dyDescent="0.25">
      <c r="A51" t="s">
        <v>1459</v>
      </c>
      <c r="B51" s="141">
        <f>SUMIFS(PL!B:B,PL!$A:$A,$A51)</f>
        <v>37091</v>
      </c>
      <c r="C51" s="141">
        <f>SUMIFS(PL!C:C,PL!$A:$A,$A51)</f>
        <v>32636</v>
      </c>
      <c r="D51" s="141">
        <f>SUMIFS(PL!D:D,PL!$A:$A,$A51)</f>
        <v>27922</v>
      </c>
      <c r="E51" s="141">
        <f>SUMIFS(PL!E:E,PL!$A:$A,$A51)</f>
        <v>21956</v>
      </c>
      <c r="F51" s="141">
        <f>SUMIFS(PL!F:F,PL!$A:$A,$A51)</f>
        <v>12113</v>
      </c>
      <c r="G51" s="141">
        <f>SUMIFS(PL!G:G,PL!$A:$A,$A51)</f>
        <v>18315</v>
      </c>
      <c r="H51" s="141">
        <f>SUMIFS(PL!H:H,PL!$A:$A,$A51)</f>
        <v>23303</v>
      </c>
      <c r="I51" s="141">
        <f>SUMIFS(PL!I:I,PL!$A:$A,$A51)</f>
        <v>16681</v>
      </c>
      <c r="J51" s="141">
        <f>SUMIFS(PL!J:J,PL!$A:$A,$A51)</f>
        <v>25952</v>
      </c>
      <c r="K51" s="141">
        <f>SUMIFS(PL!K:K,PL!$A:$A,$A51)</f>
        <v>13124</v>
      </c>
      <c r="L51" s="141">
        <f>SUMIFS(PL!L:L,PL!$A:$A,$A51)</f>
        <v>4910</v>
      </c>
      <c r="M51" s="141">
        <f>SUMIFS(PL!M:M,PL!$A:$A,$A51)</f>
        <v>1778</v>
      </c>
    </row>
    <row r="52" spans="1:13" x14ac:dyDescent="0.25">
      <c r="A52" t="s">
        <v>1460</v>
      </c>
      <c r="B52" s="141">
        <f>SUMIFS(PL!B:B,PL!$A:$A,$A52)</f>
        <v>548759</v>
      </c>
      <c r="C52" s="141">
        <f>SUMIFS(PL!C:C,PL!$A:$A,$A52)</f>
        <v>444663</v>
      </c>
      <c r="D52" s="141">
        <f>SUMIFS(PL!D:D,PL!$A:$A,$A52)</f>
        <v>383226</v>
      </c>
      <c r="E52" s="141">
        <f>SUMIFS(PL!E:E,PL!$A:$A,$A52)</f>
        <v>235907</v>
      </c>
      <c r="F52" s="141">
        <f>SUMIFS(PL!F:F,PL!$A:$A,$A52)</f>
        <v>193928</v>
      </c>
      <c r="G52" s="141">
        <f>SUMIFS(PL!G:G,PL!$A:$A,$A52)</f>
        <v>287217</v>
      </c>
      <c r="H52" s="141">
        <f>SUMIFS(PL!H:H,PL!$A:$A,$A52)</f>
        <v>304435</v>
      </c>
      <c r="I52" s="141">
        <f>SUMIFS(PL!I:I,PL!$A:$A,$A52)</f>
        <v>397413</v>
      </c>
      <c r="J52" s="141">
        <f>SUMIFS(PL!J:J,PL!$A:$A,$A52)</f>
        <v>421600</v>
      </c>
      <c r="K52" s="141">
        <f>SUMIFS(PL!K:K,PL!$A:$A,$A52)</f>
        <v>320483</v>
      </c>
      <c r="L52" s="141">
        <f>SUMIFS(PL!L:L,PL!$A:$A,$A52)</f>
        <v>168075</v>
      </c>
      <c r="M52" s="141">
        <f>SUMIFS(PL!M:M,PL!$A:$A,$A52)</f>
        <v>133146</v>
      </c>
    </row>
    <row r="53" spans="1:13" x14ac:dyDescent="0.25">
      <c r="A53" t="s">
        <v>1461</v>
      </c>
      <c r="B53" s="141">
        <f>SUMIFS(PL!B:B,PL!$A:$A,$A53)</f>
        <v>205166</v>
      </c>
      <c r="C53" s="141">
        <f>SUMIFS(PL!C:C,PL!$A:$A,$A53)</f>
        <v>204590</v>
      </c>
      <c r="D53" s="141">
        <f>SUMIFS(PL!D:D,PL!$A:$A,$A53)</f>
        <v>253314</v>
      </c>
      <c r="E53" s="141">
        <f>SUMIFS(PL!E:E,PL!$A:$A,$A53)</f>
        <v>212081</v>
      </c>
      <c r="F53" s="141">
        <f>SUMIFS(PL!F:F,PL!$A:$A,$A53)</f>
        <v>200277</v>
      </c>
      <c r="G53" s="141">
        <f>SUMIFS(PL!G:G,PL!$A:$A,$A53)</f>
        <v>253252</v>
      </c>
      <c r="H53" s="141">
        <f>SUMIFS(PL!H:H,PL!$A:$A,$A53)</f>
        <v>294545</v>
      </c>
      <c r="I53" s="141">
        <f>SUMIFS(PL!I:I,PL!$A:$A,$A53)</f>
        <v>336724</v>
      </c>
      <c r="J53" s="141">
        <f>SUMIFS(PL!J:J,PL!$A:$A,$A53)</f>
        <v>306314</v>
      </c>
      <c r="K53" s="141">
        <f>SUMIFS(PL!K:K,PL!$A:$A,$A53)</f>
        <v>192150</v>
      </c>
      <c r="L53" s="141">
        <f>SUMIFS(PL!L:L,PL!$A:$A,$A53)</f>
        <v>77065</v>
      </c>
      <c r="M53" s="141">
        <f>SUMIFS(PL!M:M,PL!$A:$A,$A53)</f>
        <v>77178</v>
      </c>
    </row>
    <row r="54" spans="1:13" x14ac:dyDescent="0.25">
      <c r="A54" t="s">
        <v>1452</v>
      </c>
      <c r="B54" s="141">
        <f>SUMIFS(PL!B:B,PL!$A:$A,$A54)</f>
        <v>364441</v>
      </c>
      <c r="C54" s="141">
        <f>SUMIFS(PL!C:C,PL!$A:$A,$A54)</f>
        <v>175448</v>
      </c>
      <c r="D54" s="141">
        <f>SUMIFS(PL!D:D,PL!$A:$A,$A54)</f>
        <v>0</v>
      </c>
      <c r="E54" s="141">
        <f>SUMIFS(PL!E:E,PL!$A:$A,$A54)</f>
        <v>0</v>
      </c>
      <c r="F54" s="141">
        <f>SUMIFS(PL!F:F,PL!$A:$A,$A54)</f>
        <v>0</v>
      </c>
      <c r="G54" s="141">
        <f>SUMIFS(PL!G:G,PL!$A:$A,$A54)</f>
        <v>0</v>
      </c>
      <c r="H54" s="141">
        <f>SUMIFS(PL!H:H,PL!$A:$A,$A54)</f>
        <v>0</v>
      </c>
      <c r="I54" s="141">
        <f>SUMIFS(PL!I:I,PL!$A:$A,$A54)</f>
        <v>0</v>
      </c>
      <c r="J54" s="141">
        <f>SUMIFS(PL!J:J,PL!$A:$A,$A54)</f>
        <v>0</v>
      </c>
      <c r="K54" s="141">
        <f>SUMIFS(PL!K:K,PL!$A:$A,$A54)</f>
        <v>0</v>
      </c>
      <c r="L54" s="141">
        <f>SUMIFS(PL!L:L,PL!$A:$A,$A54)</f>
        <v>0</v>
      </c>
      <c r="M54" s="141">
        <f>SUMIFS(PL!M:M,PL!$A:$A,$A54)</f>
        <v>0</v>
      </c>
    </row>
    <row r="55" spans="1:13" x14ac:dyDescent="0.25">
      <c r="A55" t="s">
        <v>1462</v>
      </c>
      <c r="B55" s="141">
        <f>SUMIFS(PL!B:B,PL!$A:$A,$A55)</f>
        <v>-4639</v>
      </c>
      <c r="C55" s="141">
        <f>SUMIFS(PL!C:C,PL!$A:$A,$A55)</f>
        <v>13565</v>
      </c>
      <c r="D55" s="141">
        <f>SUMIFS(PL!D:D,PL!$A:$A,$A55)</f>
        <v>131903</v>
      </c>
      <c r="E55" s="141">
        <f>SUMIFS(PL!E:E,PL!$A:$A,$A55)</f>
        <v>87539</v>
      </c>
      <c r="F55" s="141">
        <f>SUMIFS(PL!F:F,PL!$A:$A,$A55)</f>
        <v>132122</v>
      </c>
      <c r="G55" s="141">
        <f>SUMIFS(PL!G:G,PL!$A:$A,$A55)</f>
        <v>123035</v>
      </c>
      <c r="H55" s="141">
        <f>SUMIFS(PL!H:H,PL!$A:$A,$A55)</f>
        <v>32495</v>
      </c>
      <c r="I55" s="141">
        <f>SUMIFS(PL!I:I,PL!$A:$A,$A55)</f>
        <v>135848</v>
      </c>
      <c r="J55" s="141">
        <f>SUMIFS(PL!J:J,PL!$A:$A,$A55)</f>
        <v>80727</v>
      </c>
      <c r="K55" s="141">
        <f>SUMIFS(PL!K:K,PL!$A:$A,$A55)</f>
        <v>29833</v>
      </c>
      <c r="L55" s="141">
        <f>SUMIFS(PL!L:L,PL!$A:$A,$A55)</f>
        <v>8869</v>
      </c>
      <c r="M55" s="141">
        <f>SUMIFS(PL!M:M,PL!$A:$A,$A55)</f>
        <v>13289</v>
      </c>
    </row>
    <row r="56" spans="1:13" x14ac:dyDescent="0.25">
      <c r="A56" t="s">
        <v>1718</v>
      </c>
      <c r="B56" s="141">
        <f t="shared" ref="B56:F56" si="60">SUM(B52:B55)</f>
        <v>1113727</v>
      </c>
      <c r="C56" s="144">
        <f t="shared" si="60"/>
        <v>838266</v>
      </c>
      <c r="D56" s="144">
        <f t="shared" si="60"/>
        <v>768443</v>
      </c>
      <c r="E56" s="144">
        <f t="shared" si="60"/>
        <v>535527</v>
      </c>
      <c r="F56" s="144">
        <f t="shared" si="60"/>
        <v>526327</v>
      </c>
      <c r="G56" s="144">
        <f t="shared" ref="G56:M56" si="61">SUM(G52:G55)</f>
        <v>663504</v>
      </c>
      <c r="H56" s="144">
        <f t="shared" si="61"/>
        <v>631475</v>
      </c>
      <c r="I56" s="144">
        <f t="shared" si="61"/>
        <v>869985</v>
      </c>
      <c r="J56" s="144">
        <f t="shared" si="61"/>
        <v>808641</v>
      </c>
      <c r="K56" s="144">
        <f t="shared" si="61"/>
        <v>542466</v>
      </c>
      <c r="L56" s="144">
        <f t="shared" si="61"/>
        <v>254009</v>
      </c>
      <c r="M56" s="144">
        <f t="shared" si="61"/>
        <v>223613</v>
      </c>
    </row>
    <row r="57" spans="1:13" x14ac:dyDescent="0.25">
      <c r="A57" t="s">
        <v>1719</v>
      </c>
      <c r="B57" s="141">
        <f>B49-B50-B51-B56</f>
        <v>1322531</v>
      </c>
      <c r="C57" s="141">
        <f t="shared" ref="C57:F57" si="62">C49-C50-C51-C56</f>
        <v>838452</v>
      </c>
      <c r="D57" s="141">
        <f t="shared" si="62"/>
        <v>356559</v>
      </c>
      <c r="E57" s="141">
        <f t="shared" si="62"/>
        <v>52584</v>
      </c>
      <c r="F57" s="141">
        <f t="shared" si="62"/>
        <v>40570</v>
      </c>
      <c r="G57" s="141">
        <f t="shared" ref="G57:M57" si="63">G49-G50-G51-G56</f>
        <v>100786</v>
      </c>
      <c r="H57" s="141">
        <f t="shared" si="63"/>
        <v>322742</v>
      </c>
      <c r="I57" s="141">
        <f t="shared" si="63"/>
        <v>600063</v>
      </c>
      <c r="J57" s="141">
        <f t="shared" si="63"/>
        <v>1017814</v>
      </c>
      <c r="K57" s="141">
        <f t="shared" si="63"/>
        <v>695720</v>
      </c>
      <c r="L57" s="141">
        <f t="shared" si="63"/>
        <v>274561</v>
      </c>
      <c r="M57" s="141">
        <f t="shared" si="63"/>
        <v>186379</v>
      </c>
    </row>
    <row r="58" spans="1:13" x14ac:dyDescent="0.25">
      <c r="A58" s="140" t="s">
        <v>1720</v>
      </c>
      <c r="B58" s="135">
        <f>B57/B49</f>
        <v>0.17478592695031411</v>
      </c>
      <c r="C58" s="135">
        <f t="shared" ref="C58:F58" si="64">C57/C49</f>
        <v>0.15020234139175764</v>
      </c>
      <c r="D58" s="135">
        <f t="shared" si="64"/>
        <v>9.3011128968263801E-2</v>
      </c>
      <c r="E58" s="135">
        <f t="shared" si="64"/>
        <v>2.2587560948055568E-2</v>
      </c>
      <c r="F58" s="135">
        <f t="shared" si="64"/>
        <v>1.7362188431741178E-2</v>
      </c>
      <c r="G58" s="135">
        <f t="shared" ref="G58:M58" si="65">G57/G49</f>
        <v>3.3191809442010334E-2</v>
      </c>
      <c r="H58" s="135">
        <f t="shared" si="65"/>
        <v>8.6461356374549964E-2</v>
      </c>
      <c r="I58" s="135">
        <f t="shared" si="65"/>
        <v>0.12813497345962699</v>
      </c>
      <c r="J58" s="135">
        <f t="shared" si="65"/>
        <v>0.20045060392348399</v>
      </c>
      <c r="K58" s="135">
        <f t="shared" si="65"/>
        <v>0.20489507565025886</v>
      </c>
      <c r="L58" s="135">
        <f t="shared" si="65"/>
        <v>0.1664421661651273</v>
      </c>
      <c r="M58" s="135">
        <f t="shared" si="65"/>
        <v>0.13559510696778379</v>
      </c>
    </row>
    <row r="59" spans="1:13" x14ac:dyDescent="0.25">
      <c r="A59" t="s">
        <v>1472</v>
      </c>
      <c r="B59" s="141">
        <f>SUMIFS(PL!B:B,PL!$A:$A,$A59)</f>
        <v>1377543</v>
      </c>
      <c r="C59" s="141">
        <f>SUMIFS(PL!C:C,PL!$A:$A,$A59)</f>
        <v>787844</v>
      </c>
      <c r="D59" s="141">
        <f>SUMIFS(PL!D:D,PL!$A:$A,$A59)</f>
        <v>287603</v>
      </c>
      <c r="E59" s="141">
        <f>SUMIFS(PL!E:E,PL!$A:$A,$A59)</f>
        <v>119552</v>
      </c>
      <c r="F59" s="141">
        <f>SUMIFS(PL!F:F,PL!$A:$A,$A59)</f>
        <v>17054</v>
      </c>
      <c r="G59" s="141">
        <f>SUMIFS(PL!G:G,PL!$A:$A,$A59)</f>
        <v>71743</v>
      </c>
      <c r="H59" s="141">
        <f>SUMIFS(PL!H:H,PL!$A:$A,$A59)</f>
        <v>274761</v>
      </c>
      <c r="I59" s="141">
        <f>SUMIFS(PL!I:I,PL!$A:$A,$A59)</f>
        <v>609739</v>
      </c>
      <c r="J59" s="141">
        <f>SUMIFS(PL!J:J,PL!$A:$A,$A59)</f>
        <v>984720</v>
      </c>
      <c r="K59" s="141">
        <f>SUMIFS(PL!K:K,PL!$A:$A,$A59)</f>
        <v>689688</v>
      </c>
      <c r="L59" s="141">
        <f>SUMIFS(PL!L:L,PL!$A:$A,$A59)</f>
        <v>262365</v>
      </c>
      <c r="M59" s="141">
        <f>SUMIFS(PL!M:M,PL!$A:$A,$A59)</f>
        <v>153199</v>
      </c>
    </row>
    <row r="60" spans="1:13" x14ac:dyDescent="0.25">
      <c r="A60" s="140" t="s">
        <v>1721</v>
      </c>
      <c r="B60" s="135">
        <f>B57/B59</f>
        <v>0.96006513045327802</v>
      </c>
      <c r="C60" s="135">
        <f t="shared" ref="C60:F60" si="66">C57/C59</f>
        <v>1.0642360670386524</v>
      </c>
      <c r="D60" s="135">
        <f t="shared" si="66"/>
        <v>1.2397610595160691</v>
      </c>
      <c r="E60" s="135">
        <f t="shared" si="66"/>
        <v>0.43984207708779444</v>
      </c>
      <c r="F60" s="135">
        <f t="shared" si="66"/>
        <v>2.3789140377624016</v>
      </c>
      <c r="G60" s="135">
        <f t="shared" ref="G60:M60" si="67">G57/G59</f>
        <v>1.4048199824373109</v>
      </c>
      <c r="H60" s="135">
        <f t="shared" si="67"/>
        <v>1.1746281313577982</v>
      </c>
      <c r="I60" s="135">
        <f t="shared" si="67"/>
        <v>0.98413091503085748</v>
      </c>
      <c r="J60" s="135">
        <f t="shared" si="67"/>
        <v>1.0336075229506865</v>
      </c>
      <c r="K60" s="135">
        <f t="shared" si="67"/>
        <v>1.0087459836911763</v>
      </c>
      <c r="L60" s="135">
        <f t="shared" si="67"/>
        <v>1.0464848588798048</v>
      </c>
      <c r="M60" s="135">
        <f t="shared" si="67"/>
        <v>1.2165810481791657</v>
      </c>
    </row>
    <row r="61" spans="1:13" x14ac:dyDescent="0.25">
      <c r="A61" s="72" t="s">
        <v>1808</v>
      </c>
      <c r="B61" s="196" t="str">
        <f>IF(B60&gt;80%,"优秀","淘汰")</f>
        <v>优秀</v>
      </c>
      <c r="C61" s="196" t="str">
        <f t="shared" ref="C61:F61" si="68">IF(C60&gt;80%,"优秀","淘汰")</f>
        <v>优秀</v>
      </c>
      <c r="D61" s="196" t="str">
        <f t="shared" si="68"/>
        <v>优秀</v>
      </c>
      <c r="E61" s="196" t="str">
        <f t="shared" si="68"/>
        <v>淘汰</v>
      </c>
      <c r="F61" s="196" t="str">
        <f t="shared" si="68"/>
        <v>优秀</v>
      </c>
      <c r="G61" s="196" t="str">
        <f t="shared" ref="G61" si="69">IF(G60&gt;80%,"优秀","淘汰")</f>
        <v>优秀</v>
      </c>
      <c r="H61" s="196" t="str">
        <f t="shared" ref="H61" si="70">IF(H60&gt;80%,"优秀","淘汰")</f>
        <v>优秀</v>
      </c>
      <c r="I61" s="196" t="str">
        <f t="shared" ref="I61" si="71">IF(I60&gt;80%,"优秀","淘汰")</f>
        <v>优秀</v>
      </c>
      <c r="J61" s="196" t="str">
        <f t="shared" ref="J61" si="72">IF(J60&gt;80%,"优秀","淘汰")</f>
        <v>优秀</v>
      </c>
      <c r="K61" s="196" t="str">
        <f t="shared" ref="K61" si="73">IF(K60&gt;80%,"优秀","淘汰")</f>
        <v>优秀</v>
      </c>
      <c r="L61" s="196" t="str">
        <f t="shared" ref="L61" si="74">IF(L60&gt;80%,"优秀","淘汰")</f>
        <v>优秀</v>
      </c>
      <c r="M61" s="196" t="str">
        <f t="shared" ref="M61" si="75">IF(M60&gt;80%,"优秀","淘汰")</f>
        <v>优秀</v>
      </c>
    </row>
    <row r="62" spans="1:13" ht="46.5" customHeight="1" x14ac:dyDescent="0.25">
      <c r="A62" s="205" t="s">
        <v>1796</v>
      </c>
      <c r="B62" s="205"/>
      <c r="C62" s="205"/>
      <c r="D62" s="205"/>
      <c r="E62" s="205"/>
      <c r="F62" s="205"/>
      <c r="G62" s="205"/>
    </row>
    <row r="63" spans="1:13" x14ac:dyDescent="0.25">
      <c r="C63" s="60" t="s">
        <v>1714</v>
      </c>
      <c r="G63" s="60"/>
    </row>
    <row r="64" spans="1:13" ht="15" x14ac:dyDescent="0.25">
      <c r="A64" s="139" t="s">
        <v>1722</v>
      </c>
      <c r="G64" s="60"/>
    </row>
    <row r="65" spans="1:13" x14ac:dyDescent="0.25">
      <c r="A65" t="str">
        <f>A48</f>
        <v>三一重工</v>
      </c>
      <c r="B65" s="125">
        <v>43830</v>
      </c>
      <c r="C65" s="125">
        <v>43465</v>
      </c>
      <c r="D65" s="143">
        <v>43100</v>
      </c>
      <c r="E65" s="125">
        <v>42735</v>
      </c>
      <c r="F65" s="143">
        <v>42369</v>
      </c>
      <c r="G65" s="125">
        <v>42004</v>
      </c>
      <c r="H65" s="143">
        <v>41639</v>
      </c>
      <c r="I65" s="125">
        <v>41274</v>
      </c>
      <c r="J65" s="143">
        <v>40908</v>
      </c>
      <c r="K65" s="125">
        <v>40543</v>
      </c>
      <c r="L65" s="143">
        <v>40178</v>
      </c>
      <c r="M65" s="125">
        <v>39813</v>
      </c>
    </row>
    <row r="66" spans="1:13" x14ac:dyDescent="0.25">
      <c r="A66" s="80" t="s">
        <v>1513</v>
      </c>
      <c r="B66" s="64">
        <f>SUMIFS(CF数据!B:B,CF数据!$A:$A,$A66)</f>
        <v>1326538</v>
      </c>
      <c r="C66" s="64">
        <f>SUMIFS(CF数据!C:C,CF数据!$A:$A,$A66)</f>
        <v>1052690</v>
      </c>
      <c r="D66" s="64">
        <f>SUMIFS(CF数据!D:D,CF数据!$A:$A,$A66)</f>
        <v>856450</v>
      </c>
      <c r="E66" s="64">
        <f>SUMIFS(CF数据!E:E,CF数据!$A:$A,$A66)</f>
        <v>324945</v>
      </c>
      <c r="F66" s="64">
        <f>SUMIFS(CF数据!F:F,CF数据!$A:$A,$A66)</f>
        <v>213598</v>
      </c>
      <c r="G66" s="64">
        <f>SUMIFS(CF数据!G:G,CF数据!$A:$A,$A66)</f>
        <v>123194</v>
      </c>
      <c r="H66" s="64">
        <f>SUMIFS(CF数据!H:H,CF数据!$A:$A,$A66)</f>
        <v>276933</v>
      </c>
      <c r="I66" s="64">
        <f>SUMIFS(CF数据!I:I,CF数据!$A:$A,$A66)</f>
        <v>568174</v>
      </c>
      <c r="J66" s="64">
        <f>SUMIFS(CF数据!J:J,CF数据!$A:$A,$A66)</f>
        <v>227903</v>
      </c>
      <c r="K66" s="64">
        <f>SUMIFS(CF数据!K:K,CF数据!$A:$A,$A66)</f>
        <v>674912</v>
      </c>
      <c r="L66" s="64">
        <f>SUMIFS(CF数据!L:L,CF数据!$A:$A,$A66)</f>
        <v>247113</v>
      </c>
      <c r="M66" s="64">
        <f>SUMIFS(CF数据!M:M,CF数据!$A:$A,$A66)</f>
        <v>64050</v>
      </c>
    </row>
    <row r="67" spans="1:13" x14ac:dyDescent="0.25">
      <c r="A67" t="s">
        <v>1479</v>
      </c>
      <c r="B67" s="141">
        <f>SUMIFS(PL!B:B,PL!$A:$A,$A67)</f>
        <v>1149445</v>
      </c>
      <c r="C67" s="141">
        <f>SUMIFS(PL!C:C,PL!$A:$A,$A67)</f>
        <v>630349</v>
      </c>
      <c r="D67" s="141">
        <f>SUMIFS(PL!D:D,PL!$A:$A,$A67)</f>
        <v>222709</v>
      </c>
      <c r="E67" s="141">
        <f>SUMIFS(PL!E:E,PL!$A:$A,$A67)</f>
        <v>16380</v>
      </c>
      <c r="F67" s="141">
        <f>SUMIFS(PL!F:F,PL!$A:$A,$A67)</f>
        <v>13815</v>
      </c>
      <c r="G67" s="141">
        <f>SUMIFS(PL!G:G,PL!$A:$A,$A67)</f>
        <v>75597</v>
      </c>
      <c r="H67" s="141">
        <f>SUMIFS(PL!H:H,PL!$A:$A,$A67)</f>
        <v>309485</v>
      </c>
      <c r="I67" s="141">
        <f>SUMIFS(PL!I:I,PL!$A:$A,$A67)</f>
        <v>601068</v>
      </c>
      <c r="J67" s="141">
        <f>SUMIFS(PL!J:J,PL!$A:$A,$A67)</f>
        <v>936155</v>
      </c>
      <c r="K67" s="141">
        <f>SUMIFS(PL!K:K,PL!$A:$A,$A67)</f>
        <v>616403</v>
      </c>
      <c r="L67" s="141">
        <f>SUMIFS(PL!L:L,PL!$A:$A,$A67)</f>
        <v>236996</v>
      </c>
      <c r="M67" s="141">
        <f>SUMIFS(PL!M:M,PL!$A:$A,$A67)</f>
        <v>147441</v>
      </c>
    </row>
    <row r="68" spans="1:13" x14ac:dyDescent="0.25">
      <c r="A68" s="140" t="s">
        <v>1771</v>
      </c>
      <c r="B68" s="135">
        <f>B66/B67</f>
        <v>1.1540682677292085</v>
      </c>
      <c r="C68" s="135">
        <f t="shared" ref="C68:F68" si="76">C66/C67</f>
        <v>1.6700113746511853</v>
      </c>
      <c r="D68" s="135">
        <f t="shared" si="76"/>
        <v>3.8456012105482942</v>
      </c>
      <c r="E68" s="135">
        <f t="shared" si="76"/>
        <v>19.837912087912088</v>
      </c>
      <c r="F68" s="135">
        <f t="shared" si="76"/>
        <v>15.461310170104959</v>
      </c>
      <c r="G68" s="135">
        <f t="shared" ref="G68:M68" si="77">G66/G67</f>
        <v>1.6296149318094633</v>
      </c>
      <c r="H68" s="135">
        <f t="shared" si="77"/>
        <v>0.89481881189718404</v>
      </c>
      <c r="I68" s="135">
        <f t="shared" si="77"/>
        <v>0.94527407880639125</v>
      </c>
      <c r="J68" s="135">
        <f t="shared" si="77"/>
        <v>0.2434457969032906</v>
      </c>
      <c r="K68" s="135">
        <f t="shared" si="77"/>
        <v>1.0949200441918681</v>
      </c>
      <c r="L68" s="135">
        <f t="shared" si="77"/>
        <v>1.042688484193826</v>
      </c>
      <c r="M68" s="135">
        <f t="shared" si="77"/>
        <v>0.43441105255661588</v>
      </c>
    </row>
    <row r="69" spans="1:13" ht="51.75" customHeight="1" x14ac:dyDescent="0.25">
      <c r="A69" s="205" t="s">
        <v>1797</v>
      </c>
      <c r="B69" s="205"/>
      <c r="C69" s="205"/>
      <c r="D69" s="205"/>
      <c r="E69" s="205"/>
      <c r="F69" s="205"/>
      <c r="G69" s="205"/>
    </row>
    <row r="70" spans="1:13" x14ac:dyDescent="0.25">
      <c r="G70" s="60"/>
    </row>
    <row r="71" spans="1:13" ht="15" x14ac:dyDescent="0.25">
      <c r="A71" s="139" t="s">
        <v>1723</v>
      </c>
      <c r="G71" s="60"/>
    </row>
    <row r="72" spans="1:13" x14ac:dyDescent="0.25">
      <c r="A72" t="str">
        <f>A65</f>
        <v>三一重工</v>
      </c>
      <c r="B72" s="125">
        <v>43830</v>
      </c>
      <c r="C72" s="125">
        <v>43465</v>
      </c>
      <c r="D72" s="143">
        <v>43100</v>
      </c>
      <c r="E72" s="125">
        <v>42735</v>
      </c>
      <c r="F72" s="143">
        <v>42369</v>
      </c>
      <c r="G72" s="125">
        <v>42004</v>
      </c>
      <c r="H72" s="143">
        <v>41639</v>
      </c>
      <c r="I72" s="125">
        <v>41274</v>
      </c>
      <c r="J72" s="143">
        <v>40908</v>
      </c>
      <c r="K72" s="125">
        <v>40543</v>
      </c>
      <c r="L72" s="143">
        <v>40178</v>
      </c>
      <c r="M72" s="125">
        <v>39813</v>
      </c>
    </row>
    <row r="73" spans="1:13" x14ac:dyDescent="0.25">
      <c r="A73" t="s">
        <v>1480</v>
      </c>
      <c r="B73" s="141">
        <f>SUMIFS(PL!B:B,PL!$A:$A,$A73)</f>
        <v>1120666</v>
      </c>
      <c r="C73" s="141">
        <f>SUMIFS(PL!C:C,PL!$A:$A,$A73)</f>
        <v>611629</v>
      </c>
      <c r="D73" s="141">
        <f>SUMIFS(PL!D:D,PL!$A:$A,$A73)</f>
        <v>209225</v>
      </c>
      <c r="E73" s="141">
        <f>SUMIFS(PL!E:E,PL!$A:$A,$A73)</f>
        <v>20346</v>
      </c>
      <c r="F73" s="141">
        <f>SUMIFS(PL!F:F,PL!$A:$A,$A73)</f>
        <v>13859</v>
      </c>
      <c r="G73" s="141">
        <f>SUMIFS(PL!G:G,PL!$A:$A,$A73)</f>
        <v>70921</v>
      </c>
      <c r="H73" s="141">
        <f>SUMIFS(PL!H:H,PL!$A:$A,$A73)</f>
        <v>290360</v>
      </c>
      <c r="I73" s="141">
        <f>SUMIFS(PL!I:I,PL!$A:$A,$A73)</f>
        <v>568610</v>
      </c>
      <c r="J73" s="141">
        <f>SUMIFS(PL!J:J,PL!$A:$A,$A73)</f>
        <v>864890</v>
      </c>
      <c r="K73" s="141">
        <f>SUMIFS(PL!K:K,PL!$A:$A,$A73)</f>
        <v>561546</v>
      </c>
      <c r="L73" s="141">
        <f>SUMIFS(PL!L:L,PL!$A:$A,$A73)</f>
        <v>196258</v>
      </c>
      <c r="M73" s="141">
        <f>SUMIFS(PL!M:M,PL!$A:$A,$A73)</f>
        <v>123223</v>
      </c>
    </row>
    <row r="74" spans="1:13" x14ac:dyDescent="0.25">
      <c r="A74" s="72" t="s">
        <v>1735</v>
      </c>
      <c r="B74" s="131">
        <f>(B73-C73)/C73</f>
        <v>0.83226433017401069</v>
      </c>
      <c r="C74" s="131">
        <f t="shared" ref="C74:F74" si="78">(C73-D73)/D73</f>
        <v>1.9233074441390847</v>
      </c>
      <c r="D74" s="131">
        <f t="shared" si="78"/>
        <v>9.2833480782463376</v>
      </c>
      <c r="E74" s="131">
        <f t="shared" si="78"/>
        <v>0.46807128941482068</v>
      </c>
      <c r="F74" s="131">
        <f t="shared" si="78"/>
        <v>-0.80458538373683397</v>
      </c>
      <c r="G74" s="131">
        <f t="shared" ref="G74" si="79">(G73-H73)/H73</f>
        <v>-0.75574803691968595</v>
      </c>
      <c r="H74" s="131">
        <f t="shared" ref="H74" si="80">(H73-I73)/I73</f>
        <v>-0.48935122491690264</v>
      </c>
      <c r="I74" s="131">
        <f t="shared" ref="I74" si="81">(I73-J73)/J73</f>
        <v>-0.34256379423972994</v>
      </c>
      <c r="J74" s="131">
        <f t="shared" ref="J74" si="82">(J73-K73)/K73</f>
        <v>0.54019439191090313</v>
      </c>
      <c r="K74" s="131">
        <f t="shared" ref="K74" si="83">(K73-L73)/L73</f>
        <v>1.8612642541960074</v>
      </c>
      <c r="L74" s="131">
        <f t="shared" ref="L74" si="84">(L73-M73)/M73</f>
        <v>0.59270590717642002</v>
      </c>
      <c r="M74" s="131" t="e">
        <f>(M73-#REF!)/#REF!</f>
        <v>#REF!</v>
      </c>
    </row>
    <row r="75" spans="1:13" x14ac:dyDescent="0.25">
      <c r="A75" s="80" t="s">
        <v>1436</v>
      </c>
      <c r="B75" s="66">
        <f>IFERROR(SUMIFS(BS数据!B:B,BS数据!$A:$A,$A75),0)</f>
        <v>4442098</v>
      </c>
      <c r="C75" s="66">
        <f>IFERROR(SUMIFS(BS数据!C:C,BS数据!$A:$A,$A75),0)</f>
        <v>3148491</v>
      </c>
      <c r="D75" s="66">
        <f>IFERROR(SUMIFS(BS数据!D:D,BS数据!$A:$A,$A75),0)</f>
        <v>2549760</v>
      </c>
      <c r="E75" s="66">
        <f>IFERROR(SUMIFS(BS数据!E:E,BS数据!$A:$A,$A75),0)</f>
        <v>2271740</v>
      </c>
      <c r="F75" s="66">
        <f>IFERROR(SUMIFS(BS数据!F:F,BS数据!$A:$A,$A75),0)</f>
        <v>2267071</v>
      </c>
      <c r="G75" s="66">
        <f>IFERROR(SUMIFS(BS数据!G:G,BS数据!$A:$A,$A75),0)</f>
        <v>2378543</v>
      </c>
      <c r="H75" s="66">
        <f>IFERROR(SUMIFS(BS数据!H:H,BS数据!$A:$A,$A75),0)</f>
        <v>2388772</v>
      </c>
      <c r="I75" s="66">
        <f>IFERROR(SUMIFS(BS数据!I:I,BS数据!$A:$A,$A75),0)</f>
        <v>2301941</v>
      </c>
      <c r="J75" s="66">
        <f>IFERROR(SUMIFS(BS数据!J:J,BS数据!$A:$A,$A75),0)</f>
        <v>1966271</v>
      </c>
      <c r="K75" s="66">
        <f>IFERROR(SUMIFS(BS数据!K:K,BS数据!$A:$A,$A75),0)</f>
        <v>1135032</v>
      </c>
      <c r="L75" s="66">
        <f>IFERROR(SUMIFS(BS数据!L:L,BS数据!$A:$A,$A75),0)</f>
        <v>752711</v>
      </c>
      <c r="M75" s="66">
        <f>IFERROR(SUMIFS(BS数据!M:M,BS数据!$A:$A,$A75),0)</f>
        <v>583806</v>
      </c>
    </row>
    <row r="76" spans="1:13" x14ac:dyDescent="0.25">
      <c r="A76" s="140" t="s">
        <v>1724</v>
      </c>
      <c r="B76" s="135">
        <f>B73/B75</f>
        <v>0.25228304283246339</v>
      </c>
      <c r="C76" s="135">
        <f t="shared" ref="C76:F76" si="85">C73/C75</f>
        <v>0.19426099677591582</v>
      </c>
      <c r="D76" s="135">
        <f t="shared" si="85"/>
        <v>8.2056742595381524E-2</v>
      </c>
      <c r="E76" s="135">
        <f t="shared" si="85"/>
        <v>8.9561305431079263E-3</v>
      </c>
      <c r="F76" s="135">
        <f t="shared" si="85"/>
        <v>6.1131742234804293E-3</v>
      </c>
      <c r="G76" s="135">
        <f t="shared" ref="G76:M76" si="86">G73/G75</f>
        <v>2.981699300790442E-2</v>
      </c>
      <c r="H76" s="135">
        <f t="shared" si="86"/>
        <v>0.12155199407896609</v>
      </c>
      <c r="I76" s="135">
        <f t="shared" si="86"/>
        <v>0.24701328140034867</v>
      </c>
      <c r="J76" s="135">
        <f t="shared" si="86"/>
        <v>0.43986307075677766</v>
      </c>
      <c r="K76" s="135">
        <f t="shared" si="86"/>
        <v>0.49474023639862136</v>
      </c>
      <c r="L76" s="135">
        <f t="shared" si="86"/>
        <v>0.26073486371263338</v>
      </c>
      <c r="M76" s="135">
        <f t="shared" si="86"/>
        <v>0.21106840285985412</v>
      </c>
    </row>
    <row r="77" spans="1:13" ht="52.5" customHeight="1" x14ac:dyDescent="0.25">
      <c r="A77" s="205" t="s">
        <v>1798</v>
      </c>
      <c r="B77" s="205"/>
      <c r="C77" s="205"/>
      <c r="D77" s="205"/>
      <c r="E77" s="205"/>
      <c r="F77" s="205"/>
      <c r="G77" s="205"/>
    </row>
  </sheetData>
  <mergeCells count="7">
    <mergeCell ref="A77:G77"/>
    <mergeCell ref="A11:G11"/>
    <mergeCell ref="A22:G22"/>
    <mergeCell ref="A36:G36"/>
    <mergeCell ref="A45:G45"/>
    <mergeCell ref="A62:G62"/>
    <mergeCell ref="A69:G69"/>
  </mergeCells>
  <phoneticPr fontId="3"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29C4E-88DF-41CA-99B5-A5A9CA107CDB}">
  <sheetPr codeName="Sheet22">
    <tabColor theme="6"/>
  </sheetPr>
  <dimension ref="A2:P42"/>
  <sheetViews>
    <sheetView workbookViewId="0">
      <selection activeCell="P15" sqref="P15"/>
    </sheetView>
  </sheetViews>
  <sheetFormatPr defaultRowHeight="14" x14ac:dyDescent="0.25"/>
  <cols>
    <col min="1" max="1" width="32.08984375" customWidth="1"/>
    <col min="2" max="2" width="16.26953125" customWidth="1"/>
    <col min="3" max="3" width="14.36328125" customWidth="1"/>
    <col min="4" max="6" width="15.36328125" customWidth="1"/>
    <col min="7" max="7" width="11.36328125" bestFit="1" customWidth="1"/>
    <col min="8" max="14" width="10.90625" bestFit="1" customWidth="1"/>
    <col min="15" max="15" width="10.26953125" bestFit="1" customWidth="1"/>
  </cols>
  <sheetData>
    <row r="2" spans="1:7" ht="17.25" customHeight="1" x14ac:dyDescent="0.25">
      <c r="A2" s="145" t="s">
        <v>1725</v>
      </c>
    </row>
    <row r="3" spans="1:7" x14ac:dyDescent="0.25">
      <c r="A3" t="str">
        <f>自选股!B2</f>
        <v>三一重工</v>
      </c>
      <c r="B3" s="125">
        <v>43830</v>
      </c>
      <c r="C3" s="125">
        <v>43465</v>
      </c>
      <c r="D3" s="143">
        <v>43100</v>
      </c>
      <c r="E3" s="125">
        <v>42735</v>
      </c>
      <c r="F3" s="143">
        <v>42369</v>
      </c>
      <c r="G3" s="125">
        <v>42004</v>
      </c>
    </row>
    <row r="4" spans="1:7" x14ac:dyDescent="0.25">
      <c r="A4" t="s">
        <v>1726</v>
      </c>
      <c r="B4" s="64">
        <f>SUMIFS(CF数据!B:B,CF数据!$A:$A,'CF (分析)'!$A4)</f>
        <v>1326538</v>
      </c>
      <c r="C4" s="64">
        <f>SUMIFS(CF数据!C:C,CF数据!$A:$A,'CF (分析)'!$A4)</f>
        <v>1052690</v>
      </c>
      <c r="D4" s="64">
        <f>SUMIFS(CF数据!D:D,CF数据!$A:$A,'CF (分析)'!$A4)</f>
        <v>856450</v>
      </c>
      <c r="E4" s="64">
        <f>SUMIFS(CF数据!E:E,CF数据!$A:$A,'CF (分析)'!$A4)</f>
        <v>324945</v>
      </c>
      <c r="F4" s="64">
        <f>SUMIFS(CF数据!F:F,CF数据!$A:$A,'CF (分析)'!$A4)</f>
        <v>213598</v>
      </c>
      <c r="G4" s="64">
        <f>SUMIFS(CF数据!G:G,CF数据!$A:$A,'CF (分析)'!$A4)</f>
        <v>123194</v>
      </c>
    </row>
    <row r="5" spans="1:7" x14ac:dyDescent="0.25">
      <c r="A5" s="140" t="s">
        <v>1727</v>
      </c>
      <c r="B5" s="135">
        <f>(B4-C4)/C4</f>
        <v>0.26014116216549982</v>
      </c>
      <c r="C5" s="135">
        <f t="shared" ref="C5:F5" si="0">(C4-D4)/D4</f>
        <v>0.22913188160429682</v>
      </c>
      <c r="D5" s="135">
        <f t="shared" si="0"/>
        <v>1.6356768068442351</v>
      </c>
      <c r="E5" s="135">
        <f t="shared" si="0"/>
        <v>0.52129233419788579</v>
      </c>
      <c r="F5" s="135">
        <f t="shared" si="0"/>
        <v>0.73383443998896047</v>
      </c>
      <c r="G5" s="135"/>
    </row>
    <row r="14" spans="1:7" ht="15" x14ac:dyDescent="0.25">
      <c r="A14" s="145" t="s">
        <v>1728</v>
      </c>
    </row>
    <row r="15" spans="1:7" x14ac:dyDescent="0.25">
      <c r="A15" t="str">
        <f>A3</f>
        <v>三一重工</v>
      </c>
      <c r="B15" s="125">
        <v>43830</v>
      </c>
      <c r="C15" s="125">
        <v>43465</v>
      </c>
      <c r="D15" s="143">
        <v>43100</v>
      </c>
      <c r="E15" s="125">
        <v>42735</v>
      </c>
      <c r="F15" s="143">
        <v>42369</v>
      </c>
      <c r="G15" s="125">
        <v>42004</v>
      </c>
    </row>
    <row r="16" spans="1:7" x14ac:dyDescent="0.25">
      <c r="A16" t="s">
        <v>1726</v>
      </c>
      <c r="B16" s="64">
        <f>SUMIFS(CF数据!B:B,CF数据!$A:$A,'CF (分析)'!$A16)</f>
        <v>1326538</v>
      </c>
      <c r="C16" s="64">
        <f>SUMIFS(CF数据!C:C,CF数据!$A:$A,'CF (分析)'!$A16)</f>
        <v>1052690</v>
      </c>
      <c r="D16" s="64">
        <f>SUMIFS(CF数据!D:D,CF数据!$A:$A,'CF (分析)'!$A16)</f>
        <v>856450</v>
      </c>
      <c r="E16" s="64">
        <f>SUMIFS(CF数据!E:E,CF数据!$A:$A,'CF (分析)'!$A16)</f>
        <v>324945</v>
      </c>
      <c r="F16" s="64">
        <f>SUMIFS(CF数据!F:F,CF数据!$A:$A,'CF (分析)'!$A16)</f>
        <v>213598</v>
      </c>
      <c r="G16" s="64">
        <f>SUMIFS(CF数据!G:G,CF数据!$A:$A,'CF (分析)'!$A16)</f>
        <v>123194</v>
      </c>
    </row>
    <row r="17" spans="1:16" x14ac:dyDescent="0.25">
      <c r="A17" t="s">
        <v>1729</v>
      </c>
      <c r="B17" s="64">
        <f>SUMIFS(CF数据!B:B,CF数据!$A:$A,'CF (分析)'!$A17)</f>
        <v>235463</v>
      </c>
      <c r="C17" s="64">
        <f>SUMIFS(CF数据!C:C,CF数据!$A:$A,'CF (分析)'!$A17)</f>
        <v>138022</v>
      </c>
      <c r="D17" s="64">
        <f>SUMIFS(CF数据!D:D,CF数据!$A:$A,'CF (分析)'!$A17)</f>
        <v>51533</v>
      </c>
      <c r="E17" s="64">
        <f>SUMIFS(CF数据!E:E,CF数据!$A:$A,'CF (分析)'!$A17)</f>
        <v>70495</v>
      </c>
      <c r="F17" s="64">
        <f>SUMIFS(CF数据!F:F,CF数据!$A:$A,'CF (分析)'!$A17)</f>
        <v>151377</v>
      </c>
      <c r="G17" s="64">
        <f>SUMIFS(CF数据!G:G,CF数据!$A:$A,'CF (分析)'!$A17)</f>
        <v>155105</v>
      </c>
    </row>
    <row r="18" spans="1:16" x14ac:dyDescent="0.25">
      <c r="A18" s="140" t="s">
        <v>1730</v>
      </c>
      <c r="B18" s="135">
        <f>B17/B16</f>
        <v>0.17750188837409858</v>
      </c>
      <c r="C18" s="135">
        <f t="shared" ref="C18:G18" si="1">C17/C16</f>
        <v>0.13111362319391273</v>
      </c>
      <c r="D18" s="135">
        <f t="shared" si="1"/>
        <v>6.0170471130830752E-2</v>
      </c>
      <c r="E18" s="135">
        <f t="shared" si="1"/>
        <v>0.216944405976396</v>
      </c>
      <c r="F18" s="135">
        <f t="shared" si="1"/>
        <v>0.708700455996779</v>
      </c>
      <c r="G18" s="135">
        <f t="shared" si="1"/>
        <v>1.2590304722632595</v>
      </c>
    </row>
    <row r="19" spans="1:16" x14ac:dyDescent="0.25">
      <c r="A19" s="140" t="s">
        <v>1774</v>
      </c>
      <c r="B19" s="192" t="str">
        <f>IF(B18&lt;10%,"淘汰",IF(B18&gt;100%,"淘汰",IF(B18&gt;60%,"警惕","优秀")))</f>
        <v>优秀</v>
      </c>
      <c r="C19" s="192" t="str">
        <f t="shared" ref="C19:G19" si="2">IF(C18&lt;10%,"淘汰",IF(C18&gt;100%,"淘汰",IF(C18&gt;60%,"警惕","优秀")))</f>
        <v>优秀</v>
      </c>
      <c r="D19" s="192" t="str">
        <f t="shared" si="2"/>
        <v>淘汰</v>
      </c>
      <c r="E19" s="192" t="str">
        <f t="shared" si="2"/>
        <v>优秀</v>
      </c>
      <c r="F19" s="192" t="str">
        <f t="shared" si="2"/>
        <v>警惕</v>
      </c>
      <c r="G19" s="192" t="str">
        <f t="shared" si="2"/>
        <v>淘汰</v>
      </c>
    </row>
    <row r="20" spans="1:16" ht="55.5" customHeight="1" x14ac:dyDescent="0.25">
      <c r="A20" s="206" t="s">
        <v>1799</v>
      </c>
      <c r="B20" s="206"/>
      <c r="C20" s="206"/>
      <c r="D20" s="206"/>
      <c r="E20" s="206"/>
      <c r="F20" s="206"/>
      <c r="G20" s="206"/>
    </row>
    <row r="22" spans="1:16" ht="15" x14ac:dyDescent="0.25">
      <c r="A22" s="145" t="s">
        <v>1731</v>
      </c>
    </row>
    <row r="25" spans="1:16" ht="47.25" customHeight="1" x14ac:dyDescent="0.25">
      <c r="A25" s="205" t="s">
        <v>1800</v>
      </c>
      <c r="B25" s="205"/>
      <c r="C25" s="205"/>
      <c r="D25" s="205"/>
      <c r="E25" s="205"/>
      <c r="F25" s="205"/>
      <c r="G25" s="205"/>
    </row>
    <row r="26" spans="1:16" ht="15" x14ac:dyDescent="0.25">
      <c r="A26" s="145" t="s">
        <v>1732</v>
      </c>
    </row>
    <row r="27" spans="1:16" x14ac:dyDescent="0.25">
      <c r="A27" t="str">
        <f>A3</f>
        <v>三一重工</v>
      </c>
      <c r="B27" s="125">
        <v>43830</v>
      </c>
      <c r="C27" s="125">
        <v>43465</v>
      </c>
      <c r="D27" s="143">
        <v>43100</v>
      </c>
      <c r="E27" s="125">
        <v>42735</v>
      </c>
      <c r="F27" s="143">
        <v>42369</v>
      </c>
      <c r="G27" s="125">
        <v>42004</v>
      </c>
      <c r="H27" s="143">
        <v>41639</v>
      </c>
      <c r="I27" s="125">
        <v>41274</v>
      </c>
      <c r="J27" s="143">
        <v>40908</v>
      </c>
      <c r="K27" s="125">
        <v>40543</v>
      </c>
      <c r="L27" s="143">
        <v>40178</v>
      </c>
      <c r="M27" s="125">
        <v>39813</v>
      </c>
      <c r="N27" s="143">
        <v>39447</v>
      </c>
      <c r="O27" s="125">
        <v>39082</v>
      </c>
      <c r="P27" s="143">
        <v>38717</v>
      </c>
    </row>
    <row r="28" spans="1:16" x14ac:dyDescent="0.25">
      <c r="A28" t="s">
        <v>1513</v>
      </c>
      <c r="B28" s="64">
        <f>SUMIFS(CF数据!B:B,CF数据!$A:$A,'CF (分析)'!$A28)</f>
        <v>1326538</v>
      </c>
      <c r="C28" s="64">
        <f>SUMIFS(CF数据!C:C,CF数据!$A:$A,'CF (分析)'!$A28)</f>
        <v>1052690</v>
      </c>
      <c r="D28" s="64">
        <f>SUMIFS(CF数据!D:D,CF数据!$A:$A,'CF (分析)'!$A28)</f>
        <v>856450</v>
      </c>
      <c r="E28" s="64">
        <f>SUMIFS(CF数据!E:E,CF数据!$A:$A,'CF (分析)'!$A28)</f>
        <v>324945</v>
      </c>
      <c r="F28" s="64">
        <f>SUMIFS(CF数据!F:F,CF数据!$A:$A,'CF (分析)'!$A28)</f>
        <v>213598</v>
      </c>
      <c r="G28" s="64">
        <f>SUMIFS(CF数据!G:G,CF数据!$A:$A,'CF (分析)'!$A28)</f>
        <v>123194</v>
      </c>
      <c r="H28" s="64">
        <f>SUMIFS(CF数据!H:H,CF数据!$A:$A,'CF (分析)'!$A28)</f>
        <v>276933</v>
      </c>
      <c r="I28" s="64">
        <f>SUMIFS(CF数据!I:I,CF数据!$A:$A,'CF (分析)'!$A28)</f>
        <v>568174</v>
      </c>
      <c r="J28" s="64">
        <f>SUMIFS(CF数据!J:J,CF数据!$A:$A,'CF (分析)'!$A28)</f>
        <v>227903</v>
      </c>
      <c r="K28" s="64">
        <f>SUMIFS(CF数据!K:K,CF数据!$A:$A,'CF (分析)'!$A28)</f>
        <v>674912</v>
      </c>
      <c r="L28" s="64">
        <f>SUMIFS(CF数据!L:L,CF数据!$A:$A,'CF (分析)'!$A28)</f>
        <v>247113</v>
      </c>
      <c r="M28" s="64">
        <f>SUMIFS(CF数据!M:M,CF数据!$A:$A,'CF (分析)'!$A28)</f>
        <v>64050</v>
      </c>
      <c r="N28" s="64">
        <f>SUMIFS(CF数据!N:N,CF数据!$A:$A,'CF (分析)'!$A28)</f>
        <v>63059</v>
      </c>
      <c r="O28" s="64">
        <f>SUMIFS(CF数据!O:O,CF数据!$A:$A,'CF (分析)'!$A28)</f>
        <v>51002</v>
      </c>
      <c r="P28" s="64">
        <f>SUMIFS(CF数据!P:P,CF数据!$A:$A,'CF (分析)'!$A28)</f>
        <v>0</v>
      </c>
    </row>
    <row r="29" spans="1:16" x14ac:dyDescent="0.25">
      <c r="A29" t="s">
        <v>1528</v>
      </c>
      <c r="B29" s="64">
        <f>SUMIFS(CF数据!B:B,CF数据!$A:$A,'CF (分析)'!$A29)</f>
        <v>-1198088</v>
      </c>
      <c r="C29" s="64">
        <f>SUMIFS(CF数据!C:C,CF数据!$A:$A,'CF (分析)'!$A29)</f>
        <v>-1076515</v>
      </c>
      <c r="D29" s="64">
        <f>SUMIFS(CF数据!D:D,CF数据!$A:$A,'CF (分析)'!$A29)</f>
        <v>121810</v>
      </c>
      <c r="E29" s="64">
        <f>SUMIFS(CF数据!E:E,CF数据!$A:$A,'CF (分析)'!$A29)</f>
        <v>226250</v>
      </c>
      <c r="F29" s="64">
        <f>SUMIFS(CF数据!F:F,CF数据!$A:$A,'CF (分析)'!$A29)</f>
        <v>-22905</v>
      </c>
      <c r="G29" s="64">
        <f>SUMIFS(CF数据!G:G,CF数据!$A:$A,'CF (分析)'!$A29)</f>
        <v>-225452</v>
      </c>
      <c r="H29" s="64">
        <f>SUMIFS(CF数据!H:H,CF数据!$A:$A,'CF (分析)'!$A29)</f>
        <v>-182565</v>
      </c>
      <c r="I29" s="64">
        <f>SUMIFS(CF数据!I:I,CF数据!$A:$A,'CF (分析)'!$A29)</f>
        <v>-648167</v>
      </c>
      <c r="J29" s="64">
        <f>SUMIFS(CF数据!J:J,CF数据!$A:$A,'CF (分析)'!$A29)</f>
        <v>-794019</v>
      </c>
      <c r="K29" s="64">
        <f>SUMIFS(CF数据!K:K,CF数据!$A:$A,'CF (分析)'!$A29)</f>
        <v>-677414</v>
      </c>
      <c r="L29" s="64">
        <f>SUMIFS(CF数据!L:L,CF数据!$A:$A,'CF (分析)'!$A29)</f>
        <v>-110395</v>
      </c>
      <c r="M29" s="64">
        <f>SUMIFS(CF数据!M:M,CF数据!$A:$A,'CF (分析)'!$A29)</f>
        <v>-96773</v>
      </c>
      <c r="N29" s="64">
        <f>SUMIFS(CF数据!N:N,CF数据!$A:$A,'CF (分析)'!$A29)</f>
        <v>-126128</v>
      </c>
      <c r="O29" s="64">
        <f>SUMIFS(CF数据!O:O,CF数据!$A:$A,'CF (分析)'!$A29)</f>
        <v>-17701</v>
      </c>
      <c r="P29" s="64">
        <f>SUMIFS(CF数据!P:P,CF数据!$A:$A,'CF (分析)'!$A29)</f>
        <v>0</v>
      </c>
    </row>
    <row r="30" spans="1:16" x14ac:dyDescent="0.25">
      <c r="A30" t="s">
        <v>1540</v>
      </c>
      <c r="B30" s="64">
        <f>SUMIFS(CF数据!B:B,CF数据!$A:$A,'CF (分析)'!$A30)</f>
        <v>-115073</v>
      </c>
      <c r="C30" s="64">
        <f>SUMIFS(CF数据!C:C,CF数据!$A:$A,'CF (分析)'!$A30)</f>
        <v>82693</v>
      </c>
      <c r="D30" s="64">
        <f>SUMIFS(CF数据!D:D,CF数据!$A:$A,'CF (分析)'!$A30)</f>
        <v>-1308455</v>
      </c>
      <c r="E30" s="64">
        <f>SUMIFS(CF数据!E:E,CF数据!$A:$A,'CF (分析)'!$A30)</f>
        <v>-466112</v>
      </c>
      <c r="F30" s="64">
        <f>SUMIFS(CF数据!F:F,CF数据!$A:$A,'CF (分析)'!$A30)</f>
        <v>-19849</v>
      </c>
      <c r="G30" s="64">
        <f>SUMIFS(CF数据!G:G,CF数据!$A:$A,'CF (分析)'!$A30)</f>
        <v>26098</v>
      </c>
      <c r="H30" s="64">
        <f>SUMIFS(CF数据!H:H,CF数据!$A:$A,'CF (分析)'!$A30)</f>
        <v>-382526</v>
      </c>
      <c r="I30" s="64">
        <f>SUMIFS(CF数据!I:I,CF数据!$A:$A,'CF (分析)'!$A30)</f>
        <v>86999</v>
      </c>
      <c r="J30" s="64">
        <f>SUMIFS(CF数据!J:J,CF数据!$A:$A,'CF (分析)'!$A30)</f>
        <v>900168</v>
      </c>
      <c r="K30" s="64">
        <f>SUMIFS(CF数据!K:K,CF数据!$A:$A,'CF (分析)'!$A30)</f>
        <v>81882</v>
      </c>
      <c r="L30" s="64">
        <f>SUMIFS(CF数据!L:L,CF数据!$A:$A,'CF (分析)'!$A30)</f>
        <v>-120836</v>
      </c>
      <c r="M30" s="64">
        <f>SUMIFS(CF数据!M:M,CF数据!$A:$A,'CF (分析)'!$A30)</f>
        <v>68908</v>
      </c>
      <c r="N30" s="64">
        <f>SUMIFS(CF数据!N:N,CF数据!$A:$A,'CF (分析)'!$A30)</f>
        <v>205599</v>
      </c>
      <c r="O30" s="64">
        <f>SUMIFS(CF数据!O:O,CF数据!$A:$A,'CF (分析)'!$A30)</f>
        <v>11144</v>
      </c>
      <c r="P30" s="64">
        <f>SUMIFS(CF数据!P:P,CF数据!$A:$A,'CF (分析)'!$A30)</f>
        <v>0</v>
      </c>
    </row>
    <row r="31" spans="1:16" x14ac:dyDescent="0.25">
      <c r="A31" s="80" t="s">
        <v>1733</v>
      </c>
      <c r="B31" s="146" t="str">
        <f>IF(B28&gt;0,"正","负")&amp;IF(B29&gt;0,"正","负")&amp;IF(B30&gt;0,"正","负")</f>
        <v>正负负</v>
      </c>
      <c r="C31" s="146" t="str">
        <f t="shared" ref="C31:G31" si="3">IF(C28&gt;0,"正","负")&amp;IF(C29&gt;0,"正","负")&amp;IF(C30&gt;0,"正","负")</f>
        <v>正负正</v>
      </c>
      <c r="D31" s="146" t="str">
        <f t="shared" si="3"/>
        <v>正正负</v>
      </c>
      <c r="E31" s="146" t="str">
        <f t="shared" si="3"/>
        <v>正正负</v>
      </c>
      <c r="F31" s="146" t="str">
        <f t="shared" si="3"/>
        <v>正负负</v>
      </c>
      <c r="G31" s="146" t="str">
        <f t="shared" si="3"/>
        <v>正负正</v>
      </c>
      <c r="H31" s="146" t="str">
        <f t="shared" ref="H31:P31" si="4">IF(H28&gt;0,"正","负")&amp;IF(H29&gt;0,"正","负")&amp;IF(H30&gt;0,"正","负")</f>
        <v>正负负</v>
      </c>
      <c r="I31" s="146" t="str">
        <f t="shared" si="4"/>
        <v>正负正</v>
      </c>
      <c r="J31" s="146" t="str">
        <f t="shared" si="4"/>
        <v>正负正</v>
      </c>
      <c r="K31" s="146" t="str">
        <f t="shared" si="4"/>
        <v>正负正</v>
      </c>
      <c r="L31" s="146" t="str">
        <f t="shared" si="4"/>
        <v>正负负</v>
      </c>
      <c r="M31" s="146" t="str">
        <f t="shared" si="4"/>
        <v>正负正</v>
      </c>
      <c r="N31" s="146" t="str">
        <f t="shared" si="4"/>
        <v>正负正</v>
      </c>
      <c r="O31" s="146" t="str">
        <f t="shared" si="4"/>
        <v>正负正</v>
      </c>
      <c r="P31" s="146" t="str">
        <f t="shared" si="4"/>
        <v>负负负</v>
      </c>
    </row>
    <row r="32" spans="1:16" x14ac:dyDescent="0.25">
      <c r="A32" s="80" t="s">
        <v>1767</v>
      </c>
      <c r="B32" s="193" t="str">
        <f>IF(B31="正负负","优秀",IF(B31="正正负","优秀","差评"))</f>
        <v>优秀</v>
      </c>
      <c r="C32" s="193" t="str">
        <f t="shared" ref="C32:G32" si="5">IF(C31="正负负","优秀",IF(C31="正正负","优秀","差评"))</f>
        <v>差评</v>
      </c>
      <c r="D32" s="193" t="str">
        <f t="shared" si="5"/>
        <v>优秀</v>
      </c>
      <c r="E32" s="193" t="str">
        <f t="shared" si="5"/>
        <v>优秀</v>
      </c>
      <c r="F32" s="193" t="str">
        <f t="shared" si="5"/>
        <v>优秀</v>
      </c>
      <c r="G32" s="193" t="str">
        <f t="shared" si="5"/>
        <v>差评</v>
      </c>
      <c r="H32" s="193" t="str">
        <f t="shared" ref="H32:P32" si="6">IF(H31="正负负","优秀",IF(H31="正正负","优秀","差评"))</f>
        <v>优秀</v>
      </c>
      <c r="I32" s="193" t="str">
        <f t="shared" si="6"/>
        <v>差评</v>
      </c>
      <c r="J32" s="193" t="str">
        <f t="shared" si="6"/>
        <v>差评</v>
      </c>
      <c r="K32" s="193" t="str">
        <f t="shared" si="6"/>
        <v>差评</v>
      </c>
      <c r="L32" s="193" t="str">
        <f t="shared" si="6"/>
        <v>优秀</v>
      </c>
      <c r="M32" s="193" t="str">
        <f t="shared" si="6"/>
        <v>差评</v>
      </c>
      <c r="N32" s="193" t="str">
        <f t="shared" si="6"/>
        <v>差评</v>
      </c>
      <c r="O32" s="193" t="str">
        <f t="shared" si="6"/>
        <v>差评</v>
      </c>
      <c r="P32" s="193" t="str">
        <f t="shared" si="6"/>
        <v>差评</v>
      </c>
    </row>
    <row r="33" spans="1:15" x14ac:dyDescent="0.25">
      <c r="A33" t="s">
        <v>1766</v>
      </c>
    </row>
    <row r="35" spans="1:15" ht="15" x14ac:dyDescent="0.25">
      <c r="A35" s="145" t="s">
        <v>1734</v>
      </c>
    </row>
    <row r="36" spans="1:15" x14ac:dyDescent="0.25">
      <c r="A36" t="str">
        <f>A27</f>
        <v>三一重工</v>
      </c>
      <c r="B36" s="125">
        <v>43830</v>
      </c>
      <c r="C36" s="125">
        <v>43465</v>
      </c>
      <c r="D36" s="143">
        <v>43100</v>
      </c>
      <c r="E36" s="125">
        <v>42735</v>
      </c>
      <c r="F36" s="143">
        <v>42369</v>
      </c>
      <c r="G36" s="125">
        <v>42004</v>
      </c>
      <c r="H36" s="143">
        <v>41639</v>
      </c>
      <c r="I36" s="125">
        <v>41274</v>
      </c>
      <c r="J36" s="143">
        <v>40908</v>
      </c>
      <c r="K36" s="125">
        <v>40543</v>
      </c>
      <c r="L36" s="143">
        <v>40178</v>
      </c>
      <c r="M36" s="125">
        <v>39813</v>
      </c>
      <c r="N36" s="143">
        <v>39447</v>
      </c>
      <c r="O36" s="125">
        <v>39082</v>
      </c>
    </row>
    <row r="37" spans="1:15" x14ac:dyDescent="0.25">
      <c r="A37" t="s">
        <v>1543</v>
      </c>
      <c r="B37" s="64">
        <f>SUMIFS(CF数据!B:B,CF数据!$A:$A,'CF (分析)'!$A37)</f>
        <v>13059</v>
      </c>
      <c r="C37" s="64">
        <f>SUMIFS(CF数据!C:C,CF数据!$A:$A,'CF (分析)'!$A37)</f>
        <v>59511</v>
      </c>
      <c r="D37" s="64">
        <f>SUMIFS(CF数据!D:D,CF数据!$A:$A,'CF (分析)'!$A37)</f>
        <v>-332441</v>
      </c>
      <c r="E37" s="64">
        <f>SUMIFS(CF数据!E:E,CF数据!$A:$A,'CF (分析)'!$A37)</f>
        <v>74312</v>
      </c>
      <c r="F37" s="64">
        <f>SUMIFS(CF数据!F:F,CF数据!$A:$A,'CF (分析)'!$A37)</f>
        <v>170876</v>
      </c>
      <c r="G37" s="64">
        <f>SUMIFS(CF数据!G:G,CF数据!$A:$A,'CF (分析)'!$A37)</f>
        <v>-77955</v>
      </c>
      <c r="H37" s="64">
        <f>SUMIFS(CF数据!H:H,CF数据!$A:$A,'CF (分析)'!$A37)</f>
        <v>-292651</v>
      </c>
      <c r="I37" s="64">
        <f>SUMIFS(CF数据!I:I,CF数据!$A:$A,'CF (分析)'!$A37)</f>
        <v>5764</v>
      </c>
      <c r="J37" s="64">
        <f>SUMIFS(CF数据!J:J,CF数据!$A:$A,'CF (分析)'!$A37)</f>
        <v>334342</v>
      </c>
      <c r="K37" s="64">
        <f>SUMIFS(CF数据!K:K,CF数据!$A:$A,'CF (分析)'!$A37)</f>
        <v>78354</v>
      </c>
      <c r="L37" s="64">
        <f>SUMIFS(CF数据!L:L,CF数据!$A:$A,'CF (分析)'!$A37)</f>
        <v>13937</v>
      </c>
      <c r="M37" s="64">
        <f>SUMIFS(CF数据!M:M,CF数据!$A:$A,'CF (分析)'!$A37)</f>
        <v>33211</v>
      </c>
      <c r="N37" s="64">
        <f>SUMIFS(CF数据!N:N,CF数据!$A:$A,'CF (分析)'!$A37)</f>
        <v>140557</v>
      </c>
      <c r="O37" s="64">
        <f>SUMIFS(CF数据!O:O,CF数据!$A:$A,'CF (分析)'!$A37)</f>
        <v>44446</v>
      </c>
    </row>
    <row r="38" spans="1:15" x14ac:dyDescent="0.25">
      <c r="A38" t="s">
        <v>1545</v>
      </c>
      <c r="B38" s="64">
        <f>SUMIFS(CF数据!B:B,CF数据!$A:$A,'CF (分析)'!$A38)</f>
        <v>445148</v>
      </c>
      <c r="C38" s="64">
        <f>SUMIFS(CF数据!C:C,CF数据!$A:$A,'CF (分析)'!$A38)</f>
        <v>432089</v>
      </c>
      <c r="D38" s="64">
        <f>SUMIFS(CF数据!D:D,CF数据!$A:$A,'CF (分析)'!$A38)</f>
        <v>372578</v>
      </c>
      <c r="E38" s="64">
        <f>SUMIFS(CF数据!E:E,CF数据!$A:$A,'CF (分析)'!$A38)</f>
        <v>705019</v>
      </c>
      <c r="F38" s="64">
        <f>SUMIFS(CF数据!F:F,CF数据!$A:$A,'CF (分析)'!$A38)</f>
        <v>627692</v>
      </c>
      <c r="G38" s="64">
        <f>SUMIFS(CF数据!G:G,CF数据!$A:$A,'CF (分析)'!$A38)</f>
        <v>456815</v>
      </c>
      <c r="H38" s="64">
        <f>SUMIFS(CF数据!H:H,CF数据!$A:$A,'CF (分析)'!$A38)</f>
        <v>534771</v>
      </c>
      <c r="I38" s="64">
        <f>SUMIFS(CF数据!I:I,CF数据!$A:$A,'CF (分析)'!$A38)</f>
        <v>827422</v>
      </c>
      <c r="J38" s="64">
        <f>SUMIFS(CF数据!J:J,CF数据!$A:$A,'CF (分析)'!$A38)</f>
        <v>821658</v>
      </c>
      <c r="K38" s="64">
        <f>SUMIFS(CF数据!K:K,CF数据!$A:$A,'CF (分析)'!$A38)</f>
        <v>487315</v>
      </c>
      <c r="L38" s="64">
        <f>SUMIFS(CF数据!L:L,CF数据!$A:$A,'CF (分析)'!$A38)</f>
        <v>307693</v>
      </c>
      <c r="M38" s="64">
        <f>SUMIFS(CF数据!M:M,CF数据!$A:$A,'CF (分析)'!$A38)</f>
        <v>293756</v>
      </c>
      <c r="N38" s="64">
        <f>SUMIFS(CF数据!N:N,CF数据!$A:$A,'CF (分析)'!$A38)</f>
        <v>260545</v>
      </c>
      <c r="O38" s="64">
        <f>SUMIFS(CF数据!O:O,CF数据!$A:$A,'CF (分析)'!$A38)</f>
        <v>119989</v>
      </c>
    </row>
    <row r="39" spans="1:15" x14ac:dyDescent="0.25">
      <c r="A39" t="s">
        <v>1772</v>
      </c>
      <c r="B39" s="58">
        <v>601573.09</v>
      </c>
      <c r="C39" s="58">
        <v>721887.71</v>
      </c>
      <c r="D39" s="58">
        <v>902359.63</v>
      </c>
      <c r="E39" s="58">
        <v>360943.85</v>
      </c>
      <c r="F39" s="58">
        <v>1082831.56</v>
      </c>
      <c r="G39" s="191">
        <v>40358.03</v>
      </c>
      <c r="H39" s="191">
        <v>30268.53</v>
      </c>
      <c r="I39" s="191">
        <v>20179.03</v>
      </c>
      <c r="J39" s="191">
        <v>10089.530000000001</v>
      </c>
      <c r="K39" s="191">
        <v>2.9999999998835802E-2</v>
      </c>
      <c r="L39" s="191">
        <v>-10089.469999999999</v>
      </c>
      <c r="M39" s="191">
        <v>-20178.97</v>
      </c>
      <c r="N39" s="191">
        <v>-30268.47</v>
      </c>
      <c r="O39" s="191">
        <v>-40357.97</v>
      </c>
    </row>
    <row r="40" spans="1:15" x14ac:dyDescent="0.25">
      <c r="A40" s="140" t="s">
        <v>1773</v>
      </c>
      <c r="B40" s="134">
        <f>B37+B39</f>
        <v>614632.09</v>
      </c>
      <c r="C40" s="134">
        <f t="shared" ref="C40:F40" si="7">C37+C39</f>
        <v>781398.71</v>
      </c>
      <c r="D40" s="134">
        <f t="shared" si="7"/>
        <v>569918.63</v>
      </c>
      <c r="E40" s="134">
        <f t="shared" si="7"/>
        <v>435255.85</v>
      </c>
      <c r="F40" s="134">
        <f t="shared" si="7"/>
        <v>1253707.56</v>
      </c>
      <c r="G40" s="134">
        <f t="shared" ref="G40:O40" si="8">G37+G39</f>
        <v>-37596.97</v>
      </c>
      <c r="H40" s="134">
        <f t="shared" si="8"/>
        <v>-262382.46999999997</v>
      </c>
      <c r="I40" s="134">
        <f t="shared" si="8"/>
        <v>25943.03</v>
      </c>
      <c r="J40" s="134">
        <f t="shared" si="8"/>
        <v>344431.53</v>
      </c>
      <c r="K40" s="134">
        <f t="shared" si="8"/>
        <v>78354.03</v>
      </c>
      <c r="L40" s="134">
        <f t="shared" si="8"/>
        <v>3847.5300000000007</v>
      </c>
      <c r="M40" s="134">
        <f t="shared" si="8"/>
        <v>13032.029999999999</v>
      </c>
      <c r="N40" s="134">
        <f t="shared" si="8"/>
        <v>110288.53</v>
      </c>
      <c r="O40" s="134">
        <f t="shared" si="8"/>
        <v>4088.0299999999988</v>
      </c>
    </row>
    <row r="41" spans="1:15" x14ac:dyDescent="0.25">
      <c r="A41" s="140" t="s">
        <v>1774</v>
      </c>
      <c r="B41" s="194" t="str">
        <f>IF(B40&gt;0,"优秀","差评")</f>
        <v>优秀</v>
      </c>
      <c r="C41" s="194" t="str">
        <f t="shared" ref="C41:F41" si="9">IF(C40&gt;0,"优秀","差评")</f>
        <v>优秀</v>
      </c>
      <c r="D41" s="194" t="str">
        <f t="shared" si="9"/>
        <v>优秀</v>
      </c>
      <c r="E41" s="194" t="str">
        <f t="shared" si="9"/>
        <v>优秀</v>
      </c>
      <c r="F41" s="194" t="str">
        <f t="shared" si="9"/>
        <v>优秀</v>
      </c>
      <c r="G41" s="194" t="str">
        <f t="shared" ref="G41:O41" si="10">IF(G40&gt;0,"优秀","差评")</f>
        <v>差评</v>
      </c>
      <c r="H41" s="194" t="str">
        <f t="shared" si="10"/>
        <v>差评</v>
      </c>
      <c r="I41" s="194" t="str">
        <f t="shared" si="10"/>
        <v>优秀</v>
      </c>
      <c r="J41" s="194" t="str">
        <f t="shared" si="10"/>
        <v>优秀</v>
      </c>
      <c r="K41" s="194" t="str">
        <f t="shared" si="10"/>
        <v>优秀</v>
      </c>
      <c r="L41" s="194" t="str">
        <f t="shared" si="10"/>
        <v>优秀</v>
      </c>
      <c r="M41" s="194" t="str">
        <f t="shared" si="10"/>
        <v>优秀</v>
      </c>
      <c r="N41" s="194" t="str">
        <f t="shared" si="10"/>
        <v>优秀</v>
      </c>
      <c r="O41" s="194" t="str">
        <f t="shared" si="10"/>
        <v>优秀</v>
      </c>
    </row>
    <row r="42" spans="1:15" ht="46.5" customHeight="1" x14ac:dyDescent="0.25">
      <c r="A42" s="205" t="s">
        <v>1801</v>
      </c>
      <c r="B42" s="205"/>
      <c r="C42" s="205"/>
      <c r="D42" s="205"/>
      <c r="E42" s="205"/>
      <c r="F42" s="205"/>
    </row>
  </sheetData>
  <mergeCells count="3">
    <mergeCell ref="A20:G20"/>
    <mergeCell ref="A25:G25"/>
    <mergeCell ref="A42:F42"/>
  </mergeCells>
  <phoneticPr fontId="3"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3F912-7ED7-4865-B709-2ABF2B2A4D9A}">
  <sheetPr codeName="Sheet1"/>
  <dimension ref="A2:AWZ35"/>
  <sheetViews>
    <sheetView workbookViewId="0">
      <selection activeCell="J12" sqref="J12"/>
    </sheetView>
  </sheetViews>
  <sheetFormatPr defaultRowHeight="14" x14ac:dyDescent="0.25"/>
  <cols>
    <col min="1" max="1" width="10.26953125" bestFit="1" customWidth="1"/>
    <col min="2" max="4" width="7.26953125" bestFit="1" customWidth="1"/>
    <col min="5" max="5" width="11.36328125" bestFit="1" customWidth="1"/>
    <col min="6" max="6" width="15.7265625" bestFit="1" customWidth="1"/>
    <col min="7" max="7" width="11.36328125" bestFit="1" customWidth="1"/>
    <col min="8" max="8" width="7.26953125" bestFit="1" customWidth="1"/>
    <col min="13" max="13" width="10.26953125" bestFit="1" customWidth="1"/>
    <col min="14" max="16" width="7.26953125" bestFit="1" customWidth="1"/>
    <col min="17" max="17" width="10.26953125" bestFit="1" customWidth="1"/>
    <col min="18" max="18" width="15.7265625" bestFit="1" customWidth="1"/>
    <col min="19" max="19" width="10.26953125" bestFit="1" customWidth="1"/>
    <col min="20" max="20" width="7.26953125" bestFit="1" customWidth="1"/>
    <col min="25" max="25" width="11.36328125" bestFit="1" customWidth="1"/>
    <col min="26" max="28" width="7.26953125" bestFit="1" customWidth="1"/>
    <col min="29" max="29" width="10.26953125" bestFit="1" customWidth="1"/>
    <col min="30" max="30" width="15.7265625" bestFit="1" customWidth="1"/>
    <col min="31" max="31" width="10.26953125" bestFit="1" customWidth="1"/>
    <col min="32" max="32" width="7.26953125" bestFit="1" customWidth="1"/>
    <col min="37" max="37" width="11.36328125" bestFit="1" customWidth="1"/>
    <col min="38" max="40" width="7.26953125" bestFit="1" customWidth="1"/>
    <col min="41" max="41" width="10.26953125" bestFit="1" customWidth="1"/>
    <col min="42" max="42" width="15.7265625" bestFit="1" customWidth="1"/>
    <col min="43" max="43" width="10.26953125" bestFit="1" customWidth="1"/>
    <col min="44" max="44" width="7.26953125" bestFit="1" customWidth="1"/>
    <col min="49" max="49" width="10.26953125" bestFit="1" customWidth="1"/>
    <col min="50" max="52" width="7.26953125" bestFit="1" customWidth="1"/>
    <col min="53" max="53" width="11.36328125" bestFit="1" customWidth="1"/>
    <col min="54" max="54" width="15.7265625" bestFit="1" customWidth="1"/>
    <col min="55" max="55" width="11.36328125" bestFit="1" customWidth="1"/>
    <col min="56" max="56" width="7.26953125" bestFit="1" customWidth="1"/>
    <col min="61" max="61" width="10.26953125" bestFit="1" customWidth="1"/>
    <col min="62" max="64" width="7.26953125" bestFit="1" customWidth="1"/>
    <col min="65" max="65" width="11.36328125" bestFit="1" customWidth="1"/>
    <col min="66" max="66" width="15.7265625" bestFit="1" customWidth="1"/>
    <col min="67" max="67" width="11.36328125" bestFit="1" customWidth="1"/>
    <col min="68" max="68" width="7.26953125" bestFit="1" customWidth="1"/>
    <col min="73" max="73" width="10.26953125" bestFit="1" customWidth="1"/>
    <col min="74" max="76" width="7.26953125" bestFit="1" customWidth="1"/>
    <col min="77" max="77" width="11.36328125" bestFit="1" customWidth="1"/>
    <col min="78" max="78" width="15.7265625" bestFit="1" customWidth="1"/>
    <col min="79" max="79" width="11.36328125" bestFit="1" customWidth="1"/>
    <col min="80" max="80" width="7.26953125" bestFit="1" customWidth="1"/>
    <col min="85" max="85" width="10.26953125" bestFit="1" customWidth="1"/>
    <col min="86" max="88" width="7.26953125" bestFit="1" customWidth="1"/>
    <col min="89" max="89" width="10.26953125" bestFit="1" customWidth="1"/>
    <col min="90" max="90" width="15.7265625" bestFit="1" customWidth="1"/>
    <col min="91" max="91" width="10.26953125" bestFit="1" customWidth="1"/>
    <col min="92" max="92" width="7.26953125" bestFit="1" customWidth="1"/>
    <col min="97" max="97" width="10.26953125" bestFit="1" customWidth="1"/>
    <col min="98" max="100" width="7.26953125" bestFit="1" customWidth="1"/>
    <col min="101" max="101" width="10.26953125" bestFit="1" customWidth="1"/>
    <col min="102" max="102" width="15.7265625" bestFit="1" customWidth="1"/>
    <col min="103" max="103" width="10.26953125" bestFit="1" customWidth="1"/>
    <col min="104" max="104" width="7.26953125" bestFit="1" customWidth="1"/>
    <col min="109" max="109" width="10.26953125" bestFit="1" customWidth="1"/>
    <col min="110" max="112" width="7.26953125" bestFit="1" customWidth="1"/>
    <col min="113" max="113" width="10.26953125" bestFit="1" customWidth="1"/>
    <col min="114" max="114" width="15.7265625" bestFit="1" customWidth="1"/>
    <col min="115" max="115" width="10.26953125" bestFit="1" customWidth="1"/>
    <col min="116" max="116" width="7.26953125" bestFit="1" customWidth="1"/>
    <col min="121" max="121" width="10.26953125" bestFit="1" customWidth="1"/>
    <col min="122" max="124" width="7.26953125" bestFit="1" customWidth="1"/>
    <col min="125" max="125" width="10.26953125" bestFit="1" customWidth="1"/>
    <col min="126" max="126" width="15.7265625" bestFit="1" customWidth="1"/>
    <col min="127" max="127" width="10.26953125" bestFit="1" customWidth="1"/>
    <col min="128" max="128" width="7.26953125" bestFit="1" customWidth="1"/>
    <col min="133" max="133" width="10.26953125" bestFit="1" customWidth="1"/>
    <col min="134" max="136" width="7.26953125" bestFit="1" customWidth="1"/>
    <col min="137" max="137" width="10.26953125" bestFit="1" customWidth="1"/>
    <col min="138" max="138" width="15.7265625" bestFit="1" customWidth="1"/>
    <col min="139" max="139" width="10.26953125" bestFit="1" customWidth="1"/>
    <col min="140" max="140" width="7.26953125" bestFit="1" customWidth="1"/>
    <col min="145" max="145" width="10.26953125" bestFit="1" customWidth="1"/>
    <col min="146" max="148" width="7.26953125" bestFit="1" customWidth="1"/>
    <col min="149" max="149" width="10.26953125" bestFit="1" customWidth="1"/>
    <col min="150" max="150" width="15.7265625" bestFit="1" customWidth="1"/>
    <col min="151" max="151" width="10.26953125" bestFit="1" customWidth="1"/>
    <col min="152" max="152" width="7.26953125" bestFit="1" customWidth="1"/>
    <col min="157" max="157" width="10.26953125" bestFit="1" customWidth="1"/>
    <col min="158" max="160" width="7.26953125" bestFit="1" customWidth="1"/>
    <col min="161" max="161" width="10.26953125" bestFit="1" customWidth="1"/>
    <col min="162" max="162" width="15.7265625" bestFit="1" customWidth="1"/>
    <col min="163" max="163" width="10.26953125" bestFit="1" customWidth="1"/>
    <col min="164" max="164" width="7.26953125" bestFit="1" customWidth="1"/>
    <col min="169" max="169" width="10.26953125" bestFit="1" customWidth="1"/>
    <col min="170" max="172" width="7.26953125" bestFit="1" customWidth="1"/>
    <col min="173" max="173" width="10.26953125" bestFit="1" customWidth="1"/>
    <col min="174" max="174" width="15.7265625" bestFit="1" customWidth="1"/>
    <col min="175" max="175" width="10.26953125" bestFit="1" customWidth="1"/>
    <col min="176" max="176" width="7.26953125" bestFit="1" customWidth="1"/>
    <col min="181" max="181" width="10.26953125" bestFit="1" customWidth="1"/>
    <col min="182" max="184" width="7.26953125" bestFit="1" customWidth="1"/>
    <col min="185" max="185" width="10.26953125" bestFit="1" customWidth="1"/>
    <col min="186" max="186" width="15.7265625" bestFit="1" customWidth="1"/>
    <col min="187" max="187" width="10.26953125" bestFit="1" customWidth="1"/>
    <col min="188" max="188" width="7.26953125" bestFit="1" customWidth="1"/>
    <col min="193" max="193" width="11.36328125" bestFit="1" customWidth="1"/>
    <col min="194" max="196" width="7.26953125" bestFit="1" customWidth="1"/>
    <col min="197" max="197" width="11.36328125" bestFit="1" customWidth="1"/>
    <col min="198" max="198" width="15.7265625" bestFit="1" customWidth="1"/>
    <col min="199" max="199" width="11.36328125" bestFit="1" customWidth="1"/>
    <col min="200" max="200" width="7.26953125" bestFit="1" customWidth="1"/>
    <col min="205" max="205" width="11.36328125" bestFit="1" customWidth="1"/>
    <col min="206" max="208" width="7.26953125" bestFit="1" customWidth="1"/>
    <col min="209" max="209" width="10.26953125" bestFit="1" customWidth="1"/>
    <col min="210" max="210" width="15.7265625" bestFit="1" customWidth="1"/>
    <col min="211" max="211" width="10.26953125" bestFit="1" customWidth="1"/>
    <col min="212" max="212" width="7.26953125" bestFit="1" customWidth="1"/>
    <col min="217" max="217" width="10.453125" bestFit="1" customWidth="1"/>
    <col min="218" max="220" width="7.26953125" bestFit="1" customWidth="1"/>
    <col min="221" max="221" width="10.453125" bestFit="1" customWidth="1"/>
    <col min="222" max="222" width="15.26953125" bestFit="1" customWidth="1"/>
    <col min="223" max="223" width="10.453125" bestFit="1" customWidth="1"/>
    <col min="224" max="224" width="7.26953125" bestFit="1" customWidth="1"/>
    <col min="229" max="229" width="10.453125" bestFit="1" customWidth="1"/>
    <col min="230" max="230" width="7.453125" bestFit="1" customWidth="1"/>
    <col min="231" max="232" width="7.26953125" bestFit="1" customWidth="1"/>
    <col min="233" max="233" width="10.453125" bestFit="1" customWidth="1"/>
    <col min="234" max="234" width="15.26953125" bestFit="1" customWidth="1"/>
    <col min="235" max="235" width="10.453125" bestFit="1" customWidth="1"/>
    <col min="236" max="236" width="7.26953125" bestFit="1" customWidth="1"/>
    <col min="241" max="241" width="10.453125" bestFit="1" customWidth="1"/>
    <col min="242" max="244" width="7.26953125" bestFit="1" customWidth="1"/>
    <col min="245" max="245" width="10.453125" bestFit="1" customWidth="1"/>
    <col min="246" max="246" width="15.26953125" bestFit="1" customWidth="1"/>
    <col min="247" max="247" width="10.453125" bestFit="1" customWidth="1"/>
    <col min="248" max="248" width="7.26953125" bestFit="1" customWidth="1"/>
    <col min="253" max="253" width="10.453125" bestFit="1" customWidth="1"/>
    <col min="254" max="256" width="7.26953125" bestFit="1" customWidth="1"/>
    <col min="257" max="257" width="11.6328125" bestFit="1" customWidth="1"/>
    <col min="258" max="258" width="15.26953125" bestFit="1" customWidth="1"/>
    <col min="259" max="259" width="11.6328125" bestFit="1" customWidth="1"/>
    <col min="260" max="260" width="7.26953125" bestFit="1" customWidth="1"/>
    <col min="265" max="265" width="10.26953125" bestFit="1" customWidth="1"/>
    <col min="266" max="268" width="7.26953125" bestFit="1" customWidth="1"/>
    <col min="269" max="269" width="10.26953125" bestFit="1" customWidth="1"/>
    <col min="270" max="270" width="15.7265625" bestFit="1" customWidth="1"/>
    <col min="271" max="271" width="10.26953125" bestFit="1" customWidth="1"/>
    <col min="272" max="272" width="7.26953125" bestFit="1" customWidth="1"/>
    <col min="277" max="281" width="7.26953125" bestFit="1" customWidth="1"/>
    <col min="282" max="282" width="15.7265625" bestFit="1" customWidth="1"/>
    <col min="283" max="283" width="7.26953125" bestFit="1" customWidth="1"/>
    <col min="284" max="284" width="5.26953125" bestFit="1" customWidth="1"/>
    <col min="289" max="289" width="10.26953125" bestFit="1" customWidth="1"/>
    <col min="290" max="292" width="7.26953125" bestFit="1" customWidth="1"/>
    <col min="293" max="293" width="10.26953125" bestFit="1" customWidth="1"/>
    <col min="294" max="294" width="15.7265625" bestFit="1" customWidth="1"/>
    <col min="295" max="295" width="10.26953125" bestFit="1" customWidth="1"/>
    <col min="296" max="296" width="7.26953125" bestFit="1" customWidth="1"/>
    <col min="301" max="301" width="10.26953125" bestFit="1" customWidth="1"/>
    <col min="302" max="304" width="7.26953125" bestFit="1" customWidth="1"/>
    <col min="305" max="305" width="10.26953125" bestFit="1" customWidth="1"/>
    <col min="306" max="306" width="15.7265625" bestFit="1" customWidth="1"/>
    <col min="307" max="307" width="10.26953125" bestFit="1" customWidth="1"/>
    <col min="308" max="308" width="7.26953125" bestFit="1" customWidth="1"/>
    <col min="313" max="313" width="10.26953125" bestFit="1" customWidth="1"/>
    <col min="314" max="316" width="7.26953125" bestFit="1" customWidth="1"/>
    <col min="317" max="317" width="11.36328125" bestFit="1" customWidth="1"/>
    <col min="318" max="318" width="15.7265625" bestFit="1" customWidth="1"/>
    <col min="319" max="319" width="11.36328125" bestFit="1" customWidth="1"/>
    <col min="320" max="320" width="7.26953125" bestFit="1" customWidth="1"/>
    <col min="325" max="325" width="10.26953125" bestFit="1" customWidth="1"/>
    <col min="326" max="328" width="7.26953125" bestFit="1" customWidth="1"/>
    <col min="329" max="329" width="10.26953125" bestFit="1" customWidth="1"/>
    <col min="330" max="330" width="15.7265625" bestFit="1" customWidth="1"/>
    <col min="331" max="331" width="10.26953125" bestFit="1" customWidth="1"/>
    <col min="332" max="332" width="7.26953125" bestFit="1" customWidth="1"/>
    <col min="337" max="337" width="11.36328125" bestFit="1" customWidth="1"/>
    <col min="338" max="340" width="7.26953125" bestFit="1" customWidth="1"/>
    <col min="341" max="341" width="10.26953125" bestFit="1" customWidth="1"/>
    <col min="342" max="342" width="15.7265625" bestFit="1" customWidth="1"/>
    <col min="343" max="343" width="10.26953125" bestFit="1" customWidth="1"/>
    <col min="344" max="344" width="7.26953125" bestFit="1" customWidth="1"/>
    <col min="349" max="349" width="10.26953125" bestFit="1" customWidth="1"/>
    <col min="350" max="352" width="7.26953125" bestFit="1" customWidth="1"/>
    <col min="353" max="353" width="10.26953125" bestFit="1" customWidth="1"/>
    <col min="354" max="354" width="15.7265625" bestFit="1" customWidth="1"/>
    <col min="355" max="355" width="10.26953125" bestFit="1" customWidth="1"/>
    <col min="356" max="356" width="7.26953125" bestFit="1" customWidth="1"/>
    <col min="361" max="361" width="10.26953125" bestFit="1" customWidth="1"/>
    <col min="362" max="364" width="7.26953125" bestFit="1" customWidth="1"/>
    <col min="365" max="365" width="10.26953125" bestFit="1" customWidth="1"/>
    <col min="366" max="366" width="15.7265625" bestFit="1" customWidth="1"/>
    <col min="367" max="367" width="10.26953125" bestFit="1" customWidth="1"/>
    <col min="368" max="368" width="7.26953125" bestFit="1" customWidth="1"/>
    <col min="373" max="373" width="10.26953125" bestFit="1" customWidth="1"/>
    <col min="374" max="376" width="7.26953125" bestFit="1" customWidth="1"/>
    <col min="377" max="377" width="10.26953125" bestFit="1" customWidth="1"/>
    <col min="378" max="378" width="15.7265625" bestFit="1" customWidth="1"/>
    <col min="379" max="379" width="10.26953125" bestFit="1" customWidth="1"/>
    <col min="380" max="380" width="7.26953125" bestFit="1" customWidth="1"/>
    <col min="385" max="385" width="11.36328125" bestFit="1" customWidth="1"/>
    <col min="386" max="388" width="7.26953125" bestFit="1" customWidth="1"/>
    <col min="389" max="389" width="11.36328125" bestFit="1" customWidth="1"/>
    <col min="390" max="390" width="15.7265625" bestFit="1" customWidth="1"/>
    <col min="391" max="391" width="11.36328125" bestFit="1" customWidth="1"/>
    <col min="392" max="392" width="7.26953125" bestFit="1" customWidth="1"/>
    <col min="397" max="397" width="11.36328125" bestFit="1" customWidth="1"/>
    <col min="398" max="400" width="7.26953125" bestFit="1" customWidth="1"/>
    <col min="401" max="401" width="10.26953125" bestFit="1" customWidth="1"/>
    <col min="402" max="402" width="15.7265625" bestFit="1" customWidth="1"/>
    <col min="403" max="403" width="10.26953125" bestFit="1" customWidth="1"/>
    <col min="404" max="404" width="7.26953125" bestFit="1" customWidth="1"/>
    <col min="409" max="409" width="10.26953125" bestFit="1" customWidth="1"/>
    <col min="410" max="412" width="7.26953125" bestFit="1" customWidth="1"/>
    <col min="413" max="413" width="10.26953125" bestFit="1" customWidth="1"/>
    <col min="414" max="414" width="15.7265625" bestFit="1" customWidth="1"/>
    <col min="415" max="415" width="10.26953125" bestFit="1" customWidth="1"/>
    <col min="416" max="416" width="7.26953125" bestFit="1" customWidth="1"/>
    <col min="421" max="421" width="10.26953125" bestFit="1" customWidth="1"/>
    <col min="422" max="424" width="7.26953125" bestFit="1" customWidth="1"/>
    <col min="425" max="425" width="10.26953125" bestFit="1" customWidth="1"/>
    <col min="426" max="426" width="15.7265625" bestFit="1" customWidth="1"/>
    <col min="427" max="427" width="10.26953125" bestFit="1" customWidth="1"/>
    <col min="428" max="428" width="7.26953125" bestFit="1" customWidth="1"/>
    <col min="433" max="433" width="10.26953125" bestFit="1" customWidth="1"/>
    <col min="434" max="436" width="7.26953125" bestFit="1" customWidth="1"/>
    <col min="437" max="437" width="11.36328125" bestFit="1" customWidth="1"/>
    <col min="438" max="438" width="15.7265625" bestFit="1" customWidth="1"/>
    <col min="439" max="439" width="11.36328125" bestFit="1" customWidth="1"/>
    <col min="440" max="440" width="7.26953125" bestFit="1" customWidth="1"/>
    <col min="445" max="445" width="11.36328125" bestFit="1" customWidth="1"/>
    <col min="446" max="448" width="7.26953125" bestFit="1" customWidth="1"/>
    <col min="449" max="449" width="11.36328125" bestFit="1" customWidth="1"/>
    <col min="450" max="450" width="15.7265625" bestFit="1" customWidth="1"/>
    <col min="451" max="451" width="11.36328125" bestFit="1" customWidth="1"/>
    <col min="452" max="452" width="7.26953125" bestFit="1" customWidth="1"/>
    <col min="457" max="457" width="10.26953125" bestFit="1" customWidth="1"/>
    <col min="458" max="460" width="7.26953125" bestFit="1" customWidth="1"/>
    <col min="461" max="461" width="10.26953125" bestFit="1" customWidth="1"/>
    <col min="462" max="462" width="15.7265625" bestFit="1" customWidth="1"/>
    <col min="463" max="463" width="10.26953125" bestFit="1" customWidth="1"/>
    <col min="464" max="464" width="7.26953125" bestFit="1" customWidth="1"/>
    <col min="469" max="469" width="10.26953125" bestFit="1" customWidth="1"/>
    <col min="470" max="472" width="7.26953125" bestFit="1" customWidth="1"/>
    <col min="473" max="473" width="10.26953125" bestFit="1" customWidth="1"/>
    <col min="474" max="474" width="15.7265625" bestFit="1" customWidth="1"/>
    <col min="475" max="475" width="10.26953125" bestFit="1" customWidth="1"/>
    <col min="476" max="476" width="7.26953125" bestFit="1" customWidth="1"/>
    <col min="481" max="481" width="11.36328125" bestFit="1" customWidth="1"/>
    <col min="482" max="484" width="7.26953125" bestFit="1" customWidth="1"/>
    <col min="485" max="485" width="10.26953125" bestFit="1" customWidth="1"/>
    <col min="486" max="486" width="15.7265625" bestFit="1" customWidth="1"/>
    <col min="487" max="487" width="10.26953125" bestFit="1" customWidth="1"/>
    <col min="488" max="488" width="7.26953125" bestFit="1" customWidth="1"/>
    <col min="493" max="493" width="10.26953125" bestFit="1" customWidth="1"/>
    <col min="494" max="496" width="7.26953125" bestFit="1" customWidth="1"/>
    <col min="497" max="497" width="11.36328125" bestFit="1" customWidth="1"/>
    <col min="498" max="498" width="15.7265625" bestFit="1" customWidth="1"/>
    <col min="499" max="499" width="11.36328125" bestFit="1" customWidth="1"/>
    <col min="500" max="500" width="7.26953125" bestFit="1" customWidth="1"/>
    <col min="505" max="505" width="10.26953125" bestFit="1" customWidth="1"/>
    <col min="506" max="508" width="7.26953125" bestFit="1" customWidth="1"/>
    <col min="509" max="509" width="10.26953125" bestFit="1" customWidth="1"/>
    <col min="510" max="510" width="15.7265625" bestFit="1" customWidth="1"/>
    <col min="511" max="511" width="10.26953125" bestFit="1" customWidth="1"/>
    <col min="512" max="512" width="7.26953125" bestFit="1" customWidth="1"/>
    <col min="517" max="517" width="11.36328125" bestFit="1" customWidth="1"/>
    <col min="518" max="520" width="7.26953125" bestFit="1" customWidth="1"/>
    <col min="521" max="521" width="10.26953125" bestFit="1" customWidth="1"/>
    <col min="522" max="522" width="15.7265625" bestFit="1" customWidth="1"/>
    <col min="523" max="523" width="10.26953125" bestFit="1" customWidth="1"/>
    <col min="524" max="524" width="7.26953125" bestFit="1" customWidth="1"/>
    <col min="529" max="529" width="10.26953125" bestFit="1" customWidth="1"/>
    <col min="530" max="532" width="7.26953125" bestFit="1" customWidth="1"/>
    <col min="533" max="533" width="10.26953125" bestFit="1" customWidth="1"/>
    <col min="534" max="534" width="15.7265625" bestFit="1" customWidth="1"/>
    <col min="535" max="535" width="10.26953125" bestFit="1" customWidth="1"/>
    <col min="536" max="536" width="7.26953125" bestFit="1" customWidth="1"/>
    <col min="541" max="541" width="10.26953125" bestFit="1" customWidth="1"/>
    <col min="542" max="544" width="7.26953125" bestFit="1" customWidth="1"/>
    <col min="545" max="545" width="11.36328125" bestFit="1" customWidth="1"/>
    <col min="546" max="546" width="15.7265625" bestFit="1" customWidth="1"/>
    <col min="547" max="547" width="11.36328125" bestFit="1" customWidth="1"/>
    <col min="548" max="548" width="7.26953125" bestFit="1" customWidth="1"/>
    <col min="553" max="553" width="10.26953125" bestFit="1" customWidth="1"/>
    <col min="554" max="556" width="7.26953125" bestFit="1" customWidth="1"/>
    <col min="557" max="557" width="11.36328125" bestFit="1" customWidth="1"/>
    <col min="558" max="558" width="15.7265625" bestFit="1" customWidth="1"/>
    <col min="559" max="559" width="11.36328125" bestFit="1" customWidth="1"/>
    <col min="560" max="560" width="7.26953125" bestFit="1" customWidth="1"/>
    <col min="565" max="565" width="10.26953125" bestFit="1" customWidth="1"/>
    <col min="566" max="568" width="7.26953125" bestFit="1" customWidth="1"/>
    <col min="569" max="569" width="11.36328125" bestFit="1" customWidth="1"/>
    <col min="570" max="570" width="15.7265625" bestFit="1" customWidth="1"/>
    <col min="571" max="571" width="11.36328125" bestFit="1" customWidth="1"/>
    <col min="572" max="572" width="7.26953125" bestFit="1" customWidth="1"/>
    <col min="577" max="577" width="10.26953125" bestFit="1" customWidth="1"/>
    <col min="578" max="580" width="7.26953125" bestFit="1" customWidth="1"/>
    <col min="581" max="581" width="10.26953125" bestFit="1" customWidth="1"/>
    <col min="582" max="582" width="15.7265625" bestFit="1" customWidth="1"/>
    <col min="583" max="583" width="10.26953125" bestFit="1" customWidth="1"/>
    <col min="584" max="584" width="7.26953125" bestFit="1" customWidth="1"/>
    <col min="589" max="589" width="10.26953125" bestFit="1" customWidth="1"/>
    <col min="590" max="592" width="7.26953125" bestFit="1" customWidth="1"/>
    <col min="593" max="593" width="11.36328125" bestFit="1" customWidth="1"/>
    <col min="594" max="594" width="15.7265625" bestFit="1" customWidth="1"/>
    <col min="595" max="595" width="11.36328125" bestFit="1" customWidth="1"/>
    <col min="596" max="596" width="7.26953125" bestFit="1" customWidth="1"/>
    <col min="601" max="601" width="10.26953125" bestFit="1" customWidth="1"/>
    <col min="602" max="604" width="7.26953125" bestFit="1" customWidth="1"/>
    <col min="605" max="605" width="10.26953125" bestFit="1" customWidth="1"/>
    <col min="606" max="606" width="15.7265625" bestFit="1" customWidth="1"/>
    <col min="607" max="607" width="10.26953125" bestFit="1" customWidth="1"/>
    <col min="608" max="608" width="7.26953125" bestFit="1" customWidth="1"/>
    <col min="613" max="613" width="10.453125" bestFit="1" customWidth="1"/>
    <col min="614" max="616" width="7.26953125" bestFit="1" customWidth="1"/>
    <col min="617" max="617" width="10.453125" bestFit="1" customWidth="1"/>
    <col min="618" max="618" width="15.26953125" bestFit="1" customWidth="1"/>
    <col min="619" max="619" width="10.453125" bestFit="1" customWidth="1"/>
    <col min="620" max="620" width="7.26953125" bestFit="1" customWidth="1"/>
    <col min="625" max="625" width="10.453125" bestFit="1" customWidth="1"/>
    <col min="626" max="628" width="7.26953125" bestFit="1" customWidth="1"/>
    <col min="629" max="629" width="10.453125" bestFit="1" customWidth="1"/>
    <col min="630" max="630" width="15.26953125" bestFit="1" customWidth="1"/>
    <col min="631" max="631" width="10.453125" bestFit="1" customWidth="1"/>
    <col min="632" max="632" width="7.26953125" bestFit="1" customWidth="1"/>
    <col min="637" max="637" width="10.453125" bestFit="1" customWidth="1"/>
    <col min="638" max="638" width="7.453125" bestFit="1" customWidth="1"/>
    <col min="639" max="640" width="7.26953125" bestFit="1" customWidth="1"/>
    <col min="641" max="641" width="10.453125" bestFit="1" customWidth="1"/>
    <col min="642" max="642" width="15.26953125" bestFit="1" customWidth="1"/>
    <col min="643" max="643" width="10.453125" bestFit="1" customWidth="1"/>
    <col min="644" max="644" width="7.26953125" bestFit="1" customWidth="1"/>
    <col min="649" max="649" width="10.453125" bestFit="1" customWidth="1"/>
    <col min="650" max="652" width="7.26953125" bestFit="1" customWidth="1"/>
    <col min="653" max="653" width="10.453125" bestFit="1" customWidth="1"/>
    <col min="654" max="654" width="15.26953125" bestFit="1" customWidth="1"/>
    <col min="655" max="655" width="10.453125" bestFit="1" customWidth="1"/>
    <col min="656" max="656" width="7.26953125" bestFit="1" customWidth="1"/>
    <col min="661" max="661" width="10.453125" bestFit="1" customWidth="1"/>
    <col min="662" max="664" width="7.26953125" bestFit="1" customWidth="1"/>
    <col min="665" max="665" width="10.453125" bestFit="1" customWidth="1"/>
    <col min="666" max="666" width="15.26953125" bestFit="1" customWidth="1"/>
    <col min="667" max="667" width="10.453125" bestFit="1" customWidth="1"/>
    <col min="668" max="668" width="7.26953125" bestFit="1" customWidth="1"/>
    <col min="673" max="673" width="10.453125" bestFit="1" customWidth="1"/>
    <col min="674" max="676" width="7.26953125" bestFit="1" customWidth="1"/>
    <col min="677" max="677" width="10.453125" bestFit="1" customWidth="1"/>
    <col min="678" max="678" width="15.26953125" bestFit="1" customWidth="1"/>
    <col min="679" max="679" width="10.453125" bestFit="1" customWidth="1"/>
    <col min="680" max="680" width="7.26953125" bestFit="1" customWidth="1"/>
    <col min="685" max="685" width="10.453125" bestFit="1" customWidth="1"/>
    <col min="686" max="688" width="7.26953125" bestFit="1" customWidth="1"/>
    <col min="689" max="689" width="10.453125" bestFit="1" customWidth="1"/>
    <col min="690" max="690" width="15.26953125" bestFit="1" customWidth="1"/>
    <col min="691" max="691" width="10.453125" bestFit="1" customWidth="1"/>
    <col min="692" max="692" width="7.26953125" bestFit="1" customWidth="1"/>
    <col min="697" max="697" width="10.453125" bestFit="1" customWidth="1"/>
    <col min="698" max="698" width="7.453125" bestFit="1" customWidth="1"/>
    <col min="699" max="700" width="7.26953125" bestFit="1" customWidth="1"/>
    <col min="701" max="701" width="10.453125" bestFit="1" customWidth="1"/>
    <col min="702" max="702" width="15.26953125" bestFit="1" customWidth="1"/>
    <col min="703" max="703" width="10.453125" bestFit="1" customWidth="1"/>
    <col min="704" max="704" width="7.26953125" bestFit="1" customWidth="1"/>
    <col min="709" max="709" width="10.453125" bestFit="1" customWidth="1"/>
    <col min="710" max="712" width="7.26953125" bestFit="1" customWidth="1"/>
    <col min="713" max="713" width="10.453125" bestFit="1" customWidth="1"/>
    <col min="714" max="714" width="15.26953125" bestFit="1" customWidth="1"/>
    <col min="715" max="715" width="10.453125" bestFit="1" customWidth="1"/>
    <col min="716" max="716" width="7.26953125" bestFit="1" customWidth="1"/>
    <col min="721" max="721" width="10.453125" bestFit="1" customWidth="1"/>
    <col min="722" max="724" width="7.26953125" bestFit="1" customWidth="1"/>
    <col min="725" max="725" width="11.6328125" bestFit="1" customWidth="1"/>
    <col min="726" max="726" width="15.26953125" bestFit="1" customWidth="1"/>
    <col min="727" max="727" width="11.6328125" bestFit="1" customWidth="1"/>
    <col min="728" max="728" width="7.26953125" bestFit="1" customWidth="1"/>
    <col min="730" max="730" width="9.453125" bestFit="1" customWidth="1"/>
    <col min="733" max="733" width="10.453125" bestFit="1" customWidth="1"/>
    <col min="734" max="736" width="7.26953125" bestFit="1" customWidth="1"/>
    <col min="737" max="737" width="10.453125" bestFit="1" customWidth="1"/>
    <col min="738" max="738" width="15.26953125" bestFit="1" customWidth="1"/>
    <col min="739" max="739" width="10.453125" bestFit="1" customWidth="1"/>
    <col min="740" max="740" width="7.26953125" bestFit="1" customWidth="1"/>
    <col min="745" max="745" width="10.453125" bestFit="1" customWidth="1"/>
    <col min="746" max="748" width="7.26953125" bestFit="1" customWidth="1"/>
    <col min="749" max="749" width="10.453125" bestFit="1" customWidth="1"/>
    <col min="750" max="750" width="15.26953125" bestFit="1" customWidth="1"/>
    <col min="751" max="751" width="10.453125" bestFit="1" customWidth="1"/>
    <col min="752" max="752" width="7.26953125" bestFit="1" customWidth="1"/>
    <col min="757" max="757" width="10.453125" bestFit="1" customWidth="1"/>
    <col min="758" max="760" width="7.26953125" bestFit="1" customWidth="1"/>
    <col min="761" max="761" width="10.453125" bestFit="1" customWidth="1"/>
    <col min="762" max="762" width="15.26953125" bestFit="1" customWidth="1"/>
    <col min="763" max="763" width="10.453125" bestFit="1" customWidth="1"/>
    <col min="764" max="764" width="7.26953125" bestFit="1" customWidth="1"/>
    <col min="769" max="769" width="10.453125" bestFit="1" customWidth="1"/>
    <col min="770" max="772" width="7.26953125" bestFit="1" customWidth="1"/>
    <col min="773" max="773" width="11.6328125" bestFit="1" customWidth="1"/>
    <col min="774" max="774" width="15.26953125" bestFit="1" customWidth="1"/>
    <col min="775" max="775" width="11.6328125" bestFit="1" customWidth="1"/>
    <col min="776" max="776" width="7.26953125" bestFit="1" customWidth="1"/>
    <col min="781" max="781" width="11.6328125" bestFit="1" customWidth="1"/>
    <col min="782" max="784" width="7.26953125" bestFit="1" customWidth="1"/>
    <col min="785" max="785" width="10.453125" bestFit="1" customWidth="1"/>
    <col min="786" max="786" width="15.26953125" bestFit="1" customWidth="1"/>
    <col min="787" max="787" width="10.453125" bestFit="1" customWidth="1"/>
    <col min="788" max="788" width="7.26953125" bestFit="1" customWidth="1"/>
    <col min="793" max="793" width="10.453125" bestFit="1" customWidth="1"/>
    <col min="794" max="796" width="7.26953125" bestFit="1" customWidth="1"/>
    <col min="797" max="797" width="10.453125" bestFit="1" customWidth="1"/>
    <col min="798" max="798" width="15.26953125" bestFit="1" customWidth="1"/>
    <col min="799" max="799" width="10.453125" bestFit="1" customWidth="1"/>
    <col min="800" max="800" width="7.26953125" bestFit="1" customWidth="1"/>
    <col min="805" max="805" width="10.453125" bestFit="1" customWidth="1"/>
    <col min="806" max="808" width="7.26953125" bestFit="1" customWidth="1"/>
    <col min="809" max="809" width="10.453125" bestFit="1" customWidth="1"/>
    <col min="810" max="810" width="15.26953125" bestFit="1" customWidth="1"/>
    <col min="811" max="811" width="10.453125" bestFit="1" customWidth="1"/>
    <col min="812" max="812" width="7.26953125" bestFit="1" customWidth="1"/>
    <col min="817" max="817" width="10.453125" bestFit="1" customWidth="1"/>
    <col min="818" max="818" width="7.453125" bestFit="1" customWidth="1"/>
    <col min="819" max="820" width="7.26953125" bestFit="1" customWidth="1"/>
    <col min="821" max="821" width="10.453125" bestFit="1" customWidth="1"/>
    <col min="822" max="822" width="15.26953125" bestFit="1" customWidth="1"/>
    <col min="823" max="823" width="10.453125" bestFit="1" customWidth="1"/>
    <col min="824" max="824" width="7.26953125" bestFit="1" customWidth="1"/>
    <col min="829" max="829" width="10.453125" bestFit="1" customWidth="1"/>
    <col min="830" max="830" width="7.453125" bestFit="1" customWidth="1"/>
    <col min="831" max="832" width="7.26953125" bestFit="1" customWidth="1"/>
    <col min="833" max="833" width="10.453125" bestFit="1" customWidth="1"/>
    <col min="834" max="834" width="15.26953125" bestFit="1" customWidth="1"/>
    <col min="835" max="835" width="10.453125" bestFit="1" customWidth="1"/>
    <col min="836" max="836" width="7.26953125" bestFit="1" customWidth="1"/>
    <col min="841" max="841" width="11.6328125" bestFit="1" customWidth="1"/>
    <col min="842" max="844" width="7.453125" bestFit="1" customWidth="1"/>
    <col min="845" max="845" width="11.6328125" bestFit="1" customWidth="1"/>
    <col min="846" max="846" width="15.26953125" bestFit="1" customWidth="1"/>
    <col min="847" max="847" width="11.6328125" bestFit="1" customWidth="1"/>
    <col min="848" max="848" width="7.26953125" bestFit="1" customWidth="1"/>
    <col min="853" max="853" width="11.6328125" bestFit="1" customWidth="1"/>
    <col min="854" max="856" width="7.26953125" bestFit="1" customWidth="1"/>
    <col min="857" max="857" width="10.453125" bestFit="1" customWidth="1"/>
    <col min="858" max="858" width="15.26953125" bestFit="1" customWidth="1"/>
    <col min="859" max="859" width="10.453125" bestFit="1" customWidth="1"/>
    <col min="860" max="860" width="7.26953125" bestFit="1" customWidth="1"/>
    <col min="865" max="865" width="10.453125" bestFit="1" customWidth="1"/>
    <col min="866" max="868" width="7.26953125" bestFit="1" customWidth="1"/>
    <col min="869" max="869" width="10.453125" bestFit="1" customWidth="1"/>
    <col min="870" max="870" width="15.26953125" bestFit="1" customWidth="1"/>
    <col min="871" max="871" width="10.453125" bestFit="1" customWidth="1"/>
    <col min="872" max="872" width="7.26953125" bestFit="1" customWidth="1"/>
    <col min="877" max="877" width="11.6328125" bestFit="1" customWidth="1"/>
    <col min="878" max="880" width="7.26953125" bestFit="1" customWidth="1"/>
    <col min="881" max="881" width="11.6328125" bestFit="1" customWidth="1"/>
    <col min="882" max="882" width="15.26953125" bestFit="1" customWidth="1"/>
    <col min="883" max="883" width="11.6328125" bestFit="1" customWidth="1"/>
    <col min="884" max="884" width="7.26953125" bestFit="1" customWidth="1"/>
    <col min="886" max="886" width="9.453125" bestFit="1" customWidth="1"/>
    <col min="889" max="889" width="10.453125" bestFit="1" customWidth="1"/>
    <col min="890" max="892" width="7.26953125" bestFit="1" customWidth="1"/>
    <col min="893" max="893" width="10.453125" bestFit="1" customWidth="1"/>
    <col min="894" max="894" width="15.26953125" bestFit="1" customWidth="1"/>
    <col min="895" max="895" width="10.453125" bestFit="1" customWidth="1"/>
    <col min="896" max="896" width="7.26953125" bestFit="1" customWidth="1"/>
    <col min="901" max="901" width="10.453125" bestFit="1" customWidth="1"/>
    <col min="902" max="904" width="7.26953125" bestFit="1" customWidth="1"/>
    <col min="905" max="905" width="11.6328125" bestFit="1" customWidth="1"/>
    <col min="906" max="906" width="15.26953125" bestFit="1" customWidth="1"/>
    <col min="907" max="907" width="11.6328125" bestFit="1" customWidth="1"/>
    <col min="908" max="908" width="7.26953125" bestFit="1" customWidth="1"/>
    <col min="913" max="913" width="10.453125" bestFit="1" customWidth="1"/>
    <col min="914" max="916" width="7.26953125" bestFit="1" customWidth="1"/>
    <col min="917" max="917" width="11.6328125" bestFit="1" customWidth="1"/>
    <col min="918" max="918" width="15.26953125" bestFit="1" customWidth="1"/>
    <col min="919" max="919" width="11.6328125" bestFit="1" customWidth="1"/>
    <col min="920" max="920" width="7.26953125" bestFit="1" customWidth="1"/>
    <col min="925" max="925" width="10.453125" bestFit="1" customWidth="1"/>
    <col min="926" max="926" width="7.453125" bestFit="1" customWidth="1"/>
    <col min="927" max="928" width="7.26953125" bestFit="1" customWidth="1"/>
    <col min="929" max="929" width="10.453125" bestFit="1" customWidth="1"/>
    <col min="930" max="930" width="15.26953125" bestFit="1" customWidth="1"/>
    <col min="931" max="931" width="10.453125" bestFit="1" customWidth="1"/>
    <col min="932" max="932" width="7.26953125" bestFit="1" customWidth="1"/>
    <col min="937" max="937" width="10.453125" bestFit="1" customWidth="1"/>
    <col min="938" max="940" width="7.26953125" bestFit="1" customWidth="1"/>
    <col min="941" max="941" width="10.453125" bestFit="1" customWidth="1"/>
    <col min="942" max="942" width="15.26953125" bestFit="1" customWidth="1"/>
    <col min="943" max="943" width="10.453125" bestFit="1" customWidth="1"/>
    <col min="944" max="944" width="7.26953125" bestFit="1" customWidth="1"/>
    <col min="949" max="949" width="10.453125" bestFit="1" customWidth="1"/>
    <col min="950" max="952" width="7.26953125" bestFit="1" customWidth="1"/>
    <col min="953" max="953" width="10.453125" bestFit="1" customWidth="1"/>
    <col min="954" max="954" width="15.26953125" bestFit="1" customWidth="1"/>
    <col min="955" max="955" width="10.453125" bestFit="1" customWidth="1"/>
    <col min="956" max="956" width="7.26953125" bestFit="1" customWidth="1"/>
    <col min="961" max="961" width="10.453125" bestFit="1" customWidth="1"/>
    <col min="962" max="964" width="7.26953125" bestFit="1" customWidth="1"/>
    <col min="965" max="965" width="10.453125" bestFit="1" customWidth="1"/>
    <col min="966" max="966" width="15.26953125" bestFit="1" customWidth="1"/>
    <col min="967" max="967" width="10.453125" bestFit="1" customWidth="1"/>
    <col min="968" max="968" width="7.26953125" bestFit="1" customWidth="1"/>
    <col min="973" max="973" width="10.453125" bestFit="1" customWidth="1"/>
    <col min="974" max="976" width="7.26953125" bestFit="1" customWidth="1"/>
    <col min="977" max="977" width="10.453125" bestFit="1" customWidth="1"/>
    <col min="978" max="978" width="15.26953125" bestFit="1" customWidth="1"/>
    <col min="979" max="979" width="11.6328125" bestFit="1" customWidth="1"/>
    <col min="980" max="980" width="7.26953125" bestFit="1" customWidth="1"/>
    <col min="985" max="985" width="10.453125" bestFit="1" customWidth="1"/>
    <col min="986" max="988" width="7.26953125" bestFit="1" customWidth="1"/>
    <col min="989" max="989" width="10.453125" bestFit="1" customWidth="1"/>
    <col min="990" max="990" width="15.26953125" bestFit="1" customWidth="1"/>
    <col min="991" max="991" width="10.453125" bestFit="1" customWidth="1"/>
    <col min="992" max="992" width="7.26953125" bestFit="1" customWidth="1"/>
    <col min="997" max="997" width="7.08984375" bestFit="1" customWidth="1"/>
    <col min="998" max="1000" width="7.26953125" bestFit="1" customWidth="1"/>
    <col min="1001" max="1001" width="7.08984375" bestFit="1" customWidth="1"/>
    <col min="1002" max="1002" width="15.26953125" bestFit="1" customWidth="1"/>
    <col min="1003" max="1003" width="7.08984375" bestFit="1" customWidth="1"/>
    <col min="1004" max="1004" width="5.26953125" bestFit="1" customWidth="1"/>
    <col min="1009" max="1009" width="7.08984375" bestFit="1" customWidth="1"/>
    <col min="1010" max="1012" width="7.26953125" bestFit="1" customWidth="1"/>
    <col min="1013" max="1013" width="7.08984375" bestFit="1" customWidth="1"/>
    <col min="1014" max="1014" width="15.26953125" bestFit="1" customWidth="1"/>
    <col min="1015" max="1015" width="7.08984375" bestFit="1" customWidth="1"/>
    <col min="1016" max="1016" width="5.26953125" bestFit="1" customWidth="1"/>
    <col min="1021" max="1021" width="10.453125" bestFit="1" customWidth="1"/>
    <col min="1022" max="1024" width="7.26953125" bestFit="1" customWidth="1"/>
    <col min="1025" max="1025" width="10.453125" bestFit="1" customWidth="1"/>
    <col min="1026" max="1026" width="15.26953125" bestFit="1" customWidth="1"/>
    <col min="1027" max="1027" width="10.453125" bestFit="1" customWidth="1"/>
    <col min="1028" max="1028" width="7.26953125" bestFit="1" customWidth="1"/>
    <col min="1033" max="1033" width="11.6328125" bestFit="1" customWidth="1"/>
    <col min="1034" max="1035" width="7.453125" bestFit="1" customWidth="1"/>
    <col min="1036" max="1036" width="7.26953125" bestFit="1" customWidth="1"/>
    <col min="1037" max="1037" width="10.453125" bestFit="1" customWidth="1"/>
    <col min="1038" max="1038" width="15.26953125" bestFit="1" customWidth="1"/>
    <col min="1039" max="1039" width="10.453125" bestFit="1" customWidth="1"/>
    <col min="1040" max="1040" width="7.26953125" bestFit="1" customWidth="1"/>
    <col min="1045" max="1045" width="10.453125" bestFit="1" customWidth="1"/>
    <col min="1046" max="1048" width="7.26953125" bestFit="1" customWidth="1"/>
    <col min="1049" max="1049" width="10.453125" bestFit="1" customWidth="1"/>
    <col min="1050" max="1050" width="15.26953125" bestFit="1" customWidth="1"/>
    <col min="1051" max="1051" width="10.453125" bestFit="1" customWidth="1"/>
    <col min="1052" max="1052" width="7.26953125" bestFit="1" customWidth="1"/>
    <col min="1057" max="1057" width="11.6328125" bestFit="1" customWidth="1"/>
    <col min="1058" max="1059" width="7.453125" bestFit="1" customWidth="1"/>
    <col min="1060" max="1060" width="7.26953125" bestFit="1" customWidth="1"/>
    <col min="1061" max="1061" width="10.453125" bestFit="1" customWidth="1"/>
    <col min="1062" max="1062" width="15.26953125" bestFit="1" customWidth="1"/>
    <col min="1063" max="1063" width="10.453125" bestFit="1" customWidth="1"/>
    <col min="1064" max="1064" width="7.26953125" bestFit="1" customWidth="1"/>
    <col min="1069" max="1069" width="10.453125" bestFit="1" customWidth="1"/>
    <col min="1070" max="1072" width="7.26953125" bestFit="1" customWidth="1"/>
    <col min="1073" max="1073" width="10.453125" bestFit="1" customWidth="1"/>
    <col min="1074" max="1074" width="15.26953125" bestFit="1" customWidth="1"/>
    <col min="1075" max="1075" width="10.453125" bestFit="1" customWidth="1"/>
    <col min="1076" max="1076" width="7.26953125" bestFit="1" customWidth="1"/>
    <col min="1081" max="1081" width="10.453125" bestFit="1" customWidth="1"/>
    <col min="1082" max="1083" width="7.26953125" bestFit="1" customWidth="1"/>
    <col min="1084" max="1084" width="7.453125" bestFit="1" customWidth="1"/>
    <col min="1085" max="1085" width="11.6328125" bestFit="1" customWidth="1"/>
    <col min="1086" max="1086" width="15.26953125" bestFit="1" customWidth="1"/>
    <col min="1087" max="1087" width="11.6328125" bestFit="1" customWidth="1"/>
    <col min="1088" max="1088" width="7.26953125" bestFit="1" customWidth="1"/>
    <col min="1093" max="1093" width="10.453125" bestFit="1" customWidth="1"/>
    <col min="1094" max="1096" width="7.26953125" bestFit="1" customWidth="1"/>
    <col min="1097" max="1097" width="10.453125" bestFit="1" customWidth="1"/>
    <col min="1098" max="1098" width="15.26953125" bestFit="1" customWidth="1"/>
    <col min="1099" max="1099" width="10.453125" bestFit="1" customWidth="1"/>
    <col min="1100" max="1100" width="7.26953125" bestFit="1" customWidth="1"/>
    <col min="1105" max="1105" width="11.6328125" bestFit="1" customWidth="1"/>
    <col min="1106" max="1108" width="7.26953125" bestFit="1" customWidth="1"/>
    <col min="1109" max="1109" width="11.6328125" bestFit="1" customWidth="1"/>
    <col min="1110" max="1110" width="15.26953125" bestFit="1" customWidth="1"/>
    <col min="1111" max="1111" width="11.6328125" bestFit="1" customWidth="1"/>
    <col min="1112" max="1112" width="7.26953125" bestFit="1" customWidth="1"/>
    <col min="1117" max="1117" width="10.453125" bestFit="1" customWidth="1"/>
    <col min="1118" max="1120" width="7.26953125" bestFit="1" customWidth="1"/>
    <col min="1121" max="1121" width="10.453125" bestFit="1" customWidth="1"/>
    <col min="1122" max="1122" width="15.26953125" bestFit="1" customWidth="1"/>
    <col min="1123" max="1123" width="10.453125" bestFit="1" customWidth="1"/>
    <col min="1124" max="1124" width="7.26953125" bestFit="1" customWidth="1"/>
    <col min="1129" max="1129" width="10.453125" bestFit="1" customWidth="1"/>
    <col min="1130" max="1132" width="7.26953125" bestFit="1" customWidth="1"/>
    <col min="1133" max="1133" width="10.453125" bestFit="1" customWidth="1"/>
    <col min="1134" max="1134" width="15.26953125" bestFit="1" customWidth="1"/>
    <col min="1135" max="1135" width="10.453125" bestFit="1" customWidth="1"/>
    <col min="1136" max="1136" width="7.26953125" bestFit="1" customWidth="1"/>
    <col min="1141" max="1141" width="10.453125" bestFit="1" customWidth="1"/>
    <col min="1142" max="1144" width="7.26953125" bestFit="1" customWidth="1"/>
    <col min="1145" max="1145" width="10.453125" bestFit="1" customWidth="1"/>
    <col min="1146" max="1146" width="15.26953125" bestFit="1" customWidth="1"/>
    <col min="1147" max="1147" width="10.453125" bestFit="1" customWidth="1"/>
    <col min="1148" max="1148" width="7.26953125" bestFit="1" customWidth="1"/>
    <col min="1153" max="1153" width="10.453125" bestFit="1" customWidth="1"/>
    <col min="1154" max="1156" width="7.26953125" bestFit="1" customWidth="1"/>
    <col min="1157" max="1157" width="10.453125" bestFit="1" customWidth="1"/>
    <col min="1158" max="1158" width="15.26953125" bestFit="1" customWidth="1"/>
    <col min="1159" max="1159" width="10.453125" bestFit="1" customWidth="1"/>
    <col min="1160" max="1160" width="7.26953125" bestFit="1" customWidth="1"/>
    <col min="1165" max="1165" width="11.6328125" bestFit="1" customWidth="1"/>
    <col min="1166" max="1168" width="7.26953125" bestFit="1" customWidth="1"/>
    <col min="1169" max="1169" width="11.6328125" bestFit="1" customWidth="1"/>
    <col min="1170" max="1170" width="15.26953125" bestFit="1" customWidth="1"/>
    <col min="1171" max="1171" width="11.6328125" bestFit="1" customWidth="1"/>
    <col min="1172" max="1172" width="7.26953125" bestFit="1" customWidth="1"/>
    <col min="1177" max="1177" width="11.6328125" bestFit="1" customWidth="1"/>
    <col min="1178" max="1178" width="7.453125" bestFit="1" customWidth="1"/>
    <col min="1179" max="1180" width="7.26953125" bestFit="1" customWidth="1"/>
    <col min="1181" max="1181" width="10.453125" bestFit="1" customWidth="1"/>
    <col min="1182" max="1182" width="15.26953125" bestFit="1" customWidth="1"/>
    <col min="1183" max="1183" width="10.453125" bestFit="1" customWidth="1"/>
    <col min="1184" max="1184" width="7.26953125" bestFit="1" customWidth="1"/>
    <col min="1189" max="1189" width="10.453125" bestFit="1" customWidth="1"/>
    <col min="1190" max="1192" width="7.26953125" bestFit="1" customWidth="1"/>
    <col min="1193" max="1193" width="11.6328125" bestFit="1" customWidth="1"/>
    <col min="1194" max="1194" width="15.26953125" bestFit="1" customWidth="1"/>
    <col min="1195" max="1195" width="11.6328125" bestFit="1" customWidth="1"/>
    <col min="1196" max="1196" width="7.26953125" bestFit="1" customWidth="1"/>
    <col min="1201" max="1201" width="10.453125" bestFit="1" customWidth="1"/>
    <col min="1202" max="1204" width="7.26953125" bestFit="1" customWidth="1"/>
    <col min="1205" max="1205" width="10.453125" bestFit="1" customWidth="1"/>
    <col min="1206" max="1206" width="15.26953125" bestFit="1" customWidth="1"/>
    <col min="1207" max="1207" width="10.453125" bestFit="1" customWidth="1"/>
    <col min="1208" max="1208" width="7.26953125" bestFit="1" customWidth="1"/>
    <col min="1213" max="1213" width="10.453125" bestFit="1" customWidth="1"/>
    <col min="1214" max="1216" width="7.26953125" bestFit="1" customWidth="1"/>
    <col min="1217" max="1217" width="11.6328125" bestFit="1" customWidth="1"/>
    <col min="1218" max="1218" width="15.26953125" bestFit="1" customWidth="1"/>
    <col min="1219" max="1219" width="11.6328125" bestFit="1" customWidth="1"/>
    <col min="1220" max="1220" width="7.26953125" bestFit="1" customWidth="1"/>
    <col min="1225" max="1225" width="11.6328125" bestFit="1" customWidth="1"/>
    <col min="1226" max="1228" width="7.26953125" bestFit="1" customWidth="1"/>
    <col min="1229" max="1229" width="11.6328125" bestFit="1" customWidth="1"/>
    <col min="1230" max="1230" width="15.26953125" bestFit="1" customWidth="1"/>
    <col min="1231" max="1231" width="11.6328125" bestFit="1" customWidth="1"/>
    <col min="1232" max="1232" width="7.26953125" bestFit="1" customWidth="1"/>
    <col min="1237" max="1237" width="10.453125" bestFit="1" customWidth="1"/>
    <col min="1238" max="1238" width="7.453125" bestFit="1" customWidth="1"/>
    <col min="1239" max="1240" width="7.26953125" bestFit="1" customWidth="1"/>
    <col min="1241" max="1241" width="11.6328125" bestFit="1" customWidth="1"/>
    <col min="1242" max="1242" width="15.26953125" bestFit="1" customWidth="1"/>
    <col min="1243" max="1243" width="11.6328125" bestFit="1" customWidth="1"/>
    <col min="1244" max="1244" width="7.26953125" bestFit="1" customWidth="1"/>
    <col min="1245" max="1245" width="9" style="56"/>
    <col min="1249" max="1249" width="10.453125" bestFit="1" customWidth="1"/>
    <col min="1250" max="1250" width="7.453125" bestFit="1" customWidth="1"/>
    <col min="1251" max="1252" width="7.26953125" bestFit="1" customWidth="1"/>
    <col min="1253" max="1253" width="10.453125" bestFit="1" customWidth="1"/>
    <col min="1254" max="1254" width="15.26953125" bestFit="1" customWidth="1"/>
    <col min="1255" max="1255" width="10.453125" bestFit="1" customWidth="1"/>
    <col min="1256" max="1256" width="7.26953125" bestFit="1" customWidth="1"/>
    <col min="1261" max="1261" width="10.453125" bestFit="1" customWidth="1"/>
    <col min="1262" max="1264" width="7.26953125" bestFit="1" customWidth="1"/>
    <col min="1265" max="1265" width="11.6328125" bestFit="1" customWidth="1"/>
    <col min="1266" max="1266" width="15.26953125" bestFit="1" customWidth="1"/>
    <col min="1267" max="1267" width="11.6328125" bestFit="1" customWidth="1"/>
    <col min="1268" max="1268" width="7.26953125" bestFit="1" customWidth="1"/>
    <col min="1273" max="1273" width="10.453125" bestFit="1" customWidth="1"/>
    <col min="1274" max="1276" width="7.26953125" bestFit="1" customWidth="1"/>
    <col min="1277" max="1277" width="10.453125" bestFit="1" customWidth="1"/>
    <col min="1278" max="1278" width="15.26953125" bestFit="1" customWidth="1"/>
    <col min="1279" max="1279" width="10.453125" bestFit="1" customWidth="1"/>
    <col min="1280" max="1280" width="7.26953125" bestFit="1" customWidth="1"/>
    <col min="1285" max="1285" width="10.453125" bestFit="1" customWidth="1"/>
    <col min="1286" max="1288" width="7.26953125" bestFit="1" customWidth="1"/>
    <col min="1289" max="1289" width="10.453125" bestFit="1" customWidth="1"/>
    <col min="1290" max="1290" width="15.26953125" bestFit="1" customWidth="1"/>
    <col min="1291" max="1291" width="10.453125" bestFit="1" customWidth="1"/>
    <col min="1292" max="1292" width="7.26953125" bestFit="1" customWidth="1"/>
  </cols>
  <sheetData>
    <row r="2" spans="1:1300" x14ac:dyDescent="0.25">
      <c r="A2" t="s">
        <v>1736</v>
      </c>
      <c r="B2" t="s">
        <v>1737</v>
      </c>
      <c r="C2" t="s">
        <v>1739</v>
      </c>
      <c r="D2" t="s">
        <v>1740</v>
      </c>
      <c r="E2" t="s">
        <v>1741</v>
      </c>
      <c r="F2" t="s">
        <v>1742</v>
      </c>
      <c r="G2" t="s">
        <v>1743</v>
      </c>
      <c r="H2" t="s">
        <v>1744</v>
      </c>
      <c r="I2" t="s">
        <v>487</v>
      </c>
      <c r="J2" t="s">
        <v>1779</v>
      </c>
      <c r="M2" t="s">
        <v>1736</v>
      </c>
      <c r="N2" t="s">
        <v>1737</v>
      </c>
      <c r="O2" t="s">
        <v>1739</v>
      </c>
      <c r="P2" t="s">
        <v>1740</v>
      </c>
      <c r="Q2" t="s">
        <v>1741</v>
      </c>
      <c r="R2" t="s">
        <v>1742</v>
      </c>
      <c r="S2" t="s">
        <v>1743</v>
      </c>
      <c r="T2" t="s">
        <v>1744</v>
      </c>
      <c r="U2" t="s">
        <v>487</v>
      </c>
      <c r="V2" t="s">
        <v>1779</v>
      </c>
      <c r="Y2" t="s">
        <v>1736</v>
      </c>
      <c r="Z2" t="s">
        <v>1737</v>
      </c>
      <c r="AA2" t="s">
        <v>1739</v>
      </c>
      <c r="AB2" t="s">
        <v>1740</v>
      </c>
      <c r="AC2" t="s">
        <v>1741</v>
      </c>
      <c r="AD2" t="s">
        <v>1742</v>
      </c>
      <c r="AE2" t="s">
        <v>1743</v>
      </c>
      <c r="AF2" t="s">
        <v>1744</v>
      </c>
      <c r="AG2" t="s">
        <v>487</v>
      </c>
      <c r="AH2" t="s">
        <v>1779</v>
      </c>
      <c r="AK2" t="s">
        <v>1736</v>
      </c>
      <c r="AL2" t="s">
        <v>1737</v>
      </c>
      <c r="AM2" t="s">
        <v>1739</v>
      </c>
      <c r="AN2" t="s">
        <v>1740</v>
      </c>
      <c r="AO2" t="s">
        <v>1741</v>
      </c>
      <c r="AP2" t="s">
        <v>1742</v>
      </c>
      <c r="AQ2" t="s">
        <v>1743</v>
      </c>
      <c r="AR2" t="s">
        <v>1744</v>
      </c>
      <c r="AS2" t="s">
        <v>487</v>
      </c>
      <c r="AT2" t="s">
        <v>1779</v>
      </c>
      <c r="AW2" t="s">
        <v>1736</v>
      </c>
      <c r="AX2" t="s">
        <v>1737</v>
      </c>
      <c r="AY2" t="s">
        <v>1739</v>
      </c>
      <c r="AZ2" t="s">
        <v>1740</v>
      </c>
      <c r="BA2" t="s">
        <v>1741</v>
      </c>
      <c r="BB2" t="s">
        <v>1742</v>
      </c>
      <c r="BC2" t="s">
        <v>1743</v>
      </c>
      <c r="BD2" t="s">
        <v>1744</v>
      </c>
      <c r="BE2" t="s">
        <v>487</v>
      </c>
      <c r="BF2" t="s">
        <v>1779</v>
      </c>
      <c r="BI2" t="s">
        <v>1736</v>
      </c>
      <c r="BJ2" t="s">
        <v>1737</v>
      </c>
      <c r="BK2" t="s">
        <v>1739</v>
      </c>
      <c r="BL2" t="s">
        <v>1740</v>
      </c>
      <c r="BM2" t="s">
        <v>1741</v>
      </c>
      <c r="BN2" t="s">
        <v>1742</v>
      </c>
      <c r="BO2" t="s">
        <v>1743</v>
      </c>
      <c r="BP2" t="s">
        <v>1744</v>
      </c>
      <c r="BQ2" t="s">
        <v>487</v>
      </c>
      <c r="BR2" t="s">
        <v>1779</v>
      </c>
      <c r="BU2" t="s">
        <v>1736</v>
      </c>
      <c r="BV2" t="s">
        <v>1737</v>
      </c>
      <c r="BW2" t="s">
        <v>1739</v>
      </c>
      <c r="BX2" t="s">
        <v>1740</v>
      </c>
      <c r="BY2" t="s">
        <v>1741</v>
      </c>
      <c r="BZ2" t="s">
        <v>1742</v>
      </c>
      <c r="CA2" t="s">
        <v>1743</v>
      </c>
      <c r="CB2" t="s">
        <v>1744</v>
      </c>
      <c r="CC2" t="s">
        <v>487</v>
      </c>
      <c r="CD2" t="s">
        <v>1779</v>
      </c>
      <c r="CG2" t="s">
        <v>1736</v>
      </c>
      <c r="CH2" t="s">
        <v>1737</v>
      </c>
      <c r="CI2" t="s">
        <v>1739</v>
      </c>
      <c r="CJ2" t="s">
        <v>1740</v>
      </c>
      <c r="CK2" t="s">
        <v>1741</v>
      </c>
      <c r="CL2" t="s">
        <v>1742</v>
      </c>
      <c r="CM2" t="s">
        <v>1743</v>
      </c>
      <c r="CN2" t="s">
        <v>1744</v>
      </c>
      <c r="CO2" t="s">
        <v>487</v>
      </c>
      <c r="CP2" t="s">
        <v>1779</v>
      </c>
      <c r="CS2" t="s">
        <v>1736</v>
      </c>
      <c r="CT2" t="s">
        <v>1737</v>
      </c>
      <c r="CU2" t="s">
        <v>1739</v>
      </c>
      <c r="CV2" t="s">
        <v>1740</v>
      </c>
      <c r="CW2" t="s">
        <v>1741</v>
      </c>
      <c r="CX2" t="s">
        <v>1742</v>
      </c>
      <c r="CY2" t="s">
        <v>1743</v>
      </c>
      <c r="CZ2" t="s">
        <v>1744</v>
      </c>
      <c r="DA2" t="s">
        <v>487</v>
      </c>
      <c r="DB2" t="s">
        <v>1779</v>
      </c>
      <c r="DE2" t="s">
        <v>1736</v>
      </c>
      <c r="DF2" t="s">
        <v>1737</v>
      </c>
      <c r="DG2" t="s">
        <v>1739</v>
      </c>
      <c r="DH2" t="s">
        <v>1740</v>
      </c>
      <c r="DI2" t="s">
        <v>1741</v>
      </c>
      <c r="DJ2" t="s">
        <v>1742</v>
      </c>
      <c r="DK2" t="s">
        <v>1743</v>
      </c>
      <c r="DL2" t="s">
        <v>1744</v>
      </c>
      <c r="DM2" t="s">
        <v>487</v>
      </c>
      <c r="DN2" t="s">
        <v>1779</v>
      </c>
      <c r="DQ2" t="s">
        <v>1736</v>
      </c>
      <c r="DR2" t="s">
        <v>1737</v>
      </c>
      <c r="DS2" t="s">
        <v>1739</v>
      </c>
      <c r="DT2" t="s">
        <v>1740</v>
      </c>
      <c r="DU2" t="s">
        <v>1741</v>
      </c>
      <c r="DV2" t="s">
        <v>1742</v>
      </c>
      <c r="DW2" t="s">
        <v>1743</v>
      </c>
      <c r="DX2" t="s">
        <v>1744</v>
      </c>
      <c r="DY2" t="s">
        <v>487</v>
      </c>
      <c r="DZ2" t="s">
        <v>1779</v>
      </c>
      <c r="EC2" t="s">
        <v>1736</v>
      </c>
      <c r="ED2" t="s">
        <v>1737</v>
      </c>
      <c r="EE2" t="s">
        <v>1739</v>
      </c>
      <c r="EF2" t="s">
        <v>1740</v>
      </c>
      <c r="EG2" t="s">
        <v>1741</v>
      </c>
      <c r="EH2" t="s">
        <v>1742</v>
      </c>
      <c r="EI2" t="s">
        <v>1743</v>
      </c>
      <c r="EJ2" t="s">
        <v>1744</v>
      </c>
      <c r="EK2" t="s">
        <v>487</v>
      </c>
      <c r="EL2" t="s">
        <v>1779</v>
      </c>
      <c r="EO2" t="s">
        <v>1736</v>
      </c>
      <c r="EP2" t="s">
        <v>1737</v>
      </c>
      <c r="EQ2" t="s">
        <v>1739</v>
      </c>
      <c r="ER2" t="s">
        <v>1740</v>
      </c>
      <c r="ES2" t="s">
        <v>1741</v>
      </c>
      <c r="ET2" t="s">
        <v>1742</v>
      </c>
      <c r="EU2" t="s">
        <v>1743</v>
      </c>
      <c r="EV2" t="s">
        <v>1744</v>
      </c>
      <c r="EW2" t="s">
        <v>487</v>
      </c>
      <c r="EX2" t="s">
        <v>1779</v>
      </c>
      <c r="FA2" t="s">
        <v>1736</v>
      </c>
      <c r="FB2" t="s">
        <v>1737</v>
      </c>
      <c r="FC2" t="s">
        <v>1739</v>
      </c>
      <c r="FD2" t="s">
        <v>1740</v>
      </c>
      <c r="FE2" t="s">
        <v>1741</v>
      </c>
      <c r="FF2" t="s">
        <v>1742</v>
      </c>
      <c r="FG2" t="s">
        <v>1743</v>
      </c>
      <c r="FH2" t="s">
        <v>1744</v>
      </c>
      <c r="FI2" t="s">
        <v>487</v>
      </c>
      <c r="FJ2" t="s">
        <v>1779</v>
      </c>
      <c r="FM2" t="s">
        <v>1736</v>
      </c>
      <c r="FN2" t="s">
        <v>1737</v>
      </c>
      <c r="FO2" t="s">
        <v>1739</v>
      </c>
      <c r="FP2" t="s">
        <v>1740</v>
      </c>
      <c r="FQ2" t="s">
        <v>1741</v>
      </c>
      <c r="FR2" t="s">
        <v>1742</v>
      </c>
      <c r="FS2" t="s">
        <v>1743</v>
      </c>
      <c r="FT2" t="s">
        <v>1744</v>
      </c>
      <c r="FU2" t="s">
        <v>487</v>
      </c>
      <c r="FV2" t="s">
        <v>1779</v>
      </c>
      <c r="FY2" t="s">
        <v>1736</v>
      </c>
      <c r="FZ2" t="s">
        <v>1737</v>
      </c>
      <c r="GA2" t="s">
        <v>1739</v>
      </c>
      <c r="GB2" t="s">
        <v>1740</v>
      </c>
      <c r="GC2" t="s">
        <v>1741</v>
      </c>
      <c r="GD2" t="s">
        <v>1742</v>
      </c>
      <c r="GE2" t="s">
        <v>1743</v>
      </c>
      <c r="GF2" t="s">
        <v>1744</v>
      </c>
      <c r="GG2" t="s">
        <v>487</v>
      </c>
      <c r="GH2" t="s">
        <v>1779</v>
      </c>
      <c r="GK2" t="s">
        <v>1736</v>
      </c>
      <c r="GL2" t="s">
        <v>1737</v>
      </c>
      <c r="GM2" t="s">
        <v>1739</v>
      </c>
      <c r="GN2" t="s">
        <v>1740</v>
      </c>
      <c r="GO2" t="s">
        <v>1741</v>
      </c>
      <c r="GP2" t="s">
        <v>1742</v>
      </c>
      <c r="GQ2" t="s">
        <v>1743</v>
      </c>
      <c r="GR2" t="s">
        <v>1744</v>
      </c>
      <c r="GS2" t="s">
        <v>487</v>
      </c>
      <c r="GT2" t="s">
        <v>1779</v>
      </c>
      <c r="GW2" t="s">
        <v>1736</v>
      </c>
      <c r="GX2" t="s">
        <v>1737</v>
      </c>
      <c r="GY2" t="s">
        <v>1739</v>
      </c>
      <c r="GZ2" t="s">
        <v>1740</v>
      </c>
      <c r="HA2" t="s">
        <v>1741</v>
      </c>
      <c r="HB2" t="s">
        <v>1742</v>
      </c>
      <c r="HC2" t="s">
        <v>1743</v>
      </c>
      <c r="HD2" t="s">
        <v>1744</v>
      </c>
      <c r="HE2" t="s">
        <v>487</v>
      </c>
      <c r="HF2" t="s">
        <v>1779</v>
      </c>
      <c r="HI2" t="s">
        <v>1736</v>
      </c>
      <c r="HJ2" t="s">
        <v>1737</v>
      </c>
      <c r="HK2" t="s">
        <v>1739</v>
      </c>
      <c r="HL2" t="s">
        <v>1740</v>
      </c>
      <c r="HM2" t="s">
        <v>1741</v>
      </c>
      <c r="HN2" t="s">
        <v>1742</v>
      </c>
      <c r="HO2" t="s">
        <v>1743</v>
      </c>
      <c r="HP2" t="s">
        <v>1744</v>
      </c>
      <c r="HQ2" t="s">
        <v>487</v>
      </c>
      <c r="HR2" t="s">
        <v>1779</v>
      </c>
      <c r="HU2" t="s">
        <v>1736</v>
      </c>
      <c r="HV2" t="s">
        <v>1737</v>
      </c>
      <c r="HW2" t="s">
        <v>1739</v>
      </c>
      <c r="HX2" t="s">
        <v>1740</v>
      </c>
      <c r="HY2" t="s">
        <v>1741</v>
      </c>
      <c r="HZ2" t="s">
        <v>1742</v>
      </c>
      <c r="IA2" t="s">
        <v>1743</v>
      </c>
      <c r="IB2" t="s">
        <v>1744</v>
      </c>
      <c r="IC2" t="s">
        <v>487</v>
      </c>
      <c r="ID2" t="s">
        <v>1779</v>
      </c>
      <c r="IG2" t="s">
        <v>1736</v>
      </c>
      <c r="IH2" t="s">
        <v>1737</v>
      </c>
      <c r="II2" t="s">
        <v>1739</v>
      </c>
      <c r="IJ2" t="s">
        <v>1740</v>
      </c>
      <c r="IK2" t="s">
        <v>1741</v>
      </c>
      <c r="IL2" t="s">
        <v>1742</v>
      </c>
      <c r="IM2" t="s">
        <v>1743</v>
      </c>
      <c r="IN2" t="s">
        <v>1744</v>
      </c>
      <c r="IO2" t="s">
        <v>487</v>
      </c>
      <c r="IP2" t="s">
        <v>1779</v>
      </c>
      <c r="IS2" t="s">
        <v>1736</v>
      </c>
      <c r="IT2" t="s">
        <v>1737</v>
      </c>
      <c r="IU2" t="s">
        <v>1739</v>
      </c>
      <c r="IV2" t="s">
        <v>1740</v>
      </c>
      <c r="IW2" t="s">
        <v>1741</v>
      </c>
      <c r="IX2" t="s">
        <v>1742</v>
      </c>
      <c r="IY2" t="s">
        <v>1743</v>
      </c>
      <c r="IZ2" t="s">
        <v>1744</v>
      </c>
      <c r="JA2" t="s">
        <v>487</v>
      </c>
      <c r="JB2" t="s">
        <v>1779</v>
      </c>
      <c r="JE2" t="s">
        <v>1736</v>
      </c>
      <c r="JF2" t="s">
        <v>1737</v>
      </c>
      <c r="JG2" t="s">
        <v>1739</v>
      </c>
      <c r="JH2" t="s">
        <v>1740</v>
      </c>
      <c r="JI2" t="s">
        <v>1741</v>
      </c>
      <c r="JJ2" t="s">
        <v>1742</v>
      </c>
      <c r="JK2" t="s">
        <v>1743</v>
      </c>
      <c r="JL2" t="s">
        <v>1744</v>
      </c>
      <c r="JM2" t="s">
        <v>487</v>
      </c>
      <c r="JN2" t="s">
        <v>1779</v>
      </c>
      <c r="JQ2" t="s">
        <v>1736</v>
      </c>
      <c r="JR2" t="s">
        <v>1737</v>
      </c>
      <c r="JS2" t="s">
        <v>1739</v>
      </c>
      <c r="JT2" t="s">
        <v>1740</v>
      </c>
      <c r="JU2" t="s">
        <v>1741</v>
      </c>
      <c r="JV2" t="s">
        <v>1742</v>
      </c>
      <c r="JW2" t="s">
        <v>1743</v>
      </c>
      <c r="JX2" t="s">
        <v>1744</v>
      </c>
      <c r="JY2" t="s">
        <v>487</v>
      </c>
      <c r="JZ2" t="s">
        <v>1779</v>
      </c>
      <c r="KC2" t="s">
        <v>1736</v>
      </c>
      <c r="KD2" t="s">
        <v>1737</v>
      </c>
      <c r="KE2" t="s">
        <v>1739</v>
      </c>
      <c r="KF2" t="s">
        <v>1740</v>
      </c>
      <c r="KG2" t="s">
        <v>1741</v>
      </c>
      <c r="KH2" t="s">
        <v>1742</v>
      </c>
      <c r="KI2" t="s">
        <v>1743</v>
      </c>
      <c r="KJ2" t="s">
        <v>1744</v>
      </c>
      <c r="KK2" t="s">
        <v>487</v>
      </c>
      <c r="KL2" t="s">
        <v>1779</v>
      </c>
      <c r="KO2" t="s">
        <v>1736</v>
      </c>
      <c r="KP2" t="s">
        <v>1737</v>
      </c>
      <c r="KQ2" t="s">
        <v>1739</v>
      </c>
      <c r="KR2" t="s">
        <v>1740</v>
      </c>
      <c r="KS2" t="s">
        <v>1741</v>
      </c>
      <c r="KT2" t="s">
        <v>1742</v>
      </c>
      <c r="KU2" t="s">
        <v>1743</v>
      </c>
      <c r="KV2" t="s">
        <v>1744</v>
      </c>
      <c r="KW2" t="s">
        <v>487</v>
      </c>
      <c r="KX2" t="s">
        <v>1779</v>
      </c>
      <c r="LA2" t="s">
        <v>1736</v>
      </c>
      <c r="LB2" t="s">
        <v>1737</v>
      </c>
      <c r="LC2" t="s">
        <v>1739</v>
      </c>
      <c r="LD2" t="s">
        <v>1740</v>
      </c>
      <c r="LE2" t="s">
        <v>1741</v>
      </c>
      <c r="LF2" t="s">
        <v>1742</v>
      </c>
      <c r="LG2" t="s">
        <v>1743</v>
      </c>
      <c r="LH2" t="s">
        <v>1744</v>
      </c>
      <c r="LI2" t="s">
        <v>487</v>
      </c>
      <c r="LJ2" t="s">
        <v>1779</v>
      </c>
      <c r="LM2" t="s">
        <v>1736</v>
      </c>
      <c r="LN2" t="s">
        <v>1737</v>
      </c>
      <c r="LO2" t="s">
        <v>1739</v>
      </c>
      <c r="LP2" t="s">
        <v>1740</v>
      </c>
      <c r="LQ2" t="s">
        <v>1741</v>
      </c>
      <c r="LR2" t="s">
        <v>1742</v>
      </c>
      <c r="LS2" t="s">
        <v>1743</v>
      </c>
      <c r="LT2" t="s">
        <v>1744</v>
      </c>
      <c r="LU2" t="s">
        <v>487</v>
      </c>
      <c r="LV2" t="s">
        <v>1779</v>
      </c>
      <c r="LY2" t="s">
        <v>1736</v>
      </c>
      <c r="LZ2" t="s">
        <v>1737</v>
      </c>
      <c r="MA2" t="s">
        <v>1739</v>
      </c>
      <c r="MB2" t="s">
        <v>1740</v>
      </c>
      <c r="MC2" t="s">
        <v>1741</v>
      </c>
      <c r="MD2" t="s">
        <v>1742</v>
      </c>
      <c r="ME2" t="s">
        <v>1743</v>
      </c>
      <c r="MF2" t="s">
        <v>1744</v>
      </c>
      <c r="MG2" t="s">
        <v>487</v>
      </c>
      <c r="MH2" t="s">
        <v>1779</v>
      </c>
      <c r="MK2" t="s">
        <v>1736</v>
      </c>
      <c r="ML2" t="s">
        <v>1737</v>
      </c>
      <c r="MM2" t="s">
        <v>1739</v>
      </c>
      <c r="MN2" t="s">
        <v>1740</v>
      </c>
      <c r="MO2" t="s">
        <v>1741</v>
      </c>
      <c r="MP2" t="s">
        <v>1742</v>
      </c>
      <c r="MQ2" t="s">
        <v>1743</v>
      </c>
      <c r="MR2" t="s">
        <v>1744</v>
      </c>
      <c r="MS2" t="s">
        <v>487</v>
      </c>
      <c r="MT2" t="s">
        <v>1779</v>
      </c>
      <c r="MW2" t="s">
        <v>1736</v>
      </c>
      <c r="MX2" t="s">
        <v>1737</v>
      </c>
      <c r="MY2" t="s">
        <v>1739</v>
      </c>
      <c r="MZ2" t="s">
        <v>1740</v>
      </c>
      <c r="NA2" t="s">
        <v>1741</v>
      </c>
      <c r="NB2" t="s">
        <v>1742</v>
      </c>
      <c r="NC2" t="s">
        <v>1743</v>
      </c>
      <c r="ND2" t="s">
        <v>1744</v>
      </c>
      <c r="NE2" t="s">
        <v>487</v>
      </c>
      <c r="NF2" t="s">
        <v>1779</v>
      </c>
      <c r="NI2" t="s">
        <v>1736</v>
      </c>
      <c r="NJ2" t="s">
        <v>1737</v>
      </c>
      <c r="NK2" t="s">
        <v>1739</v>
      </c>
      <c r="NL2" t="s">
        <v>1740</v>
      </c>
      <c r="NM2" t="s">
        <v>1741</v>
      </c>
      <c r="NN2" t="s">
        <v>1742</v>
      </c>
      <c r="NO2" t="s">
        <v>1743</v>
      </c>
      <c r="NP2" t="s">
        <v>1744</v>
      </c>
      <c r="NQ2" t="s">
        <v>487</v>
      </c>
      <c r="NR2" t="s">
        <v>1779</v>
      </c>
      <c r="NU2" t="s">
        <v>1736</v>
      </c>
      <c r="NV2" t="s">
        <v>1737</v>
      </c>
      <c r="NW2" t="s">
        <v>1739</v>
      </c>
      <c r="NX2" t="s">
        <v>1740</v>
      </c>
      <c r="NY2" t="s">
        <v>1741</v>
      </c>
      <c r="NZ2" t="s">
        <v>1742</v>
      </c>
      <c r="OA2" t="s">
        <v>1743</v>
      </c>
      <c r="OB2" t="s">
        <v>1744</v>
      </c>
      <c r="OC2" t="s">
        <v>487</v>
      </c>
      <c r="OD2" t="s">
        <v>1779</v>
      </c>
      <c r="OG2" t="s">
        <v>1736</v>
      </c>
      <c r="OH2" t="s">
        <v>1737</v>
      </c>
      <c r="OI2" t="s">
        <v>1739</v>
      </c>
      <c r="OJ2" t="s">
        <v>1740</v>
      </c>
      <c r="OK2" t="s">
        <v>1741</v>
      </c>
      <c r="OL2" t="s">
        <v>1742</v>
      </c>
      <c r="OM2" t="s">
        <v>1743</v>
      </c>
      <c r="ON2" t="s">
        <v>1744</v>
      </c>
      <c r="OO2" t="s">
        <v>487</v>
      </c>
      <c r="OP2" t="s">
        <v>1779</v>
      </c>
      <c r="OS2" t="s">
        <v>1736</v>
      </c>
      <c r="OT2" t="s">
        <v>1737</v>
      </c>
      <c r="OU2" t="s">
        <v>1739</v>
      </c>
      <c r="OV2" t="s">
        <v>1740</v>
      </c>
      <c r="OW2" t="s">
        <v>1741</v>
      </c>
      <c r="OX2" t="s">
        <v>1742</v>
      </c>
      <c r="OY2" t="s">
        <v>1743</v>
      </c>
      <c r="OZ2" t="s">
        <v>1744</v>
      </c>
      <c r="PA2" t="s">
        <v>487</v>
      </c>
      <c r="PB2" t="s">
        <v>1779</v>
      </c>
      <c r="PE2" t="s">
        <v>1736</v>
      </c>
      <c r="PF2" t="s">
        <v>1737</v>
      </c>
      <c r="PG2" t="s">
        <v>1739</v>
      </c>
      <c r="PH2" t="s">
        <v>1740</v>
      </c>
      <c r="PI2" t="s">
        <v>1741</v>
      </c>
      <c r="PJ2" t="s">
        <v>1742</v>
      </c>
      <c r="PK2" t="s">
        <v>1743</v>
      </c>
      <c r="PL2" t="s">
        <v>1744</v>
      </c>
      <c r="PM2" t="s">
        <v>487</v>
      </c>
      <c r="PN2" t="s">
        <v>1779</v>
      </c>
      <c r="PQ2" t="s">
        <v>1736</v>
      </c>
      <c r="PR2" t="s">
        <v>1737</v>
      </c>
      <c r="PS2" t="s">
        <v>1739</v>
      </c>
      <c r="PT2" t="s">
        <v>1740</v>
      </c>
      <c r="PU2" t="s">
        <v>1741</v>
      </c>
      <c r="PV2" t="s">
        <v>1742</v>
      </c>
      <c r="PW2" t="s">
        <v>1743</v>
      </c>
      <c r="PX2" t="s">
        <v>1744</v>
      </c>
      <c r="PY2" t="s">
        <v>487</v>
      </c>
      <c r="PZ2" t="s">
        <v>1779</v>
      </c>
      <c r="QC2" t="s">
        <v>1736</v>
      </c>
      <c r="QD2" t="s">
        <v>1737</v>
      </c>
      <c r="QE2" t="s">
        <v>1739</v>
      </c>
      <c r="QF2" t="s">
        <v>1740</v>
      </c>
      <c r="QG2" t="s">
        <v>1741</v>
      </c>
      <c r="QH2" t="s">
        <v>1742</v>
      </c>
      <c r="QI2" t="s">
        <v>1743</v>
      </c>
      <c r="QJ2" t="s">
        <v>1744</v>
      </c>
      <c r="QK2" t="s">
        <v>487</v>
      </c>
      <c r="QL2" t="s">
        <v>1779</v>
      </c>
      <c r="QO2" t="s">
        <v>1736</v>
      </c>
      <c r="QP2" t="s">
        <v>1737</v>
      </c>
      <c r="QQ2" t="s">
        <v>1739</v>
      </c>
      <c r="QR2" t="s">
        <v>1740</v>
      </c>
      <c r="QS2" t="s">
        <v>1741</v>
      </c>
      <c r="QT2" t="s">
        <v>1742</v>
      </c>
      <c r="QU2" t="s">
        <v>1743</v>
      </c>
      <c r="QV2" t="s">
        <v>1744</v>
      </c>
      <c r="QW2" t="s">
        <v>487</v>
      </c>
      <c r="QX2" t="s">
        <v>1779</v>
      </c>
      <c r="RA2" t="s">
        <v>1736</v>
      </c>
      <c r="RB2" t="s">
        <v>1737</v>
      </c>
      <c r="RC2" t="s">
        <v>1739</v>
      </c>
      <c r="RD2" t="s">
        <v>1740</v>
      </c>
      <c r="RE2" t="s">
        <v>1741</v>
      </c>
      <c r="RF2" t="s">
        <v>1742</v>
      </c>
      <c r="RG2" t="s">
        <v>1743</v>
      </c>
      <c r="RH2" t="s">
        <v>1744</v>
      </c>
      <c r="RI2" t="s">
        <v>487</v>
      </c>
      <c r="RJ2" t="s">
        <v>1779</v>
      </c>
      <c r="RM2" t="s">
        <v>1736</v>
      </c>
      <c r="RN2" t="s">
        <v>1737</v>
      </c>
      <c r="RO2" t="s">
        <v>1739</v>
      </c>
      <c r="RP2" t="s">
        <v>1740</v>
      </c>
      <c r="RQ2" t="s">
        <v>1741</v>
      </c>
      <c r="RR2" t="s">
        <v>1742</v>
      </c>
      <c r="RS2" t="s">
        <v>1743</v>
      </c>
      <c r="RT2" t="s">
        <v>1744</v>
      </c>
      <c r="RU2" t="s">
        <v>487</v>
      </c>
      <c r="RV2" t="s">
        <v>1779</v>
      </c>
      <c r="RY2" t="s">
        <v>1736</v>
      </c>
      <c r="RZ2" t="s">
        <v>1737</v>
      </c>
      <c r="SA2" t="s">
        <v>1739</v>
      </c>
      <c r="SB2" t="s">
        <v>1740</v>
      </c>
      <c r="SC2" t="s">
        <v>1741</v>
      </c>
      <c r="SD2" t="s">
        <v>1742</v>
      </c>
      <c r="SE2" t="s">
        <v>1743</v>
      </c>
      <c r="SF2" t="s">
        <v>1744</v>
      </c>
      <c r="SG2" t="s">
        <v>487</v>
      </c>
      <c r="SH2" t="s">
        <v>1779</v>
      </c>
      <c r="SK2" t="s">
        <v>1736</v>
      </c>
      <c r="SL2" t="s">
        <v>1737</v>
      </c>
      <c r="SM2" t="s">
        <v>1739</v>
      </c>
      <c r="SN2" t="s">
        <v>1740</v>
      </c>
      <c r="SO2" t="s">
        <v>1741</v>
      </c>
      <c r="SP2" t="s">
        <v>1742</v>
      </c>
      <c r="SQ2" t="s">
        <v>1743</v>
      </c>
      <c r="SR2" t="s">
        <v>1744</v>
      </c>
      <c r="SS2" t="s">
        <v>487</v>
      </c>
      <c r="ST2" t="s">
        <v>1779</v>
      </c>
      <c r="SW2" t="s">
        <v>1736</v>
      </c>
      <c r="SX2" t="s">
        <v>1737</v>
      </c>
      <c r="SY2" t="s">
        <v>1739</v>
      </c>
      <c r="SZ2" t="s">
        <v>1740</v>
      </c>
      <c r="TA2" t="s">
        <v>1741</v>
      </c>
      <c r="TB2" t="s">
        <v>1742</v>
      </c>
      <c r="TC2" t="s">
        <v>1743</v>
      </c>
      <c r="TD2" t="s">
        <v>1744</v>
      </c>
      <c r="TE2" t="s">
        <v>487</v>
      </c>
      <c r="TF2" t="s">
        <v>1779</v>
      </c>
      <c r="TI2" t="s">
        <v>1736</v>
      </c>
      <c r="TJ2" t="s">
        <v>1737</v>
      </c>
      <c r="TK2" t="s">
        <v>1739</v>
      </c>
      <c r="TL2" t="s">
        <v>1740</v>
      </c>
      <c r="TM2" t="s">
        <v>1741</v>
      </c>
      <c r="TN2" t="s">
        <v>1742</v>
      </c>
      <c r="TO2" t="s">
        <v>1743</v>
      </c>
      <c r="TP2" t="s">
        <v>1744</v>
      </c>
      <c r="TQ2" t="s">
        <v>487</v>
      </c>
      <c r="TR2" t="s">
        <v>1779</v>
      </c>
      <c r="TU2" t="s">
        <v>1736</v>
      </c>
      <c r="TV2" t="s">
        <v>1737</v>
      </c>
      <c r="TW2" t="s">
        <v>1739</v>
      </c>
      <c r="TX2" t="s">
        <v>1740</v>
      </c>
      <c r="TY2" t="s">
        <v>1741</v>
      </c>
      <c r="TZ2" t="s">
        <v>1742</v>
      </c>
      <c r="UA2" t="s">
        <v>1743</v>
      </c>
      <c r="UB2" t="s">
        <v>1744</v>
      </c>
      <c r="UC2" t="s">
        <v>487</v>
      </c>
      <c r="UD2" t="s">
        <v>1779</v>
      </c>
      <c r="UG2" t="s">
        <v>1736</v>
      </c>
      <c r="UH2" t="s">
        <v>1737</v>
      </c>
      <c r="UI2" t="s">
        <v>1739</v>
      </c>
      <c r="UJ2" t="s">
        <v>1740</v>
      </c>
      <c r="UK2" t="s">
        <v>1741</v>
      </c>
      <c r="UL2" t="s">
        <v>1742</v>
      </c>
      <c r="UM2" t="s">
        <v>1743</v>
      </c>
      <c r="UN2" t="s">
        <v>1744</v>
      </c>
      <c r="UO2" t="s">
        <v>487</v>
      </c>
      <c r="UP2" t="s">
        <v>1779</v>
      </c>
      <c r="US2" t="s">
        <v>1736</v>
      </c>
      <c r="UT2" t="s">
        <v>1737</v>
      </c>
      <c r="UU2" t="s">
        <v>1739</v>
      </c>
      <c r="UV2" t="s">
        <v>1740</v>
      </c>
      <c r="UW2" t="s">
        <v>1741</v>
      </c>
      <c r="UX2" t="s">
        <v>1742</v>
      </c>
      <c r="UY2" t="s">
        <v>1743</v>
      </c>
      <c r="UZ2" t="s">
        <v>1744</v>
      </c>
      <c r="VA2" t="s">
        <v>487</v>
      </c>
      <c r="VB2" t="s">
        <v>1779</v>
      </c>
      <c r="VE2" t="s">
        <v>1736</v>
      </c>
      <c r="VF2" t="s">
        <v>1737</v>
      </c>
      <c r="VG2" t="s">
        <v>1739</v>
      </c>
      <c r="VH2" t="s">
        <v>1740</v>
      </c>
      <c r="VI2" t="s">
        <v>1741</v>
      </c>
      <c r="VJ2" t="s">
        <v>1742</v>
      </c>
      <c r="VK2" t="s">
        <v>1743</v>
      </c>
      <c r="VL2" t="s">
        <v>1744</v>
      </c>
      <c r="VM2" t="s">
        <v>487</v>
      </c>
      <c r="VN2" t="s">
        <v>1779</v>
      </c>
      <c r="VQ2" t="s">
        <v>1736</v>
      </c>
      <c r="VR2" t="s">
        <v>1737</v>
      </c>
      <c r="VS2" t="s">
        <v>1739</v>
      </c>
      <c r="VT2" t="s">
        <v>1740</v>
      </c>
      <c r="VU2" t="s">
        <v>1741</v>
      </c>
      <c r="VV2" t="s">
        <v>1742</v>
      </c>
      <c r="VW2" t="s">
        <v>1743</v>
      </c>
      <c r="VX2" t="s">
        <v>1744</v>
      </c>
      <c r="VY2" t="s">
        <v>487</v>
      </c>
      <c r="VZ2" t="s">
        <v>1779</v>
      </c>
      <c r="WC2" t="s">
        <v>1736</v>
      </c>
      <c r="WD2" t="s">
        <v>1737</v>
      </c>
      <c r="WE2" t="s">
        <v>1739</v>
      </c>
      <c r="WF2" t="s">
        <v>1740</v>
      </c>
      <c r="WG2" t="s">
        <v>1741</v>
      </c>
      <c r="WH2" t="s">
        <v>1742</v>
      </c>
      <c r="WI2" t="s">
        <v>1743</v>
      </c>
      <c r="WJ2" t="s">
        <v>1744</v>
      </c>
      <c r="WK2" t="s">
        <v>487</v>
      </c>
      <c r="WL2" t="s">
        <v>1779</v>
      </c>
      <c r="WO2" t="s">
        <v>1736</v>
      </c>
      <c r="WP2" t="s">
        <v>1737</v>
      </c>
      <c r="WQ2" t="s">
        <v>1739</v>
      </c>
      <c r="WR2" t="s">
        <v>1740</v>
      </c>
      <c r="WS2" t="s">
        <v>1741</v>
      </c>
      <c r="WT2" t="s">
        <v>1742</v>
      </c>
      <c r="WU2" t="s">
        <v>1743</v>
      </c>
      <c r="WV2" t="s">
        <v>1744</v>
      </c>
      <c r="WW2" t="s">
        <v>487</v>
      </c>
      <c r="WX2" t="s">
        <v>1779</v>
      </c>
      <c r="XA2" t="s">
        <v>1736</v>
      </c>
      <c r="XB2" t="s">
        <v>1737</v>
      </c>
      <c r="XC2" t="s">
        <v>1739</v>
      </c>
      <c r="XD2" t="s">
        <v>1740</v>
      </c>
      <c r="XE2" t="s">
        <v>1741</v>
      </c>
      <c r="XF2" t="s">
        <v>1742</v>
      </c>
      <c r="XG2" t="s">
        <v>1743</v>
      </c>
      <c r="XH2" t="s">
        <v>1744</v>
      </c>
      <c r="XI2" t="s">
        <v>487</v>
      </c>
      <c r="XJ2" t="s">
        <v>1779</v>
      </c>
      <c r="XM2" t="s">
        <v>1736</v>
      </c>
      <c r="XN2" t="s">
        <v>1737</v>
      </c>
      <c r="XO2" t="s">
        <v>1739</v>
      </c>
      <c r="XP2" t="s">
        <v>1740</v>
      </c>
      <c r="XQ2" t="s">
        <v>1741</v>
      </c>
      <c r="XR2" t="s">
        <v>1742</v>
      </c>
      <c r="XS2" t="s">
        <v>1743</v>
      </c>
      <c r="XT2" t="s">
        <v>1744</v>
      </c>
      <c r="XU2" t="s">
        <v>487</v>
      </c>
      <c r="XV2" t="s">
        <v>1779</v>
      </c>
      <c r="XY2" t="s">
        <v>1736</v>
      </c>
      <c r="XZ2" t="s">
        <v>1737</v>
      </c>
      <c r="YA2" t="s">
        <v>1739</v>
      </c>
      <c r="YB2" t="s">
        <v>1740</v>
      </c>
      <c r="YC2" t="s">
        <v>1741</v>
      </c>
      <c r="YD2" t="s">
        <v>1742</v>
      </c>
      <c r="YE2" t="s">
        <v>1743</v>
      </c>
      <c r="YF2" t="s">
        <v>1744</v>
      </c>
      <c r="YG2" t="s">
        <v>487</v>
      </c>
      <c r="YH2" t="s">
        <v>1779</v>
      </c>
      <c r="YK2" t="s">
        <v>1736</v>
      </c>
      <c r="YL2" t="s">
        <v>1737</v>
      </c>
      <c r="YM2" t="s">
        <v>1739</v>
      </c>
      <c r="YN2" t="s">
        <v>1740</v>
      </c>
      <c r="YO2" t="s">
        <v>1741</v>
      </c>
      <c r="YP2" t="s">
        <v>1742</v>
      </c>
      <c r="YQ2" t="s">
        <v>1743</v>
      </c>
      <c r="YR2" t="s">
        <v>1744</v>
      </c>
      <c r="YS2" t="s">
        <v>487</v>
      </c>
      <c r="YT2" t="s">
        <v>1779</v>
      </c>
      <c r="YW2" t="s">
        <v>1736</v>
      </c>
      <c r="YX2" t="s">
        <v>1737</v>
      </c>
      <c r="YY2" t="s">
        <v>1739</v>
      </c>
      <c r="YZ2" t="s">
        <v>1740</v>
      </c>
      <c r="ZA2" t="s">
        <v>1741</v>
      </c>
      <c r="ZB2" t="s">
        <v>1742</v>
      </c>
      <c r="ZC2" t="s">
        <v>1743</v>
      </c>
      <c r="ZD2" t="s">
        <v>1744</v>
      </c>
      <c r="ZE2" t="s">
        <v>487</v>
      </c>
      <c r="ZF2" t="s">
        <v>1779</v>
      </c>
      <c r="ZI2" t="s">
        <v>1736</v>
      </c>
      <c r="ZJ2" t="s">
        <v>1737</v>
      </c>
      <c r="ZK2" t="s">
        <v>1739</v>
      </c>
      <c r="ZL2" t="s">
        <v>1740</v>
      </c>
      <c r="ZM2" t="s">
        <v>1741</v>
      </c>
      <c r="ZN2" t="s">
        <v>1742</v>
      </c>
      <c r="ZO2" t="s">
        <v>1743</v>
      </c>
      <c r="ZP2" t="s">
        <v>1744</v>
      </c>
      <c r="ZQ2" t="s">
        <v>487</v>
      </c>
      <c r="ZR2" t="s">
        <v>1779</v>
      </c>
      <c r="ZU2" t="s">
        <v>1736</v>
      </c>
      <c r="ZV2" t="s">
        <v>1737</v>
      </c>
      <c r="ZW2" t="s">
        <v>1739</v>
      </c>
      <c r="ZX2" t="s">
        <v>1740</v>
      </c>
      <c r="ZY2" t="s">
        <v>1741</v>
      </c>
      <c r="ZZ2" t="s">
        <v>1742</v>
      </c>
      <c r="AAA2" t="s">
        <v>1743</v>
      </c>
      <c r="AAB2" t="s">
        <v>1744</v>
      </c>
      <c r="AAC2" t="s">
        <v>487</v>
      </c>
      <c r="AAD2" t="s">
        <v>1779</v>
      </c>
      <c r="AAG2" t="s">
        <v>1736</v>
      </c>
      <c r="AAH2" t="s">
        <v>1737</v>
      </c>
      <c r="AAI2" t="s">
        <v>1739</v>
      </c>
      <c r="AAJ2" t="s">
        <v>1740</v>
      </c>
      <c r="AAK2" t="s">
        <v>1741</v>
      </c>
      <c r="AAL2" t="s">
        <v>1742</v>
      </c>
      <c r="AAM2" t="s">
        <v>1743</v>
      </c>
      <c r="AAN2" t="s">
        <v>1744</v>
      </c>
      <c r="AAO2" t="s">
        <v>487</v>
      </c>
      <c r="AAP2" t="s">
        <v>1779</v>
      </c>
      <c r="AAS2" t="s">
        <v>1736</v>
      </c>
      <c r="AAT2" t="s">
        <v>1737</v>
      </c>
      <c r="AAU2" t="s">
        <v>1739</v>
      </c>
      <c r="AAV2" t="s">
        <v>1740</v>
      </c>
      <c r="AAW2" t="s">
        <v>1741</v>
      </c>
      <c r="AAX2" t="s">
        <v>1742</v>
      </c>
      <c r="AAY2" t="s">
        <v>1743</v>
      </c>
      <c r="AAZ2" t="s">
        <v>1744</v>
      </c>
      <c r="ABA2" t="s">
        <v>487</v>
      </c>
      <c r="ABB2" t="s">
        <v>1779</v>
      </c>
      <c r="ABE2" t="s">
        <v>1736</v>
      </c>
      <c r="ABF2" t="s">
        <v>1737</v>
      </c>
      <c r="ABG2" t="s">
        <v>1739</v>
      </c>
      <c r="ABH2" t="s">
        <v>1740</v>
      </c>
      <c r="ABI2" t="s">
        <v>1741</v>
      </c>
      <c r="ABJ2" t="s">
        <v>1742</v>
      </c>
      <c r="ABK2" t="s">
        <v>1743</v>
      </c>
      <c r="ABL2" t="s">
        <v>1744</v>
      </c>
      <c r="ABM2" t="s">
        <v>487</v>
      </c>
      <c r="ABN2" t="s">
        <v>1779</v>
      </c>
      <c r="ABQ2" t="s">
        <v>1736</v>
      </c>
      <c r="ABR2" t="s">
        <v>1737</v>
      </c>
      <c r="ABS2" t="s">
        <v>1739</v>
      </c>
      <c r="ABT2" t="s">
        <v>1740</v>
      </c>
      <c r="ABU2" t="s">
        <v>1741</v>
      </c>
      <c r="ABV2" t="s">
        <v>1742</v>
      </c>
      <c r="ABW2" t="s">
        <v>1743</v>
      </c>
      <c r="ABX2" t="s">
        <v>1744</v>
      </c>
      <c r="ABY2" t="s">
        <v>487</v>
      </c>
      <c r="ABZ2" t="s">
        <v>1779</v>
      </c>
      <c r="ACC2" t="s">
        <v>1736</v>
      </c>
      <c r="ACD2" t="s">
        <v>1737</v>
      </c>
      <c r="ACE2" t="s">
        <v>1739</v>
      </c>
      <c r="ACF2" t="s">
        <v>1740</v>
      </c>
      <c r="ACG2" t="s">
        <v>1741</v>
      </c>
      <c r="ACH2" t="s">
        <v>1742</v>
      </c>
      <c r="ACI2" t="s">
        <v>1743</v>
      </c>
      <c r="ACJ2" t="s">
        <v>1744</v>
      </c>
      <c r="ACK2" t="s">
        <v>487</v>
      </c>
      <c r="ACL2" t="s">
        <v>1779</v>
      </c>
      <c r="ACO2" t="s">
        <v>1736</v>
      </c>
      <c r="ACP2" t="s">
        <v>1737</v>
      </c>
      <c r="ACQ2" t="s">
        <v>1739</v>
      </c>
      <c r="ACR2" t="s">
        <v>1740</v>
      </c>
      <c r="ACS2" t="s">
        <v>1741</v>
      </c>
      <c r="ACT2" t="s">
        <v>1742</v>
      </c>
      <c r="ACU2" t="s">
        <v>1743</v>
      </c>
      <c r="ACV2" t="s">
        <v>1744</v>
      </c>
      <c r="ACW2" t="s">
        <v>487</v>
      </c>
      <c r="ACX2" t="s">
        <v>1779</v>
      </c>
      <c r="ADA2" t="s">
        <v>1736</v>
      </c>
      <c r="ADB2" t="s">
        <v>1737</v>
      </c>
      <c r="ADC2" t="s">
        <v>1739</v>
      </c>
      <c r="ADD2" t="s">
        <v>1740</v>
      </c>
      <c r="ADE2" t="s">
        <v>1741</v>
      </c>
      <c r="ADF2" t="s">
        <v>1742</v>
      </c>
      <c r="ADG2" t="s">
        <v>1743</v>
      </c>
      <c r="ADH2" t="s">
        <v>1744</v>
      </c>
      <c r="ADI2" t="s">
        <v>487</v>
      </c>
      <c r="ADJ2" t="s">
        <v>1779</v>
      </c>
      <c r="ADM2" t="s">
        <v>1736</v>
      </c>
      <c r="ADN2" t="s">
        <v>1737</v>
      </c>
      <c r="ADO2" t="s">
        <v>1739</v>
      </c>
      <c r="ADP2" t="s">
        <v>1740</v>
      </c>
      <c r="ADQ2" t="s">
        <v>1741</v>
      </c>
      <c r="ADR2" t="s">
        <v>1742</v>
      </c>
      <c r="ADS2" t="s">
        <v>1743</v>
      </c>
      <c r="ADT2" t="s">
        <v>1744</v>
      </c>
      <c r="ADU2" t="s">
        <v>487</v>
      </c>
      <c r="ADV2" t="s">
        <v>1779</v>
      </c>
      <c r="ADY2" t="s">
        <v>1736</v>
      </c>
      <c r="ADZ2" t="s">
        <v>1737</v>
      </c>
      <c r="AEA2" t="s">
        <v>1739</v>
      </c>
      <c r="AEB2" t="s">
        <v>1740</v>
      </c>
      <c r="AEC2" t="s">
        <v>1741</v>
      </c>
      <c r="AED2" t="s">
        <v>1742</v>
      </c>
      <c r="AEE2" t="s">
        <v>1743</v>
      </c>
      <c r="AEF2" t="s">
        <v>1744</v>
      </c>
      <c r="AEG2" t="s">
        <v>487</v>
      </c>
      <c r="AEH2" t="s">
        <v>1779</v>
      </c>
      <c r="AEK2" t="s">
        <v>1736</v>
      </c>
      <c r="AEL2" t="s">
        <v>1737</v>
      </c>
      <c r="AEM2" t="s">
        <v>1739</v>
      </c>
      <c r="AEN2" t="s">
        <v>1740</v>
      </c>
      <c r="AEO2" t="s">
        <v>1741</v>
      </c>
      <c r="AEP2" t="s">
        <v>1742</v>
      </c>
      <c r="AEQ2" t="s">
        <v>1743</v>
      </c>
      <c r="AER2" t="s">
        <v>1744</v>
      </c>
      <c r="AES2" t="s">
        <v>487</v>
      </c>
      <c r="AET2" t="s">
        <v>1779</v>
      </c>
      <c r="AEW2" t="s">
        <v>1736</v>
      </c>
      <c r="AEX2" t="s">
        <v>1737</v>
      </c>
      <c r="AEY2" t="s">
        <v>1739</v>
      </c>
      <c r="AEZ2" t="s">
        <v>1740</v>
      </c>
      <c r="AFA2" t="s">
        <v>1741</v>
      </c>
      <c r="AFB2" t="s">
        <v>1742</v>
      </c>
      <c r="AFC2" t="s">
        <v>1743</v>
      </c>
      <c r="AFD2" t="s">
        <v>1744</v>
      </c>
      <c r="AFE2" t="s">
        <v>487</v>
      </c>
      <c r="AFF2" t="s">
        <v>1779</v>
      </c>
      <c r="AFI2" t="s">
        <v>1736</v>
      </c>
      <c r="AFJ2" t="s">
        <v>1737</v>
      </c>
      <c r="AFK2" t="s">
        <v>1739</v>
      </c>
      <c r="AFL2" t="s">
        <v>1740</v>
      </c>
      <c r="AFM2" t="s">
        <v>1741</v>
      </c>
      <c r="AFN2" t="s">
        <v>1742</v>
      </c>
      <c r="AFO2" t="s">
        <v>1743</v>
      </c>
      <c r="AFP2" t="s">
        <v>1744</v>
      </c>
      <c r="AFQ2" t="s">
        <v>487</v>
      </c>
      <c r="AFR2" t="s">
        <v>1779</v>
      </c>
      <c r="AFU2" t="s">
        <v>1736</v>
      </c>
      <c r="AFV2" t="s">
        <v>1737</v>
      </c>
      <c r="AFW2" t="s">
        <v>1739</v>
      </c>
      <c r="AFX2" t="s">
        <v>1740</v>
      </c>
      <c r="AFY2" t="s">
        <v>1741</v>
      </c>
      <c r="AFZ2" t="s">
        <v>1742</v>
      </c>
      <c r="AGA2" t="s">
        <v>1743</v>
      </c>
      <c r="AGB2" t="s">
        <v>1744</v>
      </c>
      <c r="AGC2" t="s">
        <v>487</v>
      </c>
      <c r="AGD2" t="s">
        <v>1779</v>
      </c>
      <c r="AGG2" t="s">
        <v>1736</v>
      </c>
      <c r="AGH2" t="s">
        <v>1737</v>
      </c>
      <c r="AGI2" t="s">
        <v>1739</v>
      </c>
      <c r="AGJ2" t="s">
        <v>1740</v>
      </c>
      <c r="AGK2" t="s">
        <v>1741</v>
      </c>
      <c r="AGL2" t="s">
        <v>1742</v>
      </c>
      <c r="AGM2" t="s">
        <v>1743</v>
      </c>
      <c r="AGN2" t="s">
        <v>1744</v>
      </c>
      <c r="AGO2" t="s">
        <v>487</v>
      </c>
      <c r="AGP2" t="s">
        <v>1779</v>
      </c>
      <c r="AGS2" t="s">
        <v>1736</v>
      </c>
      <c r="AGT2" t="s">
        <v>1737</v>
      </c>
      <c r="AGU2" t="s">
        <v>1739</v>
      </c>
      <c r="AGV2" t="s">
        <v>1740</v>
      </c>
      <c r="AGW2" t="s">
        <v>1741</v>
      </c>
      <c r="AGX2" t="s">
        <v>1742</v>
      </c>
      <c r="AGY2" t="s">
        <v>1743</v>
      </c>
      <c r="AGZ2" t="s">
        <v>1744</v>
      </c>
      <c r="AHA2" t="s">
        <v>487</v>
      </c>
      <c r="AHB2" t="s">
        <v>1779</v>
      </c>
      <c r="AHE2" t="s">
        <v>1736</v>
      </c>
      <c r="AHF2" t="s">
        <v>1737</v>
      </c>
      <c r="AHG2" t="s">
        <v>1739</v>
      </c>
      <c r="AHH2" t="s">
        <v>1740</v>
      </c>
      <c r="AHI2" t="s">
        <v>1741</v>
      </c>
      <c r="AHJ2" t="s">
        <v>1742</v>
      </c>
      <c r="AHK2" t="s">
        <v>1743</v>
      </c>
      <c r="AHL2" t="s">
        <v>1744</v>
      </c>
      <c r="AHM2" t="s">
        <v>487</v>
      </c>
      <c r="AHN2" t="s">
        <v>1779</v>
      </c>
      <c r="AHQ2" t="s">
        <v>1736</v>
      </c>
      <c r="AHR2" t="s">
        <v>1737</v>
      </c>
      <c r="AHS2" t="s">
        <v>1739</v>
      </c>
      <c r="AHT2" t="s">
        <v>1740</v>
      </c>
      <c r="AHU2" t="s">
        <v>1741</v>
      </c>
      <c r="AHV2" t="s">
        <v>1742</v>
      </c>
      <c r="AHW2" t="s">
        <v>1743</v>
      </c>
      <c r="AHX2" t="s">
        <v>1744</v>
      </c>
      <c r="AHY2" t="s">
        <v>487</v>
      </c>
      <c r="AHZ2" t="s">
        <v>1779</v>
      </c>
      <c r="AIC2" t="s">
        <v>1736</v>
      </c>
      <c r="AID2" t="s">
        <v>1737</v>
      </c>
      <c r="AIE2" t="s">
        <v>1739</v>
      </c>
      <c r="AIF2" t="s">
        <v>1740</v>
      </c>
      <c r="AIG2" t="s">
        <v>1741</v>
      </c>
      <c r="AIH2" t="s">
        <v>1742</v>
      </c>
      <c r="AII2" t="s">
        <v>1743</v>
      </c>
      <c r="AIJ2" t="s">
        <v>1744</v>
      </c>
      <c r="AIK2" t="s">
        <v>487</v>
      </c>
      <c r="AIL2" t="s">
        <v>1779</v>
      </c>
      <c r="AIO2" t="s">
        <v>1736</v>
      </c>
      <c r="AIP2" t="s">
        <v>1737</v>
      </c>
      <c r="AIQ2" t="s">
        <v>1739</v>
      </c>
      <c r="AIR2" t="s">
        <v>1740</v>
      </c>
      <c r="AIS2" t="s">
        <v>1741</v>
      </c>
      <c r="AIT2" t="s">
        <v>1742</v>
      </c>
      <c r="AIU2" t="s">
        <v>1743</v>
      </c>
      <c r="AIV2" t="s">
        <v>1744</v>
      </c>
      <c r="AIW2" t="s">
        <v>487</v>
      </c>
      <c r="AIX2" t="s">
        <v>1779</v>
      </c>
      <c r="AJA2" t="s">
        <v>1736</v>
      </c>
      <c r="AJB2" t="s">
        <v>1737</v>
      </c>
      <c r="AJC2" t="s">
        <v>1739</v>
      </c>
      <c r="AJD2" t="s">
        <v>1740</v>
      </c>
      <c r="AJE2" t="s">
        <v>1741</v>
      </c>
      <c r="AJF2" t="s">
        <v>1742</v>
      </c>
      <c r="AJG2" t="s">
        <v>1743</v>
      </c>
      <c r="AJH2" t="s">
        <v>1744</v>
      </c>
      <c r="AJI2" t="s">
        <v>487</v>
      </c>
      <c r="AJJ2" t="s">
        <v>1779</v>
      </c>
      <c r="AJM2" t="s">
        <v>1736</v>
      </c>
      <c r="AJN2" t="s">
        <v>1737</v>
      </c>
      <c r="AJO2" t="s">
        <v>1739</v>
      </c>
      <c r="AJP2" t="s">
        <v>1740</v>
      </c>
      <c r="AJQ2" t="s">
        <v>1741</v>
      </c>
      <c r="AJR2" t="s">
        <v>1742</v>
      </c>
      <c r="AJS2" t="s">
        <v>1743</v>
      </c>
      <c r="AJT2" t="s">
        <v>1744</v>
      </c>
      <c r="AJU2" t="s">
        <v>487</v>
      </c>
      <c r="AJV2" t="s">
        <v>1779</v>
      </c>
      <c r="AJY2" t="s">
        <v>1736</v>
      </c>
      <c r="AJZ2" t="s">
        <v>1737</v>
      </c>
      <c r="AKA2" t="s">
        <v>1739</v>
      </c>
      <c r="AKB2" t="s">
        <v>1740</v>
      </c>
      <c r="AKC2" t="s">
        <v>1741</v>
      </c>
      <c r="AKD2" t="s">
        <v>1742</v>
      </c>
      <c r="AKE2" t="s">
        <v>1743</v>
      </c>
      <c r="AKF2" t="s">
        <v>1744</v>
      </c>
      <c r="AKG2" t="s">
        <v>487</v>
      </c>
      <c r="AKH2" t="s">
        <v>1779</v>
      </c>
      <c r="AKK2" t="s">
        <v>1736</v>
      </c>
      <c r="AKL2" t="s">
        <v>1737</v>
      </c>
      <c r="AKM2" t="s">
        <v>1739</v>
      </c>
      <c r="AKN2" t="s">
        <v>1740</v>
      </c>
      <c r="AKO2" t="s">
        <v>1741</v>
      </c>
      <c r="AKP2" t="s">
        <v>1742</v>
      </c>
      <c r="AKQ2" t="s">
        <v>1743</v>
      </c>
      <c r="AKR2" t="s">
        <v>1744</v>
      </c>
      <c r="AKS2" t="s">
        <v>487</v>
      </c>
      <c r="AKT2" t="s">
        <v>1779</v>
      </c>
      <c r="AKW2" t="s">
        <v>1736</v>
      </c>
      <c r="AKX2" t="s">
        <v>1737</v>
      </c>
      <c r="AKY2" t="s">
        <v>1739</v>
      </c>
      <c r="AKZ2" t="s">
        <v>1740</v>
      </c>
      <c r="ALA2" t="s">
        <v>1741</v>
      </c>
      <c r="ALB2" t="s">
        <v>1742</v>
      </c>
      <c r="ALC2" t="s">
        <v>1743</v>
      </c>
      <c r="ALD2" t="s">
        <v>1744</v>
      </c>
      <c r="ALE2" t="s">
        <v>487</v>
      </c>
      <c r="ALF2" t="s">
        <v>1779</v>
      </c>
      <c r="ALI2" t="s">
        <v>1736</v>
      </c>
      <c r="ALJ2" t="s">
        <v>1737</v>
      </c>
      <c r="ALK2" t="s">
        <v>1739</v>
      </c>
      <c r="ALL2" t="s">
        <v>1740</v>
      </c>
      <c r="ALM2" t="s">
        <v>1741</v>
      </c>
      <c r="ALN2" t="s">
        <v>1742</v>
      </c>
      <c r="ALO2" t="s">
        <v>1743</v>
      </c>
      <c r="ALP2" t="s">
        <v>1744</v>
      </c>
      <c r="ALQ2" t="s">
        <v>487</v>
      </c>
      <c r="ALR2" t="s">
        <v>1779</v>
      </c>
      <c r="ALU2" t="s">
        <v>1736</v>
      </c>
      <c r="ALV2" t="s">
        <v>1737</v>
      </c>
      <c r="ALW2" t="s">
        <v>1739</v>
      </c>
      <c r="ALX2" t="s">
        <v>1740</v>
      </c>
      <c r="ALY2" t="s">
        <v>1741</v>
      </c>
      <c r="ALZ2" t="s">
        <v>1742</v>
      </c>
      <c r="AMA2" t="s">
        <v>1743</v>
      </c>
      <c r="AMB2" t="s">
        <v>1744</v>
      </c>
      <c r="AMC2" t="s">
        <v>487</v>
      </c>
      <c r="AMD2" t="s">
        <v>1779</v>
      </c>
      <c r="AMG2" t="s">
        <v>1736</v>
      </c>
      <c r="AMH2" t="s">
        <v>1737</v>
      </c>
      <c r="AMI2" t="s">
        <v>1739</v>
      </c>
      <c r="AMJ2" t="s">
        <v>1740</v>
      </c>
      <c r="AMK2" t="s">
        <v>1741</v>
      </c>
      <c r="AML2" t="s">
        <v>1742</v>
      </c>
      <c r="AMM2" t="s">
        <v>1743</v>
      </c>
      <c r="AMN2" t="s">
        <v>1744</v>
      </c>
      <c r="AMO2" t="s">
        <v>487</v>
      </c>
      <c r="AMP2" t="s">
        <v>1779</v>
      </c>
      <c r="AMS2" t="s">
        <v>1736</v>
      </c>
      <c r="AMT2" t="s">
        <v>1737</v>
      </c>
      <c r="AMU2" t="s">
        <v>1739</v>
      </c>
      <c r="AMV2" t="s">
        <v>1740</v>
      </c>
      <c r="AMW2" t="s">
        <v>1741</v>
      </c>
      <c r="AMX2" t="s">
        <v>1742</v>
      </c>
      <c r="AMY2" t="s">
        <v>1743</v>
      </c>
      <c r="AMZ2" t="s">
        <v>1744</v>
      </c>
      <c r="ANA2" t="s">
        <v>487</v>
      </c>
      <c r="ANB2" t="s">
        <v>1779</v>
      </c>
      <c r="ANE2" t="s">
        <v>1736</v>
      </c>
      <c r="ANF2" t="s">
        <v>1737</v>
      </c>
      <c r="ANG2" t="s">
        <v>1739</v>
      </c>
      <c r="ANH2" t="s">
        <v>1740</v>
      </c>
      <c r="ANI2" t="s">
        <v>1741</v>
      </c>
      <c r="ANJ2" t="s">
        <v>1742</v>
      </c>
      <c r="ANK2" t="s">
        <v>1743</v>
      </c>
      <c r="ANL2" t="s">
        <v>1744</v>
      </c>
      <c r="ANM2" t="s">
        <v>487</v>
      </c>
      <c r="ANN2" t="s">
        <v>1779</v>
      </c>
      <c r="ANQ2" t="s">
        <v>1736</v>
      </c>
      <c r="ANR2" t="s">
        <v>1737</v>
      </c>
      <c r="ANS2" t="s">
        <v>1739</v>
      </c>
      <c r="ANT2" t="s">
        <v>1740</v>
      </c>
      <c r="ANU2" t="s">
        <v>1741</v>
      </c>
      <c r="ANV2" t="s">
        <v>1742</v>
      </c>
      <c r="ANW2" t="s">
        <v>1743</v>
      </c>
      <c r="ANX2" t="s">
        <v>1744</v>
      </c>
      <c r="ANY2" t="s">
        <v>487</v>
      </c>
      <c r="ANZ2" t="s">
        <v>1779</v>
      </c>
      <c r="AOC2" t="s">
        <v>1736</v>
      </c>
      <c r="AOD2" t="s">
        <v>1737</v>
      </c>
      <c r="AOE2" t="s">
        <v>1739</v>
      </c>
      <c r="AOF2" t="s">
        <v>1740</v>
      </c>
      <c r="AOG2" t="s">
        <v>1741</v>
      </c>
      <c r="AOH2" t="s">
        <v>1742</v>
      </c>
      <c r="AOI2" t="s">
        <v>1743</v>
      </c>
      <c r="AOJ2" t="s">
        <v>1744</v>
      </c>
      <c r="AOK2" t="s">
        <v>487</v>
      </c>
      <c r="AOL2" t="s">
        <v>1779</v>
      </c>
      <c r="AOO2" t="s">
        <v>1736</v>
      </c>
      <c r="AOP2" t="s">
        <v>1737</v>
      </c>
      <c r="AOQ2" t="s">
        <v>1739</v>
      </c>
      <c r="AOR2" t="s">
        <v>1740</v>
      </c>
      <c r="AOS2" t="s">
        <v>1741</v>
      </c>
      <c r="AOT2" t="s">
        <v>1742</v>
      </c>
      <c r="AOU2" t="s">
        <v>1743</v>
      </c>
      <c r="AOV2" t="s">
        <v>1744</v>
      </c>
      <c r="AOW2" t="s">
        <v>487</v>
      </c>
      <c r="AOX2" t="s">
        <v>1779</v>
      </c>
      <c r="APA2" t="s">
        <v>1736</v>
      </c>
      <c r="APB2" t="s">
        <v>1737</v>
      </c>
      <c r="APC2" t="s">
        <v>1739</v>
      </c>
      <c r="APD2" t="s">
        <v>1740</v>
      </c>
      <c r="APE2" t="s">
        <v>1741</v>
      </c>
      <c r="APF2" t="s">
        <v>1742</v>
      </c>
      <c r="APG2" t="s">
        <v>1743</v>
      </c>
      <c r="APH2" t="s">
        <v>1744</v>
      </c>
      <c r="API2" t="s">
        <v>487</v>
      </c>
      <c r="APJ2" t="s">
        <v>1779</v>
      </c>
      <c r="APM2" t="s">
        <v>1736</v>
      </c>
      <c r="APN2" t="s">
        <v>1737</v>
      </c>
      <c r="APO2" t="s">
        <v>1739</v>
      </c>
      <c r="APP2" t="s">
        <v>1740</v>
      </c>
      <c r="APQ2" t="s">
        <v>1741</v>
      </c>
      <c r="APR2" t="s">
        <v>1742</v>
      </c>
      <c r="APS2" t="s">
        <v>1743</v>
      </c>
      <c r="APT2" t="s">
        <v>1744</v>
      </c>
      <c r="APU2" t="s">
        <v>487</v>
      </c>
      <c r="APV2" t="s">
        <v>1779</v>
      </c>
      <c r="APY2" t="s">
        <v>1736</v>
      </c>
      <c r="APZ2" t="s">
        <v>1737</v>
      </c>
      <c r="AQA2" t="s">
        <v>1739</v>
      </c>
      <c r="AQB2" t="s">
        <v>1740</v>
      </c>
      <c r="AQC2" t="s">
        <v>1741</v>
      </c>
      <c r="AQD2" t="s">
        <v>1742</v>
      </c>
      <c r="AQE2" t="s">
        <v>1743</v>
      </c>
      <c r="AQF2" t="s">
        <v>1744</v>
      </c>
      <c r="AQG2" t="s">
        <v>487</v>
      </c>
      <c r="AQH2" t="s">
        <v>1779</v>
      </c>
      <c r="AQK2" t="s">
        <v>1736</v>
      </c>
      <c r="AQL2" t="s">
        <v>1737</v>
      </c>
      <c r="AQM2" t="s">
        <v>1739</v>
      </c>
      <c r="AQN2" t="s">
        <v>1740</v>
      </c>
      <c r="AQO2" t="s">
        <v>1741</v>
      </c>
      <c r="AQP2" t="s">
        <v>1742</v>
      </c>
      <c r="AQQ2" t="s">
        <v>1743</v>
      </c>
      <c r="AQR2" t="s">
        <v>1744</v>
      </c>
      <c r="AQS2" t="s">
        <v>487</v>
      </c>
      <c r="AQT2" t="s">
        <v>1779</v>
      </c>
      <c r="AQW2" t="s">
        <v>1736</v>
      </c>
      <c r="AQX2" t="s">
        <v>1737</v>
      </c>
      <c r="AQY2" t="s">
        <v>1739</v>
      </c>
      <c r="AQZ2" t="s">
        <v>1740</v>
      </c>
      <c r="ARA2" t="s">
        <v>1741</v>
      </c>
      <c r="ARB2" t="s">
        <v>1742</v>
      </c>
      <c r="ARC2" t="s">
        <v>1743</v>
      </c>
      <c r="ARD2" t="s">
        <v>1744</v>
      </c>
      <c r="ARE2" t="s">
        <v>487</v>
      </c>
      <c r="ARF2" t="s">
        <v>1779</v>
      </c>
      <c r="ARI2" t="s">
        <v>1736</v>
      </c>
      <c r="ARJ2" t="s">
        <v>1737</v>
      </c>
      <c r="ARK2" t="s">
        <v>1739</v>
      </c>
      <c r="ARL2" t="s">
        <v>1740</v>
      </c>
      <c r="ARM2" t="s">
        <v>1741</v>
      </c>
      <c r="ARN2" t="s">
        <v>1742</v>
      </c>
      <c r="ARO2" t="s">
        <v>1743</v>
      </c>
      <c r="ARP2" t="s">
        <v>1744</v>
      </c>
      <c r="ARQ2" t="s">
        <v>487</v>
      </c>
      <c r="ARR2" t="s">
        <v>1779</v>
      </c>
      <c r="ARU2" t="s">
        <v>1736</v>
      </c>
      <c r="ARV2" t="s">
        <v>1737</v>
      </c>
      <c r="ARW2" t="s">
        <v>1739</v>
      </c>
      <c r="ARX2" t="s">
        <v>1740</v>
      </c>
      <c r="ARY2" t="s">
        <v>1741</v>
      </c>
      <c r="ARZ2" t="s">
        <v>1742</v>
      </c>
      <c r="ASA2" t="s">
        <v>1743</v>
      </c>
      <c r="ASB2" t="s">
        <v>1744</v>
      </c>
      <c r="ASC2" t="s">
        <v>487</v>
      </c>
      <c r="ASD2" t="s">
        <v>1779</v>
      </c>
      <c r="ASG2" t="s">
        <v>1736</v>
      </c>
      <c r="ASH2" t="s">
        <v>1737</v>
      </c>
      <c r="ASI2" t="s">
        <v>1739</v>
      </c>
      <c r="ASJ2" t="s">
        <v>1740</v>
      </c>
      <c r="ASK2" t="s">
        <v>1741</v>
      </c>
      <c r="ASL2" t="s">
        <v>1742</v>
      </c>
      <c r="ASM2" t="s">
        <v>1743</v>
      </c>
      <c r="ASN2" t="s">
        <v>1744</v>
      </c>
      <c r="ASO2" t="s">
        <v>487</v>
      </c>
      <c r="ASP2" t="s">
        <v>1779</v>
      </c>
      <c r="ASS2" t="s">
        <v>1736</v>
      </c>
      <c r="AST2" t="s">
        <v>1737</v>
      </c>
      <c r="ASU2" t="s">
        <v>1739</v>
      </c>
      <c r="ASV2" t="s">
        <v>1740</v>
      </c>
      <c r="ASW2" t="s">
        <v>1741</v>
      </c>
      <c r="ASX2" t="s">
        <v>1742</v>
      </c>
      <c r="ASY2" t="s">
        <v>1743</v>
      </c>
      <c r="ASZ2" t="s">
        <v>1744</v>
      </c>
      <c r="ATA2" t="s">
        <v>487</v>
      </c>
      <c r="ATB2" t="s">
        <v>1779</v>
      </c>
      <c r="ATE2" t="s">
        <v>1736</v>
      </c>
      <c r="ATF2" t="s">
        <v>1737</v>
      </c>
      <c r="ATG2" t="s">
        <v>1739</v>
      </c>
      <c r="ATH2" t="s">
        <v>1740</v>
      </c>
      <c r="ATI2" t="s">
        <v>1741</v>
      </c>
      <c r="ATJ2" t="s">
        <v>1742</v>
      </c>
      <c r="ATK2" t="s">
        <v>1743</v>
      </c>
      <c r="ATL2" t="s">
        <v>1744</v>
      </c>
      <c r="ATM2" t="s">
        <v>487</v>
      </c>
      <c r="ATN2" t="s">
        <v>1779</v>
      </c>
      <c r="ATQ2" t="s">
        <v>1736</v>
      </c>
      <c r="ATR2" t="s">
        <v>1737</v>
      </c>
      <c r="ATS2" t="s">
        <v>1739</v>
      </c>
      <c r="ATT2" t="s">
        <v>1740</v>
      </c>
      <c r="ATU2" t="s">
        <v>1741</v>
      </c>
      <c r="ATV2" t="s">
        <v>1742</v>
      </c>
      <c r="ATW2" t="s">
        <v>1743</v>
      </c>
      <c r="ATX2" t="s">
        <v>1744</v>
      </c>
      <c r="ATY2" t="s">
        <v>487</v>
      </c>
      <c r="ATZ2" t="s">
        <v>1779</v>
      </c>
      <c r="AUC2" t="s">
        <v>1736</v>
      </c>
      <c r="AUD2" t="s">
        <v>1737</v>
      </c>
      <c r="AUE2" t="s">
        <v>1739</v>
      </c>
      <c r="AUF2" t="s">
        <v>1740</v>
      </c>
      <c r="AUG2" t="s">
        <v>1741</v>
      </c>
      <c r="AUH2" t="s">
        <v>1742</v>
      </c>
      <c r="AUI2" t="s">
        <v>1743</v>
      </c>
      <c r="AUJ2" t="s">
        <v>1744</v>
      </c>
      <c r="AUK2" t="s">
        <v>487</v>
      </c>
      <c r="AUL2" t="s">
        <v>1779</v>
      </c>
      <c r="AUO2" t="s">
        <v>1736</v>
      </c>
      <c r="AUP2" t="s">
        <v>1737</v>
      </c>
      <c r="AUQ2" t="s">
        <v>1739</v>
      </c>
      <c r="AUR2" t="s">
        <v>1740</v>
      </c>
      <c r="AUS2" t="s">
        <v>1741</v>
      </c>
      <c r="AUT2" t="s">
        <v>1742</v>
      </c>
      <c r="AUU2" t="s">
        <v>1743</v>
      </c>
      <c r="AUV2" t="s">
        <v>1744</v>
      </c>
      <c r="AUW2" s="56" t="s">
        <v>487</v>
      </c>
      <c r="AUX2" t="s">
        <v>1779</v>
      </c>
      <c r="AVA2" t="s">
        <v>1736</v>
      </c>
      <c r="AVB2" t="s">
        <v>1737</v>
      </c>
      <c r="AVC2" t="s">
        <v>1739</v>
      </c>
      <c r="AVD2" t="s">
        <v>1740</v>
      </c>
      <c r="AVE2" t="s">
        <v>1741</v>
      </c>
      <c r="AVF2" t="s">
        <v>1742</v>
      </c>
      <c r="AVG2" t="s">
        <v>1743</v>
      </c>
      <c r="AVH2" t="s">
        <v>1744</v>
      </c>
      <c r="AVI2" t="s">
        <v>487</v>
      </c>
      <c r="AVJ2" t="s">
        <v>1779</v>
      </c>
      <c r="AVM2" t="s">
        <v>1736</v>
      </c>
      <c r="AVN2" t="s">
        <v>1737</v>
      </c>
      <c r="AVO2" t="s">
        <v>1739</v>
      </c>
      <c r="AVP2" t="s">
        <v>1740</v>
      </c>
      <c r="AVQ2" t="s">
        <v>1741</v>
      </c>
      <c r="AVR2" t="s">
        <v>1742</v>
      </c>
      <c r="AVS2" t="s">
        <v>1743</v>
      </c>
      <c r="AVT2" t="s">
        <v>1744</v>
      </c>
      <c r="AVU2" t="s">
        <v>487</v>
      </c>
      <c r="AVV2" t="s">
        <v>1779</v>
      </c>
      <c r="AVY2" t="s">
        <v>1736</v>
      </c>
      <c r="AVZ2" t="s">
        <v>1737</v>
      </c>
      <c r="AWA2" t="s">
        <v>1739</v>
      </c>
      <c r="AWB2" t="s">
        <v>1740</v>
      </c>
      <c r="AWC2" t="s">
        <v>1741</v>
      </c>
      <c r="AWD2" t="s">
        <v>1742</v>
      </c>
      <c r="AWE2" t="s">
        <v>1743</v>
      </c>
      <c r="AWF2" t="s">
        <v>1744</v>
      </c>
      <c r="AWG2" t="s">
        <v>1676</v>
      </c>
      <c r="AWH2" t="s">
        <v>1775</v>
      </c>
      <c r="AWK2" t="s">
        <v>1736</v>
      </c>
      <c r="AWL2" t="s">
        <v>1737</v>
      </c>
      <c r="AWM2" t="s">
        <v>1739</v>
      </c>
      <c r="AWN2" t="s">
        <v>1740</v>
      </c>
      <c r="AWO2" t="s">
        <v>1741</v>
      </c>
      <c r="AWP2" t="s">
        <v>1742</v>
      </c>
      <c r="AWQ2" t="s">
        <v>1743</v>
      </c>
      <c r="AWR2" t="s">
        <v>1744</v>
      </c>
      <c r="AWS2" t="s">
        <v>1676</v>
      </c>
      <c r="AWT2" t="s">
        <v>1775</v>
      </c>
    </row>
    <row r="3" spans="1:1300" x14ac:dyDescent="0.25">
      <c r="B3" t="s">
        <v>1738</v>
      </c>
      <c r="C3" t="s">
        <v>1738</v>
      </c>
      <c r="D3" t="s">
        <v>1738</v>
      </c>
      <c r="N3" t="s">
        <v>1738</v>
      </c>
      <c r="O3" t="s">
        <v>1738</v>
      </c>
      <c r="P3" t="s">
        <v>1738</v>
      </c>
      <c r="Z3" t="s">
        <v>1738</v>
      </c>
      <c r="AA3" t="s">
        <v>1738</v>
      </c>
      <c r="AB3" t="s">
        <v>1738</v>
      </c>
      <c r="AL3" t="s">
        <v>1738</v>
      </c>
      <c r="AM3" t="s">
        <v>1738</v>
      </c>
      <c r="AN3" t="s">
        <v>1738</v>
      </c>
      <c r="AX3" t="s">
        <v>1738</v>
      </c>
      <c r="AY3" t="s">
        <v>1738</v>
      </c>
      <c r="AZ3" t="s">
        <v>1738</v>
      </c>
      <c r="BJ3" t="s">
        <v>1738</v>
      </c>
      <c r="BK3" t="s">
        <v>1738</v>
      </c>
      <c r="BL3" t="s">
        <v>1738</v>
      </c>
      <c r="BV3" t="s">
        <v>1738</v>
      </c>
      <c r="BW3" t="s">
        <v>1738</v>
      </c>
      <c r="BX3" t="s">
        <v>1738</v>
      </c>
      <c r="CH3" t="s">
        <v>1738</v>
      </c>
      <c r="CI3" t="s">
        <v>1738</v>
      </c>
      <c r="CJ3" t="s">
        <v>1738</v>
      </c>
      <c r="CT3" t="s">
        <v>1738</v>
      </c>
      <c r="CU3" t="s">
        <v>1738</v>
      </c>
      <c r="CV3" t="s">
        <v>1738</v>
      </c>
      <c r="DF3" t="s">
        <v>1738</v>
      </c>
      <c r="DG3" t="s">
        <v>1738</v>
      </c>
      <c r="DH3" t="s">
        <v>1738</v>
      </c>
      <c r="DR3" t="s">
        <v>1738</v>
      </c>
      <c r="DS3" t="s">
        <v>1738</v>
      </c>
      <c r="DT3" t="s">
        <v>1738</v>
      </c>
      <c r="ED3" t="s">
        <v>1738</v>
      </c>
      <c r="EE3" t="s">
        <v>1738</v>
      </c>
      <c r="EF3" t="s">
        <v>1738</v>
      </c>
      <c r="EP3" t="s">
        <v>1738</v>
      </c>
      <c r="EQ3" t="s">
        <v>1738</v>
      </c>
      <c r="ER3" t="s">
        <v>1738</v>
      </c>
      <c r="FB3" t="s">
        <v>1738</v>
      </c>
      <c r="FC3" t="s">
        <v>1738</v>
      </c>
      <c r="FD3" t="s">
        <v>1738</v>
      </c>
      <c r="FN3" t="s">
        <v>1738</v>
      </c>
      <c r="FO3" t="s">
        <v>1738</v>
      </c>
      <c r="FP3" t="s">
        <v>1738</v>
      </c>
      <c r="FZ3" t="s">
        <v>1738</v>
      </c>
      <c r="GA3" t="s">
        <v>1738</v>
      </c>
      <c r="GB3" t="s">
        <v>1738</v>
      </c>
      <c r="GL3" t="s">
        <v>1738</v>
      </c>
      <c r="GM3" t="s">
        <v>1738</v>
      </c>
      <c r="GN3" t="s">
        <v>1738</v>
      </c>
      <c r="GX3" t="s">
        <v>1738</v>
      </c>
      <c r="GY3" t="s">
        <v>1738</v>
      </c>
      <c r="GZ3" t="s">
        <v>1738</v>
      </c>
      <c r="HJ3" t="s">
        <v>1738</v>
      </c>
      <c r="HK3" t="s">
        <v>1738</v>
      </c>
      <c r="HL3" t="s">
        <v>1738</v>
      </c>
      <c r="HV3" t="s">
        <v>1738</v>
      </c>
      <c r="HW3" t="s">
        <v>1738</v>
      </c>
      <c r="HX3" t="s">
        <v>1738</v>
      </c>
      <c r="IH3" t="s">
        <v>1738</v>
      </c>
      <c r="II3" t="s">
        <v>1738</v>
      </c>
      <c r="IJ3" t="s">
        <v>1738</v>
      </c>
      <c r="IT3" t="s">
        <v>1738</v>
      </c>
      <c r="IU3" t="s">
        <v>1738</v>
      </c>
      <c r="IV3" t="s">
        <v>1738</v>
      </c>
      <c r="JF3" t="s">
        <v>1738</v>
      </c>
      <c r="JG3" t="s">
        <v>1738</v>
      </c>
      <c r="JH3" t="s">
        <v>1738</v>
      </c>
      <c r="JR3" t="s">
        <v>1738</v>
      </c>
      <c r="JS3" t="s">
        <v>1738</v>
      </c>
      <c r="JT3" t="s">
        <v>1738</v>
      </c>
      <c r="KD3" t="s">
        <v>1738</v>
      </c>
      <c r="KE3" t="s">
        <v>1738</v>
      </c>
      <c r="KF3" t="s">
        <v>1738</v>
      </c>
      <c r="KP3" t="s">
        <v>1738</v>
      </c>
      <c r="KQ3" t="s">
        <v>1738</v>
      </c>
      <c r="KR3" t="s">
        <v>1738</v>
      </c>
      <c r="LB3" t="s">
        <v>1738</v>
      </c>
      <c r="LC3" t="s">
        <v>1738</v>
      </c>
      <c r="LD3" t="s">
        <v>1738</v>
      </c>
      <c r="LN3" t="s">
        <v>1738</v>
      </c>
      <c r="LO3" t="s">
        <v>1738</v>
      </c>
      <c r="LP3" t="s">
        <v>1738</v>
      </c>
      <c r="LZ3" t="s">
        <v>1738</v>
      </c>
      <c r="MA3" t="s">
        <v>1738</v>
      </c>
      <c r="MB3" t="s">
        <v>1738</v>
      </c>
      <c r="ML3" t="s">
        <v>1738</v>
      </c>
      <c r="MM3" t="s">
        <v>1738</v>
      </c>
      <c r="MN3" t="s">
        <v>1738</v>
      </c>
      <c r="MX3" t="s">
        <v>1738</v>
      </c>
      <c r="MY3" t="s">
        <v>1738</v>
      </c>
      <c r="MZ3" t="s">
        <v>1738</v>
      </c>
      <c r="NJ3" t="s">
        <v>1738</v>
      </c>
      <c r="NK3" t="s">
        <v>1738</v>
      </c>
      <c r="NL3" t="s">
        <v>1738</v>
      </c>
      <c r="NV3" t="s">
        <v>1738</v>
      </c>
      <c r="NW3" t="s">
        <v>1738</v>
      </c>
      <c r="NX3" t="s">
        <v>1738</v>
      </c>
      <c r="OH3" t="s">
        <v>1738</v>
      </c>
      <c r="OI3" t="s">
        <v>1738</v>
      </c>
      <c r="OJ3" t="s">
        <v>1738</v>
      </c>
      <c r="OT3" t="s">
        <v>1738</v>
      </c>
      <c r="OU3" t="s">
        <v>1738</v>
      </c>
      <c r="OV3" t="s">
        <v>1738</v>
      </c>
      <c r="PF3" t="s">
        <v>1738</v>
      </c>
      <c r="PG3" t="s">
        <v>1738</v>
      </c>
      <c r="PH3" t="s">
        <v>1738</v>
      </c>
      <c r="PR3" t="s">
        <v>1738</v>
      </c>
      <c r="PS3" t="s">
        <v>1738</v>
      </c>
      <c r="PT3" t="s">
        <v>1738</v>
      </c>
      <c r="QD3" t="s">
        <v>1738</v>
      </c>
      <c r="QE3" t="s">
        <v>1738</v>
      </c>
      <c r="QF3" t="s">
        <v>1738</v>
      </c>
      <c r="QP3" t="s">
        <v>1738</v>
      </c>
      <c r="QQ3" t="s">
        <v>1738</v>
      </c>
      <c r="QR3" t="s">
        <v>1738</v>
      </c>
      <c r="RB3" t="s">
        <v>1738</v>
      </c>
      <c r="RC3" t="s">
        <v>1738</v>
      </c>
      <c r="RD3" t="s">
        <v>1738</v>
      </c>
      <c r="RN3" t="s">
        <v>1738</v>
      </c>
      <c r="RO3" t="s">
        <v>1738</v>
      </c>
      <c r="RP3" t="s">
        <v>1738</v>
      </c>
      <c r="RZ3" t="s">
        <v>1738</v>
      </c>
      <c r="SA3" t="s">
        <v>1738</v>
      </c>
      <c r="SB3" t="s">
        <v>1738</v>
      </c>
      <c r="SL3" t="s">
        <v>1738</v>
      </c>
      <c r="SM3" t="s">
        <v>1738</v>
      </c>
      <c r="SN3" t="s">
        <v>1738</v>
      </c>
      <c r="SX3" t="s">
        <v>1738</v>
      </c>
      <c r="SY3" t="s">
        <v>1738</v>
      </c>
      <c r="SZ3" t="s">
        <v>1738</v>
      </c>
      <c r="TJ3" t="s">
        <v>1738</v>
      </c>
      <c r="TK3" t="s">
        <v>1738</v>
      </c>
      <c r="TL3" t="s">
        <v>1738</v>
      </c>
      <c r="TV3" t="s">
        <v>1738</v>
      </c>
      <c r="TW3" t="s">
        <v>1738</v>
      </c>
      <c r="TX3" t="s">
        <v>1738</v>
      </c>
      <c r="UH3" t="s">
        <v>1738</v>
      </c>
      <c r="UI3" t="s">
        <v>1738</v>
      </c>
      <c r="UJ3" t="s">
        <v>1738</v>
      </c>
      <c r="UT3" t="s">
        <v>1738</v>
      </c>
      <c r="UU3" t="s">
        <v>1738</v>
      </c>
      <c r="UV3" t="s">
        <v>1738</v>
      </c>
      <c r="VF3" t="s">
        <v>1738</v>
      </c>
      <c r="VG3" t="s">
        <v>1738</v>
      </c>
      <c r="VH3" t="s">
        <v>1738</v>
      </c>
      <c r="VR3" t="s">
        <v>1738</v>
      </c>
      <c r="VS3" t="s">
        <v>1738</v>
      </c>
      <c r="VT3" t="s">
        <v>1738</v>
      </c>
      <c r="WD3" t="s">
        <v>1738</v>
      </c>
      <c r="WE3" t="s">
        <v>1738</v>
      </c>
      <c r="WF3" t="s">
        <v>1738</v>
      </c>
      <c r="WP3" t="s">
        <v>1738</v>
      </c>
      <c r="WQ3" t="s">
        <v>1738</v>
      </c>
      <c r="WR3" t="s">
        <v>1738</v>
      </c>
      <c r="XB3" t="s">
        <v>1738</v>
      </c>
      <c r="XC3" t="s">
        <v>1738</v>
      </c>
      <c r="XD3" t="s">
        <v>1738</v>
      </c>
      <c r="XN3" t="s">
        <v>1738</v>
      </c>
      <c r="XO3" t="s">
        <v>1738</v>
      </c>
      <c r="XP3" t="s">
        <v>1738</v>
      </c>
      <c r="XZ3" t="s">
        <v>1738</v>
      </c>
      <c r="YA3" t="s">
        <v>1738</v>
      </c>
      <c r="YB3" t="s">
        <v>1738</v>
      </c>
      <c r="YL3" t="s">
        <v>1738</v>
      </c>
      <c r="YM3" t="s">
        <v>1738</v>
      </c>
      <c r="YN3" t="s">
        <v>1738</v>
      </c>
      <c r="YX3" t="s">
        <v>1738</v>
      </c>
      <c r="YY3" t="s">
        <v>1738</v>
      </c>
      <c r="YZ3" t="s">
        <v>1738</v>
      </c>
      <c r="ZJ3" t="s">
        <v>1738</v>
      </c>
      <c r="ZK3" t="s">
        <v>1738</v>
      </c>
      <c r="ZL3" t="s">
        <v>1738</v>
      </c>
      <c r="ZV3" t="s">
        <v>1738</v>
      </c>
      <c r="ZW3" t="s">
        <v>1738</v>
      </c>
      <c r="ZX3" t="s">
        <v>1738</v>
      </c>
      <c r="AAH3" t="s">
        <v>1738</v>
      </c>
      <c r="AAI3" t="s">
        <v>1738</v>
      </c>
      <c r="AAJ3" t="s">
        <v>1738</v>
      </c>
      <c r="AAT3" t="s">
        <v>1738</v>
      </c>
      <c r="AAU3" t="s">
        <v>1738</v>
      </c>
      <c r="AAV3" t="s">
        <v>1738</v>
      </c>
      <c r="ABF3" t="s">
        <v>1738</v>
      </c>
      <c r="ABG3" t="s">
        <v>1738</v>
      </c>
      <c r="ABH3" t="s">
        <v>1738</v>
      </c>
      <c r="ABR3" t="s">
        <v>1738</v>
      </c>
      <c r="ABS3" t="s">
        <v>1738</v>
      </c>
      <c r="ABT3" t="s">
        <v>1738</v>
      </c>
      <c r="ACD3" t="s">
        <v>1738</v>
      </c>
      <c r="ACE3" t="s">
        <v>1738</v>
      </c>
      <c r="ACF3" t="s">
        <v>1738</v>
      </c>
      <c r="ACP3" t="s">
        <v>1738</v>
      </c>
      <c r="ACQ3" t="s">
        <v>1738</v>
      </c>
      <c r="ACR3" t="s">
        <v>1738</v>
      </c>
      <c r="ADB3" t="s">
        <v>1738</v>
      </c>
      <c r="ADC3" t="s">
        <v>1738</v>
      </c>
      <c r="ADD3" t="s">
        <v>1738</v>
      </c>
      <c r="ADN3" t="s">
        <v>1738</v>
      </c>
      <c r="ADO3" t="s">
        <v>1738</v>
      </c>
      <c r="ADP3" t="s">
        <v>1738</v>
      </c>
      <c r="ADZ3" t="s">
        <v>1738</v>
      </c>
      <c r="AEA3" t="s">
        <v>1738</v>
      </c>
      <c r="AEB3" t="s">
        <v>1738</v>
      </c>
      <c r="AEL3" t="s">
        <v>1738</v>
      </c>
      <c r="AEM3" t="s">
        <v>1738</v>
      </c>
      <c r="AEN3" t="s">
        <v>1738</v>
      </c>
      <c r="AEX3" t="s">
        <v>1738</v>
      </c>
      <c r="AEY3" t="s">
        <v>1738</v>
      </c>
      <c r="AEZ3" t="s">
        <v>1738</v>
      </c>
      <c r="AFJ3" t="s">
        <v>1738</v>
      </c>
      <c r="AFK3" t="s">
        <v>1738</v>
      </c>
      <c r="AFL3" t="s">
        <v>1738</v>
      </c>
      <c r="AFV3" t="s">
        <v>1738</v>
      </c>
      <c r="AFW3" t="s">
        <v>1738</v>
      </c>
      <c r="AFX3" t="s">
        <v>1738</v>
      </c>
      <c r="AGH3" t="s">
        <v>1738</v>
      </c>
      <c r="AGI3" t="s">
        <v>1738</v>
      </c>
      <c r="AGJ3" t="s">
        <v>1738</v>
      </c>
      <c r="AGT3" t="s">
        <v>1738</v>
      </c>
      <c r="AGU3" t="s">
        <v>1738</v>
      </c>
      <c r="AGV3" t="s">
        <v>1738</v>
      </c>
      <c r="AHF3" t="s">
        <v>1738</v>
      </c>
      <c r="AHG3" t="s">
        <v>1738</v>
      </c>
      <c r="AHH3" t="s">
        <v>1738</v>
      </c>
      <c r="AHR3" t="s">
        <v>1738</v>
      </c>
      <c r="AHS3" t="s">
        <v>1738</v>
      </c>
      <c r="AHT3" t="s">
        <v>1738</v>
      </c>
      <c r="AID3" t="s">
        <v>1738</v>
      </c>
      <c r="AIE3" t="s">
        <v>1738</v>
      </c>
      <c r="AIF3" t="s">
        <v>1738</v>
      </c>
      <c r="AIP3" t="s">
        <v>1738</v>
      </c>
      <c r="AIQ3" t="s">
        <v>1738</v>
      </c>
      <c r="AIR3" t="s">
        <v>1738</v>
      </c>
      <c r="AJB3" t="s">
        <v>1738</v>
      </c>
      <c r="AJC3" t="s">
        <v>1738</v>
      </c>
      <c r="AJD3" t="s">
        <v>1738</v>
      </c>
      <c r="AJN3" t="s">
        <v>1738</v>
      </c>
      <c r="AJO3" t="s">
        <v>1738</v>
      </c>
      <c r="AJP3" t="s">
        <v>1738</v>
      </c>
      <c r="AJZ3" t="s">
        <v>1738</v>
      </c>
      <c r="AKA3" t="s">
        <v>1738</v>
      </c>
      <c r="AKB3" t="s">
        <v>1738</v>
      </c>
      <c r="AKL3" t="s">
        <v>1738</v>
      </c>
      <c r="AKM3" t="s">
        <v>1738</v>
      </c>
      <c r="AKN3" t="s">
        <v>1738</v>
      </c>
      <c r="AKX3" t="s">
        <v>1738</v>
      </c>
      <c r="AKY3" t="s">
        <v>1738</v>
      </c>
      <c r="AKZ3" t="s">
        <v>1738</v>
      </c>
      <c r="ALJ3" t="s">
        <v>1738</v>
      </c>
      <c r="ALK3" t="s">
        <v>1738</v>
      </c>
      <c r="ALL3" t="s">
        <v>1738</v>
      </c>
      <c r="ALV3" t="s">
        <v>1738</v>
      </c>
      <c r="ALW3" t="s">
        <v>1738</v>
      </c>
      <c r="ALX3" t="s">
        <v>1738</v>
      </c>
      <c r="AMH3" t="s">
        <v>1738</v>
      </c>
      <c r="AMI3" t="s">
        <v>1738</v>
      </c>
      <c r="AMJ3" t="s">
        <v>1738</v>
      </c>
      <c r="AMT3" t="s">
        <v>1738</v>
      </c>
      <c r="AMU3" t="s">
        <v>1738</v>
      </c>
      <c r="AMV3" t="s">
        <v>1738</v>
      </c>
      <c r="ANF3" t="s">
        <v>1738</v>
      </c>
      <c r="ANG3" t="s">
        <v>1738</v>
      </c>
      <c r="ANH3" t="s">
        <v>1738</v>
      </c>
      <c r="ANR3" t="s">
        <v>1738</v>
      </c>
      <c r="ANS3" t="s">
        <v>1738</v>
      </c>
      <c r="ANT3" t="s">
        <v>1738</v>
      </c>
      <c r="AOD3" t="s">
        <v>1738</v>
      </c>
      <c r="AOE3" t="s">
        <v>1738</v>
      </c>
      <c r="AOF3" t="s">
        <v>1738</v>
      </c>
      <c r="AOP3" t="s">
        <v>1738</v>
      </c>
      <c r="AOQ3" t="s">
        <v>1738</v>
      </c>
      <c r="AOR3" t="s">
        <v>1738</v>
      </c>
      <c r="APB3" t="s">
        <v>1738</v>
      </c>
      <c r="APC3" t="s">
        <v>1738</v>
      </c>
      <c r="APD3" t="s">
        <v>1738</v>
      </c>
      <c r="APN3" t="s">
        <v>1738</v>
      </c>
      <c r="APO3" t="s">
        <v>1738</v>
      </c>
      <c r="APP3" t="s">
        <v>1738</v>
      </c>
      <c r="APZ3" t="s">
        <v>1738</v>
      </c>
      <c r="AQA3" t="s">
        <v>1738</v>
      </c>
      <c r="AQB3" t="s">
        <v>1738</v>
      </c>
      <c r="AQL3" t="s">
        <v>1738</v>
      </c>
      <c r="AQM3" t="s">
        <v>1738</v>
      </c>
      <c r="AQN3" t="s">
        <v>1738</v>
      </c>
      <c r="AQX3" t="s">
        <v>1738</v>
      </c>
      <c r="AQY3" t="s">
        <v>1738</v>
      </c>
      <c r="AQZ3" t="s">
        <v>1738</v>
      </c>
      <c r="ARJ3" t="s">
        <v>1738</v>
      </c>
      <c r="ARK3" t="s">
        <v>1738</v>
      </c>
      <c r="ARL3" t="s">
        <v>1738</v>
      </c>
      <c r="ARV3" t="s">
        <v>1738</v>
      </c>
      <c r="ARW3" t="s">
        <v>1738</v>
      </c>
      <c r="ARX3" t="s">
        <v>1738</v>
      </c>
      <c r="ASH3" t="s">
        <v>1738</v>
      </c>
      <c r="ASI3" t="s">
        <v>1738</v>
      </c>
      <c r="ASJ3" t="s">
        <v>1738</v>
      </c>
      <c r="AST3" t="s">
        <v>1738</v>
      </c>
      <c r="ASU3" t="s">
        <v>1738</v>
      </c>
      <c r="ASV3" t="s">
        <v>1738</v>
      </c>
      <c r="ATF3" t="s">
        <v>1738</v>
      </c>
      <c r="ATG3" t="s">
        <v>1738</v>
      </c>
      <c r="ATH3" t="s">
        <v>1738</v>
      </c>
      <c r="ATR3" t="s">
        <v>1738</v>
      </c>
      <c r="ATS3" t="s">
        <v>1738</v>
      </c>
      <c r="ATT3" t="s">
        <v>1738</v>
      </c>
      <c r="AUD3" t="s">
        <v>1738</v>
      </c>
      <c r="AUE3" t="s">
        <v>1738</v>
      </c>
      <c r="AUF3" t="s">
        <v>1738</v>
      </c>
      <c r="AUP3" t="s">
        <v>1738</v>
      </c>
      <c r="AUQ3" t="s">
        <v>1738</v>
      </c>
      <c r="AUR3" t="s">
        <v>1738</v>
      </c>
      <c r="AVB3" t="s">
        <v>1738</v>
      </c>
      <c r="AVC3" t="s">
        <v>1738</v>
      </c>
      <c r="AVD3" t="s">
        <v>1738</v>
      </c>
      <c r="AVN3" t="s">
        <v>1738</v>
      </c>
      <c r="AVO3" t="s">
        <v>1738</v>
      </c>
      <c r="AVP3" t="s">
        <v>1738</v>
      </c>
      <c r="AVZ3" t="s">
        <v>1738</v>
      </c>
      <c r="AWA3" t="s">
        <v>1738</v>
      </c>
      <c r="AWB3" t="s">
        <v>1738</v>
      </c>
      <c r="AWL3" t="s">
        <v>1738</v>
      </c>
      <c r="AWM3" t="s">
        <v>1738</v>
      </c>
      <c r="AWN3" t="s">
        <v>1738</v>
      </c>
      <c r="AWU3">
        <v>0.7</v>
      </c>
      <c r="AWV3">
        <v>0.3</v>
      </c>
      <c r="AWW3">
        <v>0.36</v>
      </c>
      <c r="AWX3">
        <v>0.05</v>
      </c>
      <c r="AWY3">
        <v>0.11</v>
      </c>
      <c r="AWZ3">
        <v>0.28000000000000003</v>
      </c>
    </row>
    <row r="4" spans="1:1300" x14ac:dyDescent="0.25">
      <c r="A4" s="115">
        <v>43945</v>
      </c>
      <c r="B4">
        <v>0.42</v>
      </c>
      <c r="C4">
        <v>0</v>
      </c>
      <c r="D4">
        <v>0</v>
      </c>
      <c r="E4" s="115">
        <v>44033</v>
      </c>
      <c r="F4" s="58">
        <v>355406.02</v>
      </c>
      <c r="G4" s="115">
        <v>44034</v>
      </c>
      <c r="H4" t="s">
        <v>1765</v>
      </c>
      <c r="I4">
        <v>1.36</v>
      </c>
      <c r="J4" s="185">
        <f>B4/I4</f>
        <v>0.30882352941176466</v>
      </c>
      <c r="K4">
        <v>1.36</v>
      </c>
      <c r="L4">
        <v>0.79</v>
      </c>
      <c r="M4" s="115">
        <v>0.27</v>
      </c>
      <c r="N4">
        <v>0.03</v>
      </c>
      <c r="O4">
        <v>0.02</v>
      </c>
      <c r="P4">
        <v>0.4</v>
      </c>
      <c r="Q4" s="115">
        <v>44006</v>
      </c>
      <c r="R4" s="58">
        <v>12290.91</v>
      </c>
      <c r="S4" s="115">
        <v>44011</v>
      </c>
      <c r="T4" t="s">
        <v>1765</v>
      </c>
      <c r="U4">
        <v>2.1800000000000002</v>
      </c>
      <c r="V4" s="185">
        <f>N4/U4</f>
        <v>1.3761467889908256E-2</v>
      </c>
      <c r="W4">
        <v>2.1800000000000002</v>
      </c>
      <c r="X4">
        <v>1.67</v>
      </c>
      <c r="Y4" s="115">
        <v>1.76</v>
      </c>
      <c r="Z4">
        <v>1.49</v>
      </c>
      <c r="AA4">
        <v>1.54</v>
      </c>
      <c r="AB4">
        <v>0</v>
      </c>
      <c r="AC4" s="115">
        <v>44056</v>
      </c>
      <c r="AD4" s="58">
        <v>1181073.8700000001</v>
      </c>
      <c r="AE4" s="115">
        <v>44057</v>
      </c>
      <c r="AF4" t="s">
        <v>1765</v>
      </c>
      <c r="AG4">
        <v>3.47</v>
      </c>
      <c r="AH4" s="185">
        <f>Z4/AG4</f>
        <v>0.42939481268011526</v>
      </c>
      <c r="AI4">
        <v>3.47</v>
      </c>
      <c r="AJ4">
        <v>3.06</v>
      </c>
      <c r="AK4" s="115">
        <v>2.54</v>
      </c>
      <c r="AL4">
        <v>1.9</v>
      </c>
      <c r="AM4">
        <v>1.64</v>
      </c>
      <c r="AN4">
        <v>0</v>
      </c>
      <c r="AO4" s="115">
        <v>44056</v>
      </c>
      <c r="AP4" s="58">
        <v>1181073.8700000001</v>
      </c>
      <c r="AQ4" s="115">
        <v>44057</v>
      </c>
      <c r="AR4" t="s">
        <v>1765</v>
      </c>
      <c r="AS4">
        <v>3.47</v>
      </c>
      <c r="AT4" s="185">
        <f>AL4/AS4</f>
        <v>0.54755043227665701</v>
      </c>
      <c r="AU4">
        <v>3.47</v>
      </c>
      <c r="AV4">
        <v>3.06</v>
      </c>
      <c r="AW4" s="115">
        <v>2.54</v>
      </c>
      <c r="AX4">
        <v>1.9</v>
      </c>
      <c r="AY4">
        <v>1.64</v>
      </c>
      <c r="AZ4">
        <v>0</v>
      </c>
      <c r="BA4" s="115">
        <v>43999</v>
      </c>
      <c r="BB4" s="58">
        <v>21985.75</v>
      </c>
      <c r="BC4" s="115">
        <v>44000</v>
      </c>
      <c r="BD4" t="s">
        <v>1765</v>
      </c>
      <c r="BE4">
        <v>0.4</v>
      </c>
      <c r="BF4" s="185">
        <f>AX4/BE4</f>
        <v>4.7499999999999991</v>
      </c>
      <c r="BG4">
        <v>0.4</v>
      </c>
      <c r="BH4">
        <v>0.27</v>
      </c>
      <c r="BI4" s="115">
        <v>0.33</v>
      </c>
      <c r="BJ4">
        <v>0.37</v>
      </c>
      <c r="BK4">
        <v>0.34</v>
      </c>
      <c r="BL4">
        <v>0</v>
      </c>
      <c r="BM4" s="115">
        <v>44119</v>
      </c>
      <c r="BN4" s="58">
        <v>119008.11</v>
      </c>
      <c r="BO4" s="115">
        <v>44120</v>
      </c>
      <c r="BP4" t="s">
        <v>1765</v>
      </c>
      <c r="BQ4">
        <v>1.1499999999999999</v>
      </c>
      <c r="BR4" s="185">
        <f>BJ4/BQ4</f>
        <v>0.32173913043478264</v>
      </c>
      <c r="BS4">
        <v>1.1499999999999999</v>
      </c>
      <c r="BT4">
        <v>1.08</v>
      </c>
      <c r="BU4" s="115">
        <v>0.85</v>
      </c>
      <c r="BV4">
        <v>0.61</v>
      </c>
      <c r="BW4">
        <v>0.35</v>
      </c>
      <c r="BX4">
        <v>0</v>
      </c>
      <c r="BY4" s="115">
        <v>44056</v>
      </c>
      <c r="BZ4" s="58">
        <v>430482.96</v>
      </c>
      <c r="CA4" s="115">
        <v>44057</v>
      </c>
      <c r="CB4" t="s">
        <v>1765</v>
      </c>
      <c r="CC4">
        <v>0.41</v>
      </c>
      <c r="CD4" s="185">
        <f>BV4/CC4</f>
        <v>1.4878048780487805</v>
      </c>
      <c r="CE4">
        <v>0.41</v>
      </c>
      <c r="CF4">
        <v>0.39</v>
      </c>
      <c r="CG4" s="115">
        <v>0.38</v>
      </c>
      <c r="CH4">
        <v>0.41</v>
      </c>
      <c r="CI4">
        <v>0.43</v>
      </c>
      <c r="CJ4">
        <v>0</v>
      </c>
      <c r="CK4" s="115">
        <v>44021</v>
      </c>
      <c r="CL4" s="58">
        <v>360000</v>
      </c>
      <c r="CM4" s="115">
        <v>44022</v>
      </c>
      <c r="CN4" t="s">
        <v>1765</v>
      </c>
      <c r="CO4">
        <v>1.18</v>
      </c>
      <c r="CP4" s="185">
        <f>CH4/CO4</f>
        <v>0.34745762711864409</v>
      </c>
      <c r="CQ4">
        <v>1.18</v>
      </c>
      <c r="CR4">
        <v>1.1000000000000001</v>
      </c>
      <c r="CS4" s="115">
        <v>1.04</v>
      </c>
      <c r="CT4">
        <v>0.28000000000000003</v>
      </c>
      <c r="CU4">
        <v>-0.3</v>
      </c>
      <c r="CV4">
        <v>0</v>
      </c>
      <c r="CW4" s="115">
        <v>44005</v>
      </c>
      <c r="CX4" s="58">
        <v>187394.07</v>
      </c>
      <c r="CY4" s="115">
        <v>44006</v>
      </c>
      <c r="CZ4" t="s">
        <v>1765</v>
      </c>
      <c r="DA4">
        <v>0.16</v>
      </c>
      <c r="DB4" s="185">
        <f>CT4/DA4</f>
        <v>1.7500000000000002</v>
      </c>
      <c r="DC4">
        <v>0.16</v>
      </c>
      <c r="DD4">
        <v>0.13</v>
      </c>
      <c r="DE4" s="115">
        <v>0.02</v>
      </c>
      <c r="DF4">
        <v>0.01</v>
      </c>
      <c r="DG4">
        <v>0.16</v>
      </c>
      <c r="DH4">
        <v>0</v>
      </c>
      <c r="DI4" s="115">
        <v>44005</v>
      </c>
      <c r="DJ4" s="58">
        <v>776549.15</v>
      </c>
      <c r="DK4" s="115">
        <v>44006</v>
      </c>
      <c r="DL4" t="s">
        <v>1765</v>
      </c>
      <c r="DM4">
        <v>0.97</v>
      </c>
      <c r="DN4" s="185">
        <f>DF4/DM4</f>
        <v>1.0309278350515464E-2</v>
      </c>
      <c r="DO4">
        <v>0.97</v>
      </c>
      <c r="DP4">
        <v>0.87</v>
      </c>
      <c r="DQ4" s="115">
        <v>1.07</v>
      </c>
      <c r="DR4">
        <v>0.96</v>
      </c>
      <c r="DS4">
        <v>0.84</v>
      </c>
      <c r="DT4">
        <v>0</v>
      </c>
      <c r="DU4" s="115">
        <v>44049</v>
      </c>
      <c r="DV4" s="58">
        <v>415248.7</v>
      </c>
      <c r="DW4" s="115">
        <v>44050</v>
      </c>
      <c r="DX4" t="s">
        <v>1765</v>
      </c>
      <c r="DY4">
        <v>0.95</v>
      </c>
      <c r="DZ4" s="185">
        <f>DR4/DY4</f>
        <v>1.0105263157894737</v>
      </c>
      <c r="EA4">
        <v>0.95</v>
      </c>
      <c r="EB4">
        <v>0.72</v>
      </c>
      <c r="EC4" s="115">
        <v>0.67</v>
      </c>
      <c r="ED4">
        <v>0.52</v>
      </c>
      <c r="EE4">
        <v>0.53</v>
      </c>
      <c r="EF4">
        <v>0.4</v>
      </c>
      <c r="EG4" s="115">
        <v>43994</v>
      </c>
      <c r="EH4" s="58">
        <v>5089.17</v>
      </c>
      <c r="EI4" s="115">
        <v>43997</v>
      </c>
      <c r="EJ4" t="s">
        <v>1765</v>
      </c>
      <c r="EK4">
        <v>1.88</v>
      </c>
      <c r="EL4" s="185">
        <f>ED4/EK4</f>
        <v>0.27659574468085107</v>
      </c>
      <c r="EM4">
        <v>1.88</v>
      </c>
      <c r="EN4">
        <v>2.19</v>
      </c>
      <c r="EO4" s="115">
        <v>2.4300000000000002</v>
      </c>
      <c r="EP4">
        <v>1.63</v>
      </c>
      <c r="EQ4">
        <v>1.45</v>
      </c>
      <c r="ER4">
        <v>0.3</v>
      </c>
      <c r="ES4" s="115">
        <v>43976</v>
      </c>
      <c r="ET4" s="58">
        <v>8596.73</v>
      </c>
      <c r="EU4" s="115">
        <v>43977</v>
      </c>
      <c r="EV4" t="s">
        <v>1765</v>
      </c>
      <c r="EW4">
        <v>1.18</v>
      </c>
      <c r="EX4" s="185">
        <f>EP4/EW4</f>
        <v>1.3813559322033897</v>
      </c>
      <c r="EY4">
        <v>1.18</v>
      </c>
      <c r="EZ4">
        <v>0.74</v>
      </c>
      <c r="FA4" s="115">
        <v>0.83</v>
      </c>
      <c r="FB4">
        <v>0.83</v>
      </c>
      <c r="FC4">
        <v>0.53</v>
      </c>
      <c r="FD4">
        <v>0.5</v>
      </c>
      <c r="FE4" s="115">
        <v>43251</v>
      </c>
      <c r="FF4" s="58">
        <v>7730.85</v>
      </c>
      <c r="FG4" s="115">
        <v>43252</v>
      </c>
      <c r="FH4" t="s">
        <v>1765</v>
      </c>
      <c r="FI4">
        <v>0.09</v>
      </c>
      <c r="FJ4" s="185">
        <f>FB4/FI4</f>
        <v>9.2222222222222214</v>
      </c>
      <c r="FK4">
        <v>0.09</v>
      </c>
      <c r="FL4">
        <v>-0.49</v>
      </c>
      <c r="FM4" s="115">
        <v>0.34</v>
      </c>
      <c r="FN4">
        <v>0.59</v>
      </c>
      <c r="FO4">
        <v>0.51</v>
      </c>
      <c r="FP4">
        <v>0</v>
      </c>
      <c r="FQ4" s="115">
        <v>43986</v>
      </c>
      <c r="FR4" s="58">
        <v>100280.53</v>
      </c>
      <c r="FS4" s="115">
        <v>43987</v>
      </c>
      <c r="FT4" t="s">
        <v>1765</v>
      </c>
      <c r="FU4">
        <v>0.81</v>
      </c>
      <c r="FV4" s="185">
        <f>FN4/FU4</f>
        <v>0.72839506172839497</v>
      </c>
      <c r="FW4">
        <v>0.81</v>
      </c>
      <c r="FX4">
        <v>1.03</v>
      </c>
      <c r="FY4" s="115">
        <v>0.08</v>
      </c>
      <c r="FZ4">
        <v>1.51</v>
      </c>
      <c r="GA4">
        <v>1.96</v>
      </c>
      <c r="GB4">
        <v>0</v>
      </c>
      <c r="GC4" s="115">
        <v>44026</v>
      </c>
      <c r="GD4" s="58">
        <v>6973.84</v>
      </c>
      <c r="GE4" s="115">
        <v>44027</v>
      </c>
      <c r="GF4" t="s">
        <v>1765</v>
      </c>
      <c r="GG4">
        <v>0.96</v>
      </c>
      <c r="GH4" s="185">
        <f>FZ4/GG4</f>
        <v>1.5729166666666667</v>
      </c>
      <c r="GI4">
        <v>0.96</v>
      </c>
      <c r="GJ4">
        <v>1.04</v>
      </c>
      <c r="GK4" s="115">
        <v>0.25</v>
      </c>
      <c r="GL4">
        <v>0.08</v>
      </c>
      <c r="GM4">
        <v>0.03</v>
      </c>
      <c r="GN4">
        <v>0</v>
      </c>
      <c r="GO4" s="115">
        <v>44146</v>
      </c>
      <c r="GP4" s="58">
        <v>601573.09</v>
      </c>
      <c r="GQ4" s="115">
        <v>44147</v>
      </c>
      <c r="GR4" t="s">
        <v>1765</v>
      </c>
      <c r="GS4">
        <v>4.1100000000000003</v>
      </c>
      <c r="GT4" s="185">
        <f>GL4/GS4</f>
        <v>1.9464720194647202E-2</v>
      </c>
      <c r="GU4">
        <v>4.1100000000000003</v>
      </c>
      <c r="GV4">
        <v>4.3600000000000003</v>
      </c>
      <c r="GW4" s="115">
        <v>3.72</v>
      </c>
      <c r="GX4">
        <v>2.56</v>
      </c>
      <c r="GY4">
        <v>2.08</v>
      </c>
      <c r="GZ4">
        <v>0</v>
      </c>
      <c r="HA4" s="115">
        <v>44056</v>
      </c>
      <c r="HB4" s="58">
        <v>1181073.8700000001</v>
      </c>
      <c r="HC4" s="115">
        <v>44057</v>
      </c>
      <c r="HD4" t="s">
        <v>1765</v>
      </c>
      <c r="HE4">
        <v>3.47</v>
      </c>
      <c r="HF4" s="185">
        <f>GX4/HE4</f>
        <v>0.73775216138328525</v>
      </c>
      <c r="HG4">
        <v>3.47</v>
      </c>
      <c r="HH4">
        <v>3.06</v>
      </c>
      <c r="HI4" s="115">
        <v>2.54</v>
      </c>
      <c r="HJ4">
        <v>1.9</v>
      </c>
      <c r="HK4">
        <v>1.64</v>
      </c>
      <c r="HL4">
        <v>0</v>
      </c>
      <c r="HM4" s="115">
        <v>43971</v>
      </c>
      <c r="HN4" s="58">
        <v>23830</v>
      </c>
      <c r="HO4" s="115">
        <v>43972</v>
      </c>
      <c r="HP4" t="s">
        <v>1765</v>
      </c>
      <c r="HQ4">
        <v>0.42</v>
      </c>
      <c r="HR4" s="185">
        <f>HJ4/HQ4</f>
        <v>4.5238095238095237</v>
      </c>
      <c r="HS4">
        <v>0.42</v>
      </c>
      <c r="HT4">
        <v>-0.87</v>
      </c>
      <c r="HU4" s="115">
        <v>0.11</v>
      </c>
      <c r="HV4">
        <v>0.04</v>
      </c>
      <c r="HW4">
        <v>0.01</v>
      </c>
      <c r="HX4">
        <v>0</v>
      </c>
      <c r="HY4" s="115">
        <v>44005</v>
      </c>
      <c r="HZ4" s="58">
        <v>187394.07</v>
      </c>
      <c r="IA4" s="115">
        <v>44006</v>
      </c>
      <c r="IB4" t="s">
        <v>1765</v>
      </c>
      <c r="IC4">
        <v>0.16</v>
      </c>
      <c r="ID4" s="185">
        <f>HV4/IC4</f>
        <v>0.25</v>
      </c>
      <c r="IE4">
        <v>0.16</v>
      </c>
      <c r="IF4">
        <v>0.13</v>
      </c>
      <c r="IG4" s="115">
        <v>0.02</v>
      </c>
      <c r="IH4">
        <v>0.01</v>
      </c>
      <c r="II4">
        <v>0.16</v>
      </c>
      <c r="IJ4">
        <v>0.4</v>
      </c>
      <c r="IK4" s="115">
        <v>43992</v>
      </c>
      <c r="IL4" s="58">
        <v>5962.94</v>
      </c>
      <c r="IM4" s="115">
        <v>43993</v>
      </c>
      <c r="IN4" t="s">
        <v>1765</v>
      </c>
      <c r="IO4">
        <v>0.43</v>
      </c>
      <c r="IP4" s="185">
        <f>IH4/IO4</f>
        <v>2.3255813953488372E-2</v>
      </c>
      <c r="IQ4">
        <v>0.43</v>
      </c>
      <c r="IR4">
        <v>0.74</v>
      </c>
      <c r="IS4" s="115">
        <v>0.45</v>
      </c>
      <c r="IT4">
        <v>0.67</v>
      </c>
      <c r="IU4">
        <v>0.55000000000000004</v>
      </c>
      <c r="IV4">
        <v>0</v>
      </c>
      <c r="IW4" s="115">
        <v>43999</v>
      </c>
      <c r="IX4" s="58">
        <v>21985.75</v>
      </c>
      <c r="IY4" s="115">
        <v>44000</v>
      </c>
      <c r="IZ4" t="s">
        <v>1765</v>
      </c>
      <c r="JA4">
        <v>0.4</v>
      </c>
      <c r="JB4" s="185">
        <f>IT4/JA4</f>
        <v>1.675</v>
      </c>
      <c r="JC4">
        <v>0.4</v>
      </c>
      <c r="JD4">
        <v>0.27</v>
      </c>
      <c r="JE4" s="115">
        <v>0.33</v>
      </c>
      <c r="JF4">
        <v>0.37</v>
      </c>
      <c r="JG4">
        <v>0.34</v>
      </c>
      <c r="JH4">
        <v>0</v>
      </c>
      <c r="JI4" s="115">
        <v>44021</v>
      </c>
      <c r="JJ4" s="58">
        <v>81333.3</v>
      </c>
      <c r="JK4" s="115">
        <v>44022</v>
      </c>
      <c r="JL4" t="s">
        <v>1765</v>
      </c>
      <c r="JM4">
        <v>1.58</v>
      </c>
      <c r="JN4" s="185">
        <f>JF4/JM4</f>
        <v>0.23417721518987342</v>
      </c>
      <c r="JO4">
        <v>1.58</v>
      </c>
      <c r="JP4">
        <v>1.26</v>
      </c>
      <c r="JQ4">
        <v>0.76</v>
      </c>
      <c r="JR4">
        <v>0.62</v>
      </c>
      <c r="JS4">
        <v>0.79</v>
      </c>
      <c r="JY4">
        <v>0</v>
      </c>
      <c r="JZ4" s="185" t="e">
        <f>JR4/JY4</f>
        <v>#DIV/0!</v>
      </c>
      <c r="KA4">
        <v>0</v>
      </c>
      <c r="KB4">
        <v>0</v>
      </c>
      <c r="KC4" s="115">
        <v>0</v>
      </c>
      <c r="KD4">
        <v>0.62</v>
      </c>
      <c r="KE4">
        <v>0.01</v>
      </c>
      <c r="KF4">
        <v>0</v>
      </c>
      <c r="KG4" s="115">
        <v>43984</v>
      </c>
      <c r="KH4" s="58">
        <v>623596.06999999995</v>
      </c>
      <c r="KI4" s="115">
        <v>43985</v>
      </c>
      <c r="KJ4" t="s">
        <v>1765</v>
      </c>
      <c r="KK4">
        <v>0.56000000000000005</v>
      </c>
      <c r="KL4" s="185">
        <f>KD4/KK4</f>
        <v>1.107142857142857</v>
      </c>
      <c r="KM4">
        <v>0.56000000000000005</v>
      </c>
      <c r="KN4">
        <v>0.97</v>
      </c>
      <c r="KO4" s="115">
        <v>0.86</v>
      </c>
      <c r="KP4">
        <v>0.41</v>
      </c>
      <c r="KQ4">
        <v>0.06</v>
      </c>
      <c r="KR4">
        <v>0</v>
      </c>
      <c r="KS4" s="115">
        <v>44015</v>
      </c>
      <c r="KT4" s="58">
        <v>69596.800000000003</v>
      </c>
      <c r="KU4" s="115">
        <v>44018</v>
      </c>
      <c r="KV4" t="s">
        <v>1765</v>
      </c>
      <c r="KW4">
        <v>0.05</v>
      </c>
      <c r="KX4" s="185">
        <f>KP4/KW4</f>
        <v>8.1999999999999993</v>
      </c>
      <c r="KY4">
        <v>0.05</v>
      </c>
      <c r="KZ4">
        <v>0.1</v>
      </c>
      <c r="LA4" s="115">
        <v>0.22</v>
      </c>
      <c r="LB4">
        <v>0.05</v>
      </c>
      <c r="LC4">
        <v>0.05</v>
      </c>
      <c r="LD4">
        <v>0</v>
      </c>
      <c r="LE4" s="115">
        <v>44033</v>
      </c>
      <c r="LF4" s="58">
        <v>355406.02</v>
      </c>
      <c r="LG4" s="115">
        <v>44034</v>
      </c>
      <c r="LH4" t="s">
        <v>1765</v>
      </c>
      <c r="LI4">
        <v>1.36</v>
      </c>
      <c r="LJ4" s="185">
        <f>LB4/LI4</f>
        <v>3.6764705882352942E-2</v>
      </c>
      <c r="LK4">
        <v>1.36</v>
      </c>
      <c r="LL4">
        <v>0.79</v>
      </c>
      <c r="LM4" s="115">
        <v>0.27</v>
      </c>
      <c r="LN4">
        <v>0.03</v>
      </c>
      <c r="LO4">
        <v>0.02</v>
      </c>
      <c r="LP4">
        <v>0.7</v>
      </c>
      <c r="LQ4" s="115">
        <v>43972</v>
      </c>
      <c r="LR4" s="58">
        <v>15413.82</v>
      </c>
      <c r="LS4" s="115">
        <v>43973</v>
      </c>
      <c r="LT4" t="s">
        <v>1765</v>
      </c>
      <c r="LU4">
        <v>1.32</v>
      </c>
      <c r="LV4" s="185">
        <f>LN4/LU4</f>
        <v>2.2727272727272724E-2</v>
      </c>
      <c r="LW4">
        <v>1.32</v>
      </c>
      <c r="LX4">
        <v>1.61</v>
      </c>
      <c r="LY4" s="115">
        <v>1.69</v>
      </c>
      <c r="LZ4">
        <v>1.66</v>
      </c>
      <c r="MA4">
        <v>1.54</v>
      </c>
      <c r="MB4">
        <v>0</v>
      </c>
      <c r="MC4" s="115">
        <v>43966</v>
      </c>
      <c r="MD4" s="58">
        <v>73225.789999999994</v>
      </c>
      <c r="ME4" s="115">
        <v>43969</v>
      </c>
      <c r="MF4" t="s">
        <v>1765</v>
      </c>
      <c r="MG4">
        <v>2.93</v>
      </c>
      <c r="MH4" s="185">
        <f>LZ4/MG4</f>
        <v>0.56655290102389078</v>
      </c>
      <c r="MI4">
        <v>2.93</v>
      </c>
      <c r="MJ4">
        <v>1.81</v>
      </c>
      <c r="MK4" s="115">
        <v>0.97</v>
      </c>
      <c r="ML4">
        <v>0.18</v>
      </c>
      <c r="MM4">
        <v>0.08</v>
      </c>
      <c r="MN4">
        <v>0</v>
      </c>
      <c r="MO4" s="115">
        <v>43994</v>
      </c>
      <c r="MP4" s="58">
        <v>3462.83</v>
      </c>
      <c r="MQ4" s="115">
        <v>43997</v>
      </c>
      <c r="MR4" t="s">
        <v>1765</v>
      </c>
      <c r="MS4">
        <v>0.7</v>
      </c>
      <c r="MT4" s="185">
        <f>ML4/MS4</f>
        <v>0.25714285714285717</v>
      </c>
      <c r="MU4">
        <v>0.7</v>
      </c>
      <c r="MV4">
        <v>0.3</v>
      </c>
      <c r="MW4" s="115">
        <v>0.36</v>
      </c>
      <c r="MX4">
        <v>0.05</v>
      </c>
      <c r="MY4">
        <v>0.11</v>
      </c>
      <c r="MZ4">
        <v>0</v>
      </c>
      <c r="NA4" s="115">
        <v>43983</v>
      </c>
      <c r="NB4" s="58">
        <v>20290.7</v>
      </c>
      <c r="NC4" s="115">
        <v>43984</v>
      </c>
      <c r="ND4" t="s">
        <v>1765</v>
      </c>
      <c r="NE4">
        <v>1.34</v>
      </c>
      <c r="NF4" s="185">
        <f>MX4/NE4</f>
        <v>3.7313432835820892E-2</v>
      </c>
      <c r="NG4">
        <v>1.34</v>
      </c>
      <c r="NH4">
        <v>0.66</v>
      </c>
      <c r="NI4" s="115">
        <v>0.56999999999999995</v>
      </c>
      <c r="NJ4">
        <v>0.51</v>
      </c>
      <c r="NK4">
        <v>0.38</v>
      </c>
      <c r="NL4">
        <v>0</v>
      </c>
      <c r="NM4" s="115">
        <v>44021</v>
      </c>
      <c r="NN4" s="58">
        <v>360000</v>
      </c>
      <c r="NO4" s="115">
        <v>44022</v>
      </c>
      <c r="NP4" t="s">
        <v>1765</v>
      </c>
      <c r="NQ4">
        <v>1.18</v>
      </c>
      <c r="NR4" s="185">
        <f>NJ4/NQ4</f>
        <v>0.43220338983050849</v>
      </c>
      <c r="NS4">
        <v>1.18</v>
      </c>
      <c r="NT4">
        <v>1.1000000000000001</v>
      </c>
      <c r="NU4" s="115">
        <v>1.04</v>
      </c>
      <c r="NV4">
        <v>0.28000000000000003</v>
      </c>
      <c r="NW4">
        <v>-0.3</v>
      </c>
      <c r="NX4">
        <v>0</v>
      </c>
      <c r="NY4" t="s">
        <v>1809</v>
      </c>
      <c r="NZ4" s="58">
        <v>601573.09</v>
      </c>
      <c r="OA4" t="s">
        <v>1809</v>
      </c>
      <c r="OB4" t="s">
        <v>1765</v>
      </c>
      <c r="OC4">
        <v>4.1100000000000003</v>
      </c>
      <c r="OD4" s="185">
        <f>NV4/OC4</f>
        <v>6.8126520681265207E-2</v>
      </c>
      <c r="OE4">
        <v>4.1100000000000003</v>
      </c>
      <c r="OF4">
        <v>4.3600000000000003</v>
      </c>
      <c r="OG4" s="115">
        <v>3.72</v>
      </c>
      <c r="OH4">
        <v>2.56</v>
      </c>
      <c r="OI4">
        <v>2.08</v>
      </c>
      <c r="OJ4">
        <v>0</v>
      </c>
      <c r="OK4" s="115">
        <v>44056</v>
      </c>
      <c r="OL4" s="58">
        <v>1181073.8700000001</v>
      </c>
      <c r="OM4" s="115">
        <v>44057</v>
      </c>
      <c r="ON4" t="s">
        <v>1765</v>
      </c>
      <c r="OO4">
        <v>3.47</v>
      </c>
      <c r="OP4" s="185">
        <f>OH4/OO4</f>
        <v>0.73775216138328525</v>
      </c>
      <c r="OQ4">
        <v>3.47</v>
      </c>
      <c r="OR4">
        <v>3.06</v>
      </c>
      <c r="OS4" s="115">
        <v>2.54</v>
      </c>
      <c r="OT4">
        <v>1.9</v>
      </c>
      <c r="OU4">
        <v>1.64</v>
      </c>
      <c r="OV4">
        <v>0.7</v>
      </c>
      <c r="OW4" s="115">
        <v>43985</v>
      </c>
      <c r="OX4" s="58">
        <v>6528</v>
      </c>
      <c r="OY4" s="115">
        <v>43986</v>
      </c>
      <c r="OZ4" t="s">
        <v>1765</v>
      </c>
      <c r="PA4">
        <v>2.75</v>
      </c>
      <c r="PB4" s="185">
        <f>OT4/PA4</f>
        <v>0.69090909090909092</v>
      </c>
      <c r="PC4">
        <v>2.75</v>
      </c>
      <c r="PD4">
        <v>0.34</v>
      </c>
      <c r="PE4" s="115">
        <v>0.46</v>
      </c>
      <c r="PF4">
        <v>0.43</v>
      </c>
      <c r="PG4">
        <v>0.81</v>
      </c>
      <c r="PH4">
        <v>0.7</v>
      </c>
      <c r="PI4" s="115">
        <v>43985</v>
      </c>
      <c r="PJ4" s="58">
        <v>6528</v>
      </c>
      <c r="PK4" s="115">
        <v>43986</v>
      </c>
      <c r="PL4" t="s">
        <v>1765</v>
      </c>
      <c r="PM4">
        <v>2.75</v>
      </c>
      <c r="PN4" s="185">
        <f>PF4/PM4</f>
        <v>0.15636363636363637</v>
      </c>
      <c r="PO4">
        <v>2.75</v>
      </c>
      <c r="PP4">
        <v>0.34</v>
      </c>
      <c r="PQ4" s="115">
        <v>0.46</v>
      </c>
      <c r="PR4">
        <v>0.43</v>
      </c>
      <c r="PS4">
        <v>0.81</v>
      </c>
      <c r="PT4">
        <v>0</v>
      </c>
      <c r="PU4" s="115">
        <v>43998</v>
      </c>
      <c r="PV4" s="58">
        <v>48994.67</v>
      </c>
      <c r="PW4" s="115">
        <v>43999</v>
      </c>
      <c r="PX4" t="s">
        <v>1765</v>
      </c>
      <c r="PY4">
        <v>1.61</v>
      </c>
      <c r="PZ4" s="185">
        <f>PR4/PY4</f>
        <v>0.26708074534161491</v>
      </c>
      <c r="QA4">
        <v>1.61</v>
      </c>
      <c r="QB4">
        <v>1.55</v>
      </c>
      <c r="QC4" s="115">
        <v>1.83</v>
      </c>
      <c r="QD4">
        <v>3</v>
      </c>
      <c r="QE4">
        <v>2.5299999999999998</v>
      </c>
      <c r="QF4">
        <v>0</v>
      </c>
      <c r="QG4" s="115">
        <v>44005</v>
      </c>
      <c r="QH4" s="58">
        <v>110984.56</v>
      </c>
      <c r="QI4" s="115">
        <v>44006</v>
      </c>
      <c r="QJ4" t="s">
        <v>1765</v>
      </c>
      <c r="QK4">
        <v>2.25</v>
      </c>
      <c r="QL4" s="185">
        <f>QD4/QK4</f>
        <v>1.3333333333333333</v>
      </c>
      <c r="QM4">
        <v>2.25</v>
      </c>
      <c r="QN4">
        <v>2.37</v>
      </c>
      <c r="QO4" s="115">
        <v>2.5499999999999998</v>
      </c>
      <c r="QP4">
        <v>1.66</v>
      </c>
      <c r="QQ4">
        <v>1.49</v>
      </c>
      <c r="QR4">
        <v>0</v>
      </c>
      <c r="QS4" s="115">
        <v>44089</v>
      </c>
      <c r="QT4" s="58">
        <v>1462419.31</v>
      </c>
      <c r="QU4" s="115">
        <v>44090</v>
      </c>
      <c r="QV4" t="s">
        <v>1765</v>
      </c>
      <c r="QW4">
        <v>8.41</v>
      </c>
      <c r="QX4" s="185">
        <f>QP4/QW4</f>
        <v>0.19738406658739593</v>
      </c>
      <c r="QY4">
        <v>8.41</v>
      </c>
      <c r="QZ4">
        <v>6.02</v>
      </c>
      <c r="RA4" s="115">
        <v>4.99</v>
      </c>
      <c r="RB4">
        <v>3.5</v>
      </c>
      <c r="RC4">
        <v>2.98</v>
      </c>
      <c r="RD4">
        <v>0</v>
      </c>
      <c r="RE4" s="115">
        <v>43999</v>
      </c>
      <c r="RF4" s="58">
        <v>1059860.52</v>
      </c>
      <c r="RG4" s="115">
        <v>44000</v>
      </c>
      <c r="RH4" t="s">
        <v>1765</v>
      </c>
      <c r="RI4">
        <v>6.34</v>
      </c>
      <c r="RJ4" s="185">
        <f>RB4/RI4</f>
        <v>0.55205047318611988</v>
      </c>
      <c r="RK4">
        <v>6.34</v>
      </c>
      <c r="RL4">
        <v>5.63</v>
      </c>
      <c r="RM4" s="115">
        <v>2.99</v>
      </c>
      <c r="RN4">
        <v>1.61</v>
      </c>
      <c r="RO4">
        <v>1.42</v>
      </c>
      <c r="RP4">
        <v>0</v>
      </c>
      <c r="RQ4" s="115">
        <v>44019</v>
      </c>
      <c r="RR4" s="58">
        <v>253688.58</v>
      </c>
      <c r="RS4" s="115">
        <v>44020</v>
      </c>
      <c r="RT4" t="s">
        <v>1765</v>
      </c>
      <c r="RU4">
        <v>3.03</v>
      </c>
      <c r="RV4" s="185">
        <f>RN4/RU4</f>
        <v>0.53135313531353145</v>
      </c>
      <c r="RW4">
        <v>3.03</v>
      </c>
      <c r="RX4">
        <v>3.46</v>
      </c>
      <c r="RY4" s="115">
        <v>1.39</v>
      </c>
      <c r="RZ4">
        <v>0.3</v>
      </c>
      <c r="SA4">
        <v>7.0000000000000007E-2</v>
      </c>
      <c r="SB4">
        <v>0.49</v>
      </c>
      <c r="SC4" s="115">
        <v>43929</v>
      </c>
      <c r="SD4">
        <v>0</v>
      </c>
      <c r="SE4" s="115">
        <v>43930</v>
      </c>
      <c r="SF4" t="s">
        <v>1765</v>
      </c>
      <c r="SG4">
        <v>1.18</v>
      </c>
      <c r="SH4" s="185">
        <f>RZ4/SG4</f>
        <v>0.25423728813559321</v>
      </c>
      <c r="SI4">
        <v>1.18</v>
      </c>
      <c r="SJ4">
        <v>2.08</v>
      </c>
      <c r="SK4" s="115">
        <v>1.92</v>
      </c>
      <c r="SL4">
        <v>0.5</v>
      </c>
      <c r="SM4">
        <v>0.08</v>
      </c>
      <c r="SN4">
        <v>0</v>
      </c>
      <c r="SO4" s="115">
        <v>43999</v>
      </c>
      <c r="SP4" s="58">
        <v>1059860.52</v>
      </c>
      <c r="SQ4" s="115">
        <v>44000</v>
      </c>
      <c r="SR4" t="s">
        <v>1765</v>
      </c>
      <c r="SS4">
        <v>6.34</v>
      </c>
      <c r="ST4" s="185">
        <f>SL4/SS4</f>
        <v>7.8864353312302835E-2</v>
      </c>
      <c r="SU4">
        <v>6.34</v>
      </c>
      <c r="SV4">
        <v>5.63</v>
      </c>
      <c r="SW4" s="115">
        <v>2.99</v>
      </c>
      <c r="SX4">
        <v>1.61</v>
      </c>
      <c r="SY4">
        <v>1.42</v>
      </c>
      <c r="SZ4">
        <v>0</v>
      </c>
      <c r="TA4" s="115">
        <v>44019</v>
      </c>
      <c r="TB4" s="58">
        <v>253688.58</v>
      </c>
      <c r="TC4" s="115">
        <v>44020</v>
      </c>
      <c r="TD4" t="s">
        <v>1765</v>
      </c>
      <c r="TE4">
        <v>3.03</v>
      </c>
      <c r="TF4" s="185">
        <f>SX4/TE4</f>
        <v>0.53135313531353145</v>
      </c>
      <c r="TG4">
        <v>3.03</v>
      </c>
      <c r="TH4">
        <v>3.46</v>
      </c>
      <c r="TI4" s="115">
        <v>1.39</v>
      </c>
      <c r="TJ4">
        <v>0.3</v>
      </c>
      <c r="TK4">
        <v>7.0000000000000007E-2</v>
      </c>
      <c r="TL4">
        <v>0</v>
      </c>
      <c r="TM4" s="115">
        <v>43978</v>
      </c>
      <c r="TN4" s="58">
        <v>58400</v>
      </c>
      <c r="TO4" s="115">
        <v>43979</v>
      </c>
      <c r="TP4" t="s">
        <v>1765</v>
      </c>
      <c r="TQ4">
        <v>0.97</v>
      </c>
      <c r="TR4" s="185">
        <f>TJ4/TQ4</f>
        <v>0.30927835051546393</v>
      </c>
      <c r="TS4">
        <v>0.97</v>
      </c>
      <c r="TT4">
        <v>0.96</v>
      </c>
      <c r="TU4" s="115">
        <v>1.45</v>
      </c>
      <c r="TV4">
        <v>1.04</v>
      </c>
      <c r="TW4">
        <v>1.05</v>
      </c>
      <c r="TX4">
        <v>0</v>
      </c>
      <c r="TY4" t="s">
        <v>1809</v>
      </c>
      <c r="TZ4" s="58">
        <v>191214.34</v>
      </c>
      <c r="UA4" t="s">
        <v>1809</v>
      </c>
      <c r="UB4" t="s">
        <v>1765</v>
      </c>
      <c r="UC4" s="203">
        <v>2.66</v>
      </c>
      <c r="UD4" s="185">
        <f>TV4/UC4</f>
        <v>0.39097744360902253</v>
      </c>
      <c r="UE4">
        <v>2.66</v>
      </c>
      <c r="UF4">
        <v>0.75</v>
      </c>
      <c r="UG4" s="115">
        <v>1.29</v>
      </c>
      <c r="UH4">
        <v>2.71</v>
      </c>
      <c r="UI4">
        <v>1.71</v>
      </c>
      <c r="UJ4">
        <v>0</v>
      </c>
      <c r="UK4" s="115">
        <v>44139</v>
      </c>
      <c r="UL4" s="58">
        <v>191203.92</v>
      </c>
      <c r="UM4" s="115">
        <v>44140</v>
      </c>
      <c r="UN4" t="s">
        <v>1765</v>
      </c>
      <c r="UO4">
        <v>2.66</v>
      </c>
      <c r="UP4" s="185">
        <f>UH4/UO4</f>
        <v>1.018796992481203</v>
      </c>
      <c r="UQ4">
        <v>2.66</v>
      </c>
      <c r="UR4">
        <v>0.75</v>
      </c>
      <c r="US4" s="115">
        <v>1.29</v>
      </c>
      <c r="UT4">
        <v>2.71</v>
      </c>
      <c r="UU4">
        <v>1.71</v>
      </c>
      <c r="UV4">
        <v>0</v>
      </c>
      <c r="UW4" s="115">
        <v>44139</v>
      </c>
      <c r="UX4" s="58">
        <v>191203.92</v>
      </c>
      <c r="UY4" s="115">
        <v>44140</v>
      </c>
      <c r="UZ4" t="s">
        <v>1765</v>
      </c>
      <c r="VA4">
        <v>2.66</v>
      </c>
      <c r="VB4" s="185">
        <f>UT4/VA4</f>
        <v>1.018796992481203</v>
      </c>
      <c r="VC4">
        <v>2.66</v>
      </c>
      <c r="VD4">
        <v>0.75</v>
      </c>
      <c r="VE4" s="115">
        <v>1.29</v>
      </c>
      <c r="VF4">
        <v>2.71</v>
      </c>
      <c r="VG4">
        <v>1.71</v>
      </c>
      <c r="VH4">
        <v>0</v>
      </c>
      <c r="VI4" s="115">
        <v>43994</v>
      </c>
      <c r="VJ4" s="58">
        <v>3462.83</v>
      </c>
      <c r="VK4" s="115">
        <v>43997</v>
      </c>
      <c r="VL4" t="s">
        <v>1765</v>
      </c>
      <c r="VM4">
        <v>0.7</v>
      </c>
      <c r="VN4" s="185">
        <f>VF4/VM4</f>
        <v>3.8714285714285714</v>
      </c>
      <c r="VO4">
        <v>0.7</v>
      </c>
      <c r="VP4">
        <v>0.3</v>
      </c>
      <c r="VQ4" s="115">
        <v>0.36</v>
      </c>
      <c r="VR4">
        <v>0.05</v>
      </c>
      <c r="VS4">
        <v>0.11</v>
      </c>
      <c r="VT4">
        <v>0</v>
      </c>
      <c r="VU4" s="115">
        <v>44034</v>
      </c>
      <c r="VV4" s="58">
        <v>188146.31</v>
      </c>
      <c r="VW4" s="115">
        <v>44035</v>
      </c>
      <c r="VX4" t="s">
        <v>1765</v>
      </c>
      <c r="VY4">
        <v>1.1599999999999999</v>
      </c>
      <c r="VZ4" s="185">
        <f>VR4/VY4</f>
        <v>4.3103448275862072E-2</v>
      </c>
      <c r="WA4">
        <v>1.1599999999999999</v>
      </c>
      <c r="WB4">
        <v>1.64</v>
      </c>
      <c r="WC4" s="115">
        <v>1.26</v>
      </c>
      <c r="WD4">
        <v>1.25</v>
      </c>
      <c r="WE4">
        <v>1.1000000000000001</v>
      </c>
      <c r="WF4">
        <v>0</v>
      </c>
      <c r="WG4" s="115">
        <v>44015</v>
      </c>
      <c r="WH4" s="58">
        <v>69596.800000000003</v>
      </c>
      <c r="WI4" s="115">
        <v>44018</v>
      </c>
      <c r="WJ4" t="s">
        <v>1765</v>
      </c>
      <c r="WK4">
        <v>0.05</v>
      </c>
      <c r="WL4" s="185">
        <f>WD4/WK4</f>
        <v>25</v>
      </c>
      <c r="WM4">
        <v>0.05</v>
      </c>
      <c r="WN4">
        <v>0.1</v>
      </c>
      <c r="WO4" s="115">
        <v>0.22</v>
      </c>
      <c r="WP4">
        <v>0.05</v>
      </c>
      <c r="WQ4">
        <v>0.05</v>
      </c>
      <c r="WR4">
        <v>0</v>
      </c>
      <c r="WS4" s="115">
        <v>44015</v>
      </c>
      <c r="WT4" s="58">
        <v>69596.800000000003</v>
      </c>
      <c r="WU4" s="115">
        <v>44018</v>
      </c>
      <c r="WV4" t="s">
        <v>1765</v>
      </c>
      <c r="WW4">
        <v>0.05</v>
      </c>
      <c r="WX4" s="185">
        <f>WP4/WW4</f>
        <v>1</v>
      </c>
      <c r="WY4">
        <v>0.05</v>
      </c>
      <c r="WZ4">
        <v>0.1</v>
      </c>
      <c r="XA4" s="115">
        <v>0.22</v>
      </c>
      <c r="XB4">
        <v>0.05</v>
      </c>
      <c r="XC4">
        <v>0.05</v>
      </c>
      <c r="XD4">
        <v>0</v>
      </c>
      <c r="XE4" s="115">
        <v>44021</v>
      </c>
      <c r="XF4" s="58">
        <v>360000</v>
      </c>
      <c r="XG4" s="115">
        <v>44022</v>
      </c>
      <c r="XH4" t="s">
        <v>1765</v>
      </c>
      <c r="XI4">
        <v>1.18</v>
      </c>
      <c r="XJ4" s="185">
        <f>XB4/XI4</f>
        <v>4.2372881355932208E-2</v>
      </c>
      <c r="XK4">
        <v>1.18</v>
      </c>
      <c r="XL4">
        <v>1.1000000000000001</v>
      </c>
      <c r="XM4" s="115">
        <v>1.04</v>
      </c>
      <c r="XN4">
        <v>0.28000000000000003</v>
      </c>
      <c r="XO4">
        <v>-0.3</v>
      </c>
      <c r="XP4">
        <v>0</v>
      </c>
      <c r="XQ4" s="115">
        <v>44005</v>
      </c>
      <c r="XR4" s="58">
        <v>25736.22</v>
      </c>
      <c r="XS4" s="115">
        <v>44006</v>
      </c>
      <c r="XT4" t="s">
        <v>1765</v>
      </c>
      <c r="XU4">
        <v>0.47</v>
      </c>
      <c r="XV4" s="185">
        <f>XN4/XU4</f>
        <v>0.59574468085106391</v>
      </c>
      <c r="XW4">
        <v>0.47</v>
      </c>
      <c r="XX4">
        <v>0.23</v>
      </c>
      <c r="XY4" s="115">
        <v>0.2</v>
      </c>
      <c r="XZ4">
        <v>0.28999999999999998</v>
      </c>
      <c r="YA4">
        <v>0.28000000000000003</v>
      </c>
      <c r="YB4">
        <v>0</v>
      </c>
      <c r="YC4" s="115">
        <v>43970</v>
      </c>
      <c r="YD4" s="58">
        <v>4550.25</v>
      </c>
      <c r="YE4" s="115">
        <v>43971</v>
      </c>
      <c r="YF4" t="s">
        <v>1765</v>
      </c>
      <c r="YG4">
        <v>0.54</v>
      </c>
      <c r="YH4" s="185">
        <f>XZ4/YG4</f>
        <v>0.53703703703703698</v>
      </c>
      <c r="YI4">
        <v>0.54</v>
      </c>
      <c r="YJ4">
        <v>0.32</v>
      </c>
      <c r="YK4" s="115">
        <v>1.01</v>
      </c>
      <c r="YL4">
        <v>1.19</v>
      </c>
      <c r="YM4">
        <v>0.85</v>
      </c>
      <c r="YN4">
        <v>0</v>
      </c>
      <c r="YO4" s="115">
        <v>43983</v>
      </c>
      <c r="YP4" s="58">
        <v>2712.5</v>
      </c>
      <c r="YQ4" s="115">
        <v>43984</v>
      </c>
      <c r="YR4" t="s">
        <v>1765</v>
      </c>
      <c r="YS4">
        <v>1.46</v>
      </c>
      <c r="YT4" s="185">
        <f>YL4/YS4</f>
        <v>0.81506849315068497</v>
      </c>
      <c r="YU4">
        <v>1.46</v>
      </c>
      <c r="YV4">
        <v>1.1599999999999999</v>
      </c>
      <c r="YW4" s="115">
        <v>0.85</v>
      </c>
      <c r="YX4">
        <v>0.55000000000000004</v>
      </c>
      <c r="YY4">
        <v>1.03</v>
      </c>
      <c r="YZ4">
        <v>0.3</v>
      </c>
      <c r="ZA4" s="115">
        <v>43976</v>
      </c>
      <c r="ZB4" s="58">
        <v>8596.73</v>
      </c>
      <c r="ZC4" s="115">
        <v>43977</v>
      </c>
      <c r="ZD4" t="s">
        <v>1765</v>
      </c>
      <c r="ZE4">
        <v>1.18</v>
      </c>
      <c r="ZF4" s="185">
        <f>YX4/ZE4</f>
        <v>0.46610169491525427</v>
      </c>
      <c r="ZG4">
        <v>1.18</v>
      </c>
      <c r="ZH4">
        <v>0.74</v>
      </c>
      <c r="ZI4" s="115">
        <v>0.83</v>
      </c>
      <c r="ZJ4">
        <v>0.83</v>
      </c>
      <c r="ZK4">
        <v>0.53</v>
      </c>
      <c r="ZL4">
        <v>0</v>
      </c>
      <c r="ZM4" s="115">
        <v>42181</v>
      </c>
      <c r="ZN4">
        <v>744</v>
      </c>
      <c r="ZO4" s="115">
        <v>42184</v>
      </c>
      <c r="ZP4" t="s">
        <v>1765</v>
      </c>
      <c r="ZQ4">
        <v>0.15</v>
      </c>
      <c r="ZR4" s="185">
        <f>ZJ4/ZQ4</f>
        <v>5.5333333333333332</v>
      </c>
      <c r="ZS4">
        <v>0.15</v>
      </c>
      <c r="ZT4">
        <v>0.03</v>
      </c>
      <c r="ZU4" s="115">
        <v>-0.38</v>
      </c>
      <c r="ZV4">
        <v>0.04</v>
      </c>
      <c r="ZW4">
        <v>-0.41</v>
      </c>
      <c r="ZX4">
        <v>0</v>
      </c>
      <c r="ZY4" s="115">
        <v>43965</v>
      </c>
      <c r="ZZ4" s="58">
        <v>9640.31</v>
      </c>
      <c r="AAA4" s="115">
        <v>43966</v>
      </c>
      <c r="AAB4" t="s">
        <v>1765</v>
      </c>
      <c r="AAC4">
        <v>0.51</v>
      </c>
      <c r="AAD4" s="185">
        <f>ZV4/AAC4</f>
        <v>7.8431372549019607E-2</v>
      </c>
      <c r="AAE4">
        <v>0.51</v>
      </c>
      <c r="AAF4">
        <v>0.47</v>
      </c>
      <c r="AAG4" s="115">
        <v>0.41</v>
      </c>
      <c r="AAH4">
        <v>0.37</v>
      </c>
      <c r="AAI4">
        <v>0.7</v>
      </c>
      <c r="AAJ4">
        <v>0</v>
      </c>
      <c r="AAK4" s="115">
        <v>43970</v>
      </c>
      <c r="AAL4" s="58">
        <v>40099.08</v>
      </c>
      <c r="AAM4" s="115">
        <v>43971</v>
      </c>
      <c r="AAN4" t="s">
        <v>1765</v>
      </c>
      <c r="AAO4">
        <v>0.75</v>
      </c>
      <c r="AAP4" s="185">
        <f>AAH4/AAO4</f>
        <v>0.49333333333333335</v>
      </c>
      <c r="AAQ4">
        <v>0.75</v>
      </c>
      <c r="AAR4">
        <v>0.73</v>
      </c>
      <c r="AAS4" s="115">
        <v>0.59</v>
      </c>
      <c r="AAT4">
        <v>0.8</v>
      </c>
      <c r="AAU4">
        <v>0.62</v>
      </c>
      <c r="AAV4">
        <v>0</v>
      </c>
      <c r="AAW4" s="115">
        <v>44000</v>
      </c>
      <c r="AAX4" s="58">
        <v>1958.03</v>
      </c>
      <c r="AAY4" s="115">
        <v>44001</v>
      </c>
      <c r="AAZ4" t="s">
        <v>1765</v>
      </c>
      <c r="ABA4">
        <v>0.1</v>
      </c>
      <c r="ABB4" s="185">
        <f>AAT4/ABA4</f>
        <v>8</v>
      </c>
      <c r="ABC4">
        <v>0.1</v>
      </c>
      <c r="ABD4">
        <v>-0.05</v>
      </c>
      <c r="ABE4" s="115">
        <v>7.0000000000000007E-2</v>
      </c>
      <c r="ABF4">
        <v>0.3</v>
      </c>
      <c r="ABG4">
        <v>0.13</v>
      </c>
      <c r="ABH4">
        <v>0</v>
      </c>
      <c r="ABI4" s="115">
        <v>44021</v>
      </c>
      <c r="ABJ4" s="58">
        <v>360000</v>
      </c>
      <c r="ABK4" s="115">
        <v>44022</v>
      </c>
      <c r="ABL4" t="s">
        <v>1765</v>
      </c>
      <c r="ABM4">
        <v>1.18</v>
      </c>
      <c r="ABN4" s="185">
        <f>ABF4/ABM4</f>
        <v>0.25423728813559321</v>
      </c>
      <c r="ABO4">
        <v>1.18</v>
      </c>
      <c r="ABP4">
        <v>1.1000000000000001</v>
      </c>
      <c r="ABQ4" s="115">
        <v>1.04</v>
      </c>
      <c r="ABR4">
        <v>0.28000000000000003</v>
      </c>
      <c r="ABS4">
        <v>-0.3</v>
      </c>
      <c r="ABT4">
        <v>0</v>
      </c>
      <c r="ABU4" s="115">
        <v>44011</v>
      </c>
      <c r="ABV4" s="58">
        <v>10415.39</v>
      </c>
      <c r="ABW4" s="115">
        <v>44012</v>
      </c>
      <c r="ABX4" t="s">
        <v>1765</v>
      </c>
      <c r="ABY4">
        <v>0.4</v>
      </c>
      <c r="ABZ4" s="185">
        <f>ABR4/ABY4</f>
        <v>0.70000000000000007</v>
      </c>
      <c r="ACA4">
        <v>0.4</v>
      </c>
      <c r="ACB4">
        <v>0.37</v>
      </c>
      <c r="ACC4" s="115">
        <v>1.27</v>
      </c>
      <c r="ACD4">
        <v>0.51</v>
      </c>
      <c r="ACE4">
        <v>0.51</v>
      </c>
      <c r="ACF4">
        <v>0.3</v>
      </c>
      <c r="ACG4" s="115">
        <v>37396</v>
      </c>
      <c r="ACH4">
        <v>0</v>
      </c>
      <c r="ACI4" s="115">
        <v>37397</v>
      </c>
      <c r="ACJ4" t="s">
        <v>1765</v>
      </c>
      <c r="ACK4">
        <v>7.0000000000000007E-2</v>
      </c>
      <c r="ACL4" s="185">
        <f>ACD4/ACK4</f>
        <v>7.2857142857142856</v>
      </c>
      <c r="ACM4">
        <v>7.0000000000000007E-2</v>
      </c>
      <c r="ACN4">
        <v>0.05</v>
      </c>
      <c r="ACO4" s="115">
        <v>0.19</v>
      </c>
      <c r="ACP4">
        <v>0.13</v>
      </c>
      <c r="ACQ4">
        <v>0.01</v>
      </c>
      <c r="ACR4">
        <v>0</v>
      </c>
      <c r="ACS4" s="115">
        <v>44027</v>
      </c>
      <c r="ACT4" s="58">
        <v>246733.75</v>
      </c>
      <c r="ACU4" s="115">
        <v>44028</v>
      </c>
      <c r="ACV4" t="s">
        <v>1765</v>
      </c>
      <c r="ACW4">
        <v>1.29</v>
      </c>
      <c r="ACX4" s="185">
        <f>ACP4/ACW4</f>
        <v>0.10077519379844961</v>
      </c>
      <c r="ACY4">
        <v>1.29</v>
      </c>
      <c r="ACZ4">
        <v>1.21</v>
      </c>
      <c r="ADA4" s="115">
        <v>1.1399999999999999</v>
      </c>
      <c r="ADB4">
        <v>0.83</v>
      </c>
      <c r="ADC4">
        <v>0.71</v>
      </c>
      <c r="ADD4">
        <v>0</v>
      </c>
      <c r="ADE4" s="115">
        <v>43983</v>
      </c>
      <c r="ADF4" s="58">
        <v>1118102.81</v>
      </c>
      <c r="ADG4" s="115">
        <v>43984</v>
      </c>
      <c r="ADH4" t="s">
        <v>1765</v>
      </c>
      <c r="ADI4">
        <v>3.6</v>
      </c>
      <c r="ADJ4" s="185">
        <f>ADB4/ADI4</f>
        <v>0.23055555555555554</v>
      </c>
      <c r="ADK4">
        <v>3.6</v>
      </c>
      <c r="ADL4">
        <v>3.08</v>
      </c>
      <c r="ADM4" s="115">
        <v>2.66</v>
      </c>
      <c r="ADN4">
        <v>2.29</v>
      </c>
      <c r="ADO4">
        <v>2.99</v>
      </c>
      <c r="ADP4">
        <v>0</v>
      </c>
      <c r="ADQ4" s="115">
        <v>43942</v>
      </c>
      <c r="ADR4" s="58">
        <v>16416</v>
      </c>
      <c r="ADS4" s="115">
        <v>43943</v>
      </c>
      <c r="ADT4" t="s">
        <v>1765</v>
      </c>
      <c r="ADU4">
        <v>0.95</v>
      </c>
      <c r="ADV4" s="185">
        <f>ADN4/ADU4</f>
        <v>2.4105263157894736</v>
      </c>
      <c r="ADW4">
        <v>0.95</v>
      </c>
      <c r="ADX4">
        <v>1.08</v>
      </c>
      <c r="ADY4" s="115">
        <v>0.98</v>
      </c>
      <c r="ADZ4">
        <v>0.7</v>
      </c>
      <c r="AEA4">
        <v>1.24</v>
      </c>
      <c r="AEB4">
        <v>0</v>
      </c>
      <c r="AEC4" s="115">
        <v>44041</v>
      </c>
      <c r="AED4" s="58">
        <v>21341.42</v>
      </c>
      <c r="AEE4" s="115">
        <v>44042</v>
      </c>
      <c r="AEF4" t="s">
        <v>1765</v>
      </c>
      <c r="AEG4">
        <v>0.61</v>
      </c>
      <c r="AEH4" s="185">
        <f>ADZ4/AEG4</f>
        <v>1.1475409836065573</v>
      </c>
      <c r="AEI4">
        <v>0.61</v>
      </c>
      <c r="AEJ4">
        <v>1.61</v>
      </c>
      <c r="AEK4" s="115">
        <v>1.56</v>
      </c>
      <c r="AEL4">
        <v>0.71</v>
      </c>
      <c r="AEM4">
        <v>0.71</v>
      </c>
      <c r="AEN4">
        <v>0</v>
      </c>
      <c r="AEO4" s="115">
        <v>43994</v>
      </c>
      <c r="AEP4" s="58">
        <v>5375.42</v>
      </c>
      <c r="AEQ4" s="115">
        <v>43997</v>
      </c>
      <c r="AER4" t="s">
        <v>1765</v>
      </c>
      <c r="AES4">
        <v>1.37</v>
      </c>
      <c r="AET4" s="185">
        <f>AEL4/AES4</f>
        <v>0.51824817518248167</v>
      </c>
      <c r="AEU4">
        <v>1.37</v>
      </c>
      <c r="AEV4">
        <v>0.9</v>
      </c>
      <c r="AEW4" s="115">
        <v>0.88</v>
      </c>
      <c r="AEX4">
        <v>0.88</v>
      </c>
      <c r="AEY4">
        <v>0.71</v>
      </c>
      <c r="AEZ4">
        <v>0</v>
      </c>
      <c r="AFA4" s="115">
        <v>43978</v>
      </c>
      <c r="AFB4" s="58">
        <v>61190.91</v>
      </c>
      <c r="AFC4" s="115">
        <v>43979</v>
      </c>
      <c r="AFD4" t="s">
        <v>1765</v>
      </c>
      <c r="AFE4">
        <v>0.66</v>
      </c>
      <c r="AFF4" s="185">
        <f>AEX4/AFE4</f>
        <v>1.3333333333333333</v>
      </c>
      <c r="AFG4">
        <v>0.66</v>
      </c>
      <c r="AFH4">
        <v>0.85</v>
      </c>
      <c r="AFI4" s="115">
        <v>0.52</v>
      </c>
      <c r="AFJ4">
        <v>0.41</v>
      </c>
      <c r="AFK4">
        <v>0.45</v>
      </c>
      <c r="AFL4">
        <v>0</v>
      </c>
      <c r="AFM4" s="115">
        <v>44027</v>
      </c>
      <c r="AFN4" s="58">
        <v>13284.45</v>
      </c>
      <c r="AFO4" s="115">
        <v>44028</v>
      </c>
      <c r="AFP4" t="s">
        <v>1765</v>
      </c>
      <c r="AFQ4">
        <v>-0.68</v>
      </c>
      <c r="AFR4" s="185">
        <f>AFJ4/AFQ4</f>
        <v>-0.6029411764705882</v>
      </c>
      <c r="AFS4">
        <v>-0.68</v>
      </c>
      <c r="AFT4">
        <v>3.19</v>
      </c>
      <c r="AFU4" s="115">
        <v>3.13</v>
      </c>
      <c r="AFV4">
        <v>2.83</v>
      </c>
      <c r="AFW4">
        <v>2.48</v>
      </c>
      <c r="AFX4">
        <v>0</v>
      </c>
      <c r="AFY4" s="115">
        <v>43965</v>
      </c>
      <c r="AFZ4" s="58">
        <v>408167.06</v>
      </c>
      <c r="AGA4" s="115">
        <v>43966</v>
      </c>
      <c r="AGB4" t="s">
        <v>1765</v>
      </c>
      <c r="AGC4">
        <v>3.23</v>
      </c>
      <c r="AGD4" s="185">
        <f>AFV4/AGC4</f>
        <v>0.87616099071207432</v>
      </c>
      <c r="AGE4">
        <v>3.23</v>
      </c>
      <c r="AGF4">
        <v>3.88</v>
      </c>
      <c r="AGG4" s="115">
        <v>4.09</v>
      </c>
      <c r="AGH4">
        <v>1.42</v>
      </c>
      <c r="AGI4">
        <v>0.74</v>
      </c>
      <c r="AGJ4">
        <v>0</v>
      </c>
      <c r="AGK4" s="115">
        <v>44015</v>
      </c>
      <c r="AGL4" s="58">
        <v>69596.800000000003</v>
      </c>
      <c r="AGM4" s="115">
        <v>44018</v>
      </c>
      <c r="AGN4" t="s">
        <v>1765</v>
      </c>
      <c r="AGO4">
        <v>0.05</v>
      </c>
      <c r="AGP4" s="185">
        <f>AGH4/AGO4</f>
        <v>28.4</v>
      </c>
      <c r="AGQ4">
        <v>0.05</v>
      </c>
      <c r="AGR4">
        <v>0.1</v>
      </c>
      <c r="AGS4" s="115">
        <v>0.22</v>
      </c>
      <c r="AGT4">
        <v>0.05</v>
      </c>
      <c r="AGU4">
        <v>0.05</v>
      </c>
      <c r="AGV4">
        <v>0</v>
      </c>
      <c r="AGW4" s="115">
        <v>44130</v>
      </c>
      <c r="AGX4" s="58">
        <v>166276.07</v>
      </c>
      <c r="AGY4" s="115">
        <v>44131</v>
      </c>
      <c r="AGZ4" t="s">
        <v>1765</v>
      </c>
      <c r="AHA4">
        <v>0.57999999999999996</v>
      </c>
      <c r="AHB4" s="185">
        <f>AGT4/AHA4</f>
        <v>8.6206896551724144E-2</v>
      </c>
      <c r="AHC4">
        <v>0.57999999999999996</v>
      </c>
      <c r="AHD4">
        <v>0.26</v>
      </c>
      <c r="AHE4" s="115">
        <v>0.17</v>
      </c>
      <c r="AHF4">
        <v>-0.12</v>
      </c>
      <c r="AHG4">
        <v>0.01</v>
      </c>
      <c r="AHH4">
        <v>0</v>
      </c>
      <c r="AHI4" s="115">
        <v>43970</v>
      </c>
      <c r="AHJ4" s="58">
        <v>5821.9</v>
      </c>
      <c r="AHK4" s="115">
        <v>43971</v>
      </c>
      <c r="AHL4" t="s">
        <v>1765</v>
      </c>
      <c r="AHM4">
        <v>0.28999999999999998</v>
      </c>
      <c r="AHN4" s="185">
        <f>AHF4/AHM4</f>
        <v>-0.41379310344827586</v>
      </c>
      <c r="AHO4">
        <v>0.28999999999999998</v>
      </c>
      <c r="AHP4">
        <v>0.16</v>
      </c>
      <c r="AHQ4" s="115">
        <v>0.08</v>
      </c>
      <c r="AHR4">
        <v>0.13</v>
      </c>
      <c r="AHS4">
        <v>0.47</v>
      </c>
      <c r="AHT4">
        <v>0</v>
      </c>
      <c r="AHU4" s="115">
        <v>44033</v>
      </c>
      <c r="AHV4" s="58">
        <v>355406.02</v>
      </c>
      <c r="AHW4" s="115">
        <v>44034</v>
      </c>
      <c r="AHX4" t="s">
        <v>1765</v>
      </c>
      <c r="AHY4">
        <v>1.36</v>
      </c>
      <c r="AHZ4" s="185">
        <f>AHR4/AHY4</f>
        <v>9.5588235294117641E-2</v>
      </c>
      <c r="AIA4">
        <v>1.36</v>
      </c>
      <c r="AIB4">
        <v>0.79</v>
      </c>
      <c r="AIC4" s="115">
        <v>0.27</v>
      </c>
      <c r="AID4">
        <v>0.03</v>
      </c>
      <c r="AIE4">
        <v>0.02</v>
      </c>
      <c r="AIF4">
        <v>0</v>
      </c>
      <c r="AIG4" s="115">
        <v>43999</v>
      </c>
      <c r="AIH4" s="58">
        <v>22138.82</v>
      </c>
      <c r="AII4" s="115">
        <v>44000</v>
      </c>
      <c r="AIJ4" t="s">
        <v>1765</v>
      </c>
      <c r="AIK4">
        <v>0.69</v>
      </c>
      <c r="AIL4" s="185">
        <f>AID4/AIK4</f>
        <v>4.3478260869565216E-2</v>
      </c>
      <c r="AIM4">
        <v>0.69</v>
      </c>
      <c r="AIN4">
        <v>0.54</v>
      </c>
      <c r="AIO4" s="115">
        <v>0.28999999999999998</v>
      </c>
      <c r="AIP4">
        <v>0.04</v>
      </c>
      <c r="AIQ4">
        <v>0.02</v>
      </c>
      <c r="AIR4">
        <v>0</v>
      </c>
      <c r="AIS4" s="115">
        <v>44005</v>
      </c>
      <c r="AIT4" s="58">
        <v>2138676.75</v>
      </c>
      <c r="AIU4" s="115">
        <v>44006</v>
      </c>
      <c r="AIV4" t="s">
        <v>1765</v>
      </c>
      <c r="AIW4">
        <v>32.799999999999997</v>
      </c>
      <c r="AIX4" s="185">
        <f>AIP4/AIW4</f>
        <v>1.2195121951219514E-3</v>
      </c>
      <c r="AIY4">
        <v>32.799999999999997</v>
      </c>
      <c r="AIZ4">
        <v>28.02</v>
      </c>
      <c r="AJA4" s="115">
        <v>21.56</v>
      </c>
      <c r="AJB4">
        <v>13.31</v>
      </c>
      <c r="AJC4">
        <v>12.34</v>
      </c>
      <c r="AJD4">
        <v>0</v>
      </c>
      <c r="AJE4" s="115">
        <v>44001</v>
      </c>
      <c r="AJF4" s="58">
        <v>853953.76</v>
      </c>
      <c r="AJG4" s="115">
        <v>44004</v>
      </c>
      <c r="AJH4" t="s">
        <v>1765</v>
      </c>
      <c r="AJI4">
        <v>4.4800000000000004</v>
      </c>
      <c r="AJJ4" s="185">
        <f>AJB4/AJI4</f>
        <v>2.9709821428571428</v>
      </c>
      <c r="AJK4">
        <v>4.4800000000000004</v>
      </c>
      <c r="AJL4">
        <v>3.47</v>
      </c>
      <c r="AJM4" s="115">
        <v>2.5499999999999998</v>
      </c>
      <c r="AJN4">
        <v>1.79</v>
      </c>
      <c r="AJO4">
        <v>1.63</v>
      </c>
      <c r="AJP4">
        <v>0</v>
      </c>
      <c r="AJQ4" s="115">
        <v>44021</v>
      </c>
      <c r="AJR4" s="58">
        <v>6451.5</v>
      </c>
      <c r="AJS4" s="115">
        <v>44022</v>
      </c>
      <c r="AJT4" t="s">
        <v>1765</v>
      </c>
      <c r="AJU4">
        <v>0.28000000000000003</v>
      </c>
      <c r="AJV4" s="185">
        <f>AJN4/AJU4</f>
        <v>6.3928571428571423</v>
      </c>
      <c r="AJW4">
        <v>0.28000000000000003</v>
      </c>
      <c r="AJX4">
        <v>-0.22</v>
      </c>
      <c r="AJY4" s="115">
        <v>-0.51</v>
      </c>
      <c r="AJZ4">
        <v>0.01</v>
      </c>
      <c r="AKA4">
        <v>-0.42</v>
      </c>
      <c r="AKB4">
        <v>0</v>
      </c>
      <c r="AKC4" s="115">
        <v>43979</v>
      </c>
      <c r="AKD4" s="58">
        <v>654150.75</v>
      </c>
      <c r="AKE4" s="115">
        <v>43980</v>
      </c>
      <c r="AKF4" t="s">
        <v>1765</v>
      </c>
      <c r="AKG4">
        <v>1.34</v>
      </c>
      <c r="AKH4" s="185">
        <f>AJZ4/AKG4</f>
        <v>7.462686567164179E-3</v>
      </c>
      <c r="AKI4">
        <v>1.34</v>
      </c>
      <c r="AKJ4">
        <v>1.24</v>
      </c>
      <c r="AKK4" s="115">
        <v>1.03</v>
      </c>
      <c r="AKL4">
        <v>0.82</v>
      </c>
      <c r="AKM4">
        <v>1.46</v>
      </c>
      <c r="AKN4">
        <v>0</v>
      </c>
      <c r="AKO4" s="115">
        <v>43259</v>
      </c>
      <c r="AKP4" s="58">
        <v>3307.64</v>
      </c>
      <c r="AKQ4" s="115">
        <v>43262</v>
      </c>
      <c r="AKR4" t="s">
        <v>1765</v>
      </c>
      <c r="AKS4">
        <v>0.13</v>
      </c>
      <c r="AKT4" s="185">
        <f>AKL4/AKS4</f>
        <v>6.3076923076923075</v>
      </c>
      <c r="AKU4">
        <v>0.13</v>
      </c>
      <c r="AKV4">
        <v>0.12</v>
      </c>
      <c r="AKW4" s="115">
        <v>0.11</v>
      </c>
      <c r="AKX4">
        <v>0.1</v>
      </c>
      <c r="AKY4">
        <v>0.52</v>
      </c>
      <c r="AKZ4">
        <v>0</v>
      </c>
      <c r="ALA4" s="115">
        <v>43291</v>
      </c>
      <c r="ALB4" s="58">
        <v>15322.84</v>
      </c>
      <c r="ALC4" s="115">
        <v>43292</v>
      </c>
      <c r="ALD4" t="s">
        <v>1765</v>
      </c>
      <c r="ALE4">
        <v>0.26</v>
      </c>
      <c r="ALF4" s="185">
        <f>AKX4/ALE4</f>
        <v>0.38461538461538464</v>
      </c>
      <c r="ALG4">
        <v>0.26</v>
      </c>
      <c r="ALH4">
        <v>0.26</v>
      </c>
      <c r="ALI4">
        <v>0.57999999999999996</v>
      </c>
      <c r="ALJ4">
        <v>0.65</v>
      </c>
      <c r="ALK4">
        <v>0.63</v>
      </c>
      <c r="ALQ4">
        <v>5.68</v>
      </c>
      <c r="ALR4" s="185">
        <f>ALJ4/ALQ4</f>
        <v>0.11443661971830987</v>
      </c>
      <c r="ALS4">
        <v>5.68</v>
      </c>
      <c r="ALT4">
        <v>2.16</v>
      </c>
      <c r="ALU4">
        <v>2.27</v>
      </c>
      <c r="ALV4">
        <v>1.17</v>
      </c>
      <c r="ALW4">
        <v>0.17</v>
      </c>
      <c r="AMC4">
        <v>1.21</v>
      </c>
      <c r="AMD4" s="185">
        <f>ALV4/AMC4</f>
        <v>0.96694214876033058</v>
      </c>
      <c r="AME4">
        <v>1.21</v>
      </c>
      <c r="AMF4">
        <v>1.91</v>
      </c>
      <c r="AMG4" s="115">
        <v>1.0900000000000001</v>
      </c>
      <c r="AMH4">
        <v>1.1499999999999999</v>
      </c>
      <c r="AMI4">
        <v>0.9</v>
      </c>
      <c r="AMJ4">
        <v>0</v>
      </c>
      <c r="AMK4" s="115">
        <v>44005</v>
      </c>
      <c r="AML4" s="58">
        <v>49472.01</v>
      </c>
      <c r="AMM4" s="115">
        <v>44006</v>
      </c>
      <c r="AMN4" t="s">
        <v>1765</v>
      </c>
      <c r="AMO4">
        <v>2.2799999999999998</v>
      </c>
      <c r="AMP4" s="185">
        <f>AMH4/AMO4</f>
        <v>0.50438596491228072</v>
      </c>
      <c r="AMQ4">
        <v>2.2799999999999998</v>
      </c>
      <c r="AMR4">
        <v>1.89</v>
      </c>
      <c r="AMS4" s="115">
        <v>1.34</v>
      </c>
      <c r="AMT4">
        <v>0.89</v>
      </c>
      <c r="AMU4">
        <v>1.1599999999999999</v>
      </c>
      <c r="AMV4">
        <v>0</v>
      </c>
      <c r="AMW4" s="115">
        <v>43966</v>
      </c>
      <c r="AMX4" s="58">
        <v>73225.789999999994</v>
      </c>
      <c r="AMY4" s="115">
        <v>43969</v>
      </c>
      <c r="AMZ4" t="s">
        <v>1765</v>
      </c>
      <c r="ANA4" s="56">
        <v>2.93</v>
      </c>
      <c r="ANB4" s="185">
        <f>AMT4/ANA4</f>
        <v>0.30375426621160406</v>
      </c>
      <c r="ANC4">
        <v>2.93</v>
      </c>
      <c r="AND4">
        <v>1.81</v>
      </c>
      <c r="ANE4" s="115">
        <v>0.97</v>
      </c>
      <c r="ANF4">
        <v>0.18</v>
      </c>
      <c r="ANG4">
        <v>0.08</v>
      </c>
      <c r="ANH4">
        <v>0</v>
      </c>
      <c r="ANI4" s="115">
        <v>43999</v>
      </c>
      <c r="ANJ4" s="58">
        <v>1059860.52</v>
      </c>
      <c r="ANK4" s="115">
        <v>44000</v>
      </c>
      <c r="ANL4" t="s">
        <v>1765</v>
      </c>
      <c r="ANM4">
        <v>6.34</v>
      </c>
      <c r="ANN4" s="185">
        <f>ANF4/ANM4</f>
        <v>2.8391167192429023E-2</v>
      </c>
      <c r="ANO4">
        <v>6.34</v>
      </c>
      <c r="ANP4">
        <v>5.63</v>
      </c>
      <c r="ANQ4" s="115">
        <v>2.99</v>
      </c>
      <c r="ANR4">
        <v>1.61</v>
      </c>
      <c r="ANS4">
        <v>1.42</v>
      </c>
      <c r="ANT4">
        <v>0</v>
      </c>
      <c r="ANU4" s="115">
        <v>43966</v>
      </c>
      <c r="ANV4" s="58">
        <v>73225.789999999994</v>
      </c>
      <c r="ANW4" s="115">
        <v>43969</v>
      </c>
      <c r="ANX4" t="s">
        <v>1765</v>
      </c>
      <c r="ANY4">
        <v>2.93</v>
      </c>
      <c r="ANZ4" s="185">
        <f>ANR4/ANY4</f>
        <v>0.54948805460750849</v>
      </c>
      <c r="AOA4">
        <v>2.93</v>
      </c>
      <c r="AOB4">
        <v>1.81</v>
      </c>
      <c r="AOC4" s="115">
        <v>0.97</v>
      </c>
      <c r="AOD4">
        <v>0.18</v>
      </c>
      <c r="AOE4">
        <v>0.08</v>
      </c>
      <c r="AOF4">
        <v>0</v>
      </c>
      <c r="AOG4" s="115">
        <v>44089</v>
      </c>
      <c r="AOH4" s="58">
        <v>1462419.31</v>
      </c>
      <c r="AOI4" s="115">
        <v>44090</v>
      </c>
      <c r="AOJ4" t="s">
        <v>1765</v>
      </c>
      <c r="AOK4">
        <v>8.41</v>
      </c>
      <c r="AOL4" s="185">
        <f>AOD4/AOK4</f>
        <v>2.1403091557669441E-2</v>
      </c>
      <c r="AOM4">
        <v>8.41</v>
      </c>
      <c r="AON4">
        <v>6.02</v>
      </c>
      <c r="AOO4" s="115">
        <v>4.99</v>
      </c>
      <c r="AOP4">
        <v>3.5</v>
      </c>
      <c r="AOQ4">
        <v>2.98</v>
      </c>
      <c r="AOR4">
        <v>0</v>
      </c>
      <c r="AOS4" s="115">
        <v>43998</v>
      </c>
      <c r="AOT4" s="58">
        <v>48994.67</v>
      </c>
      <c r="AOU4" s="115">
        <v>43999</v>
      </c>
      <c r="AOV4" t="s">
        <v>1765</v>
      </c>
      <c r="AOW4">
        <v>1.61</v>
      </c>
      <c r="AOX4" s="185">
        <f>AOP4/AOW4</f>
        <v>2.1739130434782608</v>
      </c>
      <c r="AOY4">
        <v>1.61</v>
      </c>
      <c r="AOZ4">
        <v>1.55</v>
      </c>
      <c r="APA4" s="115">
        <v>1.83</v>
      </c>
      <c r="APB4">
        <v>3</v>
      </c>
      <c r="APC4">
        <v>2.5299999999999998</v>
      </c>
      <c r="APD4">
        <v>0</v>
      </c>
      <c r="APE4" s="115">
        <v>44055</v>
      </c>
      <c r="APF4">
        <v>741.35</v>
      </c>
      <c r="APG4" s="115">
        <v>44056</v>
      </c>
      <c r="APH4" t="s">
        <v>1765</v>
      </c>
      <c r="API4">
        <v>0.11</v>
      </c>
      <c r="APJ4" s="185">
        <f>APB4/API4</f>
        <v>27.272727272727273</v>
      </c>
      <c r="APK4">
        <v>0.11</v>
      </c>
      <c r="APL4">
        <v>2.41</v>
      </c>
      <c r="APM4" s="115">
        <v>4.3600000000000003</v>
      </c>
      <c r="APN4">
        <v>1.26</v>
      </c>
      <c r="APO4">
        <v>-2.0699999999999998</v>
      </c>
      <c r="APP4">
        <v>0</v>
      </c>
      <c r="APQ4" s="115">
        <v>44019</v>
      </c>
      <c r="APR4" s="58">
        <v>123760.47</v>
      </c>
      <c r="APS4" s="115">
        <v>44020</v>
      </c>
      <c r="APT4" t="s">
        <v>1765</v>
      </c>
      <c r="APU4">
        <v>0.72</v>
      </c>
      <c r="APV4" s="185">
        <f>APN4/APU4</f>
        <v>1.75</v>
      </c>
      <c r="APW4">
        <v>0.72</v>
      </c>
      <c r="APX4">
        <v>0.77</v>
      </c>
      <c r="APY4" s="115">
        <v>0.74</v>
      </c>
      <c r="APZ4">
        <v>0.7</v>
      </c>
      <c r="AQA4">
        <v>0.66</v>
      </c>
      <c r="AQB4">
        <v>0</v>
      </c>
      <c r="AQC4" s="115">
        <v>43983</v>
      </c>
      <c r="AQD4" s="58">
        <v>20290.7</v>
      </c>
      <c r="AQE4" s="115">
        <v>43984</v>
      </c>
      <c r="AQF4" t="s">
        <v>1765</v>
      </c>
      <c r="AQG4">
        <v>1.34</v>
      </c>
      <c r="AQH4" s="185">
        <f>APZ4/AQG4</f>
        <v>0.52238805970149249</v>
      </c>
      <c r="AQI4">
        <v>1.34</v>
      </c>
      <c r="AQJ4">
        <v>0.66</v>
      </c>
      <c r="AQK4" s="115">
        <v>0.56999999999999995</v>
      </c>
      <c r="AQL4">
        <v>0.51</v>
      </c>
      <c r="AQM4">
        <v>0.38</v>
      </c>
      <c r="AQN4">
        <v>0</v>
      </c>
      <c r="AQO4" s="115">
        <v>43999</v>
      </c>
      <c r="AQP4" s="58">
        <v>1059860.52</v>
      </c>
      <c r="AQQ4" s="115">
        <v>44000</v>
      </c>
      <c r="AQR4" t="s">
        <v>1765</v>
      </c>
      <c r="AQS4">
        <v>6.34</v>
      </c>
      <c r="AQT4" s="185">
        <f>AQL4/AQS4</f>
        <v>8.0441640378548895E-2</v>
      </c>
      <c r="AQU4">
        <v>6.34</v>
      </c>
      <c r="AQV4">
        <v>5.63</v>
      </c>
      <c r="AQW4" s="115">
        <v>2.99</v>
      </c>
      <c r="AQX4">
        <v>1.61</v>
      </c>
      <c r="AQY4">
        <v>1.42</v>
      </c>
      <c r="AQZ4">
        <v>0</v>
      </c>
      <c r="ARA4" s="115">
        <v>44019</v>
      </c>
      <c r="ARB4" s="58">
        <v>34268.199999999997</v>
      </c>
      <c r="ARC4" s="115">
        <v>44020</v>
      </c>
      <c r="ARD4" t="s">
        <v>1765</v>
      </c>
      <c r="ARE4">
        <v>0.33</v>
      </c>
      <c r="ARF4" s="185">
        <f>AQX4/ARE4</f>
        <v>4.8787878787878789</v>
      </c>
      <c r="ARG4">
        <v>0.33</v>
      </c>
      <c r="ARH4">
        <v>0.77</v>
      </c>
      <c r="ARI4" s="115">
        <v>0.97</v>
      </c>
      <c r="ARJ4">
        <v>0.41</v>
      </c>
      <c r="ARK4">
        <v>0.22</v>
      </c>
      <c r="ARL4">
        <v>0</v>
      </c>
      <c r="ARM4" s="115">
        <v>44026</v>
      </c>
      <c r="ARN4" s="58">
        <v>6973.84</v>
      </c>
      <c r="ARO4" s="115">
        <v>44027</v>
      </c>
      <c r="ARP4" t="s">
        <v>1765</v>
      </c>
      <c r="ARQ4">
        <v>0.96</v>
      </c>
      <c r="ARR4" s="185">
        <f>ARJ4/ARQ4</f>
        <v>0.42708333333333331</v>
      </c>
      <c r="ARS4">
        <v>0.96</v>
      </c>
      <c r="ART4">
        <v>1.04</v>
      </c>
      <c r="ARU4" s="115">
        <v>0.25</v>
      </c>
      <c r="ARV4">
        <v>0.08</v>
      </c>
      <c r="ARW4">
        <v>0.03</v>
      </c>
      <c r="ARX4">
        <v>0</v>
      </c>
      <c r="ARY4" t="s">
        <v>1809</v>
      </c>
      <c r="ARZ4" s="58">
        <v>601573.09</v>
      </c>
      <c r="ASA4" t="s">
        <v>1809</v>
      </c>
      <c r="ASB4" t="s">
        <v>1765</v>
      </c>
      <c r="ASC4">
        <v>4.1100000000000003</v>
      </c>
      <c r="ASD4" s="185">
        <f>ARV4/ASC4</f>
        <v>1.9464720194647202E-2</v>
      </c>
      <c r="ASE4">
        <v>4.1100000000000003</v>
      </c>
      <c r="ASF4">
        <v>4.3600000000000003</v>
      </c>
      <c r="ASG4" s="115">
        <v>3.72</v>
      </c>
      <c r="ASH4">
        <v>2.56</v>
      </c>
      <c r="ASI4">
        <v>2.08</v>
      </c>
      <c r="ASJ4">
        <v>0</v>
      </c>
      <c r="ASK4" s="115">
        <v>44056</v>
      </c>
      <c r="ASL4" s="58">
        <v>1181073.8700000001</v>
      </c>
      <c r="ASM4" s="115">
        <v>44057</v>
      </c>
      <c r="ASN4" t="s">
        <v>1765</v>
      </c>
      <c r="ASO4">
        <v>3.47</v>
      </c>
      <c r="ASP4" s="185">
        <f>ASH4/ASO4</f>
        <v>0.73775216138328525</v>
      </c>
      <c r="ASQ4">
        <v>3.47</v>
      </c>
      <c r="ASR4">
        <v>3.06</v>
      </c>
      <c r="ASS4" s="115">
        <v>2.54</v>
      </c>
      <c r="AST4">
        <v>1.9</v>
      </c>
      <c r="ASU4">
        <v>1.64</v>
      </c>
      <c r="ASV4">
        <v>0</v>
      </c>
      <c r="ASW4" s="115">
        <v>44139</v>
      </c>
      <c r="ASX4" s="58">
        <v>191203.92</v>
      </c>
      <c r="ASY4" s="115">
        <v>44140</v>
      </c>
      <c r="ASZ4" t="s">
        <v>1765</v>
      </c>
      <c r="ATA4">
        <v>2.66</v>
      </c>
      <c r="ATB4" s="185">
        <f>AST4/ATA4</f>
        <v>0.71428571428571419</v>
      </c>
      <c r="ATC4">
        <v>2.66</v>
      </c>
      <c r="ATD4">
        <v>0.75</v>
      </c>
      <c r="ATE4" s="115">
        <v>1.29</v>
      </c>
      <c r="ATF4">
        <v>2.71</v>
      </c>
      <c r="ATG4">
        <v>1.71</v>
      </c>
      <c r="ATH4">
        <v>0</v>
      </c>
      <c r="ATI4" s="115">
        <v>44021</v>
      </c>
      <c r="ATJ4" s="58">
        <v>81333.3</v>
      </c>
      <c r="ATK4" s="115">
        <v>44022</v>
      </c>
      <c r="ATL4" t="s">
        <v>1765</v>
      </c>
      <c r="ATM4">
        <v>1.58</v>
      </c>
      <c r="ATN4" s="185">
        <f>ATF4/ATM4</f>
        <v>1.7151898734177213</v>
      </c>
      <c r="ATO4">
        <v>1.58</v>
      </c>
      <c r="ATP4">
        <v>1.26</v>
      </c>
      <c r="ATQ4" s="115">
        <v>0.76</v>
      </c>
      <c r="ATR4">
        <v>0.62</v>
      </c>
      <c r="ATS4">
        <v>0.79</v>
      </c>
      <c r="ATT4">
        <v>0</v>
      </c>
      <c r="ATU4" s="115">
        <v>44039</v>
      </c>
      <c r="ATV4" s="58">
        <v>21241.89</v>
      </c>
      <c r="ATW4" s="115">
        <v>44040</v>
      </c>
      <c r="ATX4" t="s">
        <v>1765</v>
      </c>
      <c r="ATY4">
        <v>0.97</v>
      </c>
      <c r="ATZ4" s="185">
        <f>ATR4/ATY4</f>
        <v>0.63917525773195882</v>
      </c>
      <c r="AUA4">
        <v>0.97</v>
      </c>
      <c r="AUB4">
        <v>0.48</v>
      </c>
      <c r="AUC4" s="115">
        <v>0.41</v>
      </c>
      <c r="AUD4">
        <v>0.28999999999999998</v>
      </c>
      <c r="AUE4">
        <v>0.26</v>
      </c>
      <c r="AUF4">
        <v>0</v>
      </c>
      <c r="AUG4" s="115">
        <v>44005</v>
      </c>
      <c r="AUH4" s="58">
        <v>110984.56</v>
      </c>
      <c r="AUI4" s="115">
        <v>44006</v>
      </c>
      <c r="AUJ4" t="s">
        <v>1765</v>
      </c>
      <c r="AUK4">
        <v>2.25</v>
      </c>
      <c r="AUL4" s="185">
        <f>AUD4/AUK4</f>
        <v>0.12888888888888889</v>
      </c>
      <c r="AUM4">
        <v>2.25</v>
      </c>
      <c r="AUN4">
        <v>2.37</v>
      </c>
      <c r="AUO4" s="115">
        <v>2.5499999999999998</v>
      </c>
      <c r="AUP4">
        <v>1.66</v>
      </c>
      <c r="AUQ4">
        <v>1.49</v>
      </c>
      <c r="AUR4">
        <v>0</v>
      </c>
      <c r="AUS4" s="115">
        <v>43657</v>
      </c>
      <c r="AUT4" s="58">
        <v>31909.52</v>
      </c>
      <c r="AUU4" s="115">
        <v>43658</v>
      </c>
      <c r="AUV4" t="s">
        <v>1765</v>
      </c>
      <c r="AUW4" s="56">
        <v>0.01</v>
      </c>
      <c r="AUX4" s="185">
        <f>AUP4/AUW4</f>
        <v>166</v>
      </c>
      <c r="AUY4">
        <v>0.01</v>
      </c>
      <c r="AUZ4">
        <v>7.0000000000000007E-2</v>
      </c>
      <c r="AVA4" s="115">
        <v>0.05</v>
      </c>
      <c r="AVB4">
        <v>0</v>
      </c>
      <c r="AVC4">
        <v>-0.13</v>
      </c>
      <c r="AVD4">
        <v>0</v>
      </c>
      <c r="AVE4" s="115">
        <v>43984</v>
      </c>
      <c r="AVF4" s="58">
        <v>623596.06999999995</v>
      </c>
      <c r="AVG4" s="115">
        <v>43985</v>
      </c>
      <c r="AVH4" t="s">
        <v>1765</v>
      </c>
      <c r="AVI4">
        <v>0.56000000000000005</v>
      </c>
      <c r="AVJ4" s="185">
        <f>AVB4/AVI4</f>
        <v>0</v>
      </c>
      <c r="AVK4">
        <v>0.56000000000000005</v>
      </c>
      <c r="AVL4">
        <v>0.97</v>
      </c>
      <c r="AVM4" s="115">
        <v>0.86</v>
      </c>
      <c r="AVN4">
        <v>0.41</v>
      </c>
      <c r="AVO4">
        <v>0.06</v>
      </c>
      <c r="AVP4">
        <v>0.49</v>
      </c>
      <c r="AVQ4" s="115">
        <v>43929</v>
      </c>
      <c r="AVR4">
        <v>0</v>
      </c>
      <c r="AVS4" s="115">
        <v>43930</v>
      </c>
      <c r="AVT4" t="s">
        <v>1765</v>
      </c>
      <c r="AVU4">
        <v>1.18</v>
      </c>
      <c r="AVV4" s="185">
        <f>AVN4/AVU4</f>
        <v>0.34745762711864409</v>
      </c>
      <c r="AVW4">
        <v>1.18</v>
      </c>
      <c r="AVX4">
        <v>2.08</v>
      </c>
      <c r="AVY4" s="115">
        <v>1.92</v>
      </c>
      <c r="AVZ4">
        <v>0.5</v>
      </c>
      <c r="AWA4">
        <v>0.08</v>
      </c>
      <c r="AWB4">
        <v>0</v>
      </c>
      <c r="AWC4" s="115">
        <v>43978</v>
      </c>
      <c r="AWD4" s="58">
        <v>58400</v>
      </c>
      <c r="AWE4" s="115">
        <v>43979</v>
      </c>
      <c r="AWF4" t="s">
        <v>1765</v>
      </c>
      <c r="AWG4" s="64">
        <v>0.97</v>
      </c>
      <c r="AWH4" s="185">
        <f>AVZ4/AWG4</f>
        <v>0.51546391752577325</v>
      </c>
      <c r="AWK4" s="115">
        <v>43902</v>
      </c>
      <c r="AWL4">
        <v>7.0000000000000007E-2</v>
      </c>
      <c r="AWM4">
        <v>0</v>
      </c>
      <c r="AWN4">
        <v>0</v>
      </c>
      <c r="AWO4" s="115">
        <v>43994</v>
      </c>
      <c r="AWP4" s="58">
        <v>3462.83</v>
      </c>
      <c r="AWQ4" s="115">
        <v>43997</v>
      </c>
      <c r="AWR4" t="s">
        <v>1765</v>
      </c>
      <c r="AWS4">
        <v>0.7</v>
      </c>
      <c r="AWT4" s="185">
        <f>AWL4/AWS4</f>
        <v>0.10000000000000002</v>
      </c>
    </row>
    <row r="5" spans="1:1300" x14ac:dyDescent="0.25">
      <c r="A5" s="115">
        <v>43556</v>
      </c>
      <c r="B5">
        <v>0.26</v>
      </c>
      <c r="C5">
        <v>0</v>
      </c>
      <c r="D5">
        <v>0</v>
      </c>
      <c r="E5" s="115">
        <v>43662</v>
      </c>
      <c r="F5" s="58">
        <v>217752.4</v>
      </c>
      <c r="G5" s="115">
        <v>43663</v>
      </c>
      <c r="H5" t="s">
        <v>1765</v>
      </c>
      <c r="I5">
        <v>0.79</v>
      </c>
      <c r="J5" s="185">
        <f t="shared" ref="J5:J8" si="0">B5/I5</f>
        <v>0.32911392405063289</v>
      </c>
      <c r="M5" s="115">
        <v>43579</v>
      </c>
      <c r="N5">
        <v>0.51</v>
      </c>
      <c r="O5">
        <v>0</v>
      </c>
      <c r="P5">
        <v>0.4</v>
      </c>
      <c r="Q5" s="115">
        <v>43633</v>
      </c>
      <c r="R5" s="58">
        <v>6789.57</v>
      </c>
      <c r="S5" s="115">
        <v>43634</v>
      </c>
      <c r="T5" t="s">
        <v>1765</v>
      </c>
      <c r="U5">
        <v>1.67</v>
      </c>
      <c r="V5" s="185">
        <f t="shared" ref="V5:V8" si="1">N5/U5</f>
        <v>0.30538922155688625</v>
      </c>
      <c r="Y5" s="115">
        <v>43564</v>
      </c>
      <c r="Z5">
        <v>1.0450999999999999</v>
      </c>
      <c r="AA5">
        <v>0</v>
      </c>
      <c r="AB5">
        <v>0</v>
      </c>
      <c r="AC5" s="115">
        <v>43691</v>
      </c>
      <c r="AD5" s="58">
        <v>1181189.23</v>
      </c>
      <c r="AE5" s="115">
        <v>43692</v>
      </c>
      <c r="AF5" t="s">
        <v>1765</v>
      </c>
      <c r="AG5">
        <v>3.06</v>
      </c>
      <c r="AH5" s="185">
        <f t="shared" ref="AH5:AH8" si="2">Z5/AG5</f>
        <v>0.34153594771241824</v>
      </c>
      <c r="AK5" s="115">
        <v>43564</v>
      </c>
      <c r="AL5">
        <v>1.0450999999999999</v>
      </c>
      <c r="AM5">
        <v>0</v>
      </c>
      <c r="AN5">
        <v>0</v>
      </c>
      <c r="AO5" s="115">
        <v>43691</v>
      </c>
      <c r="AP5" s="58">
        <v>1181189.23</v>
      </c>
      <c r="AQ5" s="115">
        <v>43692</v>
      </c>
      <c r="AR5" t="s">
        <v>1765</v>
      </c>
      <c r="AS5">
        <v>3.06</v>
      </c>
      <c r="AT5" s="185">
        <f t="shared" ref="AT5:AT8" si="3">AL5/AS5</f>
        <v>0.34153594771241824</v>
      </c>
      <c r="AW5" s="115">
        <v>43699</v>
      </c>
      <c r="AX5">
        <v>0.1</v>
      </c>
      <c r="AY5">
        <v>0</v>
      </c>
      <c r="AZ5">
        <v>0</v>
      </c>
      <c r="BA5" s="115">
        <v>43756</v>
      </c>
      <c r="BB5" s="58">
        <v>22005.3</v>
      </c>
      <c r="BC5" s="115">
        <v>43759</v>
      </c>
      <c r="BD5" t="s">
        <v>1765</v>
      </c>
      <c r="BE5">
        <v>0.27</v>
      </c>
      <c r="BF5" s="185">
        <f t="shared" ref="BF5:BF8" si="4">AX5/BE5</f>
        <v>0.37037037037037035</v>
      </c>
      <c r="BI5" s="115">
        <v>43917</v>
      </c>
      <c r="BJ5">
        <v>0.13600000000000001</v>
      </c>
      <c r="BK5">
        <v>0</v>
      </c>
      <c r="BL5">
        <v>0</v>
      </c>
      <c r="BM5" s="115">
        <v>44060</v>
      </c>
      <c r="BN5" s="58">
        <v>107900.68</v>
      </c>
      <c r="BO5" s="115">
        <v>44061</v>
      </c>
      <c r="BP5" t="s">
        <v>1765</v>
      </c>
      <c r="BQ5">
        <v>1.08</v>
      </c>
      <c r="BR5" s="185">
        <f t="shared" ref="BR5:BR8" si="5">BJ5/BQ5</f>
        <v>0.12592592592592591</v>
      </c>
      <c r="BU5" s="115">
        <v>43553</v>
      </c>
      <c r="BV5">
        <v>0.15</v>
      </c>
      <c r="BW5">
        <v>0</v>
      </c>
      <c r="BX5">
        <v>0</v>
      </c>
      <c r="BY5" s="115">
        <v>43691</v>
      </c>
      <c r="BZ5" s="58">
        <v>430482.96</v>
      </c>
      <c r="CA5" s="115">
        <v>43692</v>
      </c>
      <c r="CB5" t="s">
        <v>1765</v>
      </c>
      <c r="CC5">
        <v>0.39</v>
      </c>
      <c r="CD5" s="185">
        <f t="shared" ref="CD5:CD8" si="6">BV5/CC5</f>
        <v>0.38461538461538458</v>
      </c>
      <c r="CG5" s="115">
        <v>43566</v>
      </c>
      <c r="CH5">
        <v>0.33</v>
      </c>
      <c r="CI5">
        <v>0</v>
      </c>
      <c r="CJ5">
        <v>0</v>
      </c>
      <c r="CK5" s="115">
        <v>43656</v>
      </c>
      <c r="CL5" s="58">
        <v>330000</v>
      </c>
      <c r="CM5" s="115">
        <v>43657</v>
      </c>
      <c r="CN5" t="s">
        <v>1765</v>
      </c>
      <c r="CO5">
        <v>1.1000000000000001</v>
      </c>
      <c r="CP5" s="185">
        <f t="shared" ref="CP5:CP8" si="7">CH5/CO5</f>
        <v>0.3</v>
      </c>
      <c r="CS5" s="115">
        <v>43538</v>
      </c>
      <c r="CT5">
        <v>5.33E-2</v>
      </c>
      <c r="CU5">
        <v>0</v>
      </c>
      <c r="CV5">
        <v>0</v>
      </c>
      <c r="CW5" s="115">
        <v>43642</v>
      </c>
      <c r="CX5" s="58">
        <v>165448.35999999999</v>
      </c>
      <c r="CY5" s="115">
        <v>43643</v>
      </c>
      <c r="CZ5" t="s">
        <v>1765</v>
      </c>
      <c r="DA5">
        <v>0.13</v>
      </c>
      <c r="DB5" s="185">
        <f t="shared" ref="DB5:DB8" si="8">CT5/DA5</f>
        <v>0.41</v>
      </c>
      <c r="DE5" s="115">
        <v>43567</v>
      </c>
      <c r="DF5">
        <v>0.16800000000000001</v>
      </c>
      <c r="DG5">
        <v>0</v>
      </c>
      <c r="DH5">
        <v>0</v>
      </c>
      <c r="DI5" s="115">
        <v>43629</v>
      </c>
      <c r="DJ5" s="58">
        <v>705285.26</v>
      </c>
      <c r="DK5" s="115">
        <v>43630</v>
      </c>
      <c r="DL5" t="s">
        <v>1765</v>
      </c>
      <c r="DM5">
        <v>0.87</v>
      </c>
      <c r="DN5" s="185">
        <f t="shared" ref="DN5:DN8" si="9">DF5/DM5</f>
        <v>0.19310344827586209</v>
      </c>
      <c r="DQ5" s="115">
        <v>43554</v>
      </c>
      <c r="DR5">
        <v>0.128</v>
      </c>
      <c r="DS5">
        <v>0</v>
      </c>
      <c r="DT5">
        <v>0</v>
      </c>
      <c r="DU5" s="115">
        <v>43668</v>
      </c>
      <c r="DV5" s="58">
        <v>292407.06</v>
      </c>
      <c r="DW5" s="115">
        <v>43669</v>
      </c>
      <c r="DX5" t="s">
        <v>1765</v>
      </c>
      <c r="DY5">
        <v>0.72</v>
      </c>
      <c r="DZ5" s="185">
        <f t="shared" ref="DZ5:DZ8" si="10">DR5/DY5</f>
        <v>0.17777777777777778</v>
      </c>
      <c r="EC5" s="115">
        <v>43581</v>
      </c>
      <c r="ED5">
        <v>0.3</v>
      </c>
      <c r="EE5">
        <v>0</v>
      </c>
      <c r="EF5">
        <v>0</v>
      </c>
      <c r="EG5" s="115">
        <v>43649</v>
      </c>
      <c r="EH5" s="58">
        <v>5090.07</v>
      </c>
      <c r="EI5" s="115">
        <v>43650</v>
      </c>
      <c r="EJ5" t="s">
        <v>1765</v>
      </c>
      <c r="EK5">
        <v>2.19</v>
      </c>
      <c r="EL5" s="185">
        <f t="shared" ref="EL5:EL8" si="11">ED5/EK5</f>
        <v>0.13698630136986301</v>
      </c>
      <c r="EO5" s="115">
        <v>43567</v>
      </c>
      <c r="EP5">
        <v>0.35</v>
      </c>
      <c r="EQ5">
        <v>0</v>
      </c>
      <c r="ER5">
        <v>0</v>
      </c>
      <c r="ES5" s="115">
        <v>43605</v>
      </c>
      <c r="ET5" s="58">
        <v>9922.52</v>
      </c>
      <c r="EU5" s="115">
        <v>43606</v>
      </c>
      <c r="EV5" t="s">
        <v>1765</v>
      </c>
      <c r="EW5">
        <v>0.74</v>
      </c>
      <c r="EX5" s="185">
        <f t="shared" ref="EX5:EX8" si="12">EP5/EW5</f>
        <v>0.47297297297297297</v>
      </c>
      <c r="FA5" s="115">
        <v>42850</v>
      </c>
      <c r="FB5">
        <v>0.125</v>
      </c>
      <c r="FC5">
        <v>0</v>
      </c>
      <c r="FD5">
        <v>0</v>
      </c>
      <c r="FE5" s="115">
        <v>42887</v>
      </c>
      <c r="FF5" s="58">
        <v>9663.57</v>
      </c>
      <c r="FG5" s="115">
        <v>42888</v>
      </c>
      <c r="FH5" t="s">
        <v>1765</v>
      </c>
      <c r="FI5">
        <v>-0.49</v>
      </c>
      <c r="FJ5" s="185">
        <f t="shared" ref="FJ5:FJ8" si="13">FB5/FI5</f>
        <v>-0.25510204081632654</v>
      </c>
      <c r="FM5" s="115">
        <v>43585</v>
      </c>
      <c r="FN5">
        <v>0.5</v>
      </c>
      <c r="FO5">
        <v>0</v>
      </c>
      <c r="FP5">
        <v>0.4</v>
      </c>
      <c r="FQ5" s="115">
        <v>43620</v>
      </c>
      <c r="FR5" s="58">
        <v>179072.37</v>
      </c>
      <c r="FS5" s="115">
        <v>43621</v>
      </c>
      <c r="FT5" t="s">
        <v>1765</v>
      </c>
      <c r="FU5">
        <v>1.03</v>
      </c>
      <c r="FV5" s="185">
        <f t="shared" ref="FV5:FV8" si="14">FN5/FU5</f>
        <v>0.4854368932038835</v>
      </c>
      <c r="FY5" s="115">
        <v>43523</v>
      </c>
      <c r="FZ5">
        <v>0.1</v>
      </c>
      <c r="GA5">
        <v>0</v>
      </c>
      <c r="GB5">
        <v>0</v>
      </c>
      <c r="GC5" s="115">
        <v>43552</v>
      </c>
      <c r="GD5" s="58">
        <v>3859.2</v>
      </c>
      <c r="GE5" s="115">
        <v>43553</v>
      </c>
      <c r="GF5" t="s">
        <v>1765</v>
      </c>
      <c r="GG5">
        <v>1.04</v>
      </c>
      <c r="GH5" s="185">
        <f t="shared" ref="GH5:GH8" si="15">FZ5/GG5</f>
        <v>9.6153846153846159E-2</v>
      </c>
      <c r="GK5" s="115">
        <v>43951</v>
      </c>
      <c r="GL5">
        <v>1.2</v>
      </c>
      <c r="GM5">
        <v>0</v>
      </c>
      <c r="GN5">
        <v>0</v>
      </c>
      <c r="GO5" s="115">
        <v>43992</v>
      </c>
      <c r="GP5" s="58">
        <v>721887.71</v>
      </c>
      <c r="GQ5" s="115">
        <v>43993</v>
      </c>
      <c r="GR5" t="s">
        <v>1765</v>
      </c>
      <c r="GS5">
        <v>4.3600000000000003</v>
      </c>
      <c r="GT5" s="185">
        <f t="shared" ref="GT5:GT8" si="16">GL5/GS5</f>
        <v>0.2752293577981651</v>
      </c>
      <c r="GW5" s="115">
        <v>43564</v>
      </c>
      <c r="GX5">
        <v>1.0450999999999999</v>
      </c>
      <c r="GY5">
        <v>0</v>
      </c>
      <c r="GZ5">
        <v>0</v>
      </c>
      <c r="HA5" s="115">
        <v>43691</v>
      </c>
      <c r="HB5" s="58">
        <v>1181189.23</v>
      </c>
      <c r="HC5" s="115">
        <v>43692</v>
      </c>
      <c r="HD5" t="s">
        <v>1765</v>
      </c>
      <c r="HE5">
        <v>3.06</v>
      </c>
      <c r="HF5" s="185">
        <f t="shared" ref="HF5:HF8" si="17">GX5/HE5</f>
        <v>0.34153594771241824</v>
      </c>
      <c r="HI5" s="115">
        <v>43187</v>
      </c>
      <c r="HJ5">
        <v>0.1</v>
      </c>
      <c r="HK5">
        <v>0</v>
      </c>
      <c r="HL5">
        <v>0</v>
      </c>
      <c r="HM5" s="115">
        <v>43236</v>
      </c>
      <c r="HN5" s="58">
        <v>23830</v>
      </c>
      <c r="HO5" s="115">
        <v>43237</v>
      </c>
      <c r="HP5" t="s">
        <v>1765</v>
      </c>
      <c r="HQ5">
        <v>-0.87</v>
      </c>
      <c r="HR5" s="185">
        <f t="shared" ref="HR5:HR8" si="18">HJ5/HQ5</f>
        <v>-0.1149425287356322</v>
      </c>
      <c r="HU5" s="115">
        <v>43538</v>
      </c>
      <c r="HV5">
        <v>5.33E-2</v>
      </c>
      <c r="HW5">
        <v>0</v>
      </c>
      <c r="HX5">
        <v>0</v>
      </c>
      <c r="HY5" s="115">
        <v>43642</v>
      </c>
      <c r="HZ5" s="58">
        <v>165448.35999999999</v>
      </c>
      <c r="IA5" s="115">
        <v>43643</v>
      </c>
      <c r="IB5" t="s">
        <v>1765</v>
      </c>
      <c r="IC5">
        <v>0.13</v>
      </c>
      <c r="ID5" s="185">
        <f t="shared" ref="ID5:ID8" si="19">HV5/IC5</f>
        <v>0.41</v>
      </c>
      <c r="IG5" s="115">
        <v>43574</v>
      </c>
      <c r="IH5">
        <v>0.221</v>
      </c>
      <c r="II5">
        <v>0</v>
      </c>
      <c r="IJ5">
        <v>0.4</v>
      </c>
      <c r="IK5" s="115">
        <v>43607</v>
      </c>
      <c r="IL5" s="58">
        <v>7208.27</v>
      </c>
      <c r="IM5" s="115">
        <v>43608</v>
      </c>
      <c r="IN5" t="s">
        <v>1765</v>
      </c>
      <c r="IO5">
        <v>0.74</v>
      </c>
      <c r="IP5" s="185">
        <f t="shared" ref="IP5:IP8" si="20">IH5/IO5</f>
        <v>0.29864864864864865</v>
      </c>
      <c r="IS5" s="115">
        <v>43699</v>
      </c>
      <c r="IT5">
        <v>0.1</v>
      </c>
      <c r="IU5">
        <v>0</v>
      </c>
      <c r="IV5">
        <v>0</v>
      </c>
      <c r="IW5" s="115">
        <v>43756</v>
      </c>
      <c r="IX5" s="58">
        <v>22005.3</v>
      </c>
      <c r="IY5" s="115">
        <v>43759</v>
      </c>
      <c r="IZ5" t="s">
        <v>1765</v>
      </c>
      <c r="JA5">
        <v>0.27</v>
      </c>
      <c r="JB5" s="185">
        <f t="shared" ref="JB5:JB8" si="21">IT5/JA5</f>
        <v>0.37037037037037035</v>
      </c>
      <c r="JE5" s="115">
        <v>43557</v>
      </c>
      <c r="JF5">
        <v>0.25</v>
      </c>
      <c r="JG5">
        <v>0</v>
      </c>
      <c r="JH5">
        <v>0</v>
      </c>
      <c r="JI5" s="115">
        <v>43621</v>
      </c>
      <c r="JJ5" s="58">
        <v>81333.3</v>
      </c>
      <c r="JK5" s="115">
        <v>43622</v>
      </c>
      <c r="JL5" t="s">
        <v>1765</v>
      </c>
      <c r="JM5">
        <v>1.26</v>
      </c>
      <c r="JN5" s="185">
        <f t="shared" ref="JN5:JN8" si="22">JF5/JM5</f>
        <v>0.1984126984126984</v>
      </c>
      <c r="JY5">
        <v>0</v>
      </c>
      <c r="JZ5" s="185" t="e">
        <f t="shared" ref="JZ5:JZ8" si="23">JR5/JY5</f>
        <v>#DIV/0!</v>
      </c>
      <c r="KC5" s="115">
        <v>43580</v>
      </c>
      <c r="KD5">
        <v>0.5</v>
      </c>
      <c r="KE5">
        <v>0</v>
      </c>
      <c r="KF5">
        <v>0</v>
      </c>
      <c r="KG5" s="115">
        <v>43615</v>
      </c>
      <c r="KH5" s="58">
        <v>1113806.7</v>
      </c>
      <c r="KI5" s="115">
        <v>43616</v>
      </c>
      <c r="KJ5" t="s">
        <v>1765</v>
      </c>
      <c r="KK5">
        <v>0.97</v>
      </c>
      <c r="KL5" s="185">
        <f t="shared" ref="KL5:KL8" si="24">KD5/KK5</f>
        <v>0.51546391752577325</v>
      </c>
      <c r="KO5" s="115">
        <v>43550</v>
      </c>
      <c r="KP5">
        <v>0.03</v>
      </c>
      <c r="KQ5">
        <v>0</v>
      </c>
      <c r="KR5">
        <v>0</v>
      </c>
      <c r="KS5" s="115">
        <v>43615</v>
      </c>
      <c r="KT5" s="58">
        <v>104395.2</v>
      </c>
      <c r="KU5" s="115">
        <v>43616</v>
      </c>
      <c r="KV5" t="s">
        <v>1765</v>
      </c>
      <c r="KW5">
        <v>0.1</v>
      </c>
      <c r="KX5" s="185">
        <f t="shared" ref="KX5:KX8" si="25">KP5/KW5</f>
        <v>0.3</v>
      </c>
      <c r="LA5" s="115">
        <v>43556</v>
      </c>
      <c r="LB5">
        <v>0.26</v>
      </c>
      <c r="LC5">
        <v>0</v>
      </c>
      <c r="LD5">
        <v>0</v>
      </c>
      <c r="LE5" s="115">
        <v>43662</v>
      </c>
      <c r="LF5" s="58">
        <v>217752.4</v>
      </c>
      <c r="LG5" s="115">
        <v>43663</v>
      </c>
      <c r="LH5" t="s">
        <v>1765</v>
      </c>
      <c r="LI5">
        <v>0.79</v>
      </c>
      <c r="LJ5" s="185">
        <f t="shared" ref="LJ5:LJ8" si="26">LB5/LI5</f>
        <v>0.32911392405063289</v>
      </c>
      <c r="LM5" s="115">
        <v>43575</v>
      </c>
      <c r="LN5">
        <v>0.5</v>
      </c>
      <c r="LO5">
        <v>0</v>
      </c>
      <c r="LP5">
        <v>0.7</v>
      </c>
      <c r="LQ5" s="115">
        <v>43654</v>
      </c>
      <c r="LR5" s="58">
        <v>9066.9500000000007</v>
      </c>
      <c r="LS5" s="115">
        <v>43655</v>
      </c>
      <c r="LT5" t="s">
        <v>1765</v>
      </c>
      <c r="LU5">
        <v>1.61</v>
      </c>
      <c r="LV5" s="185">
        <f t="shared" ref="LV5:LV8" si="27">LN5/LU5</f>
        <v>0.3105590062111801</v>
      </c>
      <c r="LY5" s="115">
        <v>43566</v>
      </c>
      <c r="LZ5">
        <v>0.4</v>
      </c>
      <c r="MA5">
        <v>0</v>
      </c>
      <c r="MB5">
        <v>0</v>
      </c>
      <c r="MC5" s="115">
        <v>43602</v>
      </c>
      <c r="MD5" s="58">
        <v>32544.79</v>
      </c>
      <c r="ME5" s="115">
        <v>43605</v>
      </c>
      <c r="MF5" t="s">
        <v>1765</v>
      </c>
      <c r="MG5">
        <v>1.81</v>
      </c>
      <c r="MH5" s="185">
        <f t="shared" ref="MH5:MH8" si="28">LZ5/MG5</f>
        <v>0.22099447513812157</v>
      </c>
      <c r="MK5" s="115">
        <v>43524</v>
      </c>
      <c r="ML5">
        <v>0.1</v>
      </c>
      <c r="MM5">
        <v>0</v>
      </c>
      <c r="MN5">
        <v>0</v>
      </c>
      <c r="MO5" s="115">
        <v>43557</v>
      </c>
      <c r="MP5" s="58">
        <v>4889.8999999999996</v>
      </c>
      <c r="MQ5" s="115">
        <v>43558</v>
      </c>
      <c r="MR5" t="s">
        <v>1765</v>
      </c>
      <c r="MS5">
        <v>0.3</v>
      </c>
      <c r="MT5" s="185">
        <f t="shared" ref="MT5:MT8" si="29">ML5/MS5</f>
        <v>0.33333333333333337</v>
      </c>
      <c r="MW5" s="115">
        <v>43584</v>
      </c>
      <c r="MX5">
        <v>0.18</v>
      </c>
      <c r="MY5">
        <v>0</v>
      </c>
      <c r="MZ5">
        <v>0</v>
      </c>
      <c r="NA5" s="115">
        <v>43628</v>
      </c>
      <c r="NB5" s="58">
        <v>15223.53</v>
      </c>
      <c r="NC5" s="115">
        <v>43629</v>
      </c>
      <c r="ND5" t="s">
        <v>1765</v>
      </c>
      <c r="NE5">
        <v>0.66</v>
      </c>
      <c r="NF5" s="185">
        <f t="shared" ref="NF5:NF8" si="30">MX5/NE5</f>
        <v>0.27272727272727271</v>
      </c>
      <c r="NI5" s="115">
        <v>43566</v>
      </c>
      <c r="NJ5">
        <v>0.33</v>
      </c>
      <c r="NK5">
        <v>0</v>
      </c>
      <c r="NL5">
        <v>0</v>
      </c>
      <c r="NM5" s="115">
        <v>43656</v>
      </c>
      <c r="NN5" s="58">
        <v>330000</v>
      </c>
      <c r="NO5" s="115">
        <v>43657</v>
      </c>
      <c r="NP5" t="s">
        <v>1765</v>
      </c>
      <c r="NQ5">
        <v>1.1000000000000001</v>
      </c>
      <c r="NR5" s="185">
        <f t="shared" ref="NR5:NR8" si="31">NJ5/NQ5</f>
        <v>0.3</v>
      </c>
      <c r="NU5" s="115">
        <v>43951</v>
      </c>
      <c r="NV5">
        <v>1.2</v>
      </c>
      <c r="NW5">
        <v>0</v>
      </c>
      <c r="NX5">
        <v>0</v>
      </c>
      <c r="NY5" s="115">
        <v>43992</v>
      </c>
      <c r="NZ5" s="58">
        <v>721887.71</v>
      </c>
      <c r="OA5" s="115">
        <v>43993</v>
      </c>
      <c r="OB5" t="s">
        <v>1765</v>
      </c>
      <c r="OC5">
        <v>4.3600000000000003</v>
      </c>
      <c r="OD5" s="185">
        <f t="shared" ref="OD5:OD8" si="32">NV5/OC5</f>
        <v>0.2752293577981651</v>
      </c>
      <c r="OG5" s="115">
        <v>43564</v>
      </c>
      <c r="OH5">
        <v>1.0450999999999999</v>
      </c>
      <c r="OI5">
        <v>0</v>
      </c>
      <c r="OJ5">
        <v>0</v>
      </c>
      <c r="OK5" s="115">
        <v>43691</v>
      </c>
      <c r="OL5" s="58">
        <v>1181189.23</v>
      </c>
      <c r="OM5" s="115">
        <v>43692</v>
      </c>
      <c r="ON5" t="s">
        <v>1765</v>
      </c>
      <c r="OO5">
        <v>3.06</v>
      </c>
      <c r="OP5" s="185">
        <f t="shared" ref="OP5:OP8" si="33">OH5/OO5</f>
        <v>0.34153594771241824</v>
      </c>
      <c r="OS5" s="115">
        <v>43684</v>
      </c>
      <c r="OT5">
        <v>0.5</v>
      </c>
      <c r="OU5">
        <v>0</v>
      </c>
      <c r="OV5">
        <v>0</v>
      </c>
      <c r="OW5" s="115">
        <v>43711</v>
      </c>
      <c r="OX5" s="58">
        <v>4080</v>
      </c>
      <c r="OY5" s="115">
        <v>43712</v>
      </c>
      <c r="OZ5" t="s">
        <v>1765</v>
      </c>
      <c r="PA5">
        <v>0.34</v>
      </c>
      <c r="PB5" s="185">
        <f t="shared" ref="PB5:PB8" si="34">OT5/PA5</f>
        <v>1.4705882352941175</v>
      </c>
      <c r="PE5" s="115">
        <v>43684</v>
      </c>
      <c r="PF5">
        <v>0.5</v>
      </c>
      <c r="PG5">
        <v>0</v>
      </c>
      <c r="PH5">
        <v>0</v>
      </c>
      <c r="PI5" s="115">
        <v>43711</v>
      </c>
      <c r="PJ5" s="58">
        <v>4080</v>
      </c>
      <c r="PK5" s="115">
        <v>43712</v>
      </c>
      <c r="PL5" t="s">
        <v>1765</v>
      </c>
      <c r="PM5">
        <v>0.34</v>
      </c>
      <c r="PN5" s="185">
        <f t="shared" ref="PN5:PN8" si="35">PF5/PM5</f>
        <v>1.4705882352941175</v>
      </c>
      <c r="PQ5" s="115">
        <v>43574</v>
      </c>
      <c r="PR5">
        <v>0.33</v>
      </c>
      <c r="PS5">
        <v>0</v>
      </c>
      <c r="PT5">
        <v>0.2</v>
      </c>
      <c r="PU5" s="115">
        <v>43636</v>
      </c>
      <c r="PV5" s="58">
        <v>48119.76</v>
      </c>
      <c r="PW5" s="115">
        <v>43637</v>
      </c>
      <c r="PX5" t="s">
        <v>1765</v>
      </c>
      <c r="PY5">
        <v>1.55</v>
      </c>
      <c r="PZ5" s="185">
        <f t="shared" ref="PZ5:PZ8" si="36">PR5/PY5</f>
        <v>0.21290322580645163</v>
      </c>
      <c r="QC5" s="115">
        <v>43578</v>
      </c>
      <c r="QD5">
        <v>1.2</v>
      </c>
      <c r="QE5">
        <v>0</v>
      </c>
      <c r="QF5">
        <v>0</v>
      </c>
      <c r="QG5" s="115">
        <v>43641</v>
      </c>
      <c r="QH5" s="58">
        <v>121074.07</v>
      </c>
      <c r="QI5" s="115">
        <v>43642</v>
      </c>
      <c r="QJ5" t="s">
        <v>1765</v>
      </c>
      <c r="QK5">
        <v>2.37</v>
      </c>
      <c r="QL5" s="185">
        <f t="shared" ref="QL5:QL8" si="37">QD5/QK5</f>
        <v>0.50632911392405056</v>
      </c>
      <c r="QO5" s="115">
        <v>43882</v>
      </c>
      <c r="QP5">
        <v>1.3</v>
      </c>
      <c r="QQ5">
        <v>0</v>
      </c>
      <c r="QR5">
        <v>0</v>
      </c>
      <c r="QS5" s="115">
        <v>43958</v>
      </c>
      <c r="QT5" s="58">
        <v>2376431.38</v>
      </c>
      <c r="QU5" s="115">
        <v>43959</v>
      </c>
      <c r="QV5" t="s">
        <v>1765</v>
      </c>
      <c r="QW5">
        <v>6.02</v>
      </c>
      <c r="QX5" s="185">
        <f t="shared" ref="QX5:QX8" si="38">QP5/QW5</f>
        <v>0.21594684385382062</v>
      </c>
      <c r="RA5" s="115">
        <v>43546</v>
      </c>
      <c r="RB5">
        <v>1.69</v>
      </c>
      <c r="RC5">
        <v>0</v>
      </c>
      <c r="RD5">
        <v>0</v>
      </c>
      <c r="RE5" s="115">
        <v>43634</v>
      </c>
      <c r="RF5" s="58">
        <v>895582.14</v>
      </c>
      <c r="RG5" s="115">
        <v>43635</v>
      </c>
      <c r="RH5" t="s">
        <v>1765</v>
      </c>
      <c r="RI5">
        <v>5.63</v>
      </c>
      <c r="RJ5" s="185">
        <f t="shared" ref="RJ5:RJ8" si="39">RB5/RI5</f>
        <v>0.30017761989342806</v>
      </c>
      <c r="RM5" s="115">
        <v>43554</v>
      </c>
      <c r="RN5">
        <v>1.1499999999999999</v>
      </c>
      <c r="RO5">
        <v>0</v>
      </c>
      <c r="RP5">
        <v>0.4</v>
      </c>
      <c r="RQ5" s="115">
        <v>43616</v>
      </c>
      <c r="RR5" s="58">
        <v>172220.7</v>
      </c>
      <c r="RS5" s="115">
        <v>43619</v>
      </c>
      <c r="RT5" t="s">
        <v>1765</v>
      </c>
      <c r="RU5">
        <v>3.46</v>
      </c>
      <c r="RV5" s="185">
        <f t="shared" ref="RV5:RV8" si="40">RN5/RU5</f>
        <v>0.33236994219653176</v>
      </c>
      <c r="RY5" s="115">
        <v>43518</v>
      </c>
      <c r="RZ5">
        <v>1.7</v>
      </c>
      <c r="SA5">
        <v>0</v>
      </c>
      <c r="SB5">
        <v>0</v>
      </c>
      <c r="SC5" s="115">
        <v>43592</v>
      </c>
      <c r="SD5" s="58">
        <v>246478.15</v>
      </c>
      <c r="SE5" s="115">
        <v>43593</v>
      </c>
      <c r="SF5" t="s">
        <v>1765</v>
      </c>
      <c r="SG5">
        <v>2.08</v>
      </c>
      <c r="SH5" s="185">
        <f t="shared" ref="SH5:SH8" si="41">RZ5/SG5</f>
        <v>0.81730769230769229</v>
      </c>
      <c r="SK5" s="115">
        <v>43546</v>
      </c>
      <c r="SL5">
        <v>1.69</v>
      </c>
      <c r="SM5">
        <v>0</v>
      </c>
      <c r="SN5">
        <v>0</v>
      </c>
      <c r="SO5" s="115">
        <v>43634</v>
      </c>
      <c r="SP5" s="58">
        <v>895582.14</v>
      </c>
      <c r="SQ5" s="115">
        <v>43635</v>
      </c>
      <c r="SR5" t="s">
        <v>1765</v>
      </c>
      <c r="SS5">
        <v>5.63</v>
      </c>
      <c r="ST5" s="185">
        <f t="shared" ref="ST5:ST8" si="42">SL5/SS5</f>
        <v>0.30017761989342806</v>
      </c>
      <c r="SW5" s="115">
        <v>43554</v>
      </c>
      <c r="SX5">
        <v>1.1499999999999999</v>
      </c>
      <c r="SY5">
        <v>0</v>
      </c>
      <c r="SZ5">
        <v>0.4</v>
      </c>
      <c r="TA5" s="115">
        <v>43616</v>
      </c>
      <c r="TB5" s="58">
        <v>172220.7</v>
      </c>
      <c r="TC5" s="115">
        <v>43619</v>
      </c>
      <c r="TD5" t="s">
        <v>1765</v>
      </c>
      <c r="TE5">
        <v>3.46</v>
      </c>
      <c r="TF5" s="185">
        <f t="shared" ref="TF5:TF8" si="43">SX5/TE5</f>
        <v>0.33236994219653176</v>
      </c>
      <c r="TI5" s="115">
        <v>43545</v>
      </c>
      <c r="TJ5">
        <v>1</v>
      </c>
      <c r="TK5">
        <v>0</v>
      </c>
      <c r="TL5">
        <v>0</v>
      </c>
      <c r="TM5" s="115">
        <v>43577</v>
      </c>
      <c r="TN5" s="58">
        <v>58400</v>
      </c>
      <c r="TO5" s="115">
        <v>43578</v>
      </c>
      <c r="TP5" t="s">
        <v>1765</v>
      </c>
      <c r="TQ5">
        <v>0.96</v>
      </c>
      <c r="TR5" s="185">
        <f t="shared" ref="TR5:TR8" si="44">TJ5/TQ5</f>
        <v>1.0416666666666667</v>
      </c>
      <c r="TU5" s="115">
        <v>43945</v>
      </c>
      <c r="TV5">
        <v>1</v>
      </c>
      <c r="TW5">
        <v>0</v>
      </c>
      <c r="TX5">
        <v>0.2</v>
      </c>
      <c r="TY5" s="115">
        <v>43992</v>
      </c>
      <c r="TZ5" s="58">
        <v>531150.94999999995</v>
      </c>
      <c r="UA5" s="115">
        <v>43993</v>
      </c>
      <c r="UB5" t="s">
        <v>1765</v>
      </c>
      <c r="UC5" s="203">
        <v>0.75</v>
      </c>
      <c r="UD5" s="185">
        <f t="shared" ref="UD5:UD8" si="45">TV5/UC5</f>
        <v>1.3333333333333333</v>
      </c>
      <c r="UG5" s="115">
        <v>43945</v>
      </c>
      <c r="UH5">
        <v>1</v>
      </c>
      <c r="UI5">
        <v>0</v>
      </c>
      <c r="UJ5">
        <v>0.2</v>
      </c>
      <c r="UK5" s="115">
        <v>43992</v>
      </c>
      <c r="UL5" s="58">
        <v>531150.94999999995</v>
      </c>
      <c r="UM5" s="115">
        <v>43993</v>
      </c>
      <c r="UN5" t="s">
        <v>1765</v>
      </c>
      <c r="UO5">
        <v>0.75</v>
      </c>
      <c r="UP5" s="185">
        <f t="shared" ref="UP5:UP8" si="46">UH5/UO5</f>
        <v>1.3333333333333333</v>
      </c>
      <c r="US5" s="115">
        <v>43945</v>
      </c>
      <c r="UT5">
        <v>1</v>
      </c>
      <c r="UU5">
        <v>0</v>
      </c>
      <c r="UV5">
        <v>0.2</v>
      </c>
      <c r="UW5" s="115">
        <v>43992</v>
      </c>
      <c r="UX5" s="58">
        <v>531150.94999999995</v>
      </c>
      <c r="UY5" s="115">
        <v>43993</v>
      </c>
      <c r="UZ5" t="s">
        <v>1765</v>
      </c>
      <c r="VA5">
        <v>0.75</v>
      </c>
      <c r="VB5" s="185">
        <f t="shared" ref="VB5:VB8" si="47">UT5/VA5</f>
        <v>1.3333333333333333</v>
      </c>
      <c r="VE5" s="115">
        <v>43524</v>
      </c>
      <c r="VF5">
        <v>0.1</v>
      </c>
      <c r="VG5">
        <v>0</v>
      </c>
      <c r="VH5">
        <v>0</v>
      </c>
      <c r="VI5" s="115">
        <v>43557</v>
      </c>
      <c r="VJ5" s="58">
        <v>4889.8999999999996</v>
      </c>
      <c r="VK5" s="115">
        <v>43558</v>
      </c>
      <c r="VL5" t="s">
        <v>1765</v>
      </c>
      <c r="VM5">
        <v>0.3</v>
      </c>
      <c r="VN5" s="185">
        <f t="shared" ref="VN5:VN8" si="48">VF5/VM5</f>
        <v>0.33333333333333337</v>
      </c>
      <c r="VQ5" s="115">
        <v>43540</v>
      </c>
      <c r="VR5">
        <v>0.75</v>
      </c>
      <c r="VS5">
        <v>0</v>
      </c>
      <c r="VT5">
        <v>0</v>
      </c>
      <c r="VU5" s="115">
        <v>43613</v>
      </c>
      <c r="VV5" s="58">
        <v>188146.31</v>
      </c>
      <c r="VW5" s="115">
        <v>43614</v>
      </c>
      <c r="VX5" t="s">
        <v>1765</v>
      </c>
      <c r="VY5">
        <v>1.64</v>
      </c>
      <c r="VZ5" s="185">
        <f t="shared" ref="VZ5:VZ8" si="49">VR5/VY5</f>
        <v>0.45731707317073172</v>
      </c>
      <c r="WC5" s="115">
        <v>43550</v>
      </c>
      <c r="WD5">
        <v>0.03</v>
      </c>
      <c r="WE5">
        <v>0</v>
      </c>
      <c r="WF5">
        <v>0</v>
      </c>
      <c r="WG5" s="115">
        <v>43615</v>
      </c>
      <c r="WH5" s="58">
        <v>104395.2</v>
      </c>
      <c r="WI5" s="115">
        <v>43616</v>
      </c>
      <c r="WJ5" t="s">
        <v>1765</v>
      </c>
      <c r="WK5">
        <v>0.1</v>
      </c>
      <c r="WL5" s="185">
        <f t="shared" ref="WL5:WL8" si="50">WD5/WK5</f>
        <v>0.3</v>
      </c>
      <c r="WO5" s="115">
        <v>43550</v>
      </c>
      <c r="WP5">
        <v>0.03</v>
      </c>
      <c r="WQ5">
        <v>0</v>
      </c>
      <c r="WR5">
        <v>0</v>
      </c>
      <c r="WS5" s="115">
        <v>43615</v>
      </c>
      <c r="WT5" s="58">
        <v>104395.2</v>
      </c>
      <c r="WU5" s="115">
        <v>43616</v>
      </c>
      <c r="WV5" t="s">
        <v>1765</v>
      </c>
      <c r="WW5">
        <v>0.1</v>
      </c>
      <c r="WX5" s="185">
        <f t="shared" ref="WX5:WX8" si="51">WP5/WW5</f>
        <v>0.3</v>
      </c>
      <c r="XA5" s="115">
        <v>43566</v>
      </c>
      <c r="XB5">
        <v>0.33</v>
      </c>
      <c r="XC5">
        <v>0</v>
      </c>
      <c r="XD5">
        <v>0</v>
      </c>
      <c r="XE5" s="115">
        <v>43656</v>
      </c>
      <c r="XF5" s="58">
        <v>330000</v>
      </c>
      <c r="XG5" s="115">
        <v>43657</v>
      </c>
      <c r="XH5" t="s">
        <v>1765</v>
      </c>
      <c r="XI5">
        <v>1.1000000000000001</v>
      </c>
      <c r="XJ5" s="185">
        <f t="shared" ref="XJ5:XJ8" si="52">XB5/XI5</f>
        <v>0.3</v>
      </c>
      <c r="XM5" s="115">
        <v>43578</v>
      </c>
      <c r="XN5">
        <v>0.1</v>
      </c>
      <c r="XO5">
        <v>0</v>
      </c>
      <c r="XP5">
        <v>0</v>
      </c>
      <c r="XQ5" s="115">
        <v>43650</v>
      </c>
      <c r="XR5" s="58">
        <v>27167.85</v>
      </c>
      <c r="XS5" s="115">
        <v>43651</v>
      </c>
      <c r="XT5" t="s">
        <v>1765</v>
      </c>
      <c r="XU5">
        <v>0.23</v>
      </c>
      <c r="XV5" s="185">
        <f t="shared" ref="XV5:XV8" si="53">XN5/XU5</f>
        <v>0.43478260869565216</v>
      </c>
      <c r="XY5" s="115">
        <v>43554</v>
      </c>
      <c r="XZ5">
        <v>0.15</v>
      </c>
      <c r="YA5">
        <v>0</v>
      </c>
      <c r="YB5">
        <v>0</v>
      </c>
      <c r="YC5" s="115">
        <v>43608</v>
      </c>
      <c r="YD5" s="58">
        <v>2250</v>
      </c>
      <c r="YE5" s="115">
        <v>43609</v>
      </c>
      <c r="YF5" t="s">
        <v>1765</v>
      </c>
      <c r="YG5">
        <v>0.32</v>
      </c>
      <c r="YH5" s="185">
        <f t="shared" ref="YH5:YH8" si="54">XZ5/YG5</f>
        <v>0.46875</v>
      </c>
      <c r="YK5" s="115">
        <v>43578</v>
      </c>
      <c r="YL5">
        <v>0.12</v>
      </c>
      <c r="YM5">
        <v>0</v>
      </c>
      <c r="YN5">
        <v>0</v>
      </c>
      <c r="YO5" s="115">
        <v>43608</v>
      </c>
      <c r="YP5" s="58">
        <v>3255</v>
      </c>
      <c r="YQ5" s="115">
        <v>43609</v>
      </c>
      <c r="YR5" t="s">
        <v>1765</v>
      </c>
      <c r="YS5">
        <v>1.1599999999999999</v>
      </c>
      <c r="YT5" s="185">
        <f t="shared" ref="YT5:YT8" si="55">YL5/YS5</f>
        <v>0.10344827586206896</v>
      </c>
      <c r="YW5" s="115">
        <v>43567</v>
      </c>
      <c r="YX5">
        <v>0.35</v>
      </c>
      <c r="YY5">
        <v>0</v>
      </c>
      <c r="YZ5">
        <v>0</v>
      </c>
      <c r="ZA5" s="115">
        <v>43605</v>
      </c>
      <c r="ZB5" s="58">
        <v>9922.52</v>
      </c>
      <c r="ZC5" s="115">
        <v>43606</v>
      </c>
      <c r="ZD5" t="s">
        <v>1765</v>
      </c>
      <c r="ZE5">
        <v>0.74</v>
      </c>
      <c r="ZF5" s="185">
        <f t="shared" ref="ZF5:ZF8" si="56">YX5/ZE5</f>
        <v>0.47297297297297297</v>
      </c>
      <c r="ZI5" s="115">
        <v>41390</v>
      </c>
      <c r="ZJ5">
        <v>0</v>
      </c>
      <c r="ZK5">
        <v>0</v>
      </c>
      <c r="ZL5">
        <v>0.5</v>
      </c>
      <c r="ZM5" s="115">
        <v>41424</v>
      </c>
      <c r="ZN5">
        <v>0</v>
      </c>
      <c r="ZO5" s="115">
        <v>41425</v>
      </c>
      <c r="ZP5" t="s">
        <v>1765</v>
      </c>
      <c r="ZQ5">
        <v>0.03</v>
      </c>
      <c r="ZR5" s="185">
        <f t="shared" ref="ZR5:ZR8" si="57">ZJ5/ZQ5</f>
        <v>0</v>
      </c>
      <c r="ZU5" s="115">
        <v>43568</v>
      </c>
      <c r="ZV5">
        <v>0.04</v>
      </c>
      <c r="ZW5">
        <v>0</v>
      </c>
      <c r="ZX5">
        <v>0</v>
      </c>
      <c r="ZY5" s="115">
        <v>43609</v>
      </c>
      <c r="ZZ5" s="58">
        <v>3856.12</v>
      </c>
      <c r="AAA5" s="115">
        <v>43612</v>
      </c>
      <c r="AAB5" t="s">
        <v>1765</v>
      </c>
      <c r="AAC5">
        <v>0.47</v>
      </c>
      <c r="AAD5" s="185">
        <f t="shared" ref="AAD5:AAD8" si="58">ZV5/AAC5</f>
        <v>8.5106382978723416E-2</v>
      </c>
      <c r="AAG5" s="115">
        <v>43573</v>
      </c>
      <c r="AAH5">
        <v>0.15</v>
      </c>
      <c r="AAI5">
        <v>0</v>
      </c>
      <c r="AAJ5">
        <v>0</v>
      </c>
      <c r="AAK5" s="115">
        <v>43615</v>
      </c>
      <c r="AAL5" s="58">
        <v>15037.15</v>
      </c>
      <c r="AAM5" s="115">
        <v>43616</v>
      </c>
      <c r="AAN5" t="s">
        <v>1765</v>
      </c>
      <c r="AAO5">
        <v>0.73</v>
      </c>
      <c r="AAP5" s="185">
        <f t="shared" ref="AAP5:AAP8" si="59">AAH5/AAO5</f>
        <v>0.20547945205479451</v>
      </c>
      <c r="AAS5" s="115">
        <v>43183</v>
      </c>
      <c r="AAT5">
        <v>0.1</v>
      </c>
      <c r="AAU5">
        <v>0</v>
      </c>
      <c r="AAV5">
        <v>0</v>
      </c>
      <c r="AAW5" s="115">
        <v>43242</v>
      </c>
      <c r="AAX5" s="58">
        <v>6526.76</v>
      </c>
      <c r="AAY5" s="115">
        <v>43243</v>
      </c>
      <c r="AAZ5" t="s">
        <v>1765</v>
      </c>
      <c r="ABA5">
        <v>-0.05</v>
      </c>
      <c r="ABB5" s="185">
        <f t="shared" ref="ABB5:ABB8" si="60">AAT5/ABA5</f>
        <v>-2</v>
      </c>
      <c r="ABE5" s="115">
        <v>43566</v>
      </c>
      <c r="ABF5">
        <v>0.33</v>
      </c>
      <c r="ABG5">
        <v>0</v>
      </c>
      <c r="ABH5">
        <v>0</v>
      </c>
      <c r="ABI5" s="115">
        <v>43656</v>
      </c>
      <c r="ABJ5" s="58">
        <v>330000</v>
      </c>
      <c r="ABK5" s="115">
        <v>43657</v>
      </c>
      <c r="ABL5" t="s">
        <v>1765</v>
      </c>
      <c r="ABM5">
        <v>1.1000000000000001</v>
      </c>
      <c r="ABN5" s="185">
        <f t="shared" ref="ABN5:ABN8" si="61">ABF5/ABM5</f>
        <v>0.3</v>
      </c>
      <c r="ABQ5" s="115">
        <v>43553</v>
      </c>
      <c r="ABR5">
        <v>0.08</v>
      </c>
      <c r="ABS5">
        <v>0</v>
      </c>
      <c r="ABT5">
        <v>0</v>
      </c>
      <c r="ABU5" s="115">
        <v>43619</v>
      </c>
      <c r="ABV5" s="58">
        <v>10415.39</v>
      </c>
      <c r="ABW5" s="115">
        <v>43620</v>
      </c>
      <c r="ABX5" t="s">
        <v>1765</v>
      </c>
      <c r="ABY5">
        <v>0.37</v>
      </c>
      <c r="ABZ5" s="185">
        <f t="shared" ref="ABZ5:ABZ8" si="62">ABR5/ABY5</f>
        <v>0.21621621621621623</v>
      </c>
      <c r="ACC5" s="115">
        <v>35952</v>
      </c>
      <c r="ACD5">
        <v>0</v>
      </c>
      <c r="ACE5">
        <v>0</v>
      </c>
      <c r="ACF5">
        <v>0.2</v>
      </c>
      <c r="ACG5" s="115">
        <v>35957</v>
      </c>
      <c r="ACH5">
        <v>0</v>
      </c>
      <c r="ACI5" s="115">
        <v>35958</v>
      </c>
      <c r="ACJ5" t="s">
        <v>1765</v>
      </c>
      <c r="ACK5">
        <v>0.05</v>
      </c>
      <c r="ACL5" s="185">
        <f t="shared" ref="ACL5:ACL8" si="63">ACD5/ACK5</f>
        <v>0</v>
      </c>
      <c r="ACO5" s="115">
        <v>43585</v>
      </c>
      <c r="ACP5">
        <v>0.35099999999999998</v>
      </c>
      <c r="ACQ5">
        <v>0</v>
      </c>
      <c r="ACR5">
        <v>0</v>
      </c>
      <c r="ACS5" s="115">
        <v>43684</v>
      </c>
      <c r="ACT5" s="58">
        <v>223533.14</v>
      </c>
      <c r="ACU5" s="115">
        <v>43685</v>
      </c>
      <c r="ACV5" t="s">
        <v>1765</v>
      </c>
      <c r="ACW5">
        <v>1.21</v>
      </c>
      <c r="ACX5" s="185">
        <f t="shared" ref="ACX5:ACX8" si="64">ACP5/ACW5</f>
        <v>0.29008264462809918</v>
      </c>
      <c r="ADA5" s="115">
        <v>43575</v>
      </c>
      <c r="ADB5">
        <v>1.304</v>
      </c>
      <c r="ADC5">
        <v>0</v>
      </c>
      <c r="ADD5">
        <v>0</v>
      </c>
      <c r="ADE5" s="115">
        <v>43614</v>
      </c>
      <c r="ADF5" s="58">
        <v>860062.63</v>
      </c>
      <c r="ADG5" s="115">
        <v>43615</v>
      </c>
      <c r="ADH5" t="s">
        <v>1765</v>
      </c>
      <c r="ADI5">
        <v>3.08</v>
      </c>
      <c r="ADJ5" s="185">
        <f t="shared" ref="ADJ5:ADJ8" si="65">ADB5/ADI5</f>
        <v>0.42337662337662341</v>
      </c>
      <c r="ADM5" s="115">
        <v>43571</v>
      </c>
      <c r="ADN5">
        <v>1</v>
      </c>
      <c r="ADO5">
        <v>0</v>
      </c>
      <c r="ADP5">
        <v>0</v>
      </c>
      <c r="ADQ5" s="115">
        <v>43607</v>
      </c>
      <c r="ADR5" s="58">
        <v>36000</v>
      </c>
      <c r="ADS5" s="115">
        <v>43608</v>
      </c>
      <c r="ADT5" t="s">
        <v>1765</v>
      </c>
      <c r="ADU5">
        <v>1.08</v>
      </c>
      <c r="ADV5" s="185">
        <f t="shared" ref="ADV5:ADV8" si="66">ADN5/ADU5</f>
        <v>0.92592592592592582</v>
      </c>
      <c r="ADY5" s="115">
        <v>43578</v>
      </c>
      <c r="ADZ5">
        <v>0.2</v>
      </c>
      <c r="AEA5">
        <v>0</v>
      </c>
      <c r="AEB5">
        <v>0</v>
      </c>
      <c r="AEC5" s="115">
        <v>43614</v>
      </c>
      <c r="AED5" s="58">
        <v>21341.360000000001</v>
      </c>
      <c r="AEE5" s="115">
        <v>43615</v>
      </c>
      <c r="AEF5" t="s">
        <v>1765</v>
      </c>
      <c r="AEG5">
        <v>1.61</v>
      </c>
      <c r="AEH5" s="185">
        <f t="shared" ref="AEH5:AEH8" si="67">ADZ5/AEG5</f>
        <v>0.12422360248447205</v>
      </c>
      <c r="AEK5" s="115">
        <v>43565</v>
      </c>
      <c r="AEL5">
        <v>0.3276</v>
      </c>
      <c r="AEM5">
        <v>0</v>
      </c>
      <c r="AEN5">
        <v>0</v>
      </c>
      <c r="AEO5" s="115">
        <v>43643</v>
      </c>
      <c r="AEP5" s="58">
        <v>4409.92</v>
      </c>
      <c r="AEQ5" s="115">
        <v>43644</v>
      </c>
      <c r="AER5" t="s">
        <v>1765</v>
      </c>
      <c r="AES5">
        <v>0.9</v>
      </c>
      <c r="AET5" s="185">
        <f t="shared" ref="AET5:AET8" si="68">AEL5/AES5</f>
        <v>0.36399999999999999</v>
      </c>
      <c r="AEW5" s="115">
        <v>43655</v>
      </c>
      <c r="AEX5">
        <v>0</v>
      </c>
      <c r="AEY5">
        <v>0</v>
      </c>
      <c r="AEZ5">
        <v>0</v>
      </c>
      <c r="AFA5" t="s">
        <v>1809</v>
      </c>
      <c r="AFB5">
        <v>0</v>
      </c>
      <c r="AFC5" t="s">
        <v>1809</v>
      </c>
      <c r="AFD5" t="s">
        <v>1765</v>
      </c>
      <c r="AFE5">
        <v>0.85</v>
      </c>
      <c r="AFF5" s="185">
        <f t="shared" ref="AFF5:AFF8" si="69">AEX5/AFE5</f>
        <v>0</v>
      </c>
      <c r="AFI5" s="115">
        <v>43538</v>
      </c>
      <c r="AFJ5">
        <v>1.0095000000000001</v>
      </c>
      <c r="AFK5">
        <v>0</v>
      </c>
      <c r="AFL5">
        <v>0</v>
      </c>
      <c r="AFM5" s="115">
        <v>43691</v>
      </c>
      <c r="AFN5" s="58">
        <v>66025.460000000006</v>
      </c>
      <c r="AFO5" s="115">
        <v>43692</v>
      </c>
      <c r="AFP5" t="s">
        <v>1765</v>
      </c>
      <c r="AFQ5">
        <v>3.19</v>
      </c>
      <c r="AFR5" s="185">
        <f t="shared" ref="AFR5:AFR8" si="70">AFJ5/AFQ5</f>
        <v>0.31645768025078375</v>
      </c>
      <c r="AFU5" s="115">
        <v>43578</v>
      </c>
      <c r="AFV5">
        <v>2</v>
      </c>
      <c r="AFW5">
        <v>0</v>
      </c>
      <c r="AFX5">
        <v>0</v>
      </c>
      <c r="AFY5" s="115">
        <v>43609</v>
      </c>
      <c r="AFZ5" s="58">
        <v>627949.32999999996</v>
      </c>
      <c r="AGA5" s="115">
        <v>43612</v>
      </c>
      <c r="AGB5" t="s">
        <v>1765</v>
      </c>
      <c r="AGC5">
        <v>3.88</v>
      </c>
      <c r="AGD5" s="185">
        <f t="shared" ref="AGD5:AGD8" si="71">AFV5/AGC5</f>
        <v>0.51546391752577325</v>
      </c>
      <c r="AGG5" s="115">
        <v>43550</v>
      </c>
      <c r="AGH5">
        <v>0.03</v>
      </c>
      <c r="AGI5">
        <v>0</v>
      </c>
      <c r="AGJ5">
        <v>0</v>
      </c>
      <c r="AGK5" s="115">
        <v>43615</v>
      </c>
      <c r="AGL5" s="58">
        <v>104395.2</v>
      </c>
      <c r="AGM5" s="115">
        <v>43616</v>
      </c>
      <c r="AGN5" t="s">
        <v>1765</v>
      </c>
      <c r="AGO5">
        <v>0.1</v>
      </c>
      <c r="AGP5" s="185">
        <f t="shared" ref="AGP5:AGP8" si="72">AGH5/AGO5</f>
        <v>0.3</v>
      </c>
      <c r="AGS5" s="115">
        <v>43554</v>
      </c>
      <c r="AGT5">
        <v>0.25</v>
      </c>
      <c r="AGU5">
        <v>0</v>
      </c>
      <c r="AGV5">
        <v>0</v>
      </c>
      <c r="AGW5" s="115">
        <v>43679</v>
      </c>
      <c r="AGX5" s="58">
        <v>196114.3</v>
      </c>
      <c r="AGY5" s="115">
        <v>43682</v>
      </c>
      <c r="AGZ5" t="s">
        <v>1765</v>
      </c>
      <c r="AHA5">
        <v>0.26</v>
      </c>
      <c r="AHB5" s="185">
        <f t="shared" ref="AHB5:AHB8" si="73">AGT5/AHA5</f>
        <v>0.96153846153846145</v>
      </c>
      <c r="AHE5" s="115">
        <v>43581</v>
      </c>
      <c r="AHF5">
        <v>3.5000000000000003E-2</v>
      </c>
      <c r="AHG5">
        <v>0</v>
      </c>
      <c r="AHH5">
        <v>0</v>
      </c>
      <c r="AHI5" s="115">
        <v>43612</v>
      </c>
      <c r="AHJ5" s="58">
        <v>5801.36</v>
      </c>
      <c r="AHK5" s="115">
        <v>43613</v>
      </c>
      <c r="AHL5" t="s">
        <v>1765</v>
      </c>
      <c r="AHM5">
        <v>0.16</v>
      </c>
      <c r="AHN5" s="185">
        <f t="shared" ref="AHN5:AHN8" si="74">AHF5/AHM5</f>
        <v>0.21875000000000003</v>
      </c>
      <c r="AHQ5" s="115">
        <v>43556</v>
      </c>
      <c r="AHR5">
        <v>0.26</v>
      </c>
      <c r="AHS5">
        <v>0</v>
      </c>
      <c r="AHT5">
        <v>0</v>
      </c>
      <c r="AHU5" s="115">
        <v>43662</v>
      </c>
      <c r="AHV5" s="58">
        <v>217752.4</v>
      </c>
      <c r="AHW5" s="115">
        <v>43663</v>
      </c>
      <c r="AHX5" t="s">
        <v>1765</v>
      </c>
      <c r="AHY5">
        <v>0.79</v>
      </c>
      <c r="AHZ5" s="185">
        <f t="shared" ref="AHZ5:AHZ8" si="75">AHR5/AHY5</f>
        <v>0.32911392405063289</v>
      </c>
      <c r="AIC5" s="115">
        <v>43557</v>
      </c>
      <c r="AID5">
        <v>0.15</v>
      </c>
      <c r="AIE5">
        <v>0</v>
      </c>
      <c r="AIF5">
        <v>0</v>
      </c>
      <c r="AIG5" s="115">
        <v>43612</v>
      </c>
      <c r="AIH5" s="58">
        <v>22111.47</v>
      </c>
      <c r="AII5" s="115">
        <v>43613</v>
      </c>
      <c r="AIJ5" t="s">
        <v>1765</v>
      </c>
      <c r="AIK5">
        <v>0.54</v>
      </c>
      <c r="AIL5" s="185">
        <f t="shared" ref="AIL5:AIL8" si="76">AID5/AIK5</f>
        <v>0.27777777777777773</v>
      </c>
      <c r="AIO5" s="115">
        <v>43553</v>
      </c>
      <c r="AIP5">
        <v>14.539</v>
      </c>
      <c r="AIQ5">
        <v>0</v>
      </c>
      <c r="AIR5">
        <v>0</v>
      </c>
      <c r="AIS5" s="115">
        <v>43643</v>
      </c>
      <c r="AIT5" s="58">
        <v>1826385.98</v>
      </c>
      <c r="AIU5" s="115">
        <v>43644</v>
      </c>
      <c r="AIV5" t="s">
        <v>1765</v>
      </c>
      <c r="AIW5">
        <v>28.02</v>
      </c>
      <c r="AIX5" s="185">
        <f t="shared" ref="AIX5:AIX8" si="77">AIP5/AIW5</f>
        <v>0.51887937187723054</v>
      </c>
      <c r="AJA5" s="115">
        <v>43552</v>
      </c>
      <c r="AJB5">
        <v>1.7</v>
      </c>
      <c r="AJC5">
        <v>0</v>
      </c>
      <c r="AJD5">
        <v>0</v>
      </c>
      <c r="AJE5" s="115">
        <v>43621</v>
      </c>
      <c r="AJF5" s="58">
        <v>659873.36</v>
      </c>
      <c r="AJG5" s="115">
        <v>43622</v>
      </c>
      <c r="AJH5" t="s">
        <v>1765</v>
      </c>
      <c r="AJI5">
        <v>3.47</v>
      </c>
      <c r="AJJ5" s="185">
        <f t="shared" ref="AJJ5:AJJ8" si="78">AJB5/AJI5</f>
        <v>0.48991354466858783</v>
      </c>
      <c r="AJM5" s="115">
        <v>41718</v>
      </c>
      <c r="AJN5">
        <v>5.0000000000000001E-3</v>
      </c>
      <c r="AJO5">
        <v>0</v>
      </c>
      <c r="AJP5">
        <v>0</v>
      </c>
      <c r="AJQ5" s="115">
        <v>41801</v>
      </c>
      <c r="AJR5">
        <v>232.76</v>
      </c>
      <c r="AJS5" s="115">
        <v>41802</v>
      </c>
      <c r="AJT5" t="s">
        <v>1765</v>
      </c>
      <c r="AJU5">
        <v>-0.22</v>
      </c>
      <c r="AJV5" s="185">
        <f t="shared" ref="AJV5:AJV8" si="79">AJN5/AJU5</f>
        <v>-2.2727272727272728E-2</v>
      </c>
      <c r="AJY5" s="115">
        <v>43575</v>
      </c>
      <c r="AJZ5">
        <v>0.6</v>
      </c>
      <c r="AKA5">
        <v>0</v>
      </c>
      <c r="AKB5">
        <v>0</v>
      </c>
      <c r="AKC5" s="115">
        <v>43608</v>
      </c>
      <c r="AKD5" s="58">
        <v>560907.96</v>
      </c>
      <c r="AKE5" s="115">
        <v>43609</v>
      </c>
      <c r="AKF5" t="s">
        <v>1765</v>
      </c>
      <c r="AKG5">
        <v>1.24</v>
      </c>
      <c r="AKH5" s="185">
        <f t="shared" ref="AKH5:AKH8" si="80">AJZ5/AKG5</f>
        <v>0.48387096774193544</v>
      </c>
      <c r="AKK5" s="115">
        <v>42850</v>
      </c>
      <c r="AKL5">
        <v>0.03</v>
      </c>
      <c r="AKM5">
        <v>0</v>
      </c>
      <c r="AKN5">
        <v>0</v>
      </c>
      <c r="AKO5" s="115">
        <v>42888</v>
      </c>
      <c r="AKP5" s="58">
        <v>3279.54</v>
      </c>
      <c r="AKQ5" s="115">
        <v>42891</v>
      </c>
      <c r="AKR5" t="s">
        <v>1765</v>
      </c>
      <c r="AKS5">
        <v>0.12</v>
      </c>
      <c r="AKT5" s="185">
        <f t="shared" ref="AKT5:AKT8" si="81">AKL5/AKS5</f>
        <v>0.25</v>
      </c>
      <c r="AKW5" s="115">
        <v>42852</v>
      </c>
      <c r="AKX5">
        <v>0.08</v>
      </c>
      <c r="AKY5">
        <v>0</v>
      </c>
      <c r="AKZ5">
        <v>0</v>
      </c>
      <c r="ALA5" s="115">
        <v>42926</v>
      </c>
      <c r="ALB5" s="58">
        <v>12258.27</v>
      </c>
      <c r="ALC5" s="115">
        <v>42927</v>
      </c>
      <c r="ALD5" t="s">
        <v>1765</v>
      </c>
      <c r="ALE5">
        <v>0.26</v>
      </c>
      <c r="ALF5" s="185">
        <f t="shared" ref="ALF5:ALF8" si="82">AKX5/ALE5</f>
        <v>0.30769230769230771</v>
      </c>
      <c r="ALQ5">
        <v>2.16</v>
      </c>
      <c r="ALR5" s="185">
        <f t="shared" ref="ALR5:ALR8" si="83">ALJ5/ALQ5</f>
        <v>0</v>
      </c>
      <c r="AMC5">
        <v>1.91</v>
      </c>
      <c r="AMD5" s="185">
        <f t="shared" ref="AMD5:AMD8" si="84">ALV5/AMC5</f>
        <v>0</v>
      </c>
      <c r="AMG5" s="115">
        <v>43568</v>
      </c>
      <c r="AMH5">
        <v>0.6</v>
      </c>
      <c r="AMI5">
        <v>0</v>
      </c>
      <c r="AMJ5">
        <v>0</v>
      </c>
      <c r="AMK5" s="115">
        <v>43642</v>
      </c>
      <c r="AML5" s="58">
        <v>36199.03</v>
      </c>
      <c r="AMM5" s="115">
        <v>43643</v>
      </c>
      <c r="AMN5" t="s">
        <v>1765</v>
      </c>
      <c r="AMO5">
        <v>1.89</v>
      </c>
      <c r="AMP5" s="185">
        <f t="shared" ref="AMP5:AMP8" si="85">AMH5/AMO5</f>
        <v>0.31746031746031744</v>
      </c>
      <c r="AMS5" s="115">
        <v>43566</v>
      </c>
      <c r="AMT5">
        <v>0.4</v>
      </c>
      <c r="AMU5">
        <v>0</v>
      </c>
      <c r="AMV5">
        <v>0</v>
      </c>
      <c r="AMW5" s="115">
        <v>43602</v>
      </c>
      <c r="AMX5" s="58">
        <v>32544.79</v>
      </c>
      <c r="AMY5" s="115">
        <v>43605</v>
      </c>
      <c r="AMZ5" t="s">
        <v>1765</v>
      </c>
      <c r="ANA5" s="56">
        <v>1.81</v>
      </c>
      <c r="ANB5" s="185">
        <f t="shared" ref="ANB5:ANB8" si="86">AMT5/ANA5</f>
        <v>0.22099447513812157</v>
      </c>
      <c r="ANE5" s="115">
        <v>43546</v>
      </c>
      <c r="ANF5">
        <v>1.69</v>
      </c>
      <c r="ANG5">
        <v>0</v>
      </c>
      <c r="ANH5">
        <v>0</v>
      </c>
      <c r="ANI5" s="115">
        <v>43634</v>
      </c>
      <c r="ANJ5" s="58">
        <v>895582.14</v>
      </c>
      <c r="ANK5" s="115">
        <v>43635</v>
      </c>
      <c r="ANL5" t="s">
        <v>1765</v>
      </c>
      <c r="ANM5">
        <v>5.63</v>
      </c>
      <c r="ANN5" s="185">
        <f t="shared" ref="ANN5:ANN8" si="87">ANF5/ANM5</f>
        <v>0.30017761989342806</v>
      </c>
      <c r="ANQ5" s="115">
        <v>43566</v>
      </c>
      <c r="ANR5">
        <v>0.4</v>
      </c>
      <c r="ANS5">
        <v>0</v>
      </c>
      <c r="ANT5">
        <v>0</v>
      </c>
      <c r="ANU5" s="115">
        <v>43602</v>
      </c>
      <c r="ANV5" s="58">
        <v>32544.79</v>
      </c>
      <c r="ANW5" s="115">
        <v>43605</v>
      </c>
      <c r="ANX5" t="s">
        <v>1765</v>
      </c>
      <c r="ANY5">
        <v>1.81</v>
      </c>
      <c r="ANZ5" s="185">
        <f t="shared" ref="ANZ5:ANZ8" si="88">ANR5/ANY5</f>
        <v>0.22099447513812157</v>
      </c>
      <c r="AOC5" s="115">
        <v>43882</v>
      </c>
      <c r="AOD5">
        <v>1.3</v>
      </c>
      <c r="AOE5">
        <v>0</v>
      </c>
      <c r="AOF5">
        <v>0</v>
      </c>
      <c r="AOG5" s="115">
        <v>43958</v>
      </c>
      <c r="AOH5" s="58">
        <v>2376431.38</v>
      </c>
      <c r="AOI5" s="115">
        <v>43959</v>
      </c>
      <c r="AOJ5" t="s">
        <v>1765</v>
      </c>
      <c r="AOK5">
        <v>6.02</v>
      </c>
      <c r="AOL5" s="185">
        <f t="shared" ref="AOL5:AOL8" si="89">AOD5/AOK5</f>
        <v>0.21594684385382062</v>
      </c>
      <c r="AOO5" s="115">
        <v>43574</v>
      </c>
      <c r="AOP5">
        <v>0.33</v>
      </c>
      <c r="AOQ5">
        <v>0</v>
      </c>
      <c r="AOR5">
        <v>0.2</v>
      </c>
      <c r="AOS5" s="115">
        <v>43636</v>
      </c>
      <c r="AOT5" s="58">
        <v>48119.76</v>
      </c>
      <c r="AOU5" s="115">
        <v>43637</v>
      </c>
      <c r="AOV5" t="s">
        <v>1765</v>
      </c>
      <c r="AOW5">
        <v>1.55</v>
      </c>
      <c r="AOX5" s="185">
        <f t="shared" ref="AOX5:AOX8" si="90">AOP5/AOW5</f>
        <v>0.21290322580645163</v>
      </c>
      <c r="APA5" s="115">
        <v>43553</v>
      </c>
      <c r="APB5">
        <v>0.2</v>
      </c>
      <c r="APC5">
        <v>0</v>
      </c>
      <c r="APD5">
        <v>0</v>
      </c>
      <c r="APE5" s="115">
        <v>43607</v>
      </c>
      <c r="APF5" s="58">
        <v>8237.27</v>
      </c>
      <c r="APG5" s="115">
        <v>43608</v>
      </c>
      <c r="APH5" t="s">
        <v>1765</v>
      </c>
      <c r="API5">
        <v>2.41</v>
      </c>
      <c r="APJ5" s="185">
        <f t="shared" ref="APJ5:APJ8" si="91">APB5/API5</f>
        <v>8.2987551867219914E-2</v>
      </c>
      <c r="APM5" s="115">
        <v>43554</v>
      </c>
      <c r="APN5">
        <v>0.38</v>
      </c>
      <c r="APO5">
        <v>0</v>
      </c>
      <c r="APP5">
        <v>0</v>
      </c>
      <c r="APQ5" s="115">
        <v>43599</v>
      </c>
      <c r="APR5" s="58">
        <v>170725.98</v>
      </c>
      <c r="APS5" s="115">
        <v>43600</v>
      </c>
      <c r="APT5" t="s">
        <v>1765</v>
      </c>
      <c r="APU5">
        <v>0.77</v>
      </c>
      <c r="APV5" s="185">
        <f t="shared" ref="APV5:APV8" si="92">APN5/APU5</f>
        <v>0.4935064935064935</v>
      </c>
      <c r="APY5" s="115">
        <v>43584</v>
      </c>
      <c r="APZ5">
        <v>0.18</v>
      </c>
      <c r="AQA5">
        <v>0</v>
      </c>
      <c r="AQB5">
        <v>0</v>
      </c>
      <c r="AQC5" s="115">
        <v>43628</v>
      </c>
      <c r="AQD5" s="58">
        <v>15223.53</v>
      </c>
      <c r="AQE5" s="115">
        <v>43629</v>
      </c>
      <c r="AQF5" t="s">
        <v>1765</v>
      </c>
      <c r="AQG5">
        <v>0.66</v>
      </c>
      <c r="AQH5" s="185">
        <f t="shared" ref="AQH5:AQH8" si="93">APZ5/AQG5</f>
        <v>0.27272727272727271</v>
      </c>
      <c r="AQK5" s="115">
        <v>43546</v>
      </c>
      <c r="AQL5">
        <v>1.69</v>
      </c>
      <c r="AQM5">
        <v>0</v>
      </c>
      <c r="AQN5">
        <v>0</v>
      </c>
      <c r="AQO5" s="115">
        <v>43634</v>
      </c>
      <c r="AQP5" s="58">
        <v>895582.14</v>
      </c>
      <c r="AQQ5" s="115">
        <v>43635</v>
      </c>
      <c r="AQR5" t="s">
        <v>1765</v>
      </c>
      <c r="AQS5">
        <v>5.63</v>
      </c>
      <c r="AQT5" s="185">
        <f t="shared" ref="AQT5:AQT8" si="94">AQL5/AQS5</f>
        <v>0.30017761989342806</v>
      </c>
      <c r="AQW5" s="115">
        <v>43580</v>
      </c>
      <c r="AQX5">
        <v>0.23100000000000001</v>
      </c>
      <c r="AQY5">
        <v>0</v>
      </c>
      <c r="AQZ5">
        <v>0</v>
      </c>
      <c r="ARA5" s="115">
        <v>43627</v>
      </c>
      <c r="ARB5" s="58">
        <v>47686.47</v>
      </c>
      <c r="ARC5" s="115">
        <v>43628</v>
      </c>
      <c r="ARD5" t="s">
        <v>1765</v>
      </c>
      <c r="ARE5">
        <v>0.77</v>
      </c>
      <c r="ARF5" s="185">
        <f t="shared" ref="ARF5:ARF8" si="95">AQX5/ARE5</f>
        <v>0.3</v>
      </c>
      <c r="ARI5" s="115">
        <v>43523</v>
      </c>
      <c r="ARJ5">
        <v>0.1</v>
      </c>
      <c r="ARK5">
        <v>0</v>
      </c>
      <c r="ARL5">
        <v>0</v>
      </c>
      <c r="ARM5" s="115">
        <v>43552</v>
      </c>
      <c r="ARN5" s="58">
        <v>3859.2</v>
      </c>
      <c r="ARO5" s="115">
        <v>43553</v>
      </c>
      <c r="ARP5" t="s">
        <v>1765</v>
      </c>
      <c r="ARQ5">
        <v>1.04</v>
      </c>
      <c r="ARR5" s="185">
        <f t="shared" ref="ARR5:ARR8" si="96">ARJ5/ARQ5</f>
        <v>9.6153846153846159E-2</v>
      </c>
      <c r="ARU5" s="115">
        <v>43951</v>
      </c>
      <c r="ARV5">
        <v>1.2</v>
      </c>
      <c r="ARW5">
        <v>0</v>
      </c>
      <c r="ARX5">
        <v>0</v>
      </c>
      <c r="ARY5" s="115">
        <v>43992</v>
      </c>
      <c r="ARZ5" s="58">
        <v>721887.71</v>
      </c>
      <c r="ASA5" s="115">
        <v>43993</v>
      </c>
      <c r="ASB5" t="s">
        <v>1765</v>
      </c>
      <c r="ASC5">
        <v>4.3600000000000003</v>
      </c>
      <c r="ASD5" s="185">
        <f t="shared" ref="ASD5:ASD8" si="97">ARV5/ASC5</f>
        <v>0.2752293577981651</v>
      </c>
      <c r="ASG5" s="115">
        <v>43564</v>
      </c>
      <c r="ASH5">
        <v>1.0450999999999999</v>
      </c>
      <c r="ASI5">
        <v>0</v>
      </c>
      <c r="ASJ5">
        <v>0</v>
      </c>
      <c r="ASK5" s="115">
        <v>43691</v>
      </c>
      <c r="ASL5" s="58">
        <v>1181189.23</v>
      </c>
      <c r="ASM5" s="115">
        <v>43692</v>
      </c>
      <c r="ASN5" t="s">
        <v>1765</v>
      </c>
      <c r="ASO5">
        <v>3.06</v>
      </c>
      <c r="ASP5" s="185">
        <f t="shared" ref="ASP5:ASP8" si="98">ASH5/ASO5</f>
        <v>0.34153594771241824</v>
      </c>
      <c r="ASS5" s="115">
        <v>43945</v>
      </c>
      <c r="AST5">
        <v>1</v>
      </c>
      <c r="ASU5">
        <v>0</v>
      </c>
      <c r="ASV5">
        <v>0.2</v>
      </c>
      <c r="ASW5" s="115">
        <v>43992</v>
      </c>
      <c r="ASX5" s="58">
        <v>531150.94999999995</v>
      </c>
      <c r="ASY5" s="115">
        <v>43993</v>
      </c>
      <c r="ASZ5" t="s">
        <v>1765</v>
      </c>
      <c r="ATA5">
        <v>0.75</v>
      </c>
      <c r="ATB5" s="185">
        <f t="shared" ref="ATB5:ATB8" si="99">AST5/ATA5</f>
        <v>1.3333333333333333</v>
      </c>
      <c r="ATE5" s="115">
        <v>43557</v>
      </c>
      <c r="ATF5">
        <v>0.25</v>
      </c>
      <c r="ATG5">
        <v>0</v>
      </c>
      <c r="ATH5">
        <v>0</v>
      </c>
      <c r="ATI5" s="115">
        <v>43621</v>
      </c>
      <c r="ATJ5" s="58">
        <v>81333.3</v>
      </c>
      <c r="ATK5" s="115">
        <v>43622</v>
      </c>
      <c r="ATL5" t="s">
        <v>1765</v>
      </c>
      <c r="ATM5">
        <v>1.26</v>
      </c>
      <c r="ATN5" s="185">
        <f t="shared" ref="ATN5:ATN8" si="100">ATF5/ATM5</f>
        <v>0.1984126984126984</v>
      </c>
      <c r="ATQ5" s="115">
        <v>43568</v>
      </c>
      <c r="ATR5">
        <v>0.15</v>
      </c>
      <c r="ATS5">
        <v>0</v>
      </c>
      <c r="ATT5">
        <v>0</v>
      </c>
      <c r="ATU5" s="115">
        <v>43683</v>
      </c>
      <c r="ATV5" s="58">
        <v>9371.42</v>
      </c>
      <c r="ATW5" s="115">
        <v>43684</v>
      </c>
      <c r="ATX5" t="s">
        <v>1765</v>
      </c>
      <c r="ATY5">
        <v>0.48</v>
      </c>
      <c r="ATZ5" s="185">
        <f t="shared" ref="ATZ5:ATZ8" si="101">ATR5/ATY5</f>
        <v>0.3125</v>
      </c>
      <c r="AUC5" s="115">
        <v>43578</v>
      </c>
      <c r="AUD5">
        <v>1.2</v>
      </c>
      <c r="AUE5">
        <v>0</v>
      </c>
      <c r="AUF5">
        <v>0</v>
      </c>
      <c r="AUG5" s="115">
        <v>43641</v>
      </c>
      <c r="AUH5" s="58">
        <v>121074.07</v>
      </c>
      <c r="AUI5" s="115">
        <v>43642</v>
      </c>
      <c r="AUJ5" t="s">
        <v>1765</v>
      </c>
      <c r="AUK5">
        <v>2.37</v>
      </c>
      <c r="AUL5" s="185">
        <f t="shared" ref="AUL5:AUL8" si="102">AUD5/AUK5</f>
        <v>0.50632911392405056</v>
      </c>
      <c r="AUO5" s="115">
        <v>43210</v>
      </c>
      <c r="AUP5">
        <v>5.0000000000000001E-3</v>
      </c>
      <c r="AUQ5">
        <v>0</v>
      </c>
      <c r="AUR5">
        <v>0</v>
      </c>
      <c r="AUS5" s="115">
        <v>43292</v>
      </c>
      <c r="AUT5" s="58">
        <v>22792.52</v>
      </c>
      <c r="AUU5" s="115">
        <v>43293</v>
      </c>
      <c r="AUV5" t="s">
        <v>1765</v>
      </c>
      <c r="AUW5" s="56">
        <v>7.0000000000000007E-2</v>
      </c>
      <c r="AUX5" s="185">
        <f t="shared" ref="AUX5:AUX8" si="103">AUP5/AUW5</f>
        <v>7.1428571428571425E-2</v>
      </c>
      <c r="AVA5" s="115">
        <v>43580</v>
      </c>
      <c r="AVB5">
        <v>0.5</v>
      </c>
      <c r="AVC5">
        <v>0</v>
      </c>
      <c r="AVD5">
        <v>0</v>
      </c>
      <c r="AVE5" s="115">
        <v>43615</v>
      </c>
      <c r="AVF5" s="58">
        <v>1113806.7</v>
      </c>
      <c r="AVG5" s="115">
        <v>43616</v>
      </c>
      <c r="AVH5" t="s">
        <v>1765</v>
      </c>
      <c r="AVI5">
        <v>0.97</v>
      </c>
      <c r="AVJ5" s="185">
        <f t="shared" ref="AVJ5:AVJ8" si="104">AVB5/AVI5</f>
        <v>0.51546391752577325</v>
      </c>
      <c r="AVM5" s="115">
        <v>43518</v>
      </c>
      <c r="AVN5">
        <v>1.7</v>
      </c>
      <c r="AVO5">
        <v>0</v>
      </c>
      <c r="AVP5">
        <v>0</v>
      </c>
      <c r="AVQ5" s="115">
        <v>43592</v>
      </c>
      <c r="AVR5" s="58">
        <v>246478.15</v>
      </c>
      <c r="AVS5" s="115">
        <v>43593</v>
      </c>
      <c r="AVT5" t="s">
        <v>1765</v>
      </c>
      <c r="AVU5">
        <v>2.08</v>
      </c>
      <c r="AVV5" s="185">
        <f t="shared" ref="AVV5:AVV8" si="105">AVN5/AVU5</f>
        <v>0.81730769230769229</v>
      </c>
      <c r="AVY5" s="115">
        <v>43545</v>
      </c>
      <c r="AVZ5">
        <v>1</v>
      </c>
      <c r="AWA5">
        <v>0</v>
      </c>
      <c r="AWB5">
        <v>0</v>
      </c>
      <c r="AWC5" s="115">
        <v>43577</v>
      </c>
      <c r="AWD5" s="58">
        <v>58400</v>
      </c>
      <c r="AWE5" s="115">
        <v>43578</v>
      </c>
      <c r="AWF5" t="s">
        <v>1765</v>
      </c>
      <c r="AWG5" s="64">
        <v>0.96</v>
      </c>
      <c r="AWH5" s="185">
        <f t="shared" ref="AWH5:AWH8" si="106">AVZ5/AWG5</f>
        <v>1.0416666666666667</v>
      </c>
      <c r="AWK5" s="115">
        <v>43524</v>
      </c>
      <c r="AWL5">
        <v>0.1</v>
      </c>
      <c r="AWM5">
        <v>0</v>
      </c>
      <c r="AWN5">
        <v>0</v>
      </c>
      <c r="AWO5" s="115">
        <v>43557</v>
      </c>
      <c r="AWP5" s="58">
        <v>4889.8999999999996</v>
      </c>
      <c r="AWQ5" s="115">
        <v>43558</v>
      </c>
      <c r="AWR5" t="s">
        <v>1765</v>
      </c>
      <c r="AWS5">
        <v>0.3</v>
      </c>
      <c r="AWT5" s="185">
        <f t="shared" ref="AWT5:AWT9" si="107">AWL5/AWS5</f>
        <v>0.33333333333333337</v>
      </c>
    </row>
    <row r="6" spans="1:1300" x14ac:dyDescent="0.25">
      <c r="A6" s="115">
        <v>43207</v>
      </c>
      <c r="B6">
        <v>0.16</v>
      </c>
      <c r="C6">
        <v>0</v>
      </c>
      <c r="D6">
        <v>0</v>
      </c>
      <c r="E6" s="115">
        <v>43332</v>
      </c>
      <c r="F6" s="58">
        <v>123817.95</v>
      </c>
      <c r="G6" s="115">
        <v>43333</v>
      </c>
      <c r="H6" t="s">
        <v>1765</v>
      </c>
      <c r="I6" s="115">
        <v>0.27</v>
      </c>
      <c r="J6" s="185">
        <f t="shared" si="0"/>
        <v>0.59259259259259256</v>
      </c>
      <c r="M6" s="115">
        <v>43200</v>
      </c>
      <c r="N6">
        <v>0.55000000000000004</v>
      </c>
      <c r="O6">
        <v>0</v>
      </c>
      <c r="P6">
        <v>0.3</v>
      </c>
      <c r="Q6" s="115">
        <v>43248</v>
      </c>
      <c r="R6" s="58">
        <v>5619.97</v>
      </c>
      <c r="S6" s="115">
        <v>43249</v>
      </c>
      <c r="T6" t="s">
        <v>1765</v>
      </c>
      <c r="U6" s="115">
        <v>1.76</v>
      </c>
      <c r="V6" s="185">
        <f t="shared" si="1"/>
        <v>0.3125</v>
      </c>
      <c r="Y6" s="115">
        <v>43186</v>
      </c>
      <c r="Z6">
        <v>0.9</v>
      </c>
      <c r="AA6">
        <v>0</v>
      </c>
      <c r="AB6">
        <v>0</v>
      </c>
      <c r="AC6" s="115">
        <v>43334</v>
      </c>
      <c r="AD6" s="58">
        <v>993523.68</v>
      </c>
      <c r="AE6" s="115">
        <v>43335</v>
      </c>
      <c r="AF6" t="s">
        <v>1765</v>
      </c>
      <c r="AG6" s="115">
        <v>2.54</v>
      </c>
      <c r="AH6" s="185">
        <f t="shared" si="2"/>
        <v>0.3543307086614173</v>
      </c>
      <c r="AK6" s="115">
        <v>43186</v>
      </c>
      <c r="AL6">
        <v>0.9</v>
      </c>
      <c r="AM6">
        <v>0</v>
      </c>
      <c r="AN6">
        <v>0</v>
      </c>
      <c r="AO6" s="115">
        <v>43334</v>
      </c>
      <c r="AP6" s="58">
        <v>993523.68</v>
      </c>
      <c r="AQ6" s="115">
        <v>43335</v>
      </c>
      <c r="AR6" t="s">
        <v>1765</v>
      </c>
      <c r="AS6" s="115">
        <v>2.54</v>
      </c>
      <c r="AT6" s="185">
        <f t="shared" si="3"/>
        <v>0.3543307086614173</v>
      </c>
      <c r="AW6" s="115">
        <v>43188</v>
      </c>
      <c r="AX6">
        <v>0.1</v>
      </c>
      <c r="AY6">
        <v>0</v>
      </c>
      <c r="AZ6">
        <v>0.5</v>
      </c>
      <c r="BA6" s="115">
        <v>43231</v>
      </c>
      <c r="BB6" s="58">
        <v>13886.94</v>
      </c>
      <c r="BC6" s="115">
        <v>43234</v>
      </c>
      <c r="BD6" t="s">
        <v>1765</v>
      </c>
      <c r="BE6" s="115">
        <v>0.33</v>
      </c>
      <c r="BF6" s="185">
        <f t="shared" si="4"/>
        <v>0.30303030303030304</v>
      </c>
      <c r="BI6" s="115">
        <v>43707</v>
      </c>
      <c r="BJ6">
        <v>0.15</v>
      </c>
      <c r="BK6">
        <v>0</v>
      </c>
      <c r="BL6">
        <v>0</v>
      </c>
      <c r="BM6" s="115">
        <v>43762</v>
      </c>
      <c r="BN6" s="58">
        <v>119008.11</v>
      </c>
      <c r="BO6" s="115">
        <v>43763</v>
      </c>
      <c r="BP6" t="s">
        <v>1765</v>
      </c>
      <c r="BQ6" s="115">
        <v>0.85</v>
      </c>
      <c r="BR6" s="185">
        <f t="shared" si="5"/>
        <v>0.17647058823529413</v>
      </c>
      <c r="BU6" s="115">
        <v>43188</v>
      </c>
      <c r="BV6">
        <v>0.15</v>
      </c>
      <c r="BW6">
        <v>0</v>
      </c>
      <c r="BX6">
        <v>0</v>
      </c>
      <c r="BY6" s="115">
        <v>43294</v>
      </c>
      <c r="BZ6" s="58">
        <v>430482.96</v>
      </c>
      <c r="CA6" s="115">
        <v>43297</v>
      </c>
      <c r="CB6" t="s">
        <v>1765</v>
      </c>
      <c r="CC6" s="115">
        <v>0.38</v>
      </c>
      <c r="CD6" s="185">
        <f t="shared" si="6"/>
        <v>0.39473684210526316</v>
      </c>
      <c r="CG6" s="115">
        <v>43189</v>
      </c>
      <c r="CH6">
        <v>0.41799999999999998</v>
      </c>
      <c r="CI6">
        <v>0</v>
      </c>
      <c r="CJ6">
        <v>0</v>
      </c>
      <c r="CK6" s="115">
        <v>43290</v>
      </c>
      <c r="CL6" s="58">
        <v>418000</v>
      </c>
      <c r="CM6" s="115">
        <v>43291</v>
      </c>
      <c r="CN6" t="s">
        <v>1765</v>
      </c>
      <c r="CO6" s="115">
        <v>1.04</v>
      </c>
      <c r="CP6" s="185">
        <f t="shared" si="7"/>
        <v>0.40192307692307688</v>
      </c>
      <c r="CS6" s="115">
        <v>43175</v>
      </c>
      <c r="CT6">
        <v>1.9800000000000002E-2</v>
      </c>
      <c r="CU6">
        <v>0</v>
      </c>
      <c r="CV6">
        <v>0</v>
      </c>
      <c r="CW6" s="115">
        <v>43279</v>
      </c>
      <c r="CX6" s="58">
        <v>59863.22</v>
      </c>
      <c r="CY6" s="115">
        <v>43280</v>
      </c>
      <c r="CZ6" t="s">
        <v>1765</v>
      </c>
      <c r="DA6" s="115">
        <v>0.02</v>
      </c>
      <c r="DB6" s="185">
        <f t="shared" si="8"/>
        <v>0.9900000000000001</v>
      </c>
      <c r="DE6" s="115">
        <v>43202</v>
      </c>
      <c r="DF6">
        <v>0.215</v>
      </c>
      <c r="DG6">
        <v>0</v>
      </c>
      <c r="DH6">
        <v>0.4</v>
      </c>
      <c r="DI6" s="115">
        <v>43279</v>
      </c>
      <c r="DJ6" s="58">
        <v>645000</v>
      </c>
      <c r="DK6" s="115">
        <v>43280</v>
      </c>
      <c r="DL6" t="s">
        <v>1765</v>
      </c>
      <c r="DM6" s="115">
        <v>1.07</v>
      </c>
      <c r="DN6" s="185">
        <f t="shared" si="9"/>
        <v>0.20093457943925233</v>
      </c>
      <c r="DQ6" s="115">
        <v>43189</v>
      </c>
      <c r="DR6">
        <v>0.113</v>
      </c>
      <c r="DS6">
        <v>0</v>
      </c>
      <c r="DT6">
        <v>0</v>
      </c>
      <c r="DU6" s="115">
        <v>43298</v>
      </c>
      <c r="DV6" s="58">
        <v>258140.61</v>
      </c>
      <c r="DW6" s="115">
        <v>43299</v>
      </c>
      <c r="DX6" t="s">
        <v>1765</v>
      </c>
      <c r="DY6" s="115">
        <v>0.67</v>
      </c>
      <c r="DZ6" s="185">
        <f t="shared" si="10"/>
        <v>0.16865671641791044</v>
      </c>
      <c r="EC6" s="115">
        <v>43190</v>
      </c>
      <c r="ED6">
        <v>0.3</v>
      </c>
      <c r="EE6">
        <v>0</v>
      </c>
      <c r="EF6">
        <v>0.4</v>
      </c>
      <c r="EG6" s="115">
        <v>43264</v>
      </c>
      <c r="EH6" s="58">
        <v>3600</v>
      </c>
      <c r="EI6" s="115">
        <v>43265</v>
      </c>
      <c r="EJ6" t="s">
        <v>1765</v>
      </c>
      <c r="EK6" s="115">
        <v>2.4300000000000002</v>
      </c>
      <c r="EL6" s="185">
        <f t="shared" si="11"/>
        <v>0.12345679012345678</v>
      </c>
      <c r="EO6" s="115">
        <v>43202</v>
      </c>
      <c r="EP6">
        <v>0.5</v>
      </c>
      <c r="EQ6">
        <v>0</v>
      </c>
      <c r="ER6">
        <v>0.7</v>
      </c>
      <c r="ES6" s="115">
        <v>43262</v>
      </c>
      <c r="ET6" s="58">
        <v>8235.4500000000007</v>
      </c>
      <c r="EU6" s="115">
        <v>43263</v>
      </c>
      <c r="EV6" t="s">
        <v>1765</v>
      </c>
      <c r="EW6" s="115">
        <v>0.83</v>
      </c>
      <c r="EX6" s="185">
        <f t="shared" si="12"/>
        <v>0.60240963855421692</v>
      </c>
      <c r="FA6" s="115">
        <v>42472</v>
      </c>
      <c r="FB6">
        <v>0.2</v>
      </c>
      <c r="FC6">
        <v>0</v>
      </c>
      <c r="FD6">
        <v>1.2</v>
      </c>
      <c r="FE6" s="115">
        <v>42506</v>
      </c>
      <c r="FF6" s="58">
        <v>5788</v>
      </c>
      <c r="FG6" s="115">
        <v>42507</v>
      </c>
      <c r="FH6" t="s">
        <v>1765</v>
      </c>
      <c r="FI6" s="115">
        <v>0.34</v>
      </c>
      <c r="FJ6" s="185">
        <f t="shared" si="13"/>
        <v>0.58823529411764708</v>
      </c>
      <c r="FM6" s="115">
        <v>43218</v>
      </c>
      <c r="FN6">
        <v>0.4</v>
      </c>
      <c r="FO6">
        <v>0</v>
      </c>
      <c r="FP6">
        <v>0</v>
      </c>
      <c r="FQ6" s="115">
        <v>43257</v>
      </c>
      <c r="FR6" s="58">
        <v>143257.89000000001</v>
      </c>
      <c r="FS6" s="115">
        <v>43258</v>
      </c>
      <c r="FT6" t="s">
        <v>1765</v>
      </c>
      <c r="FU6" s="115">
        <v>0.08</v>
      </c>
      <c r="FV6" s="185">
        <f t="shared" si="14"/>
        <v>5</v>
      </c>
      <c r="FY6" s="115">
        <v>43206</v>
      </c>
      <c r="FZ6">
        <v>0.05</v>
      </c>
      <c r="GA6">
        <v>0</v>
      </c>
      <c r="GB6">
        <v>0</v>
      </c>
      <c r="GC6" s="115">
        <v>43250</v>
      </c>
      <c r="GD6" s="58">
        <v>1929.6</v>
      </c>
      <c r="GE6" s="115">
        <v>43251</v>
      </c>
      <c r="GF6" t="s">
        <v>1765</v>
      </c>
      <c r="GG6" s="115">
        <v>0.25</v>
      </c>
      <c r="GH6" s="185">
        <f t="shared" si="15"/>
        <v>0.2</v>
      </c>
      <c r="GK6" s="115">
        <v>43584</v>
      </c>
      <c r="GL6">
        <v>1.5</v>
      </c>
      <c r="GM6">
        <v>0</v>
      </c>
      <c r="GN6">
        <v>0</v>
      </c>
      <c r="GO6" s="115">
        <v>43682</v>
      </c>
      <c r="GP6" s="58">
        <v>902359.63</v>
      </c>
      <c r="GQ6" s="115">
        <v>43683</v>
      </c>
      <c r="GR6" t="s">
        <v>1765</v>
      </c>
      <c r="GS6" s="115">
        <v>3.72</v>
      </c>
      <c r="GT6" s="185">
        <f t="shared" si="16"/>
        <v>0.40322580645161288</v>
      </c>
      <c r="GW6" s="115">
        <v>43186</v>
      </c>
      <c r="GX6">
        <v>0.9</v>
      </c>
      <c r="GY6">
        <v>0</v>
      </c>
      <c r="GZ6">
        <v>0</v>
      </c>
      <c r="HA6" s="115">
        <v>43334</v>
      </c>
      <c r="HB6" s="58">
        <v>993523.68</v>
      </c>
      <c r="HC6" s="115">
        <v>43335</v>
      </c>
      <c r="HD6" t="s">
        <v>1765</v>
      </c>
      <c r="HE6" s="115">
        <v>2.54</v>
      </c>
      <c r="HF6" s="185">
        <f t="shared" si="17"/>
        <v>0.3543307086614173</v>
      </c>
      <c r="HI6" s="115">
        <v>42812</v>
      </c>
      <c r="HJ6">
        <v>0.05</v>
      </c>
      <c r="HK6">
        <v>0</v>
      </c>
      <c r="HL6">
        <v>0</v>
      </c>
      <c r="HM6" s="115">
        <v>42887</v>
      </c>
      <c r="HN6" s="58">
        <v>11915</v>
      </c>
      <c r="HO6" s="115">
        <v>42888</v>
      </c>
      <c r="HP6" t="s">
        <v>1765</v>
      </c>
      <c r="HQ6" s="115">
        <v>0.11</v>
      </c>
      <c r="HR6" s="185">
        <f t="shared" si="18"/>
        <v>0.45454545454545459</v>
      </c>
      <c r="HU6" s="115">
        <v>43175</v>
      </c>
      <c r="HV6">
        <v>1.9800000000000002E-2</v>
      </c>
      <c r="HW6">
        <v>0</v>
      </c>
      <c r="HX6">
        <v>0</v>
      </c>
      <c r="HY6" s="115">
        <v>43279</v>
      </c>
      <c r="HZ6" s="58">
        <v>59863.22</v>
      </c>
      <c r="IA6" s="115">
        <v>43280</v>
      </c>
      <c r="IB6" t="s">
        <v>1765</v>
      </c>
      <c r="IC6" s="115">
        <v>0.02</v>
      </c>
      <c r="ID6" s="185">
        <f t="shared" si="19"/>
        <v>0.9900000000000001</v>
      </c>
      <c r="IG6" s="115">
        <v>43179</v>
      </c>
      <c r="IH6">
        <v>0.13300000000000001</v>
      </c>
      <c r="II6">
        <v>0</v>
      </c>
      <c r="IJ6">
        <v>0</v>
      </c>
      <c r="IK6" s="115">
        <v>43215</v>
      </c>
      <c r="IL6" s="58">
        <v>4335.6000000000004</v>
      </c>
      <c r="IM6" s="115">
        <v>43216</v>
      </c>
      <c r="IN6" t="s">
        <v>1765</v>
      </c>
      <c r="IO6" s="115">
        <v>0.45</v>
      </c>
      <c r="IP6" s="185">
        <f t="shared" si="20"/>
        <v>0.29555555555555557</v>
      </c>
      <c r="IS6" s="115">
        <v>43188</v>
      </c>
      <c r="IT6">
        <v>0.1</v>
      </c>
      <c r="IU6">
        <v>0</v>
      </c>
      <c r="IV6">
        <v>0.5</v>
      </c>
      <c r="IW6" s="115">
        <v>43231</v>
      </c>
      <c r="IX6" s="58">
        <v>13886.94</v>
      </c>
      <c r="IY6" s="115">
        <v>43234</v>
      </c>
      <c r="IZ6" t="s">
        <v>1765</v>
      </c>
      <c r="JA6" s="115">
        <v>0.33</v>
      </c>
      <c r="JB6" s="185">
        <f t="shared" si="21"/>
        <v>0.30303030303030304</v>
      </c>
      <c r="JE6" s="115">
        <v>43200</v>
      </c>
      <c r="JF6">
        <v>0.25</v>
      </c>
      <c r="JG6">
        <v>0</v>
      </c>
      <c r="JH6">
        <v>0</v>
      </c>
      <c r="JI6" s="115">
        <v>43258</v>
      </c>
      <c r="JJ6" s="58">
        <v>81333.3</v>
      </c>
      <c r="JK6" s="115">
        <v>43259</v>
      </c>
      <c r="JL6" t="s">
        <v>1765</v>
      </c>
      <c r="JM6">
        <v>0.76</v>
      </c>
      <c r="JN6" s="185">
        <f t="shared" si="22"/>
        <v>0.32894736842105265</v>
      </c>
      <c r="JY6" s="115">
        <v>0</v>
      </c>
      <c r="JZ6" s="185" t="e">
        <f t="shared" si="23"/>
        <v>#DIV/0!</v>
      </c>
      <c r="KC6" s="115">
        <v>43200</v>
      </c>
      <c r="KD6">
        <v>0.45</v>
      </c>
      <c r="KE6">
        <v>0</v>
      </c>
      <c r="KF6">
        <v>0</v>
      </c>
      <c r="KG6" s="115">
        <v>43258</v>
      </c>
      <c r="KH6" s="58">
        <v>1002056.18</v>
      </c>
      <c r="KI6" s="115">
        <v>43259</v>
      </c>
      <c r="KJ6" t="s">
        <v>1765</v>
      </c>
      <c r="KK6" s="115">
        <v>0.86</v>
      </c>
      <c r="KL6" s="185">
        <f t="shared" si="24"/>
        <v>0.52325581395348841</v>
      </c>
      <c r="KO6" s="115">
        <v>43214</v>
      </c>
      <c r="KP6">
        <v>0.05</v>
      </c>
      <c r="KQ6">
        <v>0</v>
      </c>
      <c r="KR6">
        <v>0</v>
      </c>
      <c r="KS6" s="115">
        <v>43276</v>
      </c>
      <c r="KT6" s="58">
        <v>173991.99</v>
      </c>
      <c r="KU6" s="115">
        <v>43277</v>
      </c>
      <c r="KV6" t="s">
        <v>1765</v>
      </c>
      <c r="KW6" s="115">
        <v>0.22</v>
      </c>
      <c r="KX6" s="185">
        <f t="shared" si="25"/>
        <v>0.22727272727272729</v>
      </c>
      <c r="LA6" s="115">
        <v>43207</v>
      </c>
      <c r="LB6">
        <v>0.16</v>
      </c>
      <c r="LC6">
        <v>0</v>
      </c>
      <c r="LD6">
        <v>0</v>
      </c>
      <c r="LE6" s="115">
        <v>43332</v>
      </c>
      <c r="LF6" s="58">
        <v>123817.95</v>
      </c>
      <c r="LG6" s="115">
        <v>43333</v>
      </c>
      <c r="LH6" t="s">
        <v>1765</v>
      </c>
      <c r="LI6" s="115">
        <v>0.27</v>
      </c>
      <c r="LJ6" s="185">
        <f t="shared" si="26"/>
        <v>0.59259259259259256</v>
      </c>
      <c r="LM6" s="115">
        <v>43213</v>
      </c>
      <c r="LN6">
        <v>1</v>
      </c>
      <c r="LO6">
        <v>0</v>
      </c>
      <c r="LP6">
        <v>0.7</v>
      </c>
      <c r="LQ6" s="115">
        <v>43259</v>
      </c>
      <c r="LR6" s="58">
        <v>10667</v>
      </c>
      <c r="LS6" s="115">
        <v>43262</v>
      </c>
      <c r="LT6" t="s">
        <v>1765</v>
      </c>
      <c r="LU6" s="115">
        <v>1.69</v>
      </c>
      <c r="LV6" s="185">
        <f t="shared" si="27"/>
        <v>0.59171597633136097</v>
      </c>
      <c r="LY6" s="115">
        <v>43217</v>
      </c>
      <c r="LZ6">
        <v>0.1</v>
      </c>
      <c r="MA6">
        <v>0</v>
      </c>
      <c r="MB6">
        <v>0</v>
      </c>
      <c r="MC6" s="115">
        <v>43248</v>
      </c>
      <c r="MD6" s="58">
        <v>8136.2</v>
      </c>
      <c r="ME6" s="115">
        <v>43249</v>
      </c>
      <c r="MF6" t="s">
        <v>1765</v>
      </c>
      <c r="MG6" s="115">
        <v>0.97</v>
      </c>
      <c r="MH6" s="185">
        <f t="shared" si="28"/>
        <v>0.10309278350515465</v>
      </c>
      <c r="MK6" s="115">
        <v>43316</v>
      </c>
      <c r="ML6">
        <v>0</v>
      </c>
      <c r="MM6">
        <v>0</v>
      </c>
      <c r="MN6">
        <v>0.5</v>
      </c>
      <c r="MO6" s="115">
        <v>43346</v>
      </c>
      <c r="MP6">
        <v>0</v>
      </c>
      <c r="MQ6" s="115">
        <v>43347</v>
      </c>
      <c r="MR6" t="s">
        <v>1765</v>
      </c>
      <c r="MS6" s="115">
        <v>0.36</v>
      </c>
      <c r="MT6" s="185">
        <f t="shared" si="29"/>
        <v>0</v>
      </c>
      <c r="MW6" s="115">
        <v>43172</v>
      </c>
      <c r="MX6">
        <v>0.1</v>
      </c>
      <c r="MY6">
        <v>0</v>
      </c>
      <c r="MZ6">
        <v>0</v>
      </c>
      <c r="NA6" s="115">
        <v>43216</v>
      </c>
      <c r="NB6" s="58">
        <v>8311.76</v>
      </c>
      <c r="NC6" s="115">
        <v>43217</v>
      </c>
      <c r="ND6" t="s">
        <v>1765</v>
      </c>
      <c r="NE6" s="115">
        <v>0.56999999999999995</v>
      </c>
      <c r="NF6" s="185">
        <f t="shared" si="30"/>
        <v>0.17543859649122809</v>
      </c>
      <c r="NI6" s="115">
        <v>43189</v>
      </c>
      <c r="NJ6">
        <v>0.41799999999999998</v>
      </c>
      <c r="NK6">
        <v>0</v>
      </c>
      <c r="NL6">
        <v>0</v>
      </c>
      <c r="NM6" s="115">
        <v>43290</v>
      </c>
      <c r="NN6" s="58">
        <v>418000</v>
      </c>
      <c r="NO6" s="115">
        <v>43291</v>
      </c>
      <c r="NP6" t="s">
        <v>1765</v>
      </c>
      <c r="NQ6" s="115">
        <v>1.04</v>
      </c>
      <c r="NR6" s="185">
        <f t="shared" si="31"/>
        <v>0.40192307692307688</v>
      </c>
      <c r="NU6" s="115">
        <v>43584</v>
      </c>
      <c r="NV6">
        <v>1.5</v>
      </c>
      <c r="NW6">
        <v>0</v>
      </c>
      <c r="NX6">
        <v>0</v>
      </c>
      <c r="NY6" s="115">
        <v>43682</v>
      </c>
      <c r="NZ6" s="58">
        <v>902359.63</v>
      </c>
      <c r="OA6" s="115">
        <v>43683</v>
      </c>
      <c r="OB6" t="s">
        <v>1765</v>
      </c>
      <c r="OC6" s="115">
        <v>3.72</v>
      </c>
      <c r="OD6" s="185">
        <f t="shared" si="32"/>
        <v>0.40322580645161288</v>
      </c>
      <c r="OG6" s="115">
        <v>43186</v>
      </c>
      <c r="OH6">
        <v>0.9</v>
      </c>
      <c r="OI6">
        <v>0</v>
      </c>
      <c r="OJ6">
        <v>0</v>
      </c>
      <c r="OK6" s="115">
        <v>43334</v>
      </c>
      <c r="OL6" s="58">
        <v>993523.68</v>
      </c>
      <c r="OM6" s="115">
        <v>43335</v>
      </c>
      <c r="ON6" t="s">
        <v>1765</v>
      </c>
      <c r="OO6" s="115">
        <v>2.54</v>
      </c>
      <c r="OP6" s="185">
        <f t="shared" si="33"/>
        <v>0.3543307086614173</v>
      </c>
      <c r="OS6" s="115">
        <v>43581</v>
      </c>
      <c r="OT6">
        <v>0.25</v>
      </c>
      <c r="OU6">
        <v>0</v>
      </c>
      <c r="OV6">
        <v>0</v>
      </c>
      <c r="OW6" s="115">
        <v>43629</v>
      </c>
      <c r="OX6" s="58">
        <v>2040</v>
      </c>
      <c r="OY6" s="115">
        <v>43630</v>
      </c>
      <c r="OZ6" t="s">
        <v>1765</v>
      </c>
      <c r="PA6" s="115">
        <v>0.46</v>
      </c>
      <c r="PB6" s="185">
        <f t="shared" si="34"/>
        <v>0.54347826086956519</v>
      </c>
      <c r="PE6" s="115">
        <v>43581</v>
      </c>
      <c r="PF6">
        <v>0.25</v>
      </c>
      <c r="PG6">
        <v>0</v>
      </c>
      <c r="PH6">
        <v>0</v>
      </c>
      <c r="PI6" s="115">
        <v>43629</v>
      </c>
      <c r="PJ6" s="58">
        <v>2040</v>
      </c>
      <c r="PK6" s="115">
        <v>43630</v>
      </c>
      <c r="PL6" t="s">
        <v>1765</v>
      </c>
      <c r="PM6" s="115">
        <v>0.46</v>
      </c>
      <c r="PN6" s="185">
        <f t="shared" si="35"/>
        <v>0.54347826086956519</v>
      </c>
      <c r="PQ6" s="115">
        <v>43189</v>
      </c>
      <c r="PR6">
        <v>0.72</v>
      </c>
      <c r="PS6">
        <v>0</v>
      </c>
      <c r="PT6">
        <v>0.5</v>
      </c>
      <c r="PU6" s="115">
        <v>43263</v>
      </c>
      <c r="PV6" s="58">
        <v>69992.38</v>
      </c>
      <c r="PW6" s="115">
        <v>43264</v>
      </c>
      <c r="PX6" t="s">
        <v>1765</v>
      </c>
      <c r="PY6" s="115">
        <v>1.83</v>
      </c>
      <c r="PZ6" s="185">
        <f t="shared" si="36"/>
        <v>0.39344262295081966</v>
      </c>
      <c r="QC6" s="115">
        <v>43207</v>
      </c>
      <c r="QD6">
        <v>1.2</v>
      </c>
      <c r="QE6">
        <v>0</v>
      </c>
      <c r="QF6">
        <v>0</v>
      </c>
      <c r="QG6" s="115">
        <v>43298</v>
      </c>
      <c r="QH6" s="58">
        <v>121074.07</v>
      </c>
      <c r="QI6" s="115">
        <v>43299</v>
      </c>
      <c r="QJ6" t="s">
        <v>1765</v>
      </c>
      <c r="QK6" s="115">
        <v>2.5499999999999998</v>
      </c>
      <c r="QL6" s="185">
        <f t="shared" si="37"/>
        <v>0.47058823529411764</v>
      </c>
      <c r="QO6" s="115">
        <v>43693</v>
      </c>
      <c r="QP6">
        <v>0.75</v>
      </c>
      <c r="QQ6">
        <v>0</v>
      </c>
      <c r="QR6">
        <v>0</v>
      </c>
      <c r="QS6" s="115">
        <v>43711</v>
      </c>
      <c r="QT6" s="58">
        <v>1371018.11</v>
      </c>
      <c r="QU6" s="115">
        <v>43712</v>
      </c>
      <c r="QV6" t="s">
        <v>1765</v>
      </c>
      <c r="QW6" s="115">
        <v>4.99</v>
      </c>
      <c r="QX6" s="185">
        <f t="shared" si="38"/>
        <v>0.15030060120240479</v>
      </c>
      <c r="RA6" s="115">
        <v>43182</v>
      </c>
      <c r="RB6">
        <v>1.2</v>
      </c>
      <c r="RC6">
        <v>0</v>
      </c>
      <c r="RD6">
        <v>0</v>
      </c>
      <c r="RE6" s="115">
        <v>43270</v>
      </c>
      <c r="RF6" s="58">
        <v>635916.31000000006</v>
      </c>
      <c r="RG6" s="115">
        <v>43271</v>
      </c>
      <c r="RH6" t="s">
        <v>1765</v>
      </c>
      <c r="RI6" s="115">
        <v>2.99</v>
      </c>
      <c r="RJ6" s="185">
        <f t="shared" si="39"/>
        <v>0.40133779264214042</v>
      </c>
      <c r="RM6" s="115">
        <v>43185</v>
      </c>
      <c r="RN6">
        <v>0.28000000000000003</v>
      </c>
      <c r="RO6">
        <v>0</v>
      </c>
      <c r="RP6">
        <v>0</v>
      </c>
      <c r="RQ6" s="115">
        <v>43259</v>
      </c>
      <c r="RR6" s="58">
        <v>41932</v>
      </c>
      <c r="RS6" s="115">
        <v>43262</v>
      </c>
      <c r="RT6" t="s">
        <v>1765</v>
      </c>
      <c r="RU6" s="115">
        <v>1.39</v>
      </c>
      <c r="RV6" s="185">
        <f t="shared" si="40"/>
        <v>0.20143884892086333</v>
      </c>
      <c r="RY6" s="115">
        <v>43140</v>
      </c>
      <c r="RZ6">
        <v>1.6</v>
      </c>
      <c r="SA6">
        <v>0</v>
      </c>
      <c r="SB6">
        <v>0</v>
      </c>
      <c r="SC6" s="115">
        <v>43193</v>
      </c>
      <c r="SD6" s="58">
        <v>212174.88</v>
      </c>
      <c r="SE6" s="115">
        <v>43194</v>
      </c>
      <c r="SF6" t="s">
        <v>1765</v>
      </c>
      <c r="SG6" s="115">
        <v>1.92</v>
      </c>
      <c r="SH6" s="185">
        <f t="shared" si="41"/>
        <v>0.83333333333333337</v>
      </c>
      <c r="SK6" s="115">
        <v>43182</v>
      </c>
      <c r="SL6">
        <v>1.2</v>
      </c>
      <c r="SM6">
        <v>0</v>
      </c>
      <c r="SN6">
        <v>0</v>
      </c>
      <c r="SO6" s="115">
        <v>43270</v>
      </c>
      <c r="SP6" s="58">
        <v>635916.31000000006</v>
      </c>
      <c r="SQ6" s="115">
        <v>43271</v>
      </c>
      <c r="SR6" t="s">
        <v>1765</v>
      </c>
      <c r="SS6" s="115">
        <v>2.99</v>
      </c>
      <c r="ST6" s="185">
        <f t="shared" si="42"/>
        <v>0.40133779264214042</v>
      </c>
      <c r="SW6" s="115">
        <v>43185</v>
      </c>
      <c r="SX6">
        <v>0.28000000000000003</v>
      </c>
      <c r="SY6">
        <v>0</v>
      </c>
      <c r="SZ6">
        <v>0</v>
      </c>
      <c r="TA6" s="115">
        <v>43259</v>
      </c>
      <c r="TB6" s="58">
        <v>41932</v>
      </c>
      <c r="TC6" s="115">
        <v>43262</v>
      </c>
      <c r="TD6" t="s">
        <v>1765</v>
      </c>
      <c r="TE6" s="115">
        <v>1.39</v>
      </c>
      <c r="TF6" s="185">
        <f t="shared" si="43"/>
        <v>0.20143884892086333</v>
      </c>
      <c r="TI6" s="115">
        <v>43175</v>
      </c>
      <c r="TJ6">
        <v>1</v>
      </c>
      <c r="TK6">
        <v>0</v>
      </c>
      <c r="TL6">
        <v>1</v>
      </c>
      <c r="TM6" s="115">
        <v>43207</v>
      </c>
      <c r="TN6" s="58">
        <v>29200</v>
      </c>
      <c r="TO6" s="115">
        <v>43208</v>
      </c>
      <c r="TP6" t="s">
        <v>1765</v>
      </c>
      <c r="TQ6" s="115">
        <v>1.45</v>
      </c>
      <c r="TR6" s="185">
        <f t="shared" si="44"/>
        <v>0.68965517241379315</v>
      </c>
      <c r="TU6" s="115">
        <v>43698</v>
      </c>
      <c r="TV6">
        <v>0.3</v>
      </c>
      <c r="TW6">
        <v>0</v>
      </c>
      <c r="TX6">
        <v>0</v>
      </c>
      <c r="TY6" s="115">
        <v>43748</v>
      </c>
      <c r="TZ6" s="58">
        <v>159363.74</v>
      </c>
      <c r="UA6" s="115">
        <v>43749</v>
      </c>
      <c r="UB6" t="s">
        <v>1765</v>
      </c>
      <c r="UC6" s="203">
        <v>1.29</v>
      </c>
      <c r="UD6" s="185">
        <f t="shared" si="45"/>
        <v>0.23255813953488372</v>
      </c>
      <c r="UG6" s="115">
        <v>43698</v>
      </c>
      <c r="UH6">
        <v>0.3</v>
      </c>
      <c r="UI6">
        <v>0</v>
      </c>
      <c r="UJ6">
        <v>0</v>
      </c>
      <c r="UK6" s="115">
        <v>43748</v>
      </c>
      <c r="UL6" s="58">
        <v>159363.74</v>
      </c>
      <c r="UM6" s="115">
        <v>43749</v>
      </c>
      <c r="UN6" t="s">
        <v>1765</v>
      </c>
      <c r="UO6" s="115">
        <v>1.29</v>
      </c>
      <c r="UP6" s="185">
        <f t="shared" si="46"/>
        <v>0.23255813953488372</v>
      </c>
      <c r="US6" s="115">
        <v>43698</v>
      </c>
      <c r="UT6">
        <v>0.3</v>
      </c>
      <c r="UU6">
        <v>0</v>
      </c>
      <c r="UV6">
        <v>0</v>
      </c>
      <c r="UW6" s="115">
        <v>43748</v>
      </c>
      <c r="UX6" s="58">
        <v>159363.74</v>
      </c>
      <c r="UY6" s="115">
        <v>43749</v>
      </c>
      <c r="UZ6" t="s">
        <v>1765</v>
      </c>
      <c r="VA6" s="115">
        <v>1.29</v>
      </c>
      <c r="VB6" s="185">
        <f t="shared" si="47"/>
        <v>0.23255813953488372</v>
      </c>
      <c r="VE6" s="115">
        <v>43316</v>
      </c>
      <c r="VF6">
        <v>0</v>
      </c>
      <c r="VG6">
        <v>0</v>
      </c>
      <c r="VH6">
        <v>0.5</v>
      </c>
      <c r="VI6" s="115">
        <v>43346</v>
      </c>
      <c r="VJ6">
        <v>0</v>
      </c>
      <c r="VK6" s="115">
        <v>43347</v>
      </c>
      <c r="VL6" t="s">
        <v>1765</v>
      </c>
      <c r="VM6" s="115">
        <v>0.36</v>
      </c>
      <c r="VN6" s="185">
        <f t="shared" si="48"/>
        <v>0</v>
      </c>
      <c r="VQ6" s="115">
        <v>43333</v>
      </c>
      <c r="VR6">
        <v>0.4</v>
      </c>
      <c r="VS6">
        <v>0</v>
      </c>
      <c r="VT6">
        <v>0</v>
      </c>
      <c r="VU6" s="115">
        <v>43396</v>
      </c>
      <c r="VV6" s="58">
        <v>100344.7</v>
      </c>
      <c r="VW6" s="115">
        <v>43397</v>
      </c>
      <c r="VX6" t="s">
        <v>1765</v>
      </c>
      <c r="VY6" s="115">
        <v>1.26</v>
      </c>
      <c r="VZ6" s="185">
        <f t="shared" si="49"/>
        <v>0.3174603174603175</v>
      </c>
      <c r="WC6" s="115">
        <v>43214</v>
      </c>
      <c r="WD6">
        <v>0.05</v>
      </c>
      <c r="WE6">
        <v>0</v>
      </c>
      <c r="WF6">
        <v>0</v>
      </c>
      <c r="WG6" s="115">
        <v>43276</v>
      </c>
      <c r="WH6" s="58">
        <v>173991.99</v>
      </c>
      <c r="WI6" s="115">
        <v>43277</v>
      </c>
      <c r="WJ6" t="s">
        <v>1765</v>
      </c>
      <c r="WK6" s="115">
        <v>0.22</v>
      </c>
      <c r="WL6" s="185">
        <f t="shared" si="50"/>
        <v>0.22727272727272729</v>
      </c>
      <c r="WO6" s="115">
        <v>43214</v>
      </c>
      <c r="WP6">
        <v>0.05</v>
      </c>
      <c r="WQ6">
        <v>0</v>
      </c>
      <c r="WR6">
        <v>0</v>
      </c>
      <c r="WS6" s="115">
        <v>43276</v>
      </c>
      <c r="WT6" s="58">
        <v>173991.99</v>
      </c>
      <c r="WU6" s="115">
        <v>43277</v>
      </c>
      <c r="WV6" t="s">
        <v>1765</v>
      </c>
      <c r="WW6" s="115">
        <v>0.22</v>
      </c>
      <c r="WX6" s="185">
        <f t="shared" si="51"/>
        <v>0.22727272727272729</v>
      </c>
      <c r="XA6" s="115">
        <v>43189</v>
      </c>
      <c r="XB6">
        <v>0.41799999999999998</v>
      </c>
      <c r="XC6">
        <v>0</v>
      </c>
      <c r="XD6">
        <v>0</v>
      </c>
      <c r="XE6" s="115">
        <v>43290</v>
      </c>
      <c r="XF6" s="58">
        <v>418000</v>
      </c>
      <c r="XG6" s="115">
        <v>43291</v>
      </c>
      <c r="XH6" t="s">
        <v>1765</v>
      </c>
      <c r="XI6" s="115">
        <v>1.04</v>
      </c>
      <c r="XJ6" s="185">
        <f t="shared" si="52"/>
        <v>0.40192307692307688</v>
      </c>
      <c r="XM6" s="115">
        <v>43214</v>
      </c>
      <c r="XN6">
        <v>0.1</v>
      </c>
      <c r="XO6">
        <v>0</v>
      </c>
      <c r="XP6">
        <v>0</v>
      </c>
      <c r="XQ6" s="115">
        <v>43279</v>
      </c>
      <c r="XR6" s="58">
        <v>27167.85</v>
      </c>
      <c r="XS6" s="115">
        <v>43280</v>
      </c>
      <c r="XT6" t="s">
        <v>1765</v>
      </c>
      <c r="XU6" s="115">
        <v>0.2</v>
      </c>
      <c r="XV6" s="185">
        <f t="shared" si="53"/>
        <v>0.5</v>
      </c>
      <c r="XY6" s="115">
        <v>43189</v>
      </c>
      <c r="XZ6">
        <v>0.3</v>
      </c>
      <c r="YA6">
        <v>0</v>
      </c>
      <c r="YB6">
        <v>0.5</v>
      </c>
      <c r="YC6" s="115">
        <v>43235</v>
      </c>
      <c r="YD6" s="58">
        <v>3000</v>
      </c>
      <c r="YE6" s="115">
        <v>43236</v>
      </c>
      <c r="YF6" t="s">
        <v>1765</v>
      </c>
      <c r="YG6" s="115">
        <v>1.01</v>
      </c>
      <c r="YH6" s="185">
        <f t="shared" si="54"/>
        <v>0.29702970297029702</v>
      </c>
      <c r="YK6" s="115">
        <v>43185</v>
      </c>
      <c r="YL6">
        <v>0.13</v>
      </c>
      <c r="YM6">
        <v>0</v>
      </c>
      <c r="YN6">
        <v>0</v>
      </c>
      <c r="YO6" s="115">
        <v>43216</v>
      </c>
      <c r="YP6" s="58">
        <v>3526.25</v>
      </c>
      <c r="YQ6" s="115">
        <v>43217</v>
      </c>
      <c r="YR6" t="s">
        <v>1765</v>
      </c>
      <c r="YS6" s="115">
        <v>0.85</v>
      </c>
      <c r="YT6" s="185">
        <f t="shared" si="55"/>
        <v>0.15294117647058825</v>
      </c>
      <c r="YW6" s="115">
        <v>43202</v>
      </c>
      <c r="YX6">
        <v>0.5</v>
      </c>
      <c r="YY6">
        <v>0</v>
      </c>
      <c r="YZ6">
        <v>0.7</v>
      </c>
      <c r="ZA6" s="115">
        <v>43262</v>
      </c>
      <c r="ZB6" s="58">
        <v>8235.4500000000007</v>
      </c>
      <c r="ZC6" s="115">
        <v>43263</v>
      </c>
      <c r="ZD6" t="s">
        <v>1765</v>
      </c>
      <c r="ZE6" s="115">
        <v>0.83</v>
      </c>
      <c r="ZF6" s="185">
        <f t="shared" si="56"/>
        <v>0.60240963855421692</v>
      </c>
      <c r="ZI6" s="115">
        <v>41023</v>
      </c>
      <c r="ZJ6">
        <v>0.1</v>
      </c>
      <c r="ZK6">
        <v>0</v>
      </c>
      <c r="ZL6">
        <v>0</v>
      </c>
      <c r="ZM6" s="115">
        <v>41051</v>
      </c>
      <c r="ZN6" s="58">
        <v>2480</v>
      </c>
      <c r="ZO6" s="115">
        <v>41052</v>
      </c>
      <c r="ZP6" t="s">
        <v>1765</v>
      </c>
      <c r="ZQ6" s="115">
        <v>-0.38</v>
      </c>
      <c r="ZR6" s="185">
        <f t="shared" si="57"/>
        <v>-0.26315789473684209</v>
      </c>
      <c r="ZU6" s="115">
        <v>43145</v>
      </c>
      <c r="ZV6">
        <v>0.2</v>
      </c>
      <c r="ZW6">
        <v>0</v>
      </c>
      <c r="ZX6">
        <v>0</v>
      </c>
      <c r="ZY6" s="115">
        <v>43174</v>
      </c>
      <c r="ZZ6" s="58">
        <v>9887.1</v>
      </c>
      <c r="AAA6" s="115">
        <v>43175</v>
      </c>
      <c r="AAB6" t="s">
        <v>1765</v>
      </c>
      <c r="AAC6" s="115">
        <v>0.41</v>
      </c>
      <c r="AAD6" s="185">
        <f t="shared" si="58"/>
        <v>0.48780487804878053</v>
      </c>
      <c r="AAG6" s="115">
        <v>43211</v>
      </c>
      <c r="AAH6">
        <v>0.15</v>
      </c>
      <c r="AAI6">
        <v>0</v>
      </c>
      <c r="AAJ6">
        <v>0</v>
      </c>
      <c r="AAK6" s="115">
        <v>43286</v>
      </c>
      <c r="AAL6" s="58">
        <v>15037.15</v>
      </c>
      <c r="AAM6" s="115">
        <v>43287</v>
      </c>
      <c r="AAN6" t="s">
        <v>1765</v>
      </c>
      <c r="AAO6" s="115">
        <v>0.59</v>
      </c>
      <c r="AAP6" s="185">
        <f t="shared" si="59"/>
        <v>0.25423728813559321</v>
      </c>
      <c r="AAS6" s="115">
        <v>42853</v>
      </c>
      <c r="AAT6">
        <v>0.1</v>
      </c>
      <c r="AAU6">
        <v>0</v>
      </c>
      <c r="AAV6">
        <v>0</v>
      </c>
      <c r="AAW6" s="115">
        <v>42899</v>
      </c>
      <c r="AAX6" s="58">
        <v>6526.76</v>
      </c>
      <c r="AAY6" s="115">
        <v>42900</v>
      </c>
      <c r="AAZ6" t="s">
        <v>1765</v>
      </c>
      <c r="ABA6" s="115">
        <v>7.0000000000000007E-2</v>
      </c>
      <c r="ABB6" s="185">
        <f t="shared" si="60"/>
        <v>1.4285714285714286</v>
      </c>
      <c r="ABE6" s="115">
        <v>43189</v>
      </c>
      <c r="ABF6">
        <v>0.41799999999999998</v>
      </c>
      <c r="ABG6">
        <v>0</v>
      </c>
      <c r="ABH6">
        <v>0</v>
      </c>
      <c r="ABI6" s="115">
        <v>43290</v>
      </c>
      <c r="ABJ6" s="58">
        <v>418000</v>
      </c>
      <c r="ABK6" s="115">
        <v>43291</v>
      </c>
      <c r="ABL6" t="s">
        <v>1765</v>
      </c>
      <c r="ABM6" s="115">
        <v>1.04</v>
      </c>
      <c r="ABN6" s="185">
        <f t="shared" si="61"/>
        <v>0.40192307692307688</v>
      </c>
      <c r="ABQ6" s="115">
        <v>43217</v>
      </c>
      <c r="ABR6">
        <v>0.18</v>
      </c>
      <c r="ABS6">
        <v>0</v>
      </c>
      <c r="ABT6">
        <v>0</v>
      </c>
      <c r="ABU6" s="115">
        <v>43270</v>
      </c>
      <c r="ABV6" s="58">
        <v>23434.63</v>
      </c>
      <c r="ABW6" s="115">
        <v>43271</v>
      </c>
      <c r="ABX6" t="s">
        <v>1765</v>
      </c>
      <c r="ABY6" s="115">
        <v>1.27</v>
      </c>
      <c r="ABZ6" s="185">
        <f t="shared" si="62"/>
        <v>0.14173228346456693</v>
      </c>
      <c r="ACC6" s="115">
        <v>35234</v>
      </c>
      <c r="ACD6">
        <v>0</v>
      </c>
      <c r="ACE6">
        <v>0.1</v>
      </c>
      <c r="ACF6">
        <v>0</v>
      </c>
      <c r="ACG6" s="115">
        <v>35240</v>
      </c>
      <c r="ACH6">
        <v>0</v>
      </c>
      <c r="ACI6" s="115">
        <v>35241</v>
      </c>
      <c r="ACJ6" t="s">
        <v>1765</v>
      </c>
      <c r="ACK6" s="115">
        <v>0.19</v>
      </c>
      <c r="ACL6" s="185">
        <f t="shared" si="63"/>
        <v>0</v>
      </c>
      <c r="ACO6" s="115">
        <v>43216</v>
      </c>
      <c r="ACP6">
        <v>0.34200000000000003</v>
      </c>
      <c r="ACQ6">
        <v>0</v>
      </c>
      <c r="ACR6">
        <v>0</v>
      </c>
      <c r="ACS6" s="115">
        <v>43257</v>
      </c>
      <c r="ACT6" s="58">
        <v>208531.17</v>
      </c>
      <c r="ACU6" s="115">
        <v>43258</v>
      </c>
      <c r="ACV6" t="s">
        <v>1765</v>
      </c>
      <c r="ACW6" s="115">
        <v>1.1399999999999999</v>
      </c>
      <c r="ACX6" s="185">
        <f t="shared" si="64"/>
        <v>0.30000000000000004</v>
      </c>
      <c r="ADA6" s="115">
        <v>43426</v>
      </c>
      <c r="ADB6">
        <v>0</v>
      </c>
      <c r="ADC6">
        <v>0</v>
      </c>
      <c r="ADD6">
        <v>0</v>
      </c>
      <c r="ADE6" t="s">
        <v>1809</v>
      </c>
      <c r="ADF6">
        <v>0</v>
      </c>
      <c r="ADG6" t="s">
        <v>1809</v>
      </c>
      <c r="ADH6" t="s">
        <v>1765</v>
      </c>
      <c r="ADI6" s="115">
        <v>2.66</v>
      </c>
      <c r="ADJ6" s="185">
        <f t="shared" si="65"/>
        <v>0</v>
      </c>
      <c r="ADM6" s="115">
        <v>43222</v>
      </c>
      <c r="ADN6">
        <v>1</v>
      </c>
      <c r="ADO6">
        <v>0</v>
      </c>
      <c r="ADP6">
        <v>0</v>
      </c>
      <c r="ADQ6" s="115">
        <v>43259</v>
      </c>
      <c r="ADR6" s="58">
        <v>36000</v>
      </c>
      <c r="ADS6" s="115">
        <v>43262</v>
      </c>
      <c r="ADT6" t="s">
        <v>1765</v>
      </c>
      <c r="ADU6" s="115">
        <v>0.98</v>
      </c>
      <c r="ADV6" s="185">
        <f t="shared" si="66"/>
        <v>1.0204081632653061</v>
      </c>
      <c r="ADY6" s="115">
        <v>43207</v>
      </c>
      <c r="ADZ6">
        <v>0.2</v>
      </c>
      <c r="AEA6">
        <v>0</v>
      </c>
      <c r="AEB6">
        <v>0</v>
      </c>
      <c r="AEC6" s="115">
        <v>43238</v>
      </c>
      <c r="AED6" s="58">
        <v>21341.3</v>
      </c>
      <c r="AEE6" s="115">
        <v>43241</v>
      </c>
      <c r="AEF6" t="s">
        <v>1765</v>
      </c>
      <c r="AEG6" s="115">
        <v>1.56</v>
      </c>
      <c r="AEH6" s="185">
        <f t="shared" si="67"/>
        <v>0.12820512820512822</v>
      </c>
      <c r="AEK6" s="115">
        <v>43214</v>
      </c>
      <c r="AEL6">
        <v>0.3</v>
      </c>
      <c r="AEM6">
        <v>0</v>
      </c>
      <c r="AEN6">
        <v>0</v>
      </c>
      <c r="AEO6" s="115">
        <v>43262</v>
      </c>
      <c r="AEP6" s="58">
        <v>4000</v>
      </c>
      <c r="AEQ6" s="115">
        <v>43263</v>
      </c>
      <c r="AER6" t="s">
        <v>1765</v>
      </c>
      <c r="AES6" s="115">
        <v>0.88</v>
      </c>
      <c r="AET6" s="185">
        <f t="shared" si="68"/>
        <v>0.34090909090909088</v>
      </c>
      <c r="AEW6" s="115">
        <v>43545</v>
      </c>
      <c r="AEX6">
        <v>0.20960000000000001</v>
      </c>
      <c r="AEY6">
        <v>0</v>
      </c>
      <c r="AEZ6">
        <v>0</v>
      </c>
      <c r="AFA6" s="115">
        <v>43620</v>
      </c>
      <c r="AFB6" s="58">
        <v>30177.99</v>
      </c>
      <c r="AFC6" s="115">
        <v>43621</v>
      </c>
      <c r="AFD6" t="s">
        <v>1765</v>
      </c>
      <c r="AFE6" s="115">
        <v>0.52</v>
      </c>
      <c r="AFF6" s="185">
        <f t="shared" si="69"/>
        <v>0.40307692307692305</v>
      </c>
      <c r="AFI6" s="115">
        <v>43175</v>
      </c>
      <c r="AFJ6">
        <v>0.9</v>
      </c>
      <c r="AFK6">
        <v>0</v>
      </c>
      <c r="AFL6">
        <v>0</v>
      </c>
      <c r="AFM6" s="115">
        <v>43320</v>
      </c>
      <c r="AFN6" s="58">
        <v>58861.94</v>
      </c>
      <c r="AFO6" s="115">
        <v>43321</v>
      </c>
      <c r="AFP6" t="s">
        <v>1765</v>
      </c>
      <c r="AFQ6" s="115">
        <v>3.13</v>
      </c>
      <c r="AFR6" s="185">
        <f t="shared" si="70"/>
        <v>0.28753993610223644</v>
      </c>
      <c r="AFU6" s="115">
        <v>43095</v>
      </c>
      <c r="AFV6">
        <v>1.5</v>
      </c>
      <c r="AFW6">
        <v>0</v>
      </c>
      <c r="AFX6">
        <v>0</v>
      </c>
      <c r="AFY6" s="115">
        <v>43125</v>
      </c>
      <c r="AFZ6" s="58">
        <v>410101.92</v>
      </c>
      <c r="AGA6" s="115">
        <v>43126</v>
      </c>
      <c r="AGB6" t="s">
        <v>1765</v>
      </c>
      <c r="AGC6" s="115">
        <v>4.09</v>
      </c>
      <c r="AGD6" s="185">
        <f t="shared" si="71"/>
        <v>0.36674816625916873</v>
      </c>
      <c r="AGG6" s="115">
        <v>43214</v>
      </c>
      <c r="AGH6">
        <v>0.05</v>
      </c>
      <c r="AGI6">
        <v>0</v>
      </c>
      <c r="AGJ6">
        <v>0</v>
      </c>
      <c r="AGK6" s="115">
        <v>43276</v>
      </c>
      <c r="AGL6" s="58">
        <v>173991.99</v>
      </c>
      <c r="AGM6" s="115">
        <v>43277</v>
      </c>
      <c r="AGN6" t="s">
        <v>1765</v>
      </c>
      <c r="AGO6" s="115">
        <v>0.22</v>
      </c>
      <c r="AGP6" s="185">
        <f t="shared" si="72"/>
        <v>0.22727272727272729</v>
      </c>
      <c r="AGS6" s="115">
        <v>43189</v>
      </c>
      <c r="AGT6">
        <v>0.2</v>
      </c>
      <c r="AGU6">
        <v>0</v>
      </c>
      <c r="AGV6">
        <v>0</v>
      </c>
      <c r="AGW6" s="115">
        <v>43335</v>
      </c>
      <c r="AGX6" s="58">
        <v>155880.95999999999</v>
      </c>
      <c r="AGY6" s="115">
        <v>43336</v>
      </c>
      <c r="AGZ6" t="s">
        <v>1765</v>
      </c>
      <c r="AHA6" s="115">
        <v>0.17</v>
      </c>
      <c r="AHB6" s="185">
        <f t="shared" si="73"/>
        <v>1.1764705882352942</v>
      </c>
      <c r="AHE6" s="115">
        <v>43217</v>
      </c>
      <c r="AHF6">
        <v>2.5000000000000001E-2</v>
      </c>
      <c r="AHG6">
        <v>0</v>
      </c>
      <c r="AHH6">
        <v>0</v>
      </c>
      <c r="AHI6" s="115">
        <v>43245</v>
      </c>
      <c r="AHJ6" s="58">
        <v>4143.83</v>
      </c>
      <c r="AHK6" s="115">
        <v>43248</v>
      </c>
      <c r="AHL6" t="s">
        <v>1765</v>
      </c>
      <c r="AHM6" s="115">
        <v>0.08</v>
      </c>
      <c r="AHN6" s="185">
        <f t="shared" si="74"/>
        <v>0.3125</v>
      </c>
      <c r="AHQ6" s="115">
        <v>43207</v>
      </c>
      <c r="AHR6">
        <v>0.16</v>
      </c>
      <c r="AHS6">
        <v>0</v>
      </c>
      <c r="AHT6">
        <v>0</v>
      </c>
      <c r="AHU6" s="115">
        <v>43332</v>
      </c>
      <c r="AHV6" s="58">
        <v>123817.95</v>
      </c>
      <c r="AHW6" s="115">
        <v>43333</v>
      </c>
      <c r="AHX6" t="s">
        <v>1765</v>
      </c>
      <c r="AHY6" s="115">
        <v>0.27</v>
      </c>
      <c r="AHZ6" s="185">
        <f t="shared" si="75"/>
        <v>0.59259259259259256</v>
      </c>
      <c r="AIC6" s="115">
        <v>43372</v>
      </c>
      <c r="AID6">
        <v>0</v>
      </c>
      <c r="AIE6">
        <v>0</v>
      </c>
      <c r="AIF6">
        <v>0.3</v>
      </c>
      <c r="AIG6" s="115">
        <v>43398</v>
      </c>
      <c r="AIH6">
        <v>0</v>
      </c>
      <c r="AII6" s="115">
        <v>43399</v>
      </c>
      <c r="AIJ6" t="s">
        <v>1765</v>
      </c>
      <c r="AIK6" s="115">
        <v>0.28999999999999998</v>
      </c>
      <c r="AIL6" s="185">
        <f t="shared" si="76"/>
        <v>0</v>
      </c>
      <c r="AIO6" s="115">
        <v>43187</v>
      </c>
      <c r="AIP6">
        <v>10.999000000000001</v>
      </c>
      <c r="AIQ6">
        <v>0</v>
      </c>
      <c r="AIR6">
        <v>0</v>
      </c>
      <c r="AIS6" s="115">
        <v>43265</v>
      </c>
      <c r="AIT6" s="58">
        <v>1381691.96</v>
      </c>
      <c r="AIU6" s="115">
        <v>43266</v>
      </c>
      <c r="AIV6" t="s">
        <v>1765</v>
      </c>
      <c r="AIW6" s="115">
        <v>21.56</v>
      </c>
      <c r="AIX6" s="185">
        <f t="shared" si="77"/>
        <v>0.51015769944341383</v>
      </c>
      <c r="AJA6" s="115">
        <v>43218</v>
      </c>
      <c r="AJB6">
        <v>1.3</v>
      </c>
      <c r="AJC6">
        <v>0</v>
      </c>
      <c r="AJD6">
        <v>0</v>
      </c>
      <c r="AJE6" s="115">
        <v>43286</v>
      </c>
      <c r="AJF6" s="58">
        <v>504609.04</v>
      </c>
      <c r="AJG6" s="115">
        <v>43287</v>
      </c>
      <c r="AJH6" t="s">
        <v>1765</v>
      </c>
      <c r="AJI6" s="115">
        <v>2.5499999999999998</v>
      </c>
      <c r="AJJ6" s="185">
        <f t="shared" si="78"/>
        <v>0.50980392156862753</v>
      </c>
      <c r="AJM6" s="115">
        <v>41380</v>
      </c>
      <c r="AJN6">
        <v>0.03</v>
      </c>
      <c r="AJO6">
        <v>0</v>
      </c>
      <c r="AJP6">
        <v>0</v>
      </c>
      <c r="AJQ6" s="115">
        <v>41459</v>
      </c>
      <c r="AJR6" s="58">
        <v>1396.53</v>
      </c>
      <c r="AJS6" s="115">
        <v>41460</v>
      </c>
      <c r="AJT6" t="s">
        <v>1765</v>
      </c>
      <c r="AJU6" s="115">
        <v>-0.51</v>
      </c>
      <c r="AJV6" s="185">
        <f t="shared" si="79"/>
        <v>-5.8823529411764705E-2</v>
      </c>
      <c r="AJY6" s="115">
        <v>43211</v>
      </c>
      <c r="AJZ6">
        <v>0.5</v>
      </c>
      <c r="AKA6">
        <v>0</v>
      </c>
      <c r="AKB6">
        <v>0</v>
      </c>
      <c r="AKC6" s="115">
        <v>43241</v>
      </c>
      <c r="AKD6" s="58">
        <v>461363.52</v>
      </c>
      <c r="AKE6" s="115">
        <v>43242</v>
      </c>
      <c r="AKF6" t="s">
        <v>1765</v>
      </c>
      <c r="AKG6" s="115">
        <v>1.03</v>
      </c>
      <c r="AKH6" s="185">
        <f t="shared" si="80"/>
        <v>0.4854368932038835</v>
      </c>
      <c r="AKK6" s="115">
        <v>42469</v>
      </c>
      <c r="AKL6">
        <v>0.55000000000000004</v>
      </c>
      <c r="AKM6">
        <v>0</v>
      </c>
      <c r="AKN6">
        <v>2.1</v>
      </c>
      <c r="AKO6" s="115">
        <v>42502</v>
      </c>
      <c r="AKP6" s="58">
        <v>17456.98</v>
      </c>
      <c r="AKQ6" s="115">
        <v>42503</v>
      </c>
      <c r="AKR6" t="s">
        <v>1765</v>
      </c>
      <c r="AKS6" s="115">
        <v>0.11</v>
      </c>
      <c r="AKT6" s="185">
        <f t="shared" si="81"/>
        <v>5</v>
      </c>
      <c r="AKW6" s="115">
        <v>42486</v>
      </c>
      <c r="AKX6">
        <v>7.0000000000000007E-2</v>
      </c>
      <c r="AKY6">
        <v>0</v>
      </c>
      <c r="AKZ6">
        <v>0</v>
      </c>
      <c r="ALA6" s="115">
        <v>42550</v>
      </c>
      <c r="ALB6" s="58">
        <v>8778.74</v>
      </c>
      <c r="ALC6" s="115">
        <v>42551</v>
      </c>
      <c r="ALD6" t="s">
        <v>1765</v>
      </c>
      <c r="ALE6">
        <v>0.57999999999999996</v>
      </c>
      <c r="ALF6" s="185">
        <f t="shared" si="82"/>
        <v>0.12068965517241381</v>
      </c>
      <c r="ALQ6">
        <v>2.27</v>
      </c>
      <c r="ALR6" s="185">
        <f t="shared" si="83"/>
        <v>0</v>
      </c>
      <c r="AMC6" s="115">
        <v>1.0900000000000001</v>
      </c>
      <c r="AMD6" s="185">
        <f t="shared" si="84"/>
        <v>0</v>
      </c>
      <c r="AMG6" s="115">
        <v>43206</v>
      </c>
      <c r="AMH6">
        <v>0.43</v>
      </c>
      <c r="AMI6">
        <v>0</v>
      </c>
      <c r="AMJ6">
        <v>0</v>
      </c>
      <c r="AMK6" s="115">
        <v>43258</v>
      </c>
      <c r="AML6" s="58">
        <v>25942.639999999999</v>
      </c>
      <c r="AMM6" s="115">
        <v>43259</v>
      </c>
      <c r="AMN6" t="s">
        <v>1765</v>
      </c>
      <c r="AMO6" s="115">
        <v>1.34</v>
      </c>
      <c r="AMP6" s="185">
        <f t="shared" si="85"/>
        <v>0.32089552238805968</v>
      </c>
      <c r="AMS6" s="115">
        <v>43217</v>
      </c>
      <c r="AMT6">
        <v>0.1</v>
      </c>
      <c r="AMU6">
        <v>0</v>
      </c>
      <c r="AMV6">
        <v>0</v>
      </c>
      <c r="AMW6" s="115">
        <v>43248</v>
      </c>
      <c r="AMX6" s="58">
        <v>8136.2</v>
      </c>
      <c r="AMY6" s="115">
        <v>43249</v>
      </c>
      <c r="AMZ6" t="s">
        <v>1765</v>
      </c>
      <c r="ANA6" s="56">
        <v>0.97</v>
      </c>
      <c r="ANB6" s="185">
        <f t="shared" si="86"/>
        <v>0.10309278350515465</v>
      </c>
      <c r="ANE6" s="115">
        <v>43182</v>
      </c>
      <c r="ANF6">
        <v>1.2</v>
      </c>
      <c r="ANG6">
        <v>0</v>
      </c>
      <c r="ANH6">
        <v>0</v>
      </c>
      <c r="ANI6" s="115">
        <v>43270</v>
      </c>
      <c r="ANJ6" s="58">
        <v>635916.31000000006</v>
      </c>
      <c r="ANK6" s="115">
        <v>43271</v>
      </c>
      <c r="ANL6" t="s">
        <v>1765</v>
      </c>
      <c r="ANM6" s="115">
        <v>2.99</v>
      </c>
      <c r="ANN6" s="185">
        <f t="shared" si="87"/>
        <v>0.40133779264214042</v>
      </c>
      <c r="ANQ6" s="115">
        <v>43217</v>
      </c>
      <c r="ANR6">
        <v>0.1</v>
      </c>
      <c r="ANS6">
        <v>0</v>
      </c>
      <c r="ANT6">
        <v>0</v>
      </c>
      <c r="ANU6" s="115">
        <v>43248</v>
      </c>
      <c r="ANV6" s="58">
        <v>8136.2</v>
      </c>
      <c r="ANW6" s="115">
        <v>43249</v>
      </c>
      <c r="ANX6" t="s">
        <v>1765</v>
      </c>
      <c r="ANY6" s="115">
        <v>0.97</v>
      </c>
      <c r="ANZ6" s="185">
        <f t="shared" si="88"/>
        <v>0.10309278350515465</v>
      </c>
      <c r="AOC6" s="115">
        <v>43693</v>
      </c>
      <c r="AOD6">
        <v>0.75</v>
      </c>
      <c r="AOE6">
        <v>0</v>
      </c>
      <c r="AOF6">
        <v>0</v>
      </c>
      <c r="AOG6" s="115">
        <v>43711</v>
      </c>
      <c r="AOH6" s="58">
        <v>1371018.11</v>
      </c>
      <c r="AOI6" s="115">
        <v>43712</v>
      </c>
      <c r="AOJ6" t="s">
        <v>1765</v>
      </c>
      <c r="AOK6" s="115">
        <v>4.99</v>
      </c>
      <c r="AOL6" s="185">
        <f t="shared" si="89"/>
        <v>0.15030060120240479</v>
      </c>
      <c r="AOO6" s="115">
        <v>43189</v>
      </c>
      <c r="AOP6">
        <v>0.72</v>
      </c>
      <c r="AOQ6">
        <v>0</v>
      </c>
      <c r="AOR6">
        <v>0.5</v>
      </c>
      <c r="AOS6" s="115">
        <v>43263</v>
      </c>
      <c r="AOT6" s="58">
        <v>69992.38</v>
      </c>
      <c r="AOU6" s="115">
        <v>43264</v>
      </c>
      <c r="AOV6" t="s">
        <v>1765</v>
      </c>
      <c r="AOW6" s="115">
        <v>1.83</v>
      </c>
      <c r="AOX6" s="185">
        <f t="shared" si="90"/>
        <v>0.39344262295081966</v>
      </c>
      <c r="APA6" s="115">
        <v>43200</v>
      </c>
      <c r="APB6">
        <v>0.5</v>
      </c>
      <c r="APC6">
        <v>0</v>
      </c>
      <c r="APD6">
        <v>0.4</v>
      </c>
      <c r="APE6" s="115">
        <v>43249</v>
      </c>
      <c r="APF6" s="58">
        <v>14709.41</v>
      </c>
      <c r="APG6" s="115">
        <v>43250</v>
      </c>
      <c r="APH6" t="s">
        <v>1765</v>
      </c>
      <c r="API6" s="115">
        <v>4.3600000000000003</v>
      </c>
      <c r="APJ6" s="185">
        <f t="shared" si="91"/>
        <v>0.1146788990825688</v>
      </c>
      <c r="APM6" s="115">
        <v>43183</v>
      </c>
      <c r="APN6">
        <v>0.48</v>
      </c>
      <c r="APO6">
        <v>0</v>
      </c>
      <c r="APP6">
        <v>0</v>
      </c>
      <c r="APQ6" s="115">
        <v>43258</v>
      </c>
      <c r="APR6" s="58">
        <v>215652.38</v>
      </c>
      <c r="APS6" s="115">
        <v>43259</v>
      </c>
      <c r="APT6" t="s">
        <v>1765</v>
      </c>
      <c r="APU6" s="115">
        <v>0.74</v>
      </c>
      <c r="APV6" s="185">
        <f t="shared" si="92"/>
        <v>0.64864864864864868</v>
      </c>
      <c r="APY6" s="115">
        <v>43172</v>
      </c>
      <c r="APZ6">
        <v>0.1</v>
      </c>
      <c r="AQA6">
        <v>0</v>
      </c>
      <c r="AQB6">
        <v>0</v>
      </c>
      <c r="AQC6" s="115">
        <v>43216</v>
      </c>
      <c r="AQD6" s="58">
        <v>8311.76</v>
      </c>
      <c r="AQE6" s="115">
        <v>43217</v>
      </c>
      <c r="AQF6" t="s">
        <v>1765</v>
      </c>
      <c r="AQG6" s="115">
        <v>0.56999999999999995</v>
      </c>
      <c r="AQH6" s="185">
        <f t="shared" si="93"/>
        <v>0.17543859649122809</v>
      </c>
      <c r="AQK6" s="115">
        <v>43182</v>
      </c>
      <c r="AQL6">
        <v>1.2</v>
      </c>
      <c r="AQM6">
        <v>0</v>
      </c>
      <c r="AQN6">
        <v>0</v>
      </c>
      <c r="AQO6" s="115">
        <v>43270</v>
      </c>
      <c r="AQP6" s="58">
        <v>635916.31000000006</v>
      </c>
      <c r="AQQ6" s="115">
        <v>43271</v>
      </c>
      <c r="AQR6" t="s">
        <v>1765</v>
      </c>
      <c r="AQS6" s="115">
        <v>2.99</v>
      </c>
      <c r="AQT6" s="185">
        <f t="shared" si="94"/>
        <v>0.40133779264214042</v>
      </c>
      <c r="AQW6" s="115">
        <v>43202</v>
      </c>
      <c r="AQX6">
        <v>0.27500000000000002</v>
      </c>
      <c r="AQY6">
        <v>0</v>
      </c>
      <c r="AQZ6">
        <v>0</v>
      </c>
      <c r="ARA6" s="115">
        <v>43256</v>
      </c>
      <c r="ARB6" s="58">
        <v>56769.61</v>
      </c>
      <c r="ARC6" s="115">
        <v>43257</v>
      </c>
      <c r="ARD6" t="s">
        <v>1765</v>
      </c>
      <c r="ARE6" s="115">
        <v>0.97</v>
      </c>
      <c r="ARF6" s="185">
        <f t="shared" si="95"/>
        <v>0.28350515463917531</v>
      </c>
      <c r="ARI6" s="115">
        <v>43206</v>
      </c>
      <c r="ARJ6">
        <v>0.05</v>
      </c>
      <c r="ARK6">
        <v>0</v>
      </c>
      <c r="ARL6">
        <v>0</v>
      </c>
      <c r="ARM6" s="115">
        <v>43250</v>
      </c>
      <c r="ARN6" s="58">
        <v>1929.6</v>
      </c>
      <c r="ARO6" s="115">
        <v>43251</v>
      </c>
      <c r="ARP6" t="s">
        <v>1765</v>
      </c>
      <c r="ARQ6" s="115">
        <v>0.25</v>
      </c>
      <c r="ARR6" s="185">
        <f t="shared" si="96"/>
        <v>0.2</v>
      </c>
      <c r="ARU6" s="115">
        <v>43584</v>
      </c>
      <c r="ARV6">
        <v>1.5</v>
      </c>
      <c r="ARW6">
        <v>0</v>
      </c>
      <c r="ARX6">
        <v>0</v>
      </c>
      <c r="ARY6" s="115">
        <v>43682</v>
      </c>
      <c r="ARZ6" s="58">
        <v>902359.63</v>
      </c>
      <c r="ASA6" s="115">
        <v>43683</v>
      </c>
      <c r="ASB6" t="s">
        <v>1765</v>
      </c>
      <c r="ASC6" s="115">
        <v>3.72</v>
      </c>
      <c r="ASD6" s="185">
        <f t="shared" si="97"/>
        <v>0.40322580645161288</v>
      </c>
      <c r="ASG6" s="115">
        <v>43186</v>
      </c>
      <c r="ASH6">
        <v>0.9</v>
      </c>
      <c r="ASI6">
        <v>0</v>
      </c>
      <c r="ASJ6">
        <v>0</v>
      </c>
      <c r="ASK6" s="115">
        <v>43334</v>
      </c>
      <c r="ASL6" s="58">
        <v>993523.68</v>
      </c>
      <c r="ASM6" s="115">
        <v>43335</v>
      </c>
      <c r="ASN6" t="s">
        <v>1765</v>
      </c>
      <c r="ASO6" s="115">
        <v>2.54</v>
      </c>
      <c r="ASP6" s="185">
        <f t="shared" si="98"/>
        <v>0.3543307086614173</v>
      </c>
      <c r="ASS6" s="115">
        <v>43698</v>
      </c>
      <c r="AST6">
        <v>0.3</v>
      </c>
      <c r="ASU6">
        <v>0</v>
      </c>
      <c r="ASV6">
        <v>0</v>
      </c>
      <c r="ASW6" s="115">
        <v>43748</v>
      </c>
      <c r="ASX6" s="58">
        <v>159363.74</v>
      </c>
      <c r="ASY6" s="115">
        <v>43749</v>
      </c>
      <c r="ASZ6" t="s">
        <v>1765</v>
      </c>
      <c r="ATA6" s="115">
        <v>1.29</v>
      </c>
      <c r="ATB6" s="185">
        <f t="shared" si="99"/>
        <v>0.23255813953488372</v>
      </c>
      <c r="ATE6" s="115">
        <v>43200</v>
      </c>
      <c r="ATF6">
        <v>0.25</v>
      </c>
      <c r="ATG6">
        <v>0</v>
      </c>
      <c r="ATH6">
        <v>0</v>
      </c>
      <c r="ATI6" s="115">
        <v>43258</v>
      </c>
      <c r="ATJ6" s="58">
        <v>81333.3</v>
      </c>
      <c r="ATK6" s="115">
        <v>43259</v>
      </c>
      <c r="ATL6" t="s">
        <v>1765</v>
      </c>
      <c r="ATM6" s="115">
        <v>0.76</v>
      </c>
      <c r="ATN6" s="185">
        <f t="shared" si="100"/>
        <v>0.32894736842105265</v>
      </c>
      <c r="ATQ6" s="115">
        <v>43190</v>
      </c>
      <c r="ATR6">
        <v>0.13</v>
      </c>
      <c r="ATS6">
        <v>0</v>
      </c>
      <c r="ATT6">
        <v>0</v>
      </c>
      <c r="ATU6" s="115">
        <v>43320</v>
      </c>
      <c r="ATV6" s="58">
        <v>8121.9</v>
      </c>
      <c r="ATW6" s="115">
        <v>43321</v>
      </c>
      <c r="ATX6" t="s">
        <v>1765</v>
      </c>
      <c r="ATY6" s="115">
        <v>0.41</v>
      </c>
      <c r="ATZ6" s="185">
        <f t="shared" si="101"/>
        <v>0.31707317073170732</v>
      </c>
      <c r="AUC6" s="115">
        <v>43207</v>
      </c>
      <c r="AUD6">
        <v>1.2</v>
      </c>
      <c r="AUE6">
        <v>0</v>
      </c>
      <c r="AUF6">
        <v>0</v>
      </c>
      <c r="AUG6" s="115">
        <v>43298</v>
      </c>
      <c r="AUH6" s="58">
        <v>121074.07</v>
      </c>
      <c r="AUI6" s="115">
        <v>43299</v>
      </c>
      <c r="AUJ6" t="s">
        <v>1765</v>
      </c>
      <c r="AUK6" s="115">
        <v>2.5499999999999998</v>
      </c>
      <c r="AUL6" s="185">
        <f t="shared" si="102"/>
        <v>0.47058823529411764</v>
      </c>
      <c r="AUO6" s="115">
        <v>42846</v>
      </c>
      <c r="AUP6">
        <v>0</v>
      </c>
      <c r="AUQ6">
        <v>0</v>
      </c>
      <c r="AUR6">
        <v>0.4</v>
      </c>
      <c r="AUS6" s="115">
        <v>42881</v>
      </c>
      <c r="AUT6">
        <v>0</v>
      </c>
      <c r="AUU6" s="115">
        <v>42886</v>
      </c>
      <c r="AUV6" t="s">
        <v>1765</v>
      </c>
      <c r="AUW6" s="56">
        <v>0.05</v>
      </c>
      <c r="AUX6" s="185">
        <f t="shared" si="103"/>
        <v>0</v>
      </c>
      <c r="AVA6" s="115">
        <v>43200</v>
      </c>
      <c r="AVB6">
        <v>0.45</v>
      </c>
      <c r="AVC6">
        <v>0</v>
      </c>
      <c r="AVD6">
        <v>0</v>
      </c>
      <c r="AVE6" s="115">
        <v>43258</v>
      </c>
      <c r="AVF6" s="58">
        <v>1002056.18</v>
      </c>
      <c r="AVG6" s="115">
        <v>43259</v>
      </c>
      <c r="AVH6" t="s">
        <v>1765</v>
      </c>
      <c r="AVI6" s="115">
        <v>0.86</v>
      </c>
      <c r="AVJ6" s="185">
        <f t="shared" si="104"/>
        <v>0.52325581395348841</v>
      </c>
      <c r="AVM6" s="115">
        <v>43140</v>
      </c>
      <c r="AVN6">
        <v>1.6</v>
      </c>
      <c r="AVO6">
        <v>0</v>
      </c>
      <c r="AVP6">
        <v>0</v>
      </c>
      <c r="AVQ6" s="115">
        <v>43193</v>
      </c>
      <c r="AVR6" s="58">
        <v>212174.88</v>
      </c>
      <c r="AVS6" s="115">
        <v>43194</v>
      </c>
      <c r="AVT6" t="s">
        <v>1765</v>
      </c>
      <c r="AVU6" s="115">
        <v>1.92</v>
      </c>
      <c r="AVV6" s="185">
        <f t="shared" si="105"/>
        <v>0.83333333333333337</v>
      </c>
      <c r="AVY6" s="115">
        <v>43175</v>
      </c>
      <c r="AVZ6">
        <v>1</v>
      </c>
      <c r="AWA6">
        <v>0</v>
      </c>
      <c r="AWB6">
        <v>1</v>
      </c>
      <c r="AWC6" s="115">
        <v>43207</v>
      </c>
      <c r="AWD6" s="58">
        <v>29200</v>
      </c>
      <c r="AWE6" s="115">
        <v>43208</v>
      </c>
      <c r="AWF6" t="s">
        <v>1765</v>
      </c>
      <c r="AWG6" s="64">
        <v>1.45</v>
      </c>
      <c r="AWH6" s="185">
        <f t="shared" si="106"/>
        <v>0.68965517241379315</v>
      </c>
      <c r="AWK6" s="115">
        <v>43316</v>
      </c>
      <c r="AWL6">
        <v>0</v>
      </c>
      <c r="AWM6">
        <v>0</v>
      </c>
      <c r="AWN6">
        <v>0.5</v>
      </c>
      <c r="AWO6" s="115">
        <v>43346</v>
      </c>
      <c r="AWP6">
        <v>0</v>
      </c>
      <c r="AWQ6" s="115">
        <v>43347</v>
      </c>
      <c r="AWR6" t="s">
        <v>1765</v>
      </c>
      <c r="AWS6">
        <v>0.36</v>
      </c>
      <c r="AWT6" s="185">
        <f t="shared" si="107"/>
        <v>0</v>
      </c>
    </row>
    <row r="7" spans="1:1300" x14ac:dyDescent="0.25">
      <c r="A7" s="115">
        <v>42977</v>
      </c>
      <c r="B7">
        <v>0.02</v>
      </c>
      <c r="C7">
        <v>0</v>
      </c>
      <c r="D7">
        <v>0</v>
      </c>
      <c r="E7" s="115">
        <v>43031</v>
      </c>
      <c r="F7" s="58">
        <v>15287.17</v>
      </c>
      <c r="G7" s="115">
        <v>43032</v>
      </c>
      <c r="H7" t="s">
        <v>1765</v>
      </c>
      <c r="I7">
        <v>0.03</v>
      </c>
      <c r="J7" s="185">
        <f t="shared" si="0"/>
        <v>0.66666666666666674</v>
      </c>
      <c r="M7" s="115">
        <v>42835</v>
      </c>
      <c r="N7">
        <v>0.4</v>
      </c>
      <c r="O7">
        <v>0</v>
      </c>
      <c r="P7">
        <v>0</v>
      </c>
      <c r="Q7" s="115">
        <v>42893</v>
      </c>
      <c r="R7" s="58">
        <v>4000</v>
      </c>
      <c r="S7" s="115">
        <v>42894</v>
      </c>
      <c r="T7" t="s">
        <v>1765</v>
      </c>
      <c r="U7">
        <v>1.49</v>
      </c>
      <c r="V7" s="185">
        <f t="shared" si="1"/>
        <v>0.26845637583892618</v>
      </c>
      <c r="Y7" s="115">
        <v>42821</v>
      </c>
      <c r="Z7">
        <v>0.79</v>
      </c>
      <c r="AA7">
        <v>0</v>
      </c>
      <c r="AB7">
        <v>0</v>
      </c>
      <c r="AC7" s="115">
        <v>42975</v>
      </c>
      <c r="AD7" s="58">
        <v>872093.01</v>
      </c>
      <c r="AE7" s="115">
        <v>42976</v>
      </c>
      <c r="AF7" t="s">
        <v>1765</v>
      </c>
      <c r="AG7">
        <v>1.9</v>
      </c>
      <c r="AH7" s="185">
        <f t="shared" si="2"/>
        <v>0.41578947368421054</v>
      </c>
      <c r="AK7" s="115">
        <v>42821</v>
      </c>
      <c r="AL7">
        <v>0.79</v>
      </c>
      <c r="AM7">
        <v>0</v>
      </c>
      <c r="AN7">
        <v>0</v>
      </c>
      <c r="AO7" s="115">
        <v>42975</v>
      </c>
      <c r="AP7" s="58">
        <v>872093.01</v>
      </c>
      <c r="AQ7" s="115">
        <v>42976</v>
      </c>
      <c r="AR7" t="s">
        <v>1765</v>
      </c>
      <c r="AS7">
        <v>1.9</v>
      </c>
      <c r="AT7" s="185">
        <f t="shared" si="3"/>
        <v>0.41578947368421054</v>
      </c>
      <c r="AW7" s="115">
        <v>42815</v>
      </c>
      <c r="AX7">
        <v>0.1</v>
      </c>
      <c r="AY7">
        <v>0</v>
      </c>
      <c r="AZ7">
        <v>0</v>
      </c>
      <c r="BA7" s="115">
        <v>42845</v>
      </c>
      <c r="BB7" s="58">
        <v>13264.9</v>
      </c>
      <c r="BC7" s="115">
        <v>42846</v>
      </c>
      <c r="BD7" t="s">
        <v>1765</v>
      </c>
      <c r="BE7">
        <v>0.37</v>
      </c>
      <c r="BF7" s="185">
        <f t="shared" si="4"/>
        <v>0.27027027027027029</v>
      </c>
      <c r="BI7" s="115">
        <v>43550</v>
      </c>
      <c r="BJ7">
        <v>0.28000000000000003</v>
      </c>
      <c r="BK7">
        <v>0</v>
      </c>
      <c r="BL7">
        <v>0</v>
      </c>
      <c r="BM7" s="115">
        <v>43676</v>
      </c>
      <c r="BN7" s="58">
        <v>222148.47</v>
      </c>
      <c r="BO7" s="115">
        <v>43677</v>
      </c>
      <c r="BP7" t="s">
        <v>1765</v>
      </c>
      <c r="BQ7">
        <v>0.61</v>
      </c>
      <c r="BR7" s="185">
        <f t="shared" si="5"/>
        <v>0.45901639344262302</v>
      </c>
      <c r="BU7" s="115">
        <v>42824</v>
      </c>
      <c r="BV7">
        <v>0.21</v>
      </c>
      <c r="BW7">
        <v>0</v>
      </c>
      <c r="BX7">
        <v>0</v>
      </c>
      <c r="BY7" s="115">
        <v>42957</v>
      </c>
      <c r="BZ7" s="58">
        <v>602676.15</v>
      </c>
      <c r="CA7" s="115">
        <v>42958</v>
      </c>
      <c r="CB7" t="s">
        <v>1765</v>
      </c>
      <c r="CC7">
        <v>0.41</v>
      </c>
      <c r="CD7" s="185">
        <f t="shared" si="6"/>
        <v>0.51219512195121952</v>
      </c>
      <c r="CG7" s="115">
        <v>42853</v>
      </c>
      <c r="CH7">
        <v>0.11</v>
      </c>
      <c r="CI7">
        <v>0</v>
      </c>
      <c r="CJ7">
        <v>0</v>
      </c>
      <c r="CK7" s="115">
        <v>42935</v>
      </c>
      <c r="CL7" s="58">
        <v>110000</v>
      </c>
      <c r="CM7" s="115">
        <v>42936</v>
      </c>
      <c r="CN7" t="s">
        <v>1765</v>
      </c>
      <c r="CO7">
        <v>0.28000000000000003</v>
      </c>
      <c r="CP7" s="185">
        <f t="shared" si="7"/>
        <v>0.39285714285714285</v>
      </c>
      <c r="CS7" s="115">
        <v>42446</v>
      </c>
      <c r="CT7">
        <v>5.7200000000000001E-2</v>
      </c>
      <c r="CU7">
        <v>0</v>
      </c>
      <c r="CV7">
        <v>0</v>
      </c>
      <c r="CW7" s="115">
        <v>42550</v>
      </c>
      <c r="CX7" s="58">
        <v>121244.53</v>
      </c>
      <c r="CY7" s="115">
        <v>42551</v>
      </c>
      <c r="CZ7" t="s">
        <v>1765</v>
      </c>
      <c r="DA7">
        <v>0.01</v>
      </c>
      <c r="DB7" s="185">
        <f t="shared" si="8"/>
        <v>5.72</v>
      </c>
      <c r="DE7" s="115">
        <v>42838</v>
      </c>
      <c r="DF7">
        <v>0.215</v>
      </c>
      <c r="DG7">
        <v>0</v>
      </c>
      <c r="DH7">
        <v>0</v>
      </c>
      <c r="DI7" s="115">
        <v>42901</v>
      </c>
      <c r="DJ7" s="58">
        <v>645000</v>
      </c>
      <c r="DK7" s="115">
        <v>42902</v>
      </c>
      <c r="DL7" t="s">
        <v>1765</v>
      </c>
      <c r="DM7">
        <v>0.96</v>
      </c>
      <c r="DN7" s="185">
        <f t="shared" si="9"/>
        <v>0.22395833333333334</v>
      </c>
      <c r="DQ7" s="115">
        <v>42825</v>
      </c>
      <c r="DR7">
        <v>8.7999999999999995E-2</v>
      </c>
      <c r="DS7">
        <v>0</v>
      </c>
      <c r="DT7">
        <v>0</v>
      </c>
      <c r="DU7" s="115">
        <v>42950</v>
      </c>
      <c r="DV7" s="58">
        <v>201029.85</v>
      </c>
      <c r="DW7" s="115">
        <v>42951</v>
      </c>
      <c r="DX7" t="s">
        <v>1765</v>
      </c>
      <c r="DY7">
        <v>0.52</v>
      </c>
      <c r="DZ7" s="185">
        <f t="shared" si="10"/>
        <v>0.16923076923076921</v>
      </c>
      <c r="EC7" s="115">
        <v>42822</v>
      </c>
      <c r="ED7">
        <v>0.2</v>
      </c>
      <c r="EE7">
        <v>0</v>
      </c>
      <c r="EF7">
        <v>0</v>
      </c>
      <c r="EG7" s="115">
        <v>42866</v>
      </c>
      <c r="EH7" s="58">
        <v>2400</v>
      </c>
      <c r="EI7" s="115">
        <v>42867</v>
      </c>
      <c r="EJ7" t="s">
        <v>1765</v>
      </c>
      <c r="EK7">
        <v>1.63</v>
      </c>
      <c r="EL7" s="185">
        <f t="shared" si="11"/>
        <v>0.1226993865030675</v>
      </c>
      <c r="EO7" s="115">
        <v>42824</v>
      </c>
      <c r="EP7">
        <v>0.35</v>
      </c>
      <c r="EQ7">
        <v>0</v>
      </c>
      <c r="ER7">
        <v>0</v>
      </c>
      <c r="ES7" s="115">
        <v>42865</v>
      </c>
      <c r="ET7" s="58">
        <v>5764.81</v>
      </c>
      <c r="EU7" s="115">
        <v>42866</v>
      </c>
      <c r="EV7" t="s">
        <v>1765</v>
      </c>
      <c r="EW7">
        <v>0.83</v>
      </c>
      <c r="EX7" s="185">
        <f t="shared" si="12"/>
        <v>0.42168674698795178</v>
      </c>
      <c r="FA7" s="115">
        <v>42115</v>
      </c>
      <c r="FB7">
        <v>9.9900000000000003E-2</v>
      </c>
      <c r="FC7">
        <v>0</v>
      </c>
      <c r="FD7">
        <v>0</v>
      </c>
      <c r="FE7" s="115">
        <v>42208</v>
      </c>
      <c r="FF7" s="58">
        <v>2052.9499999999998</v>
      </c>
      <c r="FG7" s="115">
        <v>42209</v>
      </c>
      <c r="FH7" t="s">
        <v>1765</v>
      </c>
      <c r="FI7">
        <v>0.59</v>
      </c>
      <c r="FJ7" s="185">
        <f t="shared" si="13"/>
        <v>0.16932203389830511</v>
      </c>
      <c r="FM7" s="115">
        <v>42854</v>
      </c>
      <c r="FN7">
        <v>0.5</v>
      </c>
      <c r="FO7">
        <v>0</v>
      </c>
      <c r="FP7">
        <v>0.4</v>
      </c>
      <c r="FQ7" s="115">
        <v>42888</v>
      </c>
      <c r="FR7" s="58">
        <v>127908.83</v>
      </c>
      <c r="FS7" s="115">
        <v>42891</v>
      </c>
      <c r="FT7" t="s">
        <v>1765</v>
      </c>
      <c r="FU7">
        <v>1.51</v>
      </c>
      <c r="FV7" s="185">
        <f t="shared" si="14"/>
        <v>0.33112582781456956</v>
      </c>
      <c r="FY7" s="115">
        <v>42110</v>
      </c>
      <c r="FZ7">
        <v>0.03</v>
      </c>
      <c r="GA7">
        <v>0</v>
      </c>
      <c r="GB7">
        <v>0</v>
      </c>
      <c r="GC7" s="115">
        <v>42191</v>
      </c>
      <c r="GD7" s="58">
        <v>1157.76</v>
      </c>
      <c r="GE7" s="115">
        <v>42192</v>
      </c>
      <c r="GF7" t="s">
        <v>1765</v>
      </c>
      <c r="GG7">
        <v>0.08</v>
      </c>
      <c r="GH7" s="185">
        <f t="shared" si="15"/>
        <v>0.375</v>
      </c>
      <c r="GK7" s="115">
        <v>43343</v>
      </c>
      <c r="GL7">
        <v>0.6</v>
      </c>
      <c r="GM7">
        <v>0</v>
      </c>
      <c r="GN7">
        <v>0</v>
      </c>
      <c r="GO7" s="115">
        <v>43518</v>
      </c>
      <c r="GP7" s="58">
        <v>360943.85</v>
      </c>
      <c r="GQ7" s="115">
        <v>43521</v>
      </c>
      <c r="GR7" t="s">
        <v>1765</v>
      </c>
      <c r="GS7">
        <v>2.56</v>
      </c>
      <c r="GT7" s="185">
        <f t="shared" si="16"/>
        <v>0.234375</v>
      </c>
      <c r="GW7" s="115">
        <v>42821</v>
      </c>
      <c r="GX7">
        <v>0.79</v>
      </c>
      <c r="GY7">
        <v>0</v>
      </c>
      <c r="GZ7">
        <v>0</v>
      </c>
      <c r="HA7" s="115">
        <v>42975</v>
      </c>
      <c r="HB7" s="58">
        <v>872093.01</v>
      </c>
      <c r="HC7" s="115">
        <v>42976</v>
      </c>
      <c r="HD7" t="s">
        <v>1765</v>
      </c>
      <c r="HE7">
        <v>1.9</v>
      </c>
      <c r="HF7" s="185">
        <f t="shared" si="17"/>
        <v>0.41578947368421054</v>
      </c>
      <c r="HI7" s="115">
        <v>42482</v>
      </c>
      <c r="HJ7">
        <v>0.05</v>
      </c>
      <c r="HK7">
        <v>0</v>
      </c>
      <c r="HL7">
        <v>0</v>
      </c>
      <c r="HM7" s="115">
        <v>42528</v>
      </c>
      <c r="HN7" s="58">
        <v>11915</v>
      </c>
      <c r="HO7" s="115">
        <v>42529</v>
      </c>
      <c r="HP7" t="s">
        <v>1765</v>
      </c>
      <c r="HQ7">
        <v>0.04</v>
      </c>
      <c r="HR7" s="185">
        <f t="shared" si="18"/>
        <v>1.25</v>
      </c>
      <c r="HU7" s="115">
        <v>42446</v>
      </c>
      <c r="HV7">
        <v>5.7200000000000001E-2</v>
      </c>
      <c r="HW7">
        <v>0</v>
      </c>
      <c r="HX7">
        <v>0</v>
      </c>
      <c r="HY7" s="115">
        <v>42550</v>
      </c>
      <c r="HZ7" s="58">
        <v>121244.53</v>
      </c>
      <c r="IA7" s="115">
        <v>42551</v>
      </c>
      <c r="IB7" t="s">
        <v>1765</v>
      </c>
      <c r="IC7">
        <v>0.01</v>
      </c>
      <c r="ID7" s="185">
        <f t="shared" si="19"/>
        <v>5.72</v>
      </c>
      <c r="IG7" s="115">
        <v>42816</v>
      </c>
      <c r="IH7">
        <v>0.188</v>
      </c>
      <c r="II7">
        <v>0</v>
      </c>
      <c r="IJ7">
        <v>1</v>
      </c>
      <c r="IK7" s="115">
        <v>42892</v>
      </c>
      <c r="IL7" s="58">
        <v>3008</v>
      </c>
      <c r="IM7" s="115">
        <v>42893</v>
      </c>
      <c r="IN7" t="s">
        <v>1765</v>
      </c>
      <c r="IO7">
        <v>0.67</v>
      </c>
      <c r="IP7" s="185">
        <f t="shared" si="20"/>
        <v>0.28059701492537314</v>
      </c>
      <c r="IS7" s="115">
        <v>42815</v>
      </c>
      <c r="IT7">
        <v>0.1</v>
      </c>
      <c r="IU7">
        <v>0</v>
      </c>
      <c r="IV7">
        <v>0</v>
      </c>
      <c r="IW7" s="115">
        <v>42845</v>
      </c>
      <c r="IX7" s="58">
        <v>13264.9</v>
      </c>
      <c r="IY7" s="115">
        <v>42846</v>
      </c>
      <c r="IZ7" t="s">
        <v>1765</v>
      </c>
      <c r="JA7">
        <v>0.37</v>
      </c>
      <c r="JB7" s="185">
        <f t="shared" si="21"/>
        <v>0.27027027027027029</v>
      </c>
      <c r="JE7" s="115">
        <v>42843</v>
      </c>
      <c r="JF7">
        <v>0.2</v>
      </c>
      <c r="JG7">
        <v>0</v>
      </c>
      <c r="JH7">
        <v>0</v>
      </c>
      <c r="JI7" s="115">
        <v>42894</v>
      </c>
      <c r="JJ7" s="58">
        <v>65066.64</v>
      </c>
      <c r="JK7" s="115">
        <v>42895</v>
      </c>
      <c r="JL7" t="s">
        <v>1765</v>
      </c>
      <c r="JM7">
        <v>0.62</v>
      </c>
      <c r="JN7" s="185">
        <f t="shared" si="22"/>
        <v>0.32258064516129037</v>
      </c>
      <c r="JY7">
        <v>0.62</v>
      </c>
      <c r="JZ7" s="185">
        <f t="shared" si="23"/>
        <v>0</v>
      </c>
      <c r="KC7" s="115">
        <v>42853</v>
      </c>
      <c r="KD7">
        <v>0.21</v>
      </c>
      <c r="KE7">
        <v>0</v>
      </c>
      <c r="KF7">
        <v>0</v>
      </c>
      <c r="KG7" s="115">
        <v>42899</v>
      </c>
      <c r="KH7" s="58">
        <v>464155.8</v>
      </c>
      <c r="KI7" s="115">
        <v>42900</v>
      </c>
      <c r="KJ7" t="s">
        <v>1765</v>
      </c>
      <c r="KK7">
        <v>0.41</v>
      </c>
      <c r="KL7" s="185">
        <f t="shared" si="24"/>
        <v>0.51219512195121952</v>
      </c>
      <c r="KO7" s="115">
        <v>42850</v>
      </c>
      <c r="KP7">
        <v>0.03</v>
      </c>
      <c r="KQ7">
        <v>0</v>
      </c>
      <c r="KR7">
        <v>0</v>
      </c>
      <c r="KS7" s="115">
        <v>42929</v>
      </c>
      <c r="KT7" s="58">
        <v>105459.2</v>
      </c>
      <c r="KU7" s="115">
        <v>42930</v>
      </c>
      <c r="KV7" t="s">
        <v>1765</v>
      </c>
      <c r="KW7">
        <v>0.05</v>
      </c>
      <c r="KX7" s="185">
        <f t="shared" si="25"/>
        <v>0.6</v>
      </c>
      <c r="LA7" s="115">
        <v>42977</v>
      </c>
      <c r="LB7">
        <v>0.02</v>
      </c>
      <c r="LC7">
        <v>0</v>
      </c>
      <c r="LD7">
        <v>0</v>
      </c>
      <c r="LE7" s="115">
        <v>43031</v>
      </c>
      <c r="LF7" s="58">
        <v>15287.17</v>
      </c>
      <c r="LG7" s="115">
        <v>43032</v>
      </c>
      <c r="LH7" t="s">
        <v>1765</v>
      </c>
      <c r="LI7">
        <v>0.03</v>
      </c>
      <c r="LJ7" s="185">
        <f t="shared" si="26"/>
        <v>0.66666666666666674</v>
      </c>
      <c r="LM7" s="115">
        <v>42851</v>
      </c>
      <c r="LN7">
        <v>0.2</v>
      </c>
      <c r="LO7">
        <v>0</v>
      </c>
      <c r="LP7">
        <v>0</v>
      </c>
      <c r="LQ7" s="115">
        <v>42941</v>
      </c>
      <c r="LR7" s="58">
        <v>2133.4</v>
      </c>
      <c r="LS7" s="115">
        <v>42942</v>
      </c>
      <c r="LT7" t="s">
        <v>1765</v>
      </c>
      <c r="LU7">
        <v>1.66</v>
      </c>
      <c r="LV7" s="185">
        <f t="shared" si="27"/>
        <v>0.12048192771084339</v>
      </c>
      <c r="LY7" s="115">
        <v>42851</v>
      </c>
      <c r="LZ7">
        <v>0.03</v>
      </c>
      <c r="MA7">
        <v>0</v>
      </c>
      <c r="MB7">
        <v>0</v>
      </c>
      <c r="MC7" s="115">
        <v>42895</v>
      </c>
      <c r="MD7" s="58">
        <v>2440.86</v>
      </c>
      <c r="ME7" s="115">
        <v>42898</v>
      </c>
      <c r="MF7" t="s">
        <v>1765</v>
      </c>
      <c r="MG7">
        <v>0.18</v>
      </c>
      <c r="MH7" s="185">
        <f t="shared" si="28"/>
        <v>0.16666666666666666</v>
      </c>
      <c r="MK7" s="115">
        <v>43159</v>
      </c>
      <c r="ML7">
        <v>3.6999999999999998E-2</v>
      </c>
      <c r="MM7">
        <v>0</v>
      </c>
      <c r="MN7">
        <v>0</v>
      </c>
      <c r="MO7" s="115">
        <v>43203</v>
      </c>
      <c r="MP7" s="58">
        <v>1206.18</v>
      </c>
      <c r="MQ7" s="115">
        <v>43206</v>
      </c>
      <c r="MR7" t="s">
        <v>1765</v>
      </c>
      <c r="MS7">
        <v>0.05</v>
      </c>
      <c r="MT7" s="185">
        <f t="shared" si="29"/>
        <v>0.73999999999999988</v>
      </c>
      <c r="MW7" s="115">
        <v>42850</v>
      </c>
      <c r="MX7">
        <v>0.1</v>
      </c>
      <c r="MY7">
        <v>0</v>
      </c>
      <c r="MZ7">
        <v>0</v>
      </c>
      <c r="NA7" s="115">
        <v>42892</v>
      </c>
      <c r="NB7" s="58">
        <v>8311.76</v>
      </c>
      <c r="NC7" s="115">
        <v>42893</v>
      </c>
      <c r="ND7" t="s">
        <v>1765</v>
      </c>
      <c r="NE7">
        <v>0.51</v>
      </c>
      <c r="NF7" s="185">
        <f t="shared" si="30"/>
        <v>0.19607843137254902</v>
      </c>
      <c r="NI7" s="115">
        <v>42853</v>
      </c>
      <c r="NJ7">
        <v>0.11</v>
      </c>
      <c r="NK7">
        <v>0</v>
      </c>
      <c r="NL7">
        <v>0</v>
      </c>
      <c r="NM7" s="115">
        <v>42935</v>
      </c>
      <c r="NN7" s="58">
        <v>110000</v>
      </c>
      <c r="NO7" s="115">
        <v>42936</v>
      </c>
      <c r="NP7" t="s">
        <v>1765</v>
      </c>
      <c r="NQ7">
        <v>0.28000000000000003</v>
      </c>
      <c r="NR7" s="185">
        <f t="shared" si="31"/>
        <v>0.39285714285714285</v>
      </c>
      <c r="NU7" s="115">
        <v>43343</v>
      </c>
      <c r="NV7">
        <v>0.6</v>
      </c>
      <c r="NW7">
        <v>0</v>
      </c>
      <c r="NX7">
        <v>0</v>
      </c>
      <c r="NY7" s="115">
        <v>43518</v>
      </c>
      <c r="NZ7" s="58">
        <v>360943.85</v>
      </c>
      <c r="OA7" s="115">
        <v>43521</v>
      </c>
      <c r="OB7" t="s">
        <v>1765</v>
      </c>
      <c r="OC7">
        <v>2.56</v>
      </c>
      <c r="OD7" s="185">
        <f t="shared" si="32"/>
        <v>0.234375</v>
      </c>
      <c r="OG7" s="115">
        <v>42821</v>
      </c>
      <c r="OH7">
        <v>0.79</v>
      </c>
      <c r="OI7">
        <v>0</v>
      </c>
      <c r="OJ7">
        <v>0</v>
      </c>
      <c r="OK7" s="115">
        <v>42975</v>
      </c>
      <c r="OL7" s="58">
        <v>872093.01</v>
      </c>
      <c r="OM7" s="115">
        <v>42976</v>
      </c>
      <c r="ON7" t="s">
        <v>1765</v>
      </c>
      <c r="OO7">
        <v>1.9</v>
      </c>
      <c r="OP7" s="185">
        <f t="shared" si="33"/>
        <v>0.41578947368421054</v>
      </c>
      <c r="OS7" s="115">
        <v>43211</v>
      </c>
      <c r="OT7">
        <v>0.25</v>
      </c>
      <c r="OU7">
        <v>0</v>
      </c>
      <c r="OV7">
        <v>0</v>
      </c>
      <c r="OW7" s="115">
        <v>43245</v>
      </c>
      <c r="OX7" s="58">
        <v>2040</v>
      </c>
      <c r="OY7" s="115">
        <v>43248</v>
      </c>
      <c r="OZ7" t="s">
        <v>1765</v>
      </c>
      <c r="PA7">
        <v>0.43</v>
      </c>
      <c r="PB7" s="185">
        <f t="shared" si="34"/>
        <v>0.58139534883720934</v>
      </c>
      <c r="PE7" s="115">
        <v>43211</v>
      </c>
      <c r="PF7">
        <v>0.25</v>
      </c>
      <c r="PG7">
        <v>0</v>
      </c>
      <c r="PH7">
        <v>0</v>
      </c>
      <c r="PI7" s="115">
        <v>43245</v>
      </c>
      <c r="PJ7" s="58">
        <v>2040</v>
      </c>
      <c r="PK7" s="115">
        <v>43248</v>
      </c>
      <c r="PL7" t="s">
        <v>1765</v>
      </c>
      <c r="PM7">
        <v>0.43</v>
      </c>
      <c r="PN7" s="185">
        <f t="shared" si="35"/>
        <v>0.58139534883720934</v>
      </c>
      <c r="PQ7" s="115">
        <v>42803</v>
      </c>
      <c r="PR7">
        <v>1.35</v>
      </c>
      <c r="PS7">
        <v>0</v>
      </c>
      <c r="PT7">
        <v>1</v>
      </c>
      <c r="PU7" s="115">
        <v>42878</v>
      </c>
      <c r="PV7" s="58">
        <v>65617.86</v>
      </c>
      <c r="PW7" s="115">
        <v>42879</v>
      </c>
      <c r="PX7" t="s">
        <v>1765</v>
      </c>
      <c r="PY7">
        <v>3</v>
      </c>
      <c r="PZ7" s="185">
        <f t="shared" si="36"/>
        <v>0.45</v>
      </c>
      <c r="QC7" s="115">
        <v>42843</v>
      </c>
      <c r="QD7">
        <v>0.6</v>
      </c>
      <c r="QE7">
        <v>0</v>
      </c>
      <c r="QF7">
        <v>0</v>
      </c>
      <c r="QG7" s="115">
        <v>42920</v>
      </c>
      <c r="QH7" s="58">
        <v>60537.03</v>
      </c>
      <c r="QI7" s="115">
        <v>42921</v>
      </c>
      <c r="QJ7" t="s">
        <v>1765</v>
      </c>
      <c r="QK7">
        <v>1.66</v>
      </c>
      <c r="QL7" s="185">
        <f t="shared" si="37"/>
        <v>0.36144578313253012</v>
      </c>
      <c r="QO7" s="115">
        <v>43537</v>
      </c>
      <c r="QP7">
        <v>1.1000000000000001</v>
      </c>
      <c r="QQ7">
        <v>0</v>
      </c>
      <c r="QR7">
        <v>0</v>
      </c>
      <c r="QS7" s="115">
        <v>43607</v>
      </c>
      <c r="QT7" s="58">
        <v>2010826.56</v>
      </c>
      <c r="QU7" s="115">
        <v>43608</v>
      </c>
      <c r="QV7" t="s">
        <v>1765</v>
      </c>
      <c r="QW7">
        <v>3.5</v>
      </c>
      <c r="QX7" s="185">
        <f t="shared" si="38"/>
        <v>0.31428571428571433</v>
      </c>
      <c r="RA7" s="115">
        <v>42818</v>
      </c>
      <c r="RB7">
        <v>0.5</v>
      </c>
      <c r="RC7">
        <v>0</v>
      </c>
      <c r="RD7">
        <v>0</v>
      </c>
      <c r="RE7" s="115">
        <v>42906</v>
      </c>
      <c r="RF7" s="58">
        <v>264965.13</v>
      </c>
      <c r="RG7" s="115">
        <v>42907</v>
      </c>
      <c r="RH7" t="s">
        <v>1765</v>
      </c>
      <c r="RI7">
        <v>1.61</v>
      </c>
      <c r="RJ7" s="185">
        <f t="shared" si="39"/>
        <v>0.3105590062111801</v>
      </c>
      <c r="RM7" s="115">
        <v>42818</v>
      </c>
      <c r="RN7">
        <v>0.1</v>
      </c>
      <c r="RO7">
        <v>0</v>
      </c>
      <c r="RP7">
        <v>0</v>
      </c>
      <c r="RQ7" s="115">
        <v>42894</v>
      </c>
      <c r="RR7" s="58">
        <v>14975.71</v>
      </c>
      <c r="RS7" s="115">
        <v>42895</v>
      </c>
      <c r="RT7" t="s">
        <v>1765</v>
      </c>
      <c r="RU7">
        <v>0.3</v>
      </c>
      <c r="RV7" s="185">
        <f t="shared" si="40"/>
        <v>0.33333333333333337</v>
      </c>
      <c r="RY7" s="115">
        <v>42847</v>
      </c>
      <c r="RZ7">
        <v>0.252</v>
      </c>
      <c r="SA7">
        <v>0</v>
      </c>
      <c r="SB7">
        <v>0</v>
      </c>
      <c r="SC7" s="115">
        <v>42899</v>
      </c>
      <c r="SD7" s="58">
        <v>33417.54</v>
      </c>
      <c r="SE7" s="115">
        <v>42900</v>
      </c>
      <c r="SF7" t="s">
        <v>1765</v>
      </c>
      <c r="SG7">
        <v>0.5</v>
      </c>
      <c r="SH7" s="185">
        <f t="shared" si="41"/>
        <v>0.504</v>
      </c>
      <c r="SK7" s="115">
        <v>42818</v>
      </c>
      <c r="SL7">
        <v>0.5</v>
      </c>
      <c r="SM7">
        <v>0</v>
      </c>
      <c r="SN7">
        <v>0</v>
      </c>
      <c r="SO7" s="115">
        <v>42906</v>
      </c>
      <c r="SP7" s="58">
        <v>264965.13</v>
      </c>
      <c r="SQ7" s="115">
        <v>42907</v>
      </c>
      <c r="SR7" t="s">
        <v>1765</v>
      </c>
      <c r="SS7">
        <v>1.61</v>
      </c>
      <c r="ST7" s="185">
        <f t="shared" si="42"/>
        <v>0.3105590062111801</v>
      </c>
      <c r="SW7" s="115">
        <v>42818</v>
      </c>
      <c r="SX7">
        <v>0.1</v>
      </c>
      <c r="SY7">
        <v>0</v>
      </c>
      <c r="SZ7">
        <v>0</v>
      </c>
      <c r="TA7" s="115">
        <v>42894</v>
      </c>
      <c r="TB7" s="58">
        <v>14975.71</v>
      </c>
      <c r="TC7" s="115">
        <v>42895</v>
      </c>
      <c r="TD7" t="s">
        <v>1765</v>
      </c>
      <c r="TE7">
        <v>0.3</v>
      </c>
      <c r="TF7" s="185">
        <f t="shared" si="43"/>
        <v>0.33333333333333337</v>
      </c>
      <c r="TI7" s="115">
        <v>42853</v>
      </c>
      <c r="TJ7">
        <v>0.3</v>
      </c>
      <c r="TK7">
        <v>0</v>
      </c>
      <c r="TL7">
        <v>0</v>
      </c>
      <c r="TM7" s="115">
        <v>42886</v>
      </c>
      <c r="TN7" s="58">
        <v>8760</v>
      </c>
      <c r="TO7" s="115">
        <v>42887</v>
      </c>
      <c r="TP7" t="s">
        <v>1765</v>
      </c>
      <c r="TQ7">
        <v>1.04</v>
      </c>
      <c r="TR7" s="185">
        <f t="shared" si="44"/>
        <v>0.28846153846153844</v>
      </c>
      <c r="TU7" s="115">
        <v>43565</v>
      </c>
      <c r="TV7">
        <v>0.5</v>
      </c>
      <c r="TW7">
        <v>0</v>
      </c>
      <c r="TX7">
        <v>0</v>
      </c>
      <c r="TY7" s="115">
        <v>43615</v>
      </c>
      <c r="TZ7" s="58">
        <v>265655.45</v>
      </c>
      <c r="UA7" s="115">
        <v>43616</v>
      </c>
      <c r="UB7" t="s">
        <v>1765</v>
      </c>
      <c r="UC7" s="203">
        <v>2.71</v>
      </c>
      <c r="UD7" s="185">
        <f t="shared" si="45"/>
        <v>0.18450184501845018</v>
      </c>
      <c r="UG7" s="115">
        <v>43565</v>
      </c>
      <c r="UH7">
        <v>0.5</v>
      </c>
      <c r="UI7">
        <v>0</v>
      </c>
      <c r="UJ7">
        <v>0</v>
      </c>
      <c r="UK7" s="115">
        <v>43615</v>
      </c>
      <c r="UL7" s="58">
        <v>265655.45</v>
      </c>
      <c r="UM7" s="115">
        <v>43616</v>
      </c>
      <c r="UN7" t="s">
        <v>1765</v>
      </c>
      <c r="UO7">
        <v>2.71</v>
      </c>
      <c r="UP7" s="185">
        <f t="shared" si="46"/>
        <v>0.18450184501845018</v>
      </c>
      <c r="US7" s="115">
        <v>43565</v>
      </c>
      <c r="UT7">
        <v>0.5</v>
      </c>
      <c r="UU7">
        <v>0</v>
      </c>
      <c r="UV7">
        <v>0</v>
      </c>
      <c r="UW7" s="115">
        <v>43615</v>
      </c>
      <c r="UX7" s="58">
        <v>265655.45</v>
      </c>
      <c r="UY7" s="115">
        <v>43616</v>
      </c>
      <c r="UZ7" t="s">
        <v>1765</v>
      </c>
      <c r="VA7">
        <v>2.71</v>
      </c>
      <c r="VB7" s="185">
        <f t="shared" si="47"/>
        <v>0.18450184501845018</v>
      </c>
      <c r="VE7" s="115">
        <v>43159</v>
      </c>
      <c r="VF7">
        <v>3.6999999999999998E-2</v>
      </c>
      <c r="VG7">
        <v>0</v>
      </c>
      <c r="VH7">
        <v>0</v>
      </c>
      <c r="VI7" s="115">
        <v>43203</v>
      </c>
      <c r="VJ7" s="58">
        <v>1206.18</v>
      </c>
      <c r="VK7" s="115">
        <v>43206</v>
      </c>
      <c r="VL7" t="s">
        <v>1765</v>
      </c>
      <c r="VM7">
        <v>0.05</v>
      </c>
      <c r="VN7" s="185">
        <f t="shared" si="48"/>
        <v>0.73999999999999988</v>
      </c>
      <c r="VQ7" s="115">
        <v>43176</v>
      </c>
      <c r="VR7">
        <v>0.75</v>
      </c>
      <c r="VS7">
        <v>0</v>
      </c>
      <c r="VT7">
        <v>0</v>
      </c>
      <c r="VU7" s="115">
        <v>43248</v>
      </c>
      <c r="VV7" s="58">
        <v>188146.31</v>
      </c>
      <c r="VW7" s="115">
        <v>43249</v>
      </c>
      <c r="VX7" t="s">
        <v>1765</v>
      </c>
      <c r="VY7">
        <v>1.25</v>
      </c>
      <c r="VZ7" s="185">
        <f t="shared" si="49"/>
        <v>0.6</v>
      </c>
      <c r="WC7" s="115">
        <v>42850</v>
      </c>
      <c r="WD7">
        <v>0.03</v>
      </c>
      <c r="WE7">
        <v>0</v>
      </c>
      <c r="WF7">
        <v>0</v>
      </c>
      <c r="WG7" s="115">
        <v>42929</v>
      </c>
      <c r="WH7" s="58">
        <v>105459.2</v>
      </c>
      <c r="WI7" s="115">
        <v>42930</v>
      </c>
      <c r="WJ7" t="s">
        <v>1765</v>
      </c>
      <c r="WK7">
        <v>0.05</v>
      </c>
      <c r="WL7" s="185">
        <f t="shared" si="50"/>
        <v>0.6</v>
      </c>
      <c r="WO7" s="115">
        <v>42850</v>
      </c>
      <c r="WP7">
        <v>0.03</v>
      </c>
      <c r="WQ7">
        <v>0</v>
      </c>
      <c r="WR7">
        <v>0</v>
      </c>
      <c r="WS7" s="115">
        <v>42929</v>
      </c>
      <c r="WT7" s="58">
        <v>105459.2</v>
      </c>
      <c r="WU7" s="115">
        <v>42930</v>
      </c>
      <c r="WV7" t="s">
        <v>1765</v>
      </c>
      <c r="WW7">
        <v>0.05</v>
      </c>
      <c r="WX7" s="185">
        <f t="shared" si="51"/>
        <v>0.6</v>
      </c>
      <c r="XA7" s="115">
        <v>42853</v>
      </c>
      <c r="XB7">
        <v>0.11</v>
      </c>
      <c r="XC7">
        <v>0</v>
      </c>
      <c r="XD7">
        <v>0</v>
      </c>
      <c r="XE7" s="115">
        <v>42935</v>
      </c>
      <c r="XF7" s="58">
        <v>110000</v>
      </c>
      <c r="XG7" s="115">
        <v>42936</v>
      </c>
      <c r="XH7" t="s">
        <v>1765</v>
      </c>
      <c r="XI7">
        <v>0.28000000000000003</v>
      </c>
      <c r="XJ7" s="185">
        <f t="shared" si="52"/>
        <v>0.39285714285714285</v>
      </c>
      <c r="XM7" s="115">
        <v>42850</v>
      </c>
      <c r="XN7">
        <v>0.1</v>
      </c>
      <c r="XO7">
        <v>0</v>
      </c>
      <c r="XP7">
        <v>0</v>
      </c>
      <c r="XQ7" s="115">
        <v>42887</v>
      </c>
      <c r="XR7" s="58">
        <v>27167.85</v>
      </c>
      <c r="XS7" s="115">
        <v>42888</v>
      </c>
      <c r="XT7" t="s">
        <v>1765</v>
      </c>
      <c r="XU7">
        <v>0.28999999999999998</v>
      </c>
      <c r="XV7" s="185">
        <f t="shared" si="53"/>
        <v>0.34482758620689657</v>
      </c>
      <c r="YG7">
        <v>1.19</v>
      </c>
      <c r="YH7" s="185">
        <f t="shared" si="54"/>
        <v>0</v>
      </c>
      <c r="YK7" s="115">
        <v>42793</v>
      </c>
      <c r="YL7">
        <v>0.1</v>
      </c>
      <c r="YM7">
        <v>0</v>
      </c>
      <c r="YN7">
        <v>0</v>
      </c>
      <c r="YO7" s="115">
        <v>42850</v>
      </c>
      <c r="YP7" s="58">
        <v>2400</v>
      </c>
      <c r="YQ7" s="115">
        <v>42851</v>
      </c>
      <c r="YR7" t="s">
        <v>1765</v>
      </c>
      <c r="YS7">
        <v>0.55000000000000004</v>
      </c>
      <c r="YT7" s="185">
        <f t="shared" si="55"/>
        <v>0.18181818181818182</v>
      </c>
      <c r="YW7" s="115">
        <v>42824</v>
      </c>
      <c r="YX7">
        <v>0.35</v>
      </c>
      <c r="YY7">
        <v>0</v>
      </c>
      <c r="YZ7">
        <v>0</v>
      </c>
      <c r="ZA7" s="115">
        <v>42865</v>
      </c>
      <c r="ZB7" s="58">
        <v>5764.81</v>
      </c>
      <c r="ZC7" s="115">
        <v>42866</v>
      </c>
      <c r="ZD7" t="s">
        <v>1765</v>
      </c>
      <c r="ZE7">
        <v>0.83</v>
      </c>
      <c r="ZF7" s="185">
        <f t="shared" si="56"/>
        <v>0.42168674698795178</v>
      </c>
      <c r="ZI7" s="115">
        <v>40641</v>
      </c>
      <c r="ZJ7">
        <v>0.2</v>
      </c>
      <c r="ZK7">
        <v>0</v>
      </c>
      <c r="ZL7">
        <v>1</v>
      </c>
      <c r="ZM7" s="115">
        <v>40689</v>
      </c>
      <c r="ZN7" s="58">
        <v>2480</v>
      </c>
      <c r="ZO7" s="115">
        <v>40690</v>
      </c>
      <c r="ZP7" t="s">
        <v>1765</v>
      </c>
      <c r="ZQ7">
        <v>0.04</v>
      </c>
      <c r="ZR7" s="185">
        <f t="shared" si="57"/>
        <v>5</v>
      </c>
      <c r="ZU7" s="115">
        <v>42794</v>
      </c>
      <c r="ZV7">
        <v>0.2</v>
      </c>
      <c r="ZW7">
        <v>0</v>
      </c>
      <c r="ZX7">
        <v>0</v>
      </c>
      <c r="ZY7" s="115">
        <v>42831</v>
      </c>
      <c r="ZZ7" s="58">
        <v>9887.1</v>
      </c>
      <c r="AAA7" s="115">
        <v>42832</v>
      </c>
      <c r="AAB7" t="s">
        <v>1765</v>
      </c>
      <c r="AAC7">
        <v>0.37</v>
      </c>
      <c r="AAD7" s="185">
        <f t="shared" si="58"/>
        <v>0.54054054054054057</v>
      </c>
      <c r="AAG7" s="115">
        <v>42833</v>
      </c>
      <c r="AAH7">
        <v>0.4</v>
      </c>
      <c r="AAI7">
        <v>0</v>
      </c>
      <c r="AAJ7">
        <v>0.5</v>
      </c>
      <c r="AAK7" s="115">
        <v>42880</v>
      </c>
      <c r="AAL7" s="58">
        <v>26732.720000000001</v>
      </c>
      <c r="AAM7" s="115">
        <v>42881</v>
      </c>
      <c r="AAN7" t="s">
        <v>1765</v>
      </c>
      <c r="AAO7">
        <v>0.8</v>
      </c>
      <c r="AAP7" s="185">
        <f t="shared" si="59"/>
        <v>0.5</v>
      </c>
      <c r="AAS7" s="115">
        <v>42483</v>
      </c>
      <c r="AAT7">
        <v>0.05</v>
      </c>
      <c r="AAU7">
        <v>0</v>
      </c>
      <c r="AAV7">
        <v>1</v>
      </c>
      <c r="AAW7" s="115">
        <v>42538</v>
      </c>
      <c r="AAX7" s="58">
        <v>1631.69</v>
      </c>
      <c r="AAY7" s="115">
        <v>42541</v>
      </c>
      <c r="AAZ7" t="s">
        <v>1765</v>
      </c>
      <c r="ABA7">
        <v>0.3</v>
      </c>
      <c r="ABB7" s="185">
        <f t="shared" si="60"/>
        <v>0.16666666666666669</v>
      </c>
      <c r="ABE7" s="115">
        <v>42853</v>
      </c>
      <c r="ABF7">
        <v>0.11</v>
      </c>
      <c r="ABG7">
        <v>0</v>
      </c>
      <c r="ABH7">
        <v>0</v>
      </c>
      <c r="ABI7" s="115">
        <v>42935</v>
      </c>
      <c r="ABJ7" s="58">
        <v>110000</v>
      </c>
      <c r="ABK7" s="115">
        <v>42936</v>
      </c>
      <c r="ABL7" t="s">
        <v>1765</v>
      </c>
      <c r="ABM7">
        <v>0.28000000000000003</v>
      </c>
      <c r="ABN7" s="185">
        <f t="shared" si="61"/>
        <v>0.39285714285714285</v>
      </c>
      <c r="ABQ7" s="115">
        <v>42810</v>
      </c>
      <c r="ABR7">
        <v>9.5000000000000001E-2</v>
      </c>
      <c r="ABS7">
        <v>0</v>
      </c>
      <c r="ABT7">
        <v>0</v>
      </c>
      <c r="ABU7" s="115">
        <v>42874</v>
      </c>
      <c r="ABV7" s="58">
        <v>12368.28</v>
      </c>
      <c r="ABW7" s="115">
        <v>42877</v>
      </c>
      <c r="ABX7" t="s">
        <v>1765</v>
      </c>
      <c r="ABY7">
        <v>0.51</v>
      </c>
      <c r="ABZ7" s="185">
        <f t="shared" si="62"/>
        <v>0.18627450980392157</v>
      </c>
      <c r="ACC7" s="115">
        <v>34825</v>
      </c>
      <c r="ACD7">
        <v>0.35</v>
      </c>
      <c r="ACE7">
        <v>0</v>
      </c>
      <c r="ACF7">
        <v>0</v>
      </c>
      <c r="ACG7" s="115">
        <v>34831</v>
      </c>
      <c r="ACH7" s="58">
        <v>12311.59</v>
      </c>
      <c r="ACI7" s="115">
        <v>34834</v>
      </c>
      <c r="ACJ7" t="s">
        <v>1765</v>
      </c>
      <c r="ACK7">
        <v>0.13</v>
      </c>
      <c r="ACL7" s="185">
        <f t="shared" si="63"/>
        <v>2.6923076923076921</v>
      </c>
      <c r="ACO7" s="115">
        <v>42854</v>
      </c>
      <c r="ACP7">
        <v>0.248</v>
      </c>
      <c r="ACQ7">
        <v>0</v>
      </c>
      <c r="ACR7">
        <v>0</v>
      </c>
      <c r="ACS7" s="115">
        <v>42947</v>
      </c>
      <c r="ACT7" s="58">
        <v>151221.24</v>
      </c>
      <c r="ACU7" s="115">
        <v>42948</v>
      </c>
      <c r="ACV7" t="s">
        <v>1765</v>
      </c>
      <c r="ACW7">
        <v>0.83</v>
      </c>
      <c r="ACX7" s="185">
        <f t="shared" si="64"/>
        <v>0.29879518072289157</v>
      </c>
      <c r="ADA7" s="115">
        <v>43190</v>
      </c>
      <c r="ADB7">
        <v>1.2</v>
      </c>
      <c r="ADC7">
        <v>0</v>
      </c>
      <c r="ADD7">
        <v>0</v>
      </c>
      <c r="ADE7" s="115">
        <v>43223</v>
      </c>
      <c r="ADF7" s="58">
        <v>790082.71</v>
      </c>
      <c r="ADG7" s="115">
        <v>43224</v>
      </c>
      <c r="ADH7" t="s">
        <v>1765</v>
      </c>
      <c r="ADI7">
        <v>2.29</v>
      </c>
      <c r="ADJ7" s="185">
        <f t="shared" si="65"/>
        <v>0.5240174672489083</v>
      </c>
      <c r="ADM7" s="115">
        <v>42794</v>
      </c>
      <c r="ADN7">
        <v>0.13</v>
      </c>
      <c r="ADO7">
        <v>0</v>
      </c>
      <c r="ADP7">
        <v>0</v>
      </c>
      <c r="ADQ7" s="115">
        <v>42844</v>
      </c>
      <c r="ADR7" s="58">
        <v>4680</v>
      </c>
      <c r="ADS7" s="115">
        <v>42845</v>
      </c>
      <c r="ADT7" t="s">
        <v>1765</v>
      </c>
      <c r="ADU7">
        <v>0.7</v>
      </c>
      <c r="ADV7" s="185">
        <f t="shared" si="66"/>
        <v>0.18571428571428572</v>
      </c>
      <c r="ADY7" s="115">
        <v>42850</v>
      </c>
      <c r="ADZ7">
        <v>0.2</v>
      </c>
      <c r="AEA7">
        <v>0</v>
      </c>
      <c r="AEB7">
        <v>0</v>
      </c>
      <c r="AEC7" s="115">
        <v>42891</v>
      </c>
      <c r="AED7" s="58">
        <v>21341.3</v>
      </c>
      <c r="AEE7" s="115">
        <v>42892</v>
      </c>
      <c r="AEF7" t="s">
        <v>1765</v>
      </c>
      <c r="AEG7">
        <v>0.71</v>
      </c>
      <c r="AEH7" s="185">
        <f t="shared" si="67"/>
        <v>0.28169014084507044</v>
      </c>
      <c r="AES7">
        <v>0.88</v>
      </c>
      <c r="AET7" s="185">
        <f t="shared" si="68"/>
        <v>0</v>
      </c>
      <c r="AEW7" s="115">
        <v>43216</v>
      </c>
      <c r="AEX7">
        <v>0.20899999999999999</v>
      </c>
      <c r="AEY7">
        <v>0</v>
      </c>
      <c r="AEZ7">
        <v>0</v>
      </c>
      <c r="AFA7" s="115">
        <v>43308</v>
      </c>
      <c r="AFB7" s="58">
        <v>30097.17</v>
      </c>
      <c r="AFC7" s="115">
        <v>43311</v>
      </c>
      <c r="AFD7" t="s">
        <v>1765</v>
      </c>
      <c r="AFE7">
        <v>0.41</v>
      </c>
      <c r="AFF7" s="185">
        <f t="shared" si="69"/>
        <v>0.50975609756097562</v>
      </c>
      <c r="AFI7" s="115">
        <v>42804</v>
      </c>
      <c r="AFJ7">
        <v>0.9</v>
      </c>
      <c r="AFK7">
        <v>0</v>
      </c>
      <c r="AFL7">
        <v>0</v>
      </c>
      <c r="AFM7" s="115">
        <v>42933</v>
      </c>
      <c r="AFN7" s="58">
        <v>58861.94</v>
      </c>
      <c r="AFO7" s="115">
        <v>42934</v>
      </c>
      <c r="AFP7" t="s">
        <v>1765</v>
      </c>
      <c r="AFQ7">
        <v>2.83</v>
      </c>
      <c r="AFR7" s="185">
        <f t="shared" si="70"/>
        <v>0.31802120141342755</v>
      </c>
      <c r="AFU7" s="115">
        <v>42836</v>
      </c>
      <c r="AFV7">
        <v>0.5</v>
      </c>
      <c r="AFW7">
        <v>0.2</v>
      </c>
      <c r="AFX7">
        <v>0</v>
      </c>
      <c r="AFY7" s="115">
        <v>42872</v>
      </c>
      <c r="AFZ7" s="58">
        <v>113917.2</v>
      </c>
      <c r="AGA7" s="115">
        <v>42873</v>
      </c>
      <c r="AGB7" t="s">
        <v>1765</v>
      </c>
      <c r="AGC7">
        <v>1.42</v>
      </c>
      <c r="AGD7" s="185">
        <f t="shared" si="71"/>
        <v>0.35211267605633806</v>
      </c>
      <c r="AGG7" s="115">
        <v>42850</v>
      </c>
      <c r="AGH7">
        <v>0.03</v>
      </c>
      <c r="AGI7">
        <v>0</v>
      </c>
      <c r="AGJ7">
        <v>0</v>
      </c>
      <c r="AGK7" s="115">
        <v>42929</v>
      </c>
      <c r="AGL7" s="58">
        <v>105459.2</v>
      </c>
      <c r="AGM7" s="115">
        <v>42930</v>
      </c>
      <c r="AGN7" t="s">
        <v>1765</v>
      </c>
      <c r="AGO7">
        <v>0.05</v>
      </c>
      <c r="AGP7" s="185">
        <f t="shared" si="72"/>
        <v>0.6</v>
      </c>
      <c r="AGS7" s="115">
        <v>42825</v>
      </c>
      <c r="AGT7">
        <v>0.15</v>
      </c>
      <c r="AGU7">
        <v>0</v>
      </c>
      <c r="AGV7">
        <v>0</v>
      </c>
      <c r="AGW7" s="115">
        <v>42971</v>
      </c>
      <c r="AGX7" s="58">
        <v>114961.98</v>
      </c>
      <c r="AGY7" s="115">
        <v>42972</v>
      </c>
      <c r="AGZ7" t="s">
        <v>1765</v>
      </c>
      <c r="AHA7">
        <v>-0.12</v>
      </c>
      <c r="AHB7" s="185">
        <f t="shared" si="73"/>
        <v>-1.25</v>
      </c>
      <c r="AHE7" s="115">
        <v>42853</v>
      </c>
      <c r="AHF7">
        <v>0.05</v>
      </c>
      <c r="AHG7">
        <v>0</v>
      </c>
      <c r="AHH7">
        <v>1</v>
      </c>
      <c r="AHI7" s="115">
        <v>42906</v>
      </c>
      <c r="AHJ7" s="58">
        <v>4186.3999999999996</v>
      </c>
      <c r="AHK7" s="115">
        <v>42907</v>
      </c>
      <c r="AHL7" t="s">
        <v>1765</v>
      </c>
      <c r="AHM7">
        <v>0.13</v>
      </c>
      <c r="AHN7" s="185">
        <f t="shared" si="74"/>
        <v>0.38461538461538464</v>
      </c>
      <c r="AHQ7" s="115">
        <v>42977</v>
      </c>
      <c r="AHR7">
        <v>0.02</v>
      </c>
      <c r="AHS7">
        <v>0</v>
      </c>
      <c r="AHT7">
        <v>0</v>
      </c>
      <c r="AHU7" s="115">
        <v>43031</v>
      </c>
      <c r="AHV7" s="58">
        <v>15287.17</v>
      </c>
      <c r="AHW7" s="115">
        <v>43032</v>
      </c>
      <c r="AHX7" t="s">
        <v>1765</v>
      </c>
      <c r="AHY7">
        <v>0.03</v>
      </c>
      <c r="AHZ7" s="185">
        <f t="shared" si="75"/>
        <v>0.66666666666666674</v>
      </c>
      <c r="AIC7" s="115">
        <v>43193</v>
      </c>
      <c r="AID7">
        <v>0.15</v>
      </c>
      <c r="AIE7">
        <v>0</v>
      </c>
      <c r="AIF7">
        <v>0</v>
      </c>
      <c r="AIG7" s="115">
        <v>43265</v>
      </c>
      <c r="AIH7" s="58">
        <v>16878.63</v>
      </c>
      <c r="AII7" s="115">
        <v>43266</v>
      </c>
      <c r="AIJ7" t="s">
        <v>1765</v>
      </c>
      <c r="AIK7">
        <v>0.04</v>
      </c>
      <c r="AIL7" s="185">
        <f t="shared" si="76"/>
        <v>3.75</v>
      </c>
      <c r="AIO7" s="115">
        <v>42840</v>
      </c>
      <c r="AIP7">
        <v>6.7869999999999999</v>
      </c>
      <c r="AIQ7">
        <v>0</v>
      </c>
      <c r="AIR7">
        <v>0</v>
      </c>
      <c r="AIS7" s="115">
        <v>42922</v>
      </c>
      <c r="AIT7" s="58">
        <v>852581.45</v>
      </c>
      <c r="AIU7" s="115">
        <v>42923</v>
      </c>
      <c r="AIV7" t="s">
        <v>1765</v>
      </c>
      <c r="AIW7">
        <v>13.31</v>
      </c>
      <c r="AIX7" s="185">
        <f t="shared" si="77"/>
        <v>0.50991735537190075</v>
      </c>
      <c r="AJA7" s="115">
        <v>42825</v>
      </c>
      <c r="AJB7">
        <v>0.9</v>
      </c>
      <c r="AJC7">
        <v>0</v>
      </c>
      <c r="AJD7">
        <v>0</v>
      </c>
      <c r="AJE7" s="115">
        <v>42866</v>
      </c>
      <c r="AJF7" s="58">
        <v>341637</v>
      </c>
      <c r="AJG7" s="115">
        <v>42867</v>
      </c>
      <c r="AJH7" t="s">
        <v>1765</v>
      </c>
      <c r="AJI7">
        <v>1.79</v>
      </c>
      <c r="AJJ7" s="185">
        <f t="shared" si="78"/>
        <v>0.5027932960893855</v>
      </c>
      <c r="AJM7" s="115">
        <v>40997</v>
      </c>
      <c r="AJN7">
        <v>5.8000000000000003E-2</v>
      </c>
      <c r="AJO7">
        <v>0</v>
      </c>
      <c r="AJP7">
        <v>0</v>
      </c>
      <c r="AJQ7" s="115">
        <v>41074</v>
      </c>
      <c r="AJR7" s="58">
        <v>2699.96</v>
      </c>
      <c r="AJS7" s="115">
        <v>41075</v>
      </c>
      <c r="AJT7" t="s">
        <v>1765</v>
      </c>
      <c r="AJU7">
        <v>0.01</v>
      </c>
      <c r="AJV7" s="185">
        <f t="shared" si="79"/>
        <v>5.8</v>
      </c>
      <c r="AJY7" s="115">
        <v>42839</v>
      </c>
      <c r="AJZ7">
        <v>0.6</v>
      </c>
      <c r="AKA7">
        <v>0.5</v>
      </c>
      <c r="AKB7">
        <v>0</v>
      </c>
      <c r="AKC7" s="115">
        <v>42870</v>
      </c>
      <c r="AKD7" s="58">
        <v>369302.02</v>
      </c>
      <c r="AKE7" s="115">
        <v>42871</v>
      </c>
      <c r="AKF7" t="s">
        <v>1765</v>
      </c>
      <c r="AKG7">
        <v>0.82</v>
      </c>
      <c r="AKH7" s="185">
        <f t="shared" si="80"/>
        <v>0.73170731707317072</v>
      </c>
      <c r="AKK7" s="115">
        <v>41751</v>
      </c>
      <c r="AKL7">
        <v>0.1</v>
      </c>
      <c r="AKM7">
        <v>0</v>
      </c>
      <c r="AKN7">
        <v>0</v>
      </c>
      <c r="AKO7" s="115">
        <v>41810</v>
      </c>
      <c r="AKP7" s="58">
        <v>2205</v>
      </c>
      <c r="AKQ7" s="115">
        <v>41813</v>
      </c>
      <c r="AKR7" t="s">
        <v>1765</v>
      </c>
      <c r="AKS7">
        <v>0.1</v>
      </c>
      <c r="AKT7" s="185">
        <f t="shared" si="81"/>
        <v>1</v>
      </c>
      <c r="AKW7" s="115">
        <v>42080</v>
      </c>
      <c r="AKX7">
        <v>0.05</v>
      </c>
      <c r="AKY7">
        <v>0</v>
      </c>
      <c r="AKZ7">
        <v>0</v>
      </c>
      <c r="ALA7" s="115">
        <v>42166</v>
      </c>
      <c r="ALB7" s="58">
        <v>1741.5</v>
      </c>
      <c r="ALC7" s="115">
        <v>42167</v>
      </c>
      <c r="ALD7" t="s">
        <v>1765</v>
      </c>
      <c r="ALE7">
        <v>0.65</v>
      </c>
      <c r="ALF7" s="185">
        <f t="shared" si="82"/>
        <v>7.6923076923076927E-2</v>
      </c>
      <c r="ALQ7">
        <v>1.17</v>
      </c>
      <c r="ALR7" s="185">
        <f t="shared" si="83"/>
        <v>0</v>
      </c>
      <c r="AMC7">
        <v>1.1499999999999999</v>
      </c>
      <c r="AMD7" s="185">
        <f t="shared" si="84"/>
        <v>0</v>
      </c>
      <c r="AMG7" s="115">
        <v>42838</v>
      </c>
      <c r="AMH7">
        <v>0.27</v>
      </c>
      <c r="AMI7">
        <v>0</v>
      </c>
      <c r="AMJ7">
        <v>0</v>
      </c>
      <c r="AMK7" s="115">
        <v>42895</v>
      </c>
      <c r="AML7" s="58">
        <v>16289.56</v>
      </c>
      <c r="AMM7" s="115">
        <v>42898</v>
      </c>
      <c r="AMN7" t="s">
        <v>1765</v>
      </c>
      <c r="AMO7">
        <v>0.89</v>
      </c>
      <c r="AMP7" s="185">
        <f t="shared" si="85"/>
        <v>0.30337078651685395</v>
      </c>
      <c r="AMS7" s="115">
        <v>42851</v>
      </c>
      <c r="AMT7">
        <v>0.03</v>
      </c>
      <c r="AMU7">
        <v>0</v>
      </c>
      <c r="AMV7">
        <v>0</v>
      </c>
      <c r="AMW7" s="115">
        <v>42895</v>
      </c>
      <c r="AMX7" s="58">
        <v>2440.86</v>
      </c>
      <c r="AMY7" s="115">
        <v>42898</v>
      </c>
      <c r="AMZ7" t="s">
        <v>1765</v>
      </c>
      <c r="ANA7" s="56">
        <v>0.18</v>
      </c>
      <c r="ANB7" s="185">
        <f t="shared" si="86"/>
        <v>0.16666666666666666</v>
      </c>
      <c r="ANE7" s="115">
        <v>42818</v>
      </c>
      <c r="ANF7">
        <v>0.5</v>
      </c>
      <c r="ANG7">
        <v>0</v>
      </c>
      <c r="ANH7">
        <v>0</v>
      </c>
      <c r="ANI7" s="115">
        <v>42906</v>
      </c>
      <c r="ANJ7" s="58">
        <v>264965.13</v>
      </c>
      <c r="ANK7" s="115">
        <v>42907</v>
      </c>
      <c r="ANL7" t="s">
        <v>1765</v>
      </c>
      <c r="ANM7">
        <v>1.61</v>
      </c>
      <c r="ANN7" s="185">
        <f t="shared" si="87"/>
        <v>0.3105590062111801</v>
      </c>
      <c r="ANQ7" s="115">
        <v>42851</v>
      </c>
      <c r="ANR7">
        <v>0.03</v>
      </c>
      <c r="ANS7">
        <v>0</v>
      </c>
      <c r="ANT7">
        <v>0</v>
      </c>
      <c r="ANU7" s="115">
        <v>42895</v>
      </c>
      <c r="ANV7" s="58">
        <v>2440.86</v>
      </c>
      <c r="ANW7" s="115">
        <v>42898</v>
      </c>
      <c r="ANX7" t="s">
        <v>1765</v>
      </c>
      <c r="ANY7">
        <v>0.18</v>
      </c>
      <c r="ANZ7" s="185">
        <f t="shared" si="88"/>
        <v>0.16666666666666666</v>
      </c>
      <c r="AOC7" s="115">
        <v>43537</v>
      </c>
      <c r="AOD7">
        <v>1.1000000000000001</v>
      </c>
      <c r="AOE7">
        <v>0</v>
      </c>
      <c r="AOF7">
        <v>0</v>
      </c>
      <c r="AOG7" s="115">
        <v>43607</v>
      </c>
      <c r="AOH7" s="58">
        <v>2010826.56</v>
      </c>
      <c r="AOI7" s="115">
        <v>43608</v>
      </c>
      <c r="AOJ7" t="s">
        <v>1765</v>
      </c>
      <c r="AOK7">
        <v>3.5</v>
      </c>
      <c r="AOL7" s="185">
        <f t="shared" si="89"/>
        <v>0.31428571428571433</v>
      </c>
      <c r="AOO7" s="115">
        <v>42803</v>
      </c>
      <c r="AOP7">
        <v>1.35</v>
      </c>
      <c r="AOQ7">
        <v>0</v>
      </c>
      <c r="AOR7">
        <v>1</v>
      </c>
      <c r="AOS7" s="115">
        <v>42878</v>
      </c>
      <c r="AOT7" s="58">
        <v>65617.86</v>
      </c>
      <c r="AOU7" s="115">
        <v>42879</v>
      </c>
      <c r="AOV7" t="s">
        <v>1765</v>
      </c>
      <c r="AOW7">
        <v>3</v>
      </c>
      <c r="AOX7" s="185">
        <f t="shared" si="90"/>
        <v>0.45</v>
      </c>
      <c r="APA7" s="115">
        <v>42801</v>
      </c>
      <c r="APB7">
        <v>0.13</v>
      </c>
      <c r="APC7">
        <v>0</v>
      </c>
      <c r="APD7">
        <v>0</v>
      </c>
      <c r="APE7" s="115">
        <v>42879</v>
      </c>
      <c r="APF7" s="58">
        <v>3824.45</v>
      </c>
      <c r="APG7" s="115">
        <v>42880</v>
      </c>
      <c r="APH7" t="s">
        <v>1765</v>
      </c>
      <c r="API7">
        <v>1.26</v>
      </c>
      <c r="APJ7" s="185">
        <f t="shared" si="91"/>
        <v>0.10317460317460318</v>
      </c>
      <c r="APM7" s="115">
        <v>42805</v>
      </c>
      <c r="APN7">
        <v>0.49</v>
      </c>
      <c r="APO7">
        <v>0</v>
      </c>
      <c r="APP7">
        <v>0</v>
      </c>
      <c r="APQ7" s="115">
        <v>42843</v>
      </c>
      <c r="APR7" s="58">
        <v>220145.14</v>
      </c>
      <c r="APS7" s="115">
        <v>42844</v>
      </c>
      <c r="APT7" t="s">
        <v>1765</v>
      </c>
      <c r="APU7">
        <v>0.7</v>
      </c>
      <c r="APV7" s="185">
        <f t="shared" si="92"/>
        <v>0.70000000000000007</v>
      </c>
      <c r="APY7" s="115">
        <v>42850</v>
      </c>
      <c r="APZ7">
        <v>0.1</v>
      </c>
      <c r="AQA7">
        <v>0</v>
      </c>
      <c r="AQB7">
        <v>0</v>
      </c>
      <c r="AQC7" s="115">
        <v>42892</v>
      </c>
      <c r="AQD7" s="58">
        <v>8311.76</v>
      </c>
      <c r="AQE7" s="115">
        <v>42893</v>
      </c>
      <c r="AQF7" t="s">
        <v>1765</v>
      </c>
      <c r="AQG7">
        <v>0.51</v>
      </c>
      <c r="AQH7" s="185">
        <f t="shared" si="93"/>
        <v>0.19607843137254902</v>
      </c>
      <c r="AQK7" s="115">
        <v>42818</v>
      </c>
      <c r="AQL7">
        <v>0.5</v>
      </c>
      <c r="AQM7">
        <v>0</v>
      </c>
      <c r="AQN7">
        <v>0</v>
      </c>
      <c r="AQO7" s="115">
        <v>42906</v>
      </c>
      <c r="AQP7" s="58">
        <v>264965.13</v>
      </c>
      <c r="AQQ7" s="115">
        <v>42907</v>
      </c>
      <c r="AQR7" t="s">
        <v>1765</v>
      </c>
      <c r="AQS7">
        <v>1.61</v>
      </c>
      <c r="AQT7" s="185">
        <f t="shared" si="94"/>
        <v>0.3105590062111801</v>
      </c>
      <c r="AQW7" s="115">
        <v>42838</v>
      </c>
      <c r="AQX7">
        <v>0.125</v>
      </c>
      <c r="AQY7">
        <v>0</v>
      </c>
      <c r="AQZ7">
        <v>0</v>
      </c>
      <c r="ARA7" s="115">
        <v>42871</v>
      </c>
      <c r="ARB7" s="58">
        <v>23129.82</v>
      </c>
      <c r="ARC7" s="115">
        <v>42872</v>
      </c>
      <c r="ARD7" t="s">
        <v>1765</v>
      </c>
      <c r="ARE7">
        <v>0.41</v>
      </c>
      <c r="ARF7" s="185">
        <f t="shared" si="95"/>
        <v>0.3048780487804878</v>
      </c>
      <c r="ARI7" s="115">
        <v>42110</v>
      </c>
      <c r="ARJ7">
        <v>0.03</v>
      </c>
      <c r="ARK7">
        <v>0</v>
      </c>
      <c r="ARL7">
        <v>0</v>
      </c>
      <c r="ARM7" s="115">
        <v>42191</v>
      </c>
      <c r="ARN7" s="58">
        <v>1157.76</v>
      </c>
      <c r="ARO7" s="115">
        <v>42192</v>
      </c>
      <c r="ARP7" t="s">
        <v>1765</v>
      </c>
      <c r="ARQ7">
        <v>0.08</v>
      </c>
      <c r="ARR7" s="185">
        <f t="shared" si="96"/>
        <v>0.375</v>
      </c>
      <c r="ARU7" s="115">
        <v>43343</v>
      </c>
      <c r="ARV7">
        <v>0.6</v>
      </c>
      <c r="ARW7">
        <v>0</v>
      </c>
      <c r="ARX7">
        <v>0</v>
      </c>
      <c r="ARY7" s="115">
        <v>43518</v>
      </c>
      <c r="ARZ7" s="58">
        <v>360943.85</v>
      </c>
      <c r="ASA7" s="115">
        <v>43521</v>
      </c>
      <c r="ASB7" t="s">
        <v>1765</v>
      </c>
      <c r="ASC7">
        <v>2.56</v>
      </c>
      <c r="ASD7" s="185">
        <f t="shared" si="97"/>
        <v>0.234375</v>
      </c>
      <c r="ASG7" s="115">
        <v>42821</v>
      </c>
      <c r="ASH7">
        <v>0.79</v>
      </c>
      <c r="ASI7">
        <v>0</v>
      </c>
      <c r="ASJ7">
        <v>0</v>
      </c>
      <c r="ASK7" s="115">
        <v>42975</v>
      </c>
      <c r="ASL7" s="58">
        <v>872093.01</v>
      </c>
      <c r="ASM7" s="115">
        <v>42976</v>
      </c>
      <c r="ASN7" t="s">
        <v>1765</v>
      </c>
      <c r="ASO7">
        <v>1.9</v>
      </c>
      <c r="ASP7" s="185">
        <f t="shared" si="98"/>
        <v>0.41578947368421054</v>
      </c>
      <c r="ASS7" s="115">
        <v>43565</v>
      </c>
      <c r="AST7">
        <v>0.5</v>
      </c>
      <c r="ASU7">
        <v>0</v>
      </c>
      <c r="ASV7">
        <v>0</v>
      </c>
      <c r="ASW7" s="115">
        <v>43615</v>
      </c>
      <c r="ASX7" s="58">
        <v>265655.45</v>
      </c>
      <c r="ASY7" s="115">
        <v>43616</v>
      </c>
      <c r="ASZ7" t="s">
        <v>1765</v>
      </c>
      <c r="ATA7">
        <v>2.71</v>
      </c>
      <c r="ATB7" s="185">
        <f t="shared" si="99"/>
        <v>0.18450184501845018</v>
      </c>
      <c r="ATE7" s="115">
        <v>42843</v>
      </c>
      <c r="ATF7">
        <v>0.2</v>
      </c>
      <c r="ATG7">
        <v>0</v>
      </c>
      <c r="ATH7">
        <v>0</v>
      </c>
      <c r="ATI7" s="115">
        <v>42894</v>
      </c>
      <c r="ATJ7" s="58">
        <v>65066.64</v>
      </c>
      <c r="ATK7" s="115">
        <v>42895</v>
      </c>
      <c r="ATL7" t="s">
        <v>1765</v>
      </c>
      <c r="ATM7">
        <v>0.62</v>
      </c>
      <c r="ATN7" s="185">
        <f t="shared" si="100"/>
        <v>0.32258064516129037</v>
      </c>
      <c r="ATQ7" s="115">
        <v>42908</v>
      </c>
      <c r="ATR7">
        <v>0</v>
      </c>
      <c r="ATS7">
        <v>0</v>
      </c>
      <c r="ATT7">
        <v>0</v>
      </c>
      <c r="ATU7" t="s">
        <v>1809</v>
      </c>
      <c r="ATV7">
        <v>0</v>
      </c>
      <c r="ATW7" t="s">
        <v>1809</v>
      </c>
      <c r="ATX7" t="s">
        <v>1765</v>
      </c>
      <c r="ATY7">
        <v>0.28999999999999998</v>
      </c>
      <c r="ATZ7" s="185">
        <f t="shared" si="101"/>
        <v>0</v>
      </c>
      <c r="AUC7" s="115">
        <v>42843</v>
      </c>
      <c r="AUD7">
        <v>0.6</v>
      </c>
      <c r="AUE7">
        <v>0</v>
      </c>
      <c r="AUF7">
        <v>0</v>
      </c>
      <c r="AUG7" s="115">
        <v>42920</v>
      </c>
      <c r="AUH7" s="58">
        <v>60537.03</v>
      </c>
      <c r="AUI7" s="115">
        <v>42921</v>
      </c>
      <c r="AUJ7" t="s">
        <v>1765</v>
      </c>
      <c r="AUK7">
        <v>1.66</v>
      </c>
      <c r="AUL7" s="185">
        <f t="shared" si="102"/>
        <v>0.36144578313253012</v>
      </c>
      <c r="AUO7" s="115">
        <v>41879</v>
      </c>
      <c r="AUP7">
        <v>1.2500000000000001E-2</v>
      </c>
      <c r="AUQ7">
        <v>0.05</v>
      </c>
      <c r="AUR7">
        <v>0.95</v>
      </c>
      <c r="AUS7" s="115">
        <v>41908</v>
      </c>
      <c r="AUT7" s="58">
        <v>10003.24</v>
      </c>
      <c r="AUU7" s="115">
        <v>41911</v>
      </c>
      <c r="AUV7" t="s">
        <v>1765</v>
      </c>
      <c r="AUW7" s="56">
        <v>0</v>
      </c>
      <c r="AUX7" s="185" t="e">
        <f t="shared" si="103"/>
        <v>#DIV/0!</v>
      </c>
      <c r="AVA7" s="115">
        <v>42853</v>
      </c>
      <c r="AVB7">
        <v>0.21</v>
      </c>
      <c r="AVC7">
        <v>0</v>
      </c>
      <c r="AVD7">
        <v>0</v>
      </c>
      <c r="AVE7" s="115">
        <v>42899</v>
      </c>
      <c r="AVF7" s="58">
        <v>464155.8</v>
      </c>
      <c r="AVG7" s="115">
        <v>42900</v>
      </c>
      <c r="AVH7" t="s">
        <v>1765</v>
      </c>
      <c r="AVI7">
        <v>0.41</v>
      </c>
      <c r="AVJ7" s="185">
        <f t="shared" si="104"/>
        <v>0.51219512195121952</v>
      </c>
      <c r="AVM7" s="115">
        <v>42847</v>
      </c>
      <c r="AVN7">
        <v>0.252</v>
      </c>
      <c r="AVO7">
        <v>0</v>
      </c>
      <c r="AVP7">
        <v>0</v>
      </c>
      <c r="AVQ7" s="115">
        <v>42899</v>
      </c>
      <c r="AVR7" s="58">
        <v>33417.54</v>
      </c>
      <c r="AVS7" s="115">
        <v>42900</v>
      </c>
      <c r="AVT7" t="s">
        <v>1765</v>
      </c>
      <c r="AVU7">
        <v>0.5</v>
      </c>
      <c r="AVV7" s="185">
        <f t="shared" si="105"/>
        <v>0.504</v>
      </c>
      <c r="AVY7" s="115">
        <v>42853</v>
      </c>
      <c r="AVZ7">
        <v>0.3</v>
      </c>
      <c r="AWA7">
        <v>0</v>
      </c>
      <c r="AWB7">
        <v>0</v>
      </c>
      <c r="AWC7" s="115">
        <v>42886</v>
      </c>
      <c r="AWD7" s="58">
        <v>8760</v>
      </c>
      <c r="AWE7" s="115">
        <v>42887</v>
      </c>
      <c r="AWF7" t="s">
        <v>1765</v>
      </c>
      <c r="AWG7" s="64">
        <v>1.04</v>
      </c>
      <c r="AWH7" s="185">
        <f t="shared" si="106"/>
        <v>0.28846153846153844</v>
      </c>
      <c r="AWK7" s="115">
        <v>43159</v>
      </c>
      <c r="AWL7">
        <v>3.6999999999999998E-2</v>
      </c>
      <c r="AWM7">
        <v>0</v>
      </c>
      <c r="AWN7">
        <v>0</v>
      </c>
      <c r="AWO7" s="115">
        <v>43203</v>
      </c>
      <c r="AWP7" s="58">
        <v>1206.18</v>
      </c>
      <c r="AWQ7" s="115">
        <v>43206</v>
      </c>
      <c r="AWR7" t="s">
        <v>1765</v>
      </c>
      <c r="AWS7">
        <v>0.05</v>
      </c>
      <c r="AWT7" s="185">
        <f t="shared" si="107"/>
        <v>0.73999999999999988</v>
      </c>
    </row>
    <row r="8" spans="1:1300" x14ac:dyDescent="0.25">
      <c r="A8" s="115">
        <v>42853</v>
      </c>
      <c r="B8">
        <v>0.01</v>
      </c>
      <c r="C8">
        <v>0</v>
      </c>
      <c r="D8">
        <v>0</v>
      </c>
      <c r="E8" s="115">
        <v>42970</v>
      </c>
      <c r="F8" s="58">
        <v>7657.96</v>
      </c>
      <c r="G8" s="115">
        <v>42971</v>
      </c>
      <c r="H8" t="s">
        <v>1765</v>
      </c>
      <c r="I8">
        <v>0.02</v>
      </c>
      <c r="J8" s="185">
        <f t="shared" si="0"/>
        <v>0.5</v>
      </c>
      <c r="M8" s="115">
        <v>42609</v>
      </c>
      <c r="N8">
        <v>0.4</v>
      </c>
      <c r="O8">
        <v>0</v>
      </c>
      <c r="P8">
        <v>0</v>
      </c>
      <c r="Q8" s="115">
        <v>42642</v>
      </c>
      <c r="R8" s="58">
        <v>4000</v>
      </c>
      <c r="S8" s="115">
        <v>42643</v>
      </c>
      <c r="T8" t="s">
        <v>1765</v>
      </c>
      <c r="U8">
        <v>1.54</v>
      </c>
      <c r="V8" s="185">
        <f t="shared" si="1"/>
        <v>0.25974025974025977</v>
      </c>
      <c r="Y8" s="115">
        <v>42443</v>
      </c>
      <c r="Z8">
        <v>0.72</v>
      </c>
      <c r="AA8">
        <v>0</v>
      </c>
      <c r="AB8">
        <v>0</v>
      </c>
      <c r="AC8" s="115">
        <v>42579</v>
      </c>
      <c r="AD8" s="58">
        <v>794818.94</v>
      </c>
      <c r="AE8" s="115">
        <v>42580</v>
      </c>
      <c r="AF8" t="s">
        <v>1765</v>
      </c>
      <c r="AG8">
        <v>1.64</v>
      </c>
      <c r="AH8" s="185">
        <f t="shared" si="2"/>
        <v>0.43902439024390244</v>
      </c>
      <c r="AK8" s="115">
        <v>42443</v>
      </c>
      <c r="AL8">
        <v>0.72</v>
      </c>
      <c r="AM8">
        <v>0</v>
      </c>
      <c r="AN8">
        <v>0</v>
      </c>
      <c r="AO8" s="115">
        <v>42579</v>
      </c>
      <c r="AP8" s="58">
        <v>794818.94</v>
      </c>
      <c r="AQ8" s="115">
        <v>42580</v>
      </c>
      <c r="AR8" t="s">
        <v>1765</v>
      </c>
      <c r="AS8">
        <v>1.64</v>
      </c>
      <c r="AT8" s="185">
        <f t="shared" si="3"/>
        <v>0.43902439024390244</v>
      </c>
      <c r="AW8" s="115">
        <v>42444</v>
      </c>
      <c r="AX8">
        <v>0.1</v>
      </c>
      <c r="AY8">
        <v>0</v>
      </c>
      <c r="AZ8">
        <v>0</v>
      </c>
      <c r="BA8" s="115">
        <v>42478</v>
      </c>
      <c r="BB8" s="58">
        <v>12854.47</v>
      </c>
      <c r="BC8" s="115">
        <v>42479</v>
      </c>
      <c r="BD8" t="s">
        <v>1765</v>
      </c>
      <c r="BE8">
        <v>0.34</v>
      </c>
      <c r="BF8" s="185">
        <f t="shared" si="4"/>
        <v>0.29411764705882354</v>
      </c>
      <c r="BI8" s="115">
        <v>43341</v>
      </c>
      <c r="BJ8">
        <v>0.18</v>
      </c>
      <c r="BK8">
        <v>0</v>
      </c>
      <c r="BL8">
        <v>0</v>
      </c>
      <c r="BM8" s="115">
        <v>43395</v>
      </c>
      <c r="BN8" s="58">
        <v>143950.29</v>
      </c>
      <c r="BO8" s="115">
        <v>43396</v>
      </c>
      <c r="BP8" t="s">
        <v>1765</v>
      </c>
      <c r="BQ8">
        <v>0.35</v>
      </c>
      <c r="BR8" s="185">
        <f t="shared" si="5"/>
        <v>0.51428571428571435</v>
      </c>
      <c r="BU8" s="115">
        <v>42459</v>
      </c>
      <c r="BV8">
        <v>0.15</v>
      </c>
      <c r="BW8">
        <v>0</v>
      </c>
      <c r="BX8">
        <v>0</v>
      </c>
      <c r="BY8" s="115">
        <v>42586</v>
      </c>
      <c r="BZ8" s="58">
        <v>409331.37</v>
      </c>
      <c r="CA8" s="115">
        <v>42587</v>
      </c>
      <c r="CB8" t="s">
        <v>1765</v>
      </c>
      <c r="CC8">
        <v>0.43</v>
      </c>
      <c r="CD8" s="185">
        <f t="shared" si="6"/>
        <v>0.34883720930232559</v>
      </c>
      <c r="CG8" s="115">
        <v>42119</v>
      </c>
      <c r="CH8">
        <v>0.03</v>
      </c>
      <c r="CI8">
        <v>0</v>
      </c>
      <c r="CJ8">
        <v>0</v>
      </c>
      <c r="CK8" s="115">
        <v>42180</v>
      </c>
      <c r="CL8" s="58">
        <v>30000</v>
      </c>
      <c r="CM8" s="115">
        <v>42181</v>
      </c>
      <c r="CN8" t="s">
        <v>1765</v>
      </c>
      <c r="CO8">
        <v>-0.3</v>
      </c>
      <c r="CP8" s="185">
        <f t="shared" si="7"/>
        <v>-0.1</v>
      </c>
      <c r="CS8" s="115">
        <v>42067</v>
      </c>
      <c r="CT8">
        <v>6.7299999999999999E-2</v>
      </c>
      <c r="CU8">
        <v>0</v>
      </c>
      <c r="CV8">
        <v>0</v>
      </c>
      <c r="CW8" s="115">
        <v>42187</v>
      </c>
      <c r="CX8" s="58">
        <v>142653.09</v>
      </c>
      <c r="CY8" s="115">
        <v>42188</v>
      </c>
      <c r="CZ8" t="s">
        <v>1765</v>
      </c>
      <c r="DA8">
        <v>0.16</v>
      </c>
      <c r="DB8" s="185">
        <f t="shared" si="8"/>
        <v>0.42062499999999997</v>
      </c>
      <c r="DE8" s="115">
        <v>42479</v>
      </c>
      <c r="DF8">
        <v>0.2</v>
      </c>
      <c r="DG8">
        <v>0</v>
      </c>
      <c r="DH8">
        <v>0</v>
      </c>
      <c r="DI8" s="115">
        <v>42536</v>
      </c>
      <c r="DJ8" s="58">
        <v>600000</v>
      </c>
      <c r="DK8" s="115">
        <v>42537</v>
      </c>
      <c r="DL8" t="s">
        <v>1765</v>
      </c>
      <c r="DM8">
        <v>0.84</v>
      </c>
      <c r="DN8" s="185">
        <f t="shared" si="9"/>
        <v>0.23809523809523811</v>
      </c>
      <c r="DQ8" s="115">
        <v>42460</v>
      </c>
      <c r="DR8">
        <v>8.5999999999999993E-2</v>
      </c>
      <c r="DS8">
        <v>0</v>
      </c>
      <c r="DT8">
        <v>0</v>
      </c>
      <c r="DU8" s="115">
        <v>42593</v>
      </c>
      <c r="DV8" s="58">
        <v>196460.99</v>
      </c>
      <c r="DW8" s="115">
        <v>42594</v>
      </c>
      <c r="DX8" t="s">
        <v>1765</v>
      </c>
      <c r="DY8">
        <v>0.53</v>
      </c>
      <c r="DZ8" s="185">
        <f t="shared" si="10"/>
        <v>0.16226415094339622</v>
      </c>
      <c r="EK8">
        <v>1.45</v>
      </c>
      <c r="EL8" s="185">
        <f t="shared" si="11"/>
        <v>0</v>
      </c>
      <c r="EO8" s="115">
        <v>42459</v>
      </c>
      <c r="EP8">
        <v>0.3</v>
      </c>
      <c r="EQ8">
        <v>0</v>
      </c>
      <c r="ER8">
        <v>0</v>
      </c>
      <c r="ES8" s="115">
        <v>42517</v>
      </c>
      <c r="ET8" s="58">
        <v>3900</v>
      </c>
      <c r="EU8" s="115">
        <v>42520</v>
      </c>
      <c r="EV8" t="s">
        <v>1765</v>
      </c>
      <c r="EW8">
        <v>0.53</v>
      </c>
      <c r="EX8" s="185">
        <f t="shared" si="12"/>
        <v>0.56603773584905659</v>
      </c>
      <c r="FA8" s="115">
        <v>41716</v>
      </c>
      <c r="FB8">
        <v>0.1</v>
      </c>
      <c r="FC8">
        <v>0</v>
      </c>
      <c r="FD8">
        <v>0</v>
      </c>
      <c r="FE8" s="115">
        <v>41753</v>
      </c>
      <c r="FF8" s="58">
        <v>2055</v>
      </c>
      <c r="FG8" s="115">
        <v>41754</v>
      </c>
      <c r="FH8" t="s">
        <v>1765</v>
      </c>
      <c r="FI8">
        <v>0.51</v>
      </c>
      <c r="FJ8" s="185">
        <f t="shared" si="13"/>
        <v>0.19607843137254902</v>
      </c>
      <c r="FM8" s="115">
        <v>42489</v>
      </c>
      <c r="FN8">
        <v>0.8</v>
      </c>
      <c r="FO8">
        <v>0</v>
      </c>
      <c r="FP8">
        <v>0</v>
      </c>
      <c r="FQ8" s="115">
        <v>42528</v>
      </c>
      <c r="FR8" s="58">
        <v>178128.94</v>
      </c>
      <c r="FS8" s="115">
        <v>42529</v>
      </c>
      <c r="FT8" t="s">
        <v>1765</v>
      </c>
      <c r="FU8">
        <v>1.96</v>
      </c>
      <c r="FV8" s="185">
        <f t="shared" si="14"/>
        <v>0.40816326530612246</v>
      </c>
      <c r="FY8" s="115">
        <v>41864</v>
      </c>
      <c r="FZ8">
        <v>0</v>
      </c>
      <c r="GA8">
        <v>0</v>
      </c>
      <c r="GB8">
        <v>1</v>
      </c>
      <c r="GC8" s="115">
        <v>41897</v>
      </c>
      <c r="GD8">
        <v>0</v>
      </c>
      <c r="GE8" s="115">
        <v>41898</v>
      </c>
      <c r="GF8" t="s">
        <v>1765</v>
      </c>
      <c r="GG8">
        <v>0.03</v>
      </c>
      <c r="GH8" s="185">
        <f t="shared" si="15"/>
        <v>0</v>
      </c>
      <c r="GK8" s="115">
        <v>42852</v>
      </c>
      <c r="GL8">
        <v>1.8</v>
      </c>
      <c r="GM8">
        <v>0</v>
      </c>
      <c r="GN8">
        <v>0</v>
      </c>
      <c r="GO8" s="115">
        <v>42920</v>
      </c>
      <c r="GP8" s="58">
        <v>1082831.56</v>
      </c>
      <c r="GQ8" s="115">
        <v>42921</v>
      </c>
      <c r="GR8" t="s">
        <v>1765</v>
      </c>
      <c r="GS8">
        <v>2.08</v>
      </c>
      <c r="GT8" s="185">
        <f t="shared" si="16"/>
        <v>0.86538461538461542</v>
      </c>
      <c r="GW8" s="115">
        <v>42443</v>
      </c>
      <c r="GX8">
        <v>0.72</v>
      </c>
      <c r="GY8">
        <v>0</v>
      </c>
      <c r="GZ8">
        <v>0</v>
      </c>
      <c r="HA8" s="115">
        <v>42579</v>
      </c>
      <c r="HB8" s="58">
        <v>794818.94</v>
      </c>
      <c r="HC8" s="115">
        <v>42580</v>
      </c>
      <c r="HD8" t="s">
        <v>1765</v>
      </c>
      <c r="HE8">
        <v>1.64</v>
      </c>
      <c r="HF8" s="185">
        <f t="shared" si="17"/>
        <v>0.43902439024390244</v>
      </c>
      <c r="HI8" s="115">
        <v>42112</v>
      </c>
      <c r="HJ8">
        <v>0.05</v>
      </c>
      <c r="HK8">
        <v>0</v>
      </c>
      <c r="HL8">
        <v>0</v>
      </c>
      <c r="HM8" s="115">
        <v>42171</v>
      </c>
      <c r="HN8" s="58">
        <v>11915</v>
      </c>
      <c r="HO8" s="115">
        <v>42172</v>
      </c>
      <c r="HP8" t="s">
        <v>1765</v>
      </c>
      <c r="HQ8">
        <v>0.01</v>
      </c>
      <c r="HR8" s="185">
        <f t="shared" si="18"/>
        <v>5</v>
      </c>
      <c r="HU8" s="115">
        <v>42067</v>
      </c>
      <c r="HV8">
        <v>6.7299999999999999E-2</v>
      </c>
      <c r="HW8">
        <v>0</v>
      </c>
      <c r="HX8">
        <v>0</v>
      </c>
      <c r="HY8" s="115">
        <v>42187</v>
      </c>
      <c r="HZ8" s="58">
        <v>142653.09</v>
      </c>
      <c r="IA8" s="115">
        <v>42188</v>
      </c>
      <c r="IB8" t="s">
        <v>1765</v>
      </c>
      <c r="IC8">
        <v>0.16</v>
      </c>
      <c r="ID8" s="185">
        <f t="shared" si="19"/>
        <v>0.42062499999999997</v>
      </c>
      <c r="IG8" s="115">
        <v>42454</v>
      </c>
      <c r="IH8">
        <v>0.1</v>
      </c>
      <c r="II8">
        <v>0</v>
      </c>
      <c r="IJ8">
        <v>0</v>
      </c>
      <c r="IK8" s="115">
        <v>42537</v>
      </c>
      <c r="IL8" s="58">
        <v>1600</v>
      </c>
      <c r="IM8" s="115">
        <v>42538</v>
      </c>
      <c r="IN8" t="s">
        <v>1765</v>
      </c>
      <c r="IO8">
        <v>0.55000000000000004</v>
      </c>
      <c r="IP8" s="185">
        <f t="shared" si="20"/>
        <v>0.18181818181818182</v>
      </c>
      <c r="IS8" s="115">
        <v>42444</v>
      </c>
      <c r="IT8">
        <v>0.1</v>
      </c>
      <c r="IU8">
        <v>0</v>
      </c>
      <c r="IV8">
        <v>0</v>
      </c>
      <c r="IW8" s="115">
        <v>42478</v>
      </c>
      <c r="IX8" s="58">
        <v>12854.47</v>
      </c>
      <c r="IY8" s="115">
        <v>42479</v>
      </c>
      <c r="IZ8" t="s">
        <v>1765</v>
      </c>
      <c r="JA8">
        <v>0.34</v>
      </c>
      <c r="JB8" s="185">
        <f t="shared" si="21"/>
        <v>0.29411764705882354</v>
      </c>
      <c r="JE8" s="115">
        <v>42481</v>
      </c>
      <c r="JF8">
        <v>0.15</v>
      </c>
      <c r="JG8">
        <v>0</v>
      </c>
      <c r="JH8">
        <v>0</v>
      </c>
      <c r="JI8" s="115">
        <v>42528</v>
      </c>
      <c r="JJ8" s="58">
        <v>48799.98</v>
      </c>
      <c r="JK8" s="115">
        <v>42529</v>
      </c>
      <c r="JL8" t="s">
        <v>1765</v>
      </c>
      <c r="JM8">
        <v>0.79</v>
      </c>
      <c r="JN8" s="185">
        <f t="shared" si="22"/>
        <v>0.18987341772151897</v>
      </c>
      <c r="JY8">
        <v>0.01</v>
      </c>
      <c r="JZ8" s="185">
        <f t="shared" si="23"/>
        <v>0</v>
      </c>
      <c r="KC8" s="115">
        <v>42460</v>
      </c>
      <c r="KD8">
        <v>0.06</v>
      </c>
      <c r="KE8">
        <v>0</v>
      </c>
      <c r="KF8">
        <v>0</v>
      </c>
      <c r="KG8" s="115">
        <v>42528</v>
      </c>
      <c r="KH8" s="58">
        <v>98805.11</v>
      </c>
      <c r="KI8" s="115">
        <v>42529</v>
      </c>
      <c r="KJ8" t="s">
        <v>1765</v>
      </c>
      <c r="KK8">
        <v>0.06</v>
      </c>
      <c r="KL8" s="185">
        <f t="shared" si="24"/>
        <v>1</v>
      </c>
      <c r="KO8" s="115">
        <v>42486</v>
      </c>
      <c r="KP8">
        <v>0.01</v>
      </c>
      <c r="KQ8">
        <v>0</v>
      </c>
      <c r="KR8">
        <v>0</v>
      </c>
      <c r="KS8" s="115">
        <v>42548</v>
      </c>
      <c r="KT8" s="58">
        <v>35153.07</v>
      </c>
      <c r="KU8" s="115">
        <v>42549</v>
      </c>
      <c r="KV8" t="s">
        <v>1765</v>
      </c>
      <c r="KW8">
        <v>0.05</v>
      </c>
      <c r="KX8" s="185">
        <f t="shared" si="25"/>
        <v>0.19999999999999998</v>
      </c>
      <c r="LA8" s="115">
        <v>42853</v>
      </c>
      <c r="LB8">
        <v>0.01</v>
      </c>
      <c r="LC8">
        <v>0</v>
      </c>
      <c r="LD8">
        <v>0</v>
      </c>
      <c r="LE8" s="115">
        <v>42970</v>
      </c>
      <c r="LF8" s="58">
        <v>7657.96</v>
      </c>
      <c r="LG8" s="115">
        <v>42971</v>
      </c>
      <c r="LH8" t="s">
        <v>1765</v>
      </c>
      <c r="LI8">
        <v>0.02</v>
      </c>
      <c r="LJ8" s="185">
        <f t="shared" si="26"/>
        <v>0.5</v>
      </c>
      <c r="LU8">
        <v>1.54</v>
      </c>
      <c r="LV8" s="185">
        <f t="shared" si="27"/>
        <v>0</v>
      </c>
      <c r="LY8" s="115">
        <v>42851</v>
      </c>
      <c r="LZ8">
        <v>0</v>
      </c>
      <c r="MA8">
        <v>0</v>
      </c>
      <c r="MB8">
        <v>0</v>
      </c>
      <c r="MC8" t="s">
        <v>1809</v>
      </c>
      <c r="MD8">
        <v>0</v>
      </c>
      <c r="ME8" t="s">
        <v>1809</v>
      </c>
      <c r="MF8" t="s">
        <v>1765</v>
      </c>
      <c r="MG8">
        <v>0.08</v>
      </c>
      <c r="MH8" s="185">
        <f t="shared" si="28"/>
        <v>0</v>
      </c>
      <c r="MK8" s="115">
        <v>42794</v>
      </c>
      <c r="ML8">
        <v>0.01</v>
      </c>
      <c r="MM8">
        <v>0</v>
      </c>
      <c r="MN8">
        <v>0</v>
      </c>
      <c r="MO8" s="115">
        <v>42824</v>
      </c>
      <c r="MP8">
        <v>325.99</v>
      </c>
      <c r="MQ8" s="115">
        <v>42825</v>
      </c>
      <c r="MR8" t="s">
        <v>1765</v>
      </c>
      <c r="MS8">
        <v>0.11</v>
      </c>
      <c r="MT8" s="185">
        <f t="shared" si="29"/>
        <v>9.0909090909090912E-2</v>
      </c>
      <c r="MW8" s="115">
        <v>42458</v>
      </c>
      <c r="MX8">
        <v>0.1</v>
      </c>
      <c r="MY8">
        <v>0</v>
      </c>
      <c r="MZ8">
        <v>0</v>
      </c>
      <c r="NA8" s="115">
        <v>42510</v>
      </c>
      <c r="NB8" s="58">
        <v>8311.77</v>
      </c>
      <c r="NC8" s="115">
        <v>42513</v>
      </c>
      <c r="ND8" t="s">
        <v>1765</v>
      </c>
      <c r="NE8">
        <v>0.38</v>
      </c>
      <c r="NF8" s="185">
        <f t="shared" si="30"/>
        <v>0.26315789473684209</v>
      </c>
      <c r="NI8" s="115">
        <v>42119</v>
      </c>
      <c r="NJ8">
        <v>0.03</v>
      </c>
      <c r="NK8">
        <v>0</v>
      </c>
      <c r="NL8">
        <v>0</v>
      </c>
      <c r="NM8" s="115">
        <v>42180</v>
      </c>
      <c r="NN8" s="58">
        <v>30000</v>
      </c>
      <c r="NO8" s="115">
        <v>42181</v>
      </c>
      <c r="NP8" t="s">
        <v>1765</v>
      </c>
      <c r="NQ8">
        <v>-0.3</v>
      </c>
      <c r="NR8" s="185">
        <f t="shared" si="31"/>
        <v>-0.1</v>
      </c>
      <c r="NU8" s="115">
        <v>42852</v>
      </c>
      <c r="NV8">
        <v>1.8</v>
      </c>
      <c r="NW8">
        <v>0</v>
      </c>
      <c r="NX8">
        <v>0</v>
      </c>
      <c r="NY8" s="115">
        <v>42920</v>
      </c>
      <c r="NZ8" s="58">
        <v>1082831.56</v>
      </c>
      <c r="OA8" s="115">
        <v>42921</v>
      </c>
      <c r="OB8" t="s">
        <v>1765</v>
      </c>
      <c r="OC8">
        <v>2.08</v>
      </c>
      <c r="OD8" s="185">
        <f t="shared" si="32"/>
        <v>0.86538461538461542</v>
      </c>
      <c r="OG8" s="115">
        <v>42443</v>
      </c>
      <c r="OH8">
        <v>0.72</v>
      </c>
      <c r="OI8">
        <v>0</v>
      </c>
      <c r="OJ8">
        <v>0</v>
      </c>
      <c r="OK8" s="115">
        <v>42579</v>
      </c>
      <c r="OL8" s="58">
        <v>794818.94</v>
      </c>
      <c r="OM8" s="115">
        <v>42580</v>
      </c>
      <c r="ON8" t="s">
        <v>1765</v>
      </c>
      <c r="OO8">
        <v>1.64</v>
      </c>
      <c r="OP8" s="185">
        <f t="shared" si="33"/>
        <v>0.43902439024390244</v>
      </c>
      <c r="OS8" s="115">
        <v>42851</v>
      </c>
      <c r="OT8">
        <v>0.25</v>
      </c>
      <c r="OU8">
        <v>0</v>
      </c>
      <c r="OV8">
        <v>0</v>
      </c>
      <c r="OW8" s="115">
        <v>42895</v>
      </c>
      <c r="OX8" s="58">
        <v>2040</v>
      </c>
      <c r="OY8" s="115">
        <v>42898</v>
      </c>
      <c r="OZ8" t="s">
        <v>1765</v>
      </c>
      <c r="PA8">
        <v>0.81</v>
      </c>
      <c r="PB8" s="185">
        <f t="shared" si="34"/>
        <v>0.30864197530864196</v>
      </c>
      <c r="PE8" s="115">
        <v>42851</v>
      </c>
      <c r="PF8">
        <v>0.25</v>
      </c>
      <c r="PG8">
        <v>0</v>
      </c>
      <c r="PH8">
        <v>0</v>
      </c>
      <c r="PI8" s="115">
        <v>42895</v>
      </c>
      <c r="PJ8" s="58">
        <v>2040</v>
      </c>
      <c r="PK8" s="115">
        <v>42898</v>
      </c>
      <c r="PL8" t="s">
        <v>1765</v>
      </c>
      <c r="PM8">
        <v>0.81</v>
      </c>
      <c r="PN8" s="185">
        <f t="shared" si="35"/>
        <v>0.30864197530864196</v>
      </c>
      <c r="PQ8" s="115">
        <v>42447</v>
      </c>
      <c r="PR8">
        <v>1.25</v>
      </c>
      <c r="PS8">
        <v>0</v>
      </c>
      <c r="PT8">
        <v>0</v>
      </c>
      <c r="PU8" s="115">
        <v>42536</v>
      </c>
      <c r="PV8" s="58">
        <v>60757.279999999999</v>
      </c>
      <c r="PW8" s="115">
        <v>42537</v>
      </c>
      <c r="PX8" t="s">
        <v>1765</v>
      </c>
      <c r="PY8">
        <v>2.5299999999999998</v>
      </c>
      <c r="PZ8" s="185">
        <f t="shared" si="36"/>
        <v>0.49407114624505932</v>
      </c>
      <c r="QC8" s="115">
        <v>42479</v>
      </c>
      <c r="QD8">
        <v>0.5</v>
      </c>
      <c r="QE8">
        <v>0</v>
      </c>
      <c r="QF8">
        <v>0</v>
      </c>
      <c r="QG8" s="115">
        <v>42564</v>
      </c>
      <c r="QH8" s="58">
        <v>50447.53</v>
      </c>
      <c r="QI8" s="115">
        <v>42565</v>
      </c>
      <c r="QJ8" t="s">
        <v>1765</v>
      </c>
      <c r="QK8">
        <v>1.49</v>
      </c>
      <c r="QL8" s="185">
        <f t="shared" si="37"/>
        <v>0.33557046979865773</v>
      </c>
      <c r="QO8" s="115">
        <v>43334</v>
      </c>
      <c r="QP8">
        <v>0.62</v>
      </c>
      <c r="QQ8">
        <v>0</v>
      </c>
      <c r="QR8">
        <v>0</v>
      </c>
      <c r="QS8" s="115">
        <v>43348</v>
      </c>
      <c r="QT8" s="58">
        <v>1133374.97</v>
      </c>
      <c r="QU8" s="115">
        <v>43349</v>
      </c>
      <c r="QV8" t="s">
        <v>1765</v>
      </c>
      <c r="QW8">
        <v>2.98</v>
      </c>
      <c r="QX8" s="185">
        <f t="shared" si="38"/>
        <v>0.20805369127516779</v>
      </c>
      <c r="RA8" s="115">
        <v>42453</v>
      </c>
      <c r="RB8">
        <v>0.43</v>
      </c>
      <c r="RC8">
        <v>0</v>
      </c>
      <c r="RD8">
        <v>0</v>
      </c>
      <c r="RE8" s="115">
        <v>42542</v>
      </c>
      <c r="RF8" s="58">
        <v>227870.01</v>
      </c>
      <c r="RG8" s="115">
        <v>42543</v>
      </c>
      <c r="RH8" t="s">
        <v>1765</v>
      </c>
      <c r="RI8">
        <v>1.42</v>
      </c>
      <c r="RJ8" s="185">
        <f t="shared" si="39"/>
        <v>0.30281690140845069</v>
      </c>
      <c r="RM8" s="115">
        <v>42460</v>
      </c>
      <c r="RN8">
        <v>0.05</v>
      </c>
      <c r="RO8">
        <v>0</v>
      </c>
      <c r="RP8">
        <v>0</v>
      </c>
      <c r="RQ8" s="115">
        <v>42527</v>
      </c>
      <c r="RR8" s="58">
        <v>7487.86</v>
      </c>
      <c r="RS8" s="115">
        <v>42528</v>
      </c>
      <c r="RT8" t="s">
        <v>1765</v>
      </c>
      <c r="RU8">
        <v>7.0000000000000007E-2</v>
      </c>
      <c r="RV8" s="185">
        <f t="shared" si="40"/>
        <v>0.7142857142857143</v>
      </c>
      <c r="RY8" s="115">
        <v>42475</v>
      </c>
      <c r="RZ8">
        <v>2.4E-2</v>
      </c>
      <c r="SA8">
        <v>0</v>
      </c>
      <c r="SB8">
        <v>0</v>
      </c>
      <c r="SC8" s="115">
        <v>42557</v>
      </c>
      <c r="SD8" s="58">
        <v>3182.62</v>
      </c>
      <c r="SE8" s="115">
        <v>42558</v>
      </c>
      <c r="SF8" t="s">
        <v>1765</v>
      </c>
      <c r="SG8">
        <v>0.08</v>
      </c>
      <c r="SH8" s="185">
        <f t="shared" si="41"/>
        <v>0.3</v>
      </c>
      <c r="SK8" s="115">
        <v>42453</v>
      </c>
      <c r="SL8">
        <v>0.43</v>
      </c>
      <c r="SM8">
        <v>0</v>
      </c>
      <c r="SN8">
        <v>0</v>
      </c>
      <c r="SO8" s="115">
        <v>42542</v>
      </c>
      <c r="SP8" s="58">
        <v>227870.01</v>
      </c>
      <c r="SQ8" s="115">
        <v>42543</v>
      </c>
      <c r="SR8" t="s">
        <v>1765</v>
      </c>
      <c r="SS8">
        <v>1.42</v>
      </c>
      <c r="ST8" s="185">
        <f t="shared" si="42"/>
        <v>0.30281690140845069</v>
      </c>
      <c r="SW8" s="115">
        <v>42460</v>
      </c>
      <c r="SX8">
        <v>0.05</v>
      </c>
      <c r="SY8">
        <v>0</v>
      </c>
      <c r="SZ8">
        <v>0</v>
      </c>
      <c r="TA8" s="115">
        <v>42527</v>
      </c>
      <c r="TB8" s="58">
        <v>7487.86</v>
      </c>
      <c r="TC8" s="115">
        <v>42528</v>
      </c>
      <c r="TD8" t="s">
        <v>1765</v>
      </c>
      <c r="TE8">
        <v>7.0000000000000007E-2</v>
      </c>
      <c r="TF8" s="185">
        <f t="shared" si="43"/>
        <v>0.7142857142857143</v>
      </c>
      <c r="TI8" s="115">
        <v>42475</v>
      </c>
      <c r="TJ8">
        <v>0.3</v>
      </c>
      <c r="TK8">
        <v>0</v>
      </c>
      <c r="TL8">
        <v>0</v>
      </c>
      <c r="TM8" s="115">
        <v>42583</v>
      </c>
      <c r="TN8" s="58">
        <v>8760</v>
      </c>
      <c r="TO8" s="115">
        <v>42584</v>
      </c>
      <c r="TP8" t="s">
        <v>1765</v>
      </c>
      <c r="TQ8">
        <v>1.05</v>
      </c>
      <c r="TR8" s="185">
        <f t="shared" si="44"/>
        <v>0.2857142857142857</v>
      </c>
      <c r="TU8" s="115">
        <v>43200</v>
      </c>
      <c r="TV8">
        <v>0.39300000000000002</v>
      </c>
      <c r="TW8">
        <v>0</v>
      </c>
      <c r="TX8">
        <v>0</v>
      </c>
      <c r="TY8" s="115">
        <v>43250</v>
      </c>
      <c r="TZ8" s="58">
        <v>205140.68</v>
      </c>
      <c r="UA8" s="115">
        <v>43251</v>
      </c>
      <c r="UB8" t="s">
        <v>1765</v>
      </c>
      <c r="UC8" s="203">
        <v>1.71</v>
      </c>
      <c r="UD8" s="185">
        <f t="shared" si="45"/>
        <v>0.22982456140350879</v>
      </c>
      <c r="UG8" s="115">
        <v>43200</v>
      </c>
      <c r="UH8">
        <v>0.39300000000000002</v>
      </c>
      <c r="UI8">
        <v>0</v>
      </c>
      <c r="UJ8">
        <v>0</v>
      </c>
      <c r="UK8" s="115">
        <v>43250</v>
      </c>
      <c r="UL8" s="58">
        <v>205140.68</v>
      </c>
      <c r="UM8" s="115">
        <v>43251</v>
      </c>
      <c r="UN8" t="s">
        <v>1765</v>
      </c>
      <c r="UO8">
        <v>1.71</v>
      </c>
      <c r="UP8" s="185">
        <f t="shared" si="46"/>
        <v>0.22982456140350879</v>
      </c>
      <c r="US8" s="115">
        <v>43200</v>
      </c>
      <c r="UT8">
        <v>0.39300000000000002</v>
      </c>
      <c r="UU8">
        <v>0</v>
      </c>
      <c r="UV8">
        <v>0</v>
      </c>
      <c r="UW8" s="115">
        <v>43250</v>
      </c>
      <c r="UX8" s="58">
        <v>205140.68</v>
      </c>
      <c r="UY8" s="115">
        <v>43251</v>
      </c>
      <c r="UZ8" t="s">
        <v>1765</v>
      </c>
      <c r="VA8">
        <v>1.71</v>
      </c>
      <c r="VB8" s="185">
        <f t="shared" si="47"/>
        <v>0.22982456140350879</v>
      </c>
      <c r="VE8" s="115">
        <v>42794</v>
      </c>
      <c r="VF8">
        <v>0.01</v>
      </c>
      <c r="VG8">
        <v>0</v>
      </c>
      <c r="VH8">
        <v>0</v>
      </c>
      <c r="VI8" s="115">
        <v>42824</v>
      </c>
      <c r="VJ8">
        <v>325.99</v>
      </c>
      <c r="VK8" s="115">
        <v>42825</v>
      </c>
      <c r="VL8" t="s">
        <v>1765</v>
      </c>
      <c r="VM8">
        <v>0.11</v>
      </c>
      <c r="VN8" s="185">
        <f t="shared" si="48"/>
        <v>9.0909090909090912E-2</v>
      </c>
      <c r="VQ8" s="115">
        <v>42791</v>
      </c>
      <c r="VR8">
        <v>0.75</v>
      </c>
      <c r="VS8">
        <v>0</v>
      </c>
      <c r="VT8">
        <v>0</v>
      </c>
      <c r="VU8" s="115">
        <v>42867</v>
      </c>
      <c r="VV8" s="58">
        <v>188146.31</v>
      </c>
      <c r="VW8" s="115">
        <v>42870</v>
      </c>
      <c r="VX8" t="s">
        <v>1765</v>
      </c>
      <c r="VY8">
        <v>1.1000000000000001</v>
      </c>
      <c r="VZ8" s="185">
        <f t="shared" si="49"/>
        <v>0.68181818181818177</v>
      </c>
      <c r="WC8" s="115">
        <v>42486</v>
      </c>
      <c r="WD8">
        <v>0.01</v>
      </c>
      <c r="WE8">
        <v>0</v>
      </c>
      <c r="WF8">
        <v>0</v>
      </c>
      <c r="WG8" s="115">
        <v>42548</v>
      </c>
      <c r="WH8" s="58">
        <v>35153.07</v>
      </c>
      <c r="WI8" s="115">
        <v>42549</v>
      </c>
      <c r="WJ8" t="s">
        <v>1765</v>
      </c>
      <c r="WK8">
        <v>0.05</v>
      </c>
      <c r="WL8" s="185">
        <f t="shared" si="50"/>
        <v>0.19999999999999998</v>
      </c>
      <c r="WO8" s="115">
        <v>42486</v>
      </c>
      <c r="WP8">
        <v>0.01</v>
      </c>
      <c r="WQ8">
        <v>0</v>
      </c>
      <c r="WR8">
        <v>0</v>
      </c>
      <c r="WS8" s="115">
        <v>42548</v>
      </c>
      <c r="WT8" s="58">
        <v>35153.07</v>
      </c>
      <c r="WU8" s="115">
        <v>42549</v>
      </c>
      <c r="WV8" t="s">
        <v>1765</v>
      </c>
      <c r="WW8">
        <v>0.05</v>
      </c>
      <c r="WX8" s="185">
        <f t="shared" si="51"/>
        <v>0.19999999999999998</v>
      </c>
      <c r="XA8" s="115">
        <v>42119</v>
      </c>
      <c r="XB8">
        <v>0.03</v>
      </c>
      <c r="XC8">
        <v>0</v>
      </c>
      <c r="XD8">
        <v>0</v>
      </c>
      <c r="XE8" s="115">
        <v>42180</v>
      </c>
      <c r="XF8" s="58">
        <v>30000</v>
      </c>
      <c r="XG8" s="115">
        <v>42181</v>
      </c>
      <c r="XH8" t="s">
        <v>1765</v>
      </c>
      <c r="XI8">
        <v>-0.3</v>
      </c>
      <c r="XJ8" s="185">
        <f t="shared" si="52"/>
        <v>-0.1</v>
      </c>
      <c r="XM8" s="115">
        <v>42486</v>
      </c>
      <c r="XN8">
        <v>0.1</v>
      </c>
      <c r="XO8">
        <v>0</v>
      </c>
      <c r="XP8">
        <v>0</v>
      </c>
      <c r="XQ8" s="115">
        <v>42536</v>
      </c>
      <c r="XR8" s="58">
        <v>25600</v>
      </c>
      <c r="XS8" s="115">
        <v>42537</v>
      </c>
      <c r="XT8" t="s">
        <v>1765</v>
      </c>
      <c r="XU8">
        <v>0.28000000000000003</v>
      </c>
      <c r="XV8" s="185">
        <f t="shared" si="53"/>
        <v>0.35714285714285715</v>
      </c>
      <c r="YG8">
        <v>0.85</v>
      </c>
      <c r="YH8" s="185">
        <f t="shared" si="54"/>
        <v>0</v>
      </c>
      <c r="YK8" s="115">
        <v>42425</v>
      </c>
      <c r="YL8">
        <v>0.2</v>
      </c>
      <c r="YM8">
        <v>0</v>
      </c>
      <c r="YN8">
        <v>2</v>
      </c>
      <c r="YO8" s="115">
        <v>42458</v>
      </c>
      <c r="YP8" s="58">
        <v>4800</v>
      </c>
      <c r="YQ8" s="115">
        <v>42459</v>
      </c>
      <c r="YR8" t="s">
        <v>1765</v>
      </c>
      <c r="YS8">
        <v>1.03</v>
      </c>
      <c r="YT8" s="185">
        <f t="shared" si="55"/>
        <v>0.1941747572815534</v>
      </c>
      <c r="YW8" s="115">
        <v>42459</v>
      </c>
      <c r="YX8">
        <v>0.3</v>
      </c>
      <c r="YY8">
        <v>0</v>
      </c>
      <c r="YZ8">
        <v>0</v>
      </c>
      <c r="ZA8" s="115">
        <v>42517</v>
      </c>
      <c r="ZB8" s="58">
        <v>3900</v>
      </c>
      <c r="ZC8" s="115">
        <v>42520</v>
      </c>
      <c r="ZD8" t="s">
        <v>1765</v>
      </c>
      <c r="ZE8">
        <v>0.53</v>
      </c>
      <c r="ZF8" s="185">
        <f t="shared" si="56"/>
        <v>0.56603773584905659</v>
      </c>
      <c r="ZQ8">
        <v>-0.41</v>
      </c>
      <c r="ZR8" s="185">
        <f t="shared" si="57"/>
        <v>0</v>
      </c>
      <c r="ZU8" s="115">
        <v>42474</v>
      </c>
      <c r="ZV8">
        <v>0.4</v>
      </c>
      <c r="ZW8">
        <v>0</v>
      </c>
      <c r="ZX8">
        <v>1</v>
      </c>
      <c r="ZY8" s="115">
        <v>42506</v>
      </c>
      <c r="ZZ8" s="58">
        <v>9888</v>
      </c>
      <c r="AAA8" s="115">
        <v>42507</v>
      </c>
      <c r="AAB8" t="s">
        <v>1765</v>
      </c>
      <c r="AAC8">
        <v>0.7</v>
      </c>
      <c r="AAD8" s="185">
        <f t="shared" si="58"/>
        <v>0.57142857142857151</v>
      </c>
      <c r="AAG8" s="115">
        <v>42474</v>
      </c>
      <c r="AAH8">
        <v>0.4</v>
      </c>
      <c r="AAI8">
        <v>0</v>
      </c>
      <c r="AAJ8">
        <v>0</v>
      </c>
      <c r="AAK8" s="115">
        <v>42507</v>
      </c>
      <c r="AAL8" s="58">
        <v>23390.68</v>
      </c>
      <c r="AAM8" s="115">
        <v>42508</v>
      </c>
      <c r="AAN8" t="s">
        <v>1765</v>
      </c>
      <c r="AAO8">
        <v>0.62</v>
      </c>
      <c r="AAP8" s="185">
        <f t="shared" si="59"/>
        <v>0.64516129032258074</v>
      </c>
      <c r="AAS8" s="115">
        <v>41377</v>
      </c>
      <c r="AAT8">
        <v>0.05</v>
      </c>
      <c r="AAU8">
        <v>0</v>
      </c>
      <c r="AAV8">
        <v>0</v>
      </c>
      <c r="AAW8" s="115">
        <v>41467</v>
      </c>
      <c r="AAX8" s="58">
        <v>1171.8</v>
      </c>
      <c r="AAY8" s="115">
        <v>41470</v>
      </c>
      <c r="AAZ8" t="s">
        <v>1765</v>
      </c>
      <c r="ABA8">
        <v>0.13</v>
      </c>
      <c r="ABB8" s="185">
        <f t="shared" si="60"/>
        <v>0.38461538461538464</v>
      </c>
      <c r="ABE8" s="115">
        <v>42119</v>
      </c>
      <c r="ABF8">
        <v>0.03</v>
      </c>
      <c r="ABG8">
        <v>0</v>
      </c>
      <c r="ABH8">
        <v>0</v>
      </c>
      <c r="ABI8" s="115">
        <v>42180</v>
      </c>
      <c r="ABJ8" s="58">
        <v>30000</v>
      </c>
      <c r="ABK8" s="115">
        <v>42181</v>
      </c>
      <c r="ABL8" t="s">
        <v>1765</v>
      </c>
      <c r="ABM8">
        <v>-0.3</v>
      </c>
      <c r="ABN8" s="185">
        <f t="shared" si="61"/>
        <v>-0.1</v>
      </c>
      <c r="ABQ8" s="115">
        <v>42469</v>
      </c>
      <c r="ABR8">
        <v>0.16</v>
      </c>
      <c r="ABS8">
        <v>0</v>
      </c>
      <c r="ABT8">
        <v>0</v>
      </c>
      <c r="ABU8" s="115">
        <v>42537</v>
      </c>
      <c r="ABV8" s="58">
        <v>19012.599999999999</v>
      </c>
      <c r="ABW8" s="115">
        <v>42538</v>
      </c>
      <c r="ABX8" t="s">
        <v>1765</v>
      </c>
      <c r="ABY8">
        <v>0.51</v>
      </c>
      <c r="ABZ8" s="185">
        <f t="shared" si="62"/>
        <v>0.31372549019607843</v>
      </c>
      <c r="ACK8">
        <v>0.01</v>
      </c>
      <c r="ACL8" s="185">
        <f t="shared" si="63"/>
        <v>0</v>
      </c>
      <c r="ACO8" s="115">
        <v>42489</v>
      </c>
      <c r="ACP8">
        <v>0.21199999999999999</v>
      </c>
      <c r="ACQ8">
        <v>0</v>
      </c>
      <c r="ACR8">
        <v>0</v>
      </c>
      <c r="ACS8" s="115">
        <v>42576</v>
      </c>
      <c r="ACT8" s="58">
        <v>129428.2</v>
      </c>
      <c r="ACU8" s="115">
        <v>42577</v>
      </c>
      <c r="ACV8" t="s">
        <v>1765</v>
      </c>
      <c r="ACW8">
        <v>0.71</v>
      </c>
      <c r="ACX8" s="185">
        <f t="shared" si="64"/>
        <v>0.29859154929577464</v>
      </c>
      <c r="ADA8" s="115">
        <v>42825</v>
      </c>
      <c r="ADB8">
        <v>1</v>
      </c>
      <c r="ADC8">
        <v>0</v>
      </c>
      <c r="ADD8">
        <v>0</v>
      </c>
      <c r="ADE8" s="115">
        <v>42864</v>
      </c>
      <c r="ADF8" s="58">
        <v>646567.74</v>
      </c>
      <c r="ADG8" s="115">
        <v>42865</v>
      </c>
      <c r="ADH8" t="s">
        <v>1765</v>
      </c>
      <c r="ADI8">
        <v>2.99</v>
      </c>
      <c r="ADJ8" s="185">
        <f t="shared" si="65"/>
        <v>0.33444816053511706</v>
      </c>
      <c r="ADM8" s="115">
        <v>42479</v>
      </c>
      <c r="ADN8">
        <v>0.2</v>
      </c>
      <c r="ADO8">
        <v>0</v>
      </c>
      <c r="ADP8">
        <v>0.8</v>
      </c>
      <c r="ADQ8" s="115">
        <v>42538</v>
      </c>
      <c r="ADR8" s="58">
        <v>4000</v>
      </c>
      <c r="ADS8" s="115">
        <v>42541</v>
      </c>
      <c r="ADT8" t="s">
        <v>1765</v>
      </c>
      <c r="ADU8">
        <v>1.24</v>
      </c>
      <c r="ADV8" s="185">
        <f t="shared" si="66"/>
        <v>0.16129032258064518</v>
      </c>
      <c r="ADY8" s="115">
        <v>42479</v>
      </c>
      <c r="ADZ8">
        <v>0.2</v>
      </c>
      <c r="AEA8">
        <v>0</v>
      </c>
      <c r="AEB8">
        <v>0</v>
      </c>
      <c r="AEC8" s="115">
        <v>42513</v>
      </c>
      <c r="AED8" s="58">
        <v>21268.67</v>
      </c>
      <c r="AEE8" s="115">
        <v>42514</v>
      </c>
      <c r="AEF8" t="s">
        <v>1765</v>
      </c>
      <c r="AEG8">
        <v>0.71</v>
      </c>
      <c r="AEH8" s="185">
        <f t="shared" si="67"/>
        <v>0.28169014084507044</v>
      </c>
      <c r="AES8">
        <v>0.71</v>
      </c>
      <c r="AET8" s="185">
        <f t="shared" si="68"/>
        <v>0</v>
      </c>
      <c r="AEW8" s="115">
        <v>42825</v>
      </c>
      <c r="AEX8">
        <v>0.13919999999999999</v>
      </c>
      <c r="AEY8">
        <v>0</v>
      </c>
      <c r="AEZ8">
        <v>0</v>
      </c>
      <c r="AFA8" s="115">
        <v>42905</v>
      </c>
      <c r="AFB8" s="58">
        <v>20046.11</v>
      </c>
      <c r="AFC8" s="115">
        <v>42906</v>
      </c>
      <c r="AFD8" t="s">
        <v>1765</v>
      </c>
      <c r="AFE8">
        <v>0.45</v>
      </c>
      <c r="AFF8" s="185">
        <f t="shared" si="69"/>
        <v>0.30933333333333329</v>
      </c>
      <c r="AFI8" s="115">
        <v>42439</v>
      </c>
      <c r="AFJ8">
        <v>0.8</v>
      </c>
      <c r="AFK8">
        <v>0</v>
      </c>
      <c r="AFL8">
        <v>0</v>
      </c>
      <c r="AFM8" s="115">
        <v>42572</v>
      </c>
      <c r="AFN8" s="58">
        <v>52321.72</v>
      </c>
      <c r="AFO8" s="115">
        <v>42573</v>
      </c>
      <c r="AFP8" t="s">
        <v>1765</v>
      </c>
      <c r="AFQ8">
        <v>2.48</v>
      </c>
      <c r="AFR8" s="185">
        <f t="shared" si="70"/>
        <v>0.32258064516129037</v>
      </c>
      <c r="AFU8" s="115">
        <v>42437</v>
      </c>
      <c r="AFV8">
        <v>0.2</v>
      </c>
      <c r="AFW8">
        <v>0</v>
      </c>
      <c r="AFX8">
        <v>0</v>
      </c>
      <c r="AFY8" s="115">
        <v>42481</v>
      </c>
      <c r="AFZ8" s="58">
        <v>43246.69</v>
      </c>
      <c r="AGA8" s="115">
        <v>42482</v>
      </c>
      <c r="AGB8" t="s">
        <v>1765</v>
      </c>
      <c r="AGC8">
        <v>0.74</v>
      </c>
      <c r="AGD8" s="185">
        <f t="shared" si="71"/>
        <v>0.27027027027027029</v>
      </c>
      <c r="AGG8" s="115">
        <v>42486</v>
      </c>
      <c r="AGH8">
        <v>0.01</v>
      </c>
      <c r="AGI8">
        <v>0</v>
      </c>
      <c r="AGJ8">
        <v>0</v>
      </c>
      <c r="AGK8" s="115">
        <v>42548</v>
      </c>
      <c r="AGL8" s="58">
        <v>35153.07</v>
      </c>
      <c r="AGM8" s="115">
        <v>42549</v>
      </c>
      <c r="AGN8" t="s">
        <v>1765</v>
      </c>
      <c r="AGO8">
        <v>0.05</v>
      </c>
      <c r="AGP8" s="185">
        <f t="shared" si="72"/>
        <v>0.19999999999999998</v>
      </c>
      <c r="AGS8" s="115">
        <v>42460</v>
      </c>
      <c r="AGT8">
        <v>0.15</v>
      </c>
      <c r="AGU8">
        <v>0</v>
      </c>
      <c r="AGV8">
        <v>0</v>
      </c>
      <c r="AGW8" s="115">
        <v>42607</v>
      </c>
      <c r="AGX8" s="58">
        <v>114961.98</v>
      </c>
      <c r="AGY8" s="115">
        <v>42608</v>
      </c>
      <c r="AGZ8" t="s">
        <v>1765</v>
      </c>
      <c r="AHA8">
        <v>0.01</v>
      </c>
      <c r="AHB8" s="185">
        <f t="shared" si="73"/>
        <v>15</v>
      </c>
      <c r="AHE8" s="115">
        <v>42473</v>
      </c>
      <c r="AHF8">
        <v>0.1</v>
      </c>
      <c r="AHG8">
        <v>0</v>
      </c>
      <c r="AHH8">
        <v>1</v>
      </c>
      <c r="AHI8" s="115">
        <v>42509</v>
      </c>
      <c r="AHJ8" s="58">
        <v>3832.09</v>
      </c>
      <c r="AHK8" s="115">
        <v>42510</v>
      </c>
      <c r="AHL8" t="s">
        <v>1765</v>
      </c>
      <c r="AHM8">
        <v>0.47</v>
      </c>
      <c r="AHN8" s="185">
        <f t="shared" si="74"/>
        <v>0.21276595744680854</v>
      </c>
      <c r="AHQ8" s="115">
        <v>42853</v>
      </c>
      <c r="AHR8">
        <v>0.01</v>
      </c>
      <c r="AHS8">
        <v>0</v>
      </c>
      <c r="AHT8">
        <v>0</v>
      </c>
      <c r="AHU8" s="115">
        <v>42970</v>
      </c>
      <c r="AHV8" s="58">
        <v>7657.96</v>
      </c>
      <c r="AHW8" s="115">
        <v>42971</v>
      </c>
      <c r="AHX8" t="s">
        <v>1765</v>
      </c>
      <c r="AHY8">
        <v>0.02</v>
      </c>
      <c r="AHZ8" s="185">
        <f t="shared" si="75"/>
        <v>0.5</v>
      </c>
      <c r="AIC8" s="115">
        <v>42824</v>
      </c>
      <c r="AID8">
        <v>0.1</v>
      </c>
      <c r="AIE8">
        <v>0</v>
      </c>
      <c r="AIF8">
        <v>0</v>
      </c>
      <c r="AIG8" s="115">
        <v>42906</v>
      </c>
      <c r="AIH8" s="58">
        <v>11252.42</v>
      </c>
      <c r="AII8" s="115">
        <v>42907</v>
      </c>
      <c r="AIJ8" t="s">
        <v>1765</v>
      </c>
      <c r="AIK8">
        <v>0.02</v>
      </c>
      <c r="AIL8" s="185">
        <f t="shared" si="76"/>
        <v>5</v>
      </c>
      <c r="AIO8" s="115">
        <v>42453</v>
      </c>
      <c r="AIP8">
        <v>6.1710000000000003</v>
      </c>
      <c r="AIQ8">
        <v>0</v>
      </c>
      <c r="AIR8">
        <v>0</v>
      </c>
      <c r="AIS8" s="115">
        <v>42551</v>
      </c>
      <c r="AIT8" s="58">
        <v>775199.66</v>
      </c>
      <c r="AIU8" s="115">
        <v>42552</v>
      </c>
      <c r="AIV8" t="s">
        <v>1765</v>
      </c>
      <c r="AIW8">
        <v>12.34</v>
      </c>
      <c r="AIX8" s="185">
        <f t="shared" si="77"/>
        <v>0.50008103727714748</v>
      </c>
      <c r="AJA8" s="115">
        <v>42457</v>
      </c>
      <c r="AJB8">
        <v>0.8</v>
      </c>
      <c r="AJC8">
        <v>0</v>
      </c>
      <c r="AJD8">
        <v>0</v>
      </c>
      <c r="AJE8" s="115">
        <v>42573</v>
      </c>
      <c r="AJF8" s="58">
        <v>303677.34000000003</v>
      </c>
      <c r="AJG8" s="115">
        <v>42576</v>
      </c>
      <c r="AJH8" t="s">
        <v>1765</v>
      </c>
      <c r="AJI8">
        <v>1.63</v>
      </c>
      <c r="AJJ8" s="185">
        <f t="shared" si="78"/>
        <v>0.49079754601226999</v>
      </c>
      <c r="AJM8" s="115">
        <v>40626</v>
      </c>
      <c r="AJN8">
        <v>6.3E-2</v>
      </c>
      <c r="AJO8">
        <v>0</v>
      </c>
      <c r="AJP8">
        <v>0</v>
      </c>
      <c r="AJQ8" s="115">
        <v>40703</v>
      </c>
      <c r="AJR8" s="58">
        <v>2932.71</v>
      </c>
      <c r="AJS8" s="115">
        <v>40704</v>
      </c>
      <c r="AJT8" t="s">
        <v>1765</v>
      </c>
      <c r="AJU8">
        <v>-0.42</v>
      </c>
      <c r="AJV8" s="185">
        <f t="shared" si="79"/>
        <v>-0.15</v>
      </c>
      <c r="AJY8" s="115">
        <v>42469</v>
      </c>
      <c r="AJZ8">
        <v>0.7</v>
      </c>
      <c r="AKA8">
        <v>0.3</v>
      </c>
      <c r="AKB8">
        <v>0.2</v>
      </c>
      <c r="AKC8" s="115">
        <v>42507</v>
      </c>
      <c r="AKD8" s="58">
        <v>284814.06</v>
      </c>
      <c r="AKE8" s="115">
        <v>42508</v>
      </c>
      <c r="AKF8" t="s">
        <v>1765</v>
      </c>
      <c r="AKG8">
        <v>1.46</v>
      </c>
      <c r="AKH8" s="185">
        <f t="shared" si="80"/>
        <v>0.47945205479452052</v>
      </c>
      <c r="AKK8" s="115">
        <v>41380</v>
      </c>
      <c r="AKL8">
        <v>0.1</v>
      </c>
      <c r="AKM8">
        <v>0</v>
      </c>
      <c r="AKN8">
        <v>0</v>
      </c>
      <c r="AKO8" s="115">
        <v>41466</v>
      </c>
      <c r="AKP8" s="58">
        <v>2205</v>
      </c>
      <c r="AKQ8" s="115">
        <v>41467</v>
      </c>
      <c r="AKR8" t="s">
        <v>1765</v>
      </c>
      <c r="AKS8">
        <v>0.52</v>
      </c>
      <c r="AKT8" s="185">
        <f t="shared" si="81"/>
        <v>0.19230769230769232</v>
      </c>
      <c r="AKW8" s="115">
        <v>41744</v>
      </c>
      <c r="AKX8">
        <v>0.02</v>
      </c>
      <c r="AKY8">
        <v>0</v>
      </c>
      <c r="AKZ8">
        <v>0</v>
      </c>
      <c r="ALA8" s="115">
        <v>41808</v>
      </c>
      <c r="ALB8">
        <v>696.6</v>
      </c>
      <c r="ALC8" s="115">
        <v>41809</v>
      </c>
      <c r="ALD8" t="s">
        <v>1765</v>
      </c>
      <c r="ALE8">
        <v>0.63</v>
      </c>
      <c r="ALF8" s="185">
        <f t="shared" si="82"/>
        <v>3.1746031746031744E-2</v>
      </c>
      <c r="ALQ8">
        <v>0.17</v>
      </c>
      <c r="ALR8" s="185">
        <f t="shared" si="83"/>
        <v>0</v>
      </c>
      <c r="AMC8">
        <v>0.9</v>
      </c>
      <c r="AMD8" s="185">
        <f t="shared" si="84"/>
        <v>0</v>
      </c>
      <c r="AMG8" s="115">
        <v>42475</v>
      </c>
      <c r="AMH8">
        <v>0.35</v>
      </c>
      <c r="AMI8">
        <v>0</v>
      </c>
      <c r="AMJ8">
        <v>0.5</v>
      </c>
      <c r="AMK8" s="115">
        <v>42513</v>
      </c>
      <c r="AML8" s="58">
        <v>14077.4</v>
      </c>
      <c r="AMM8" s="115">
        <v>42514</v>
      </c>
      <c r="AMN8" t="s">
        <v>1765</v>
      </c>
      <c r="AMO8">
        <v>1.1599999999999999</v>
      </c>
      <c r="AMP8" s="185">
        <f t="shared" si="85"/>
        <v>0.30172413793103448</v>
      </c>
      <c r="AMS8" s="115">
        <v>42851</v>
      </c>
      <c r="AMT8">
        <v>0</v>
      </c>
      <c r="AMU8">
        <v>0</v>
      </c>
      <c r="AMV8">
        <v>0</v>
      </c>
      <c r="AMW8" t="s">
        <v>1809</v>
      </c>
      <c r="AMX8">
        <v>0</v>
      </c>
      <c r="AMY8" t="s">
        <v>1809</v>
      </c>
      <c r="AMZ8" t="s">
        <v>1765</v>
      </c>
      <c r="ANA8" s="56">
        <v>0.08</v>
      </c>
      <c r="ANB8" s="185">
        <f t="shared" si="86"/>
        <v>0</v>
      </c>
      <c r="ANE8" s="115">
        <v>42453</v>
      </c>
      <c r="ANF8">
        <v>0.43</v>
      </c>
      <c r="ANG8">
        <v>0</v>
      </c>
      <c r="ANH8">
        <v>0</v>
      </c>
      <c r="ANI8" s="115">
        <v>42542</v>
      </c>
      <c r="ANJ8" s="58">
        <v>227870.01</v>
      </c>
      <c r="ANK8" s="115">
        <v>42543</v>
      </c>
      <c r="ANL8" t="s">
        <v>1765</v>
      </c>
      <c r="ANM8">
        <v>1.42</v>
      </c>
      <c r="ANN8" s="185">
        <f t="shared" si="87"/>
        <v>0.30281690140845069</v>
      </c>
      <c r="ANQ8" s="115">
        <v>42851</v>
      </c>
      <c r="ANR8">
        <v>0</v>
      </c>
      <c r="ANS8">
        <v>0</v>
      </c>
      <c r="ANT8">
        <v>0</v>
      </c>
      <c r="ANU8" t="s">
        <v>1809</v>
      </c>
      <c r="ANV8">
        <v>0</v>
      </c>
      <c r="ANW8" t="s">
        <v>1809</v>
      </c>
      <c r="ANX8" t="s">
        <v>1765</v>
      </c>
      <c r="ANY8">
        <v>0.08</v>
      </c>
      <c r="ANZ8" s="185">
        <f t="shared" si="88"/>
        <v>0</v>
      </c>
      <c r="AOC8" s="115">
        <v>43334</v>
      </c>
      <c r="AOD8">
        <v>0.62</v>
      </c>
      <c r="AOE8">
        <v>0</v>
      </c>
      <c r="AOF8">
        <v>0</v>
      </c>
      <c r="AOG8" s="115">
        <v>43348</v>
      </c>
      <c r="AOH8" s="58">
        <v>1133374.97</v>
      </c>
      <c r="AOI8" s="115">
        <v>43349</v>
      </c>
      <c r="AOJ8" t="s">
        <v>1765</v>
      </c>
      <c r="AOK8">
        <v>2.98</v>
      </c>
      <c r="AOL8" s="185">
        <f t="shared" si="89"/>
        <v>0.20805369127516779</v>
      </c>
      <c r="AOO8" s="115">
        <v>42447</v>
      </c>
      <c r="AOP8">
        <v>1.25</v>
      </c>
      <c r="AOQ8">
        <v>0</v>
      </c>
      <c r="AOR8">
        <v>0</v>
      </c>
      <c r="AOS8" s="115">
        <v>42536</v>
      </c>
      <c r="AOT8" s="58">
        <v>60757.279999999999</v>
      </c>
      <c r="AOU8" s="115">
        <v>42537</v>
      </c>
      <c r="AOV8" t="s">
        <v>1765</v>
      </c>
      <c r="AOW8">
        <v>2.5299999999999998</v>
      </c>
      <c r="AOX8" s="185">
        <f t="shared" si="90"/>
        <v>0.49407114624505932</v>
      </c>
      <c r="APA8" s="115">
        <v>41697</v>
      </c>
      <c r="APB8">
        <v>0.05</v>
      </c>
      <c r="APC8">
        <v>0</v>
      </c>
      <c r="APD8">
        <v>0</v>
      </c>
      <c r="APE8" s="115">
        <v>41725</v>
      </c>
      <c r="APF8" s="58">
        <v>1296.6600000000001</v>
      </c>
      <c r="APG8" s="115">
        <v>41726</v>
      </c>
      <c r="APH8" t="s">
        <v>1765</v>
      </c>
      <c r="API8">
        <v>-2.0699999999999998</v>
      </c>
      <c r="APJ8" s="185">
        <f t="shared" si="91"/>
        <v>-2.415458937198068E-2</v>
      </c>
      <c r="APM8" s="115">
        <v>42486</v>
      </c>
      <c r="APN8">
        <v>0.33</v>
      </c>
      <c r="APO8">
        <v>0</v>
      </c>
      <c r="APP8">
        <v>0</v>
      </c>
      <c r="APQ8" s="115">
        <v>42520</v>
      </c>
      <c r="APR8" s="58">
        <v>148261.01</v>
      </c>
      <c r="APS8" s="115">
        <v>42521</v>
      </c>
      <c r="APT8" t="s">
        <v>1765</v>
      </c>
      <c r="APU8">
        <v>0.66</v>
      </c>
      <c r="APV8" s="185">
        <f t="shared" si="92"/>
        <v>0.5</v>
      </c>
      <c r="APY8" s="115">
        <v>42458</v>
      </c>
      <c r="APZ8">
        <v>0.1</v>
      </c>
      <c r="AQA8">
        <v>0</v>
      </c>
      <c r="AQB8">
        <v>0</v>
      </c>
      <c r="AQC8" s="115">
        <v>42510</v>
      </c>
      <c r="AQD8" s="58">
        <v>8311.77</v>
      </c>
      <c r="AQE8" s="115">
        <v>42513</v>
      </c>
      <c r="AQF8" t="s">
        <v>1765</v>
      </c>
      <c r="AQG8">
        <v>0.38</v>
      </c>
      <c r="AQH8" s="185">
        <f t="shared" si="93"/>
        <v>0.26315789473684209</v>
      </c>
      <c r="AQK8" s="115">
        <v>42453</v>
      </c>
      <c r="AQL8">
        <v>0.43</v>
      </c>
      <c r="AQM8">
        <v>0</v>
      </c>
      <c r="AQN8">
        <v>0</v>
      </c>
      <c r="AQO8" s="115">
        <v>42542</v>
      </c>
      <c r="AQP8" s="58">
        <v>227870.01</v>
      </c>
      <c r="AQQ8" s="115">
        <v>42543</v>
      </c>
      <c r="AQR8" t="s">
        <v>1765</v>
      </c>
      <c r="AQS8">
        <v>1.42</v>
      </c>
      <c r="AQT8" s="185">
        <f t="shared" si="94"/>
        <v>0.30281690140845069</v>
      </c>
      <c r="AQW8" s="115">
        <v>42460</v>
      </c>
      <c r="AQX8">
        <v>0.08</v>
      </c>
      <c r="AQY8">
        <v>0</v>
      </c>
      <c r="AQZ8">
        <v>0</v>
      </c>
      <c r="ARA8" s="115">
        <v>42543</v>
      </c>
      <c r="ARB8" s="58">
        <v>14803.08</v>
      </c>
      <c r="ARC8" s="115">
        <v>42544</v>
      </c>
      <c r="ARD8" t="s">
        <v>1765</v>
      </c>
      <c r="ARE8">
        <v>0.22</v>
      </c>
      <c r="ARF8" s="185">
        <f t="shared" si="95"/>
        <v>0.36363636363636365</v>
      </c>
      <c r="ARI8" s="115">
        <v>41864</v>
      </c>
      <c r="ARJ8">
        <v>0</v>
      </c>
      <c r="ARK8">
        <v>0</v>
      </c>
      <c r="ARL8">
        <v>1</v>
      </c>
      <c r="ARM8" s="115">
        <v>41897</v>
      </c>
      <c r="ARN8">
        <v>0</v>
      </c>
      <c r="ARO8" s="115">
        <v>41898</v>
      </c>
      <c r="ARP8" t="s">
        <v>1765</v>
      </c>
      <c r="ARQ8">
        <v>0.03</v>
      </c>
      <c r="ARR8" s="185">
        <f t="shared" si="96"/>
        <v>0</v>
      </c>
      <c r="ARU8" s="115">
        <v>42852</v>
      </c>
      <c r="ARV8">
        <v>1.8</v>
      </c>
      <c r="ARW8">
        <v>0</v>
      </c>
      <c r="ARX8">
        <v>0</v>
      </c>
      <c r="ARY8" s="115">
        <v>42920</v>
      </c>
      <c r="ARZ8" s="58">
        <v>1082831.56</v>
      </c>
      <c r="ASA8" s="115">
        <v>42921</v>
      </c>
      <c r="ASB8" t="s">
        <v>1765</v>
      </c>
      <c r="ASC8">
        <v>2.08</v>
      </c>
      <c r="ASD8" s="185">
        <f t="shared" si="97"/>
        <v>0.86538461538461542</v>
      </c>
      <c r="ASG8" s="115">
        <v>42443</v>
      </c>
      <c r="ASH8">
        <v>0.72</v>
      </c>
      <c r="ASI8">
        <v>0</v>
      </c>
      <c r="ASJ8">
        <v>0</v>
      </c>
      <c r="ASK8" s="115">
        <v>42579</v>
      </c>
      <c r="ASL8" s="58">
        <v>794818.94</v>
      </c>
      <c r="ASM8" s="115">
        <v>42580</v>
      </c>
      <c r="ASN8" t="s">
        <v>1765</v>
      </c>
      <c r="ASO8">
        <v>1.64</v>
      </c>
      <c r="ASP8" s="185">
        <f t="shared" si="98"/>
        <v>0.43902439024390244</v>
      </c>
      <c r="ASS8" s="115">
        <v>43200</v>
      </c>
      <c r="AST8">
        <v>0.39300000000000002</v>
      </c>
      <c r="ASU8">
        <v>0</v>
      </c>
      <c r="ASV8">
        <v>0</v>
      </c>
      <c r="ASW8" s="115">
        <v>43250</v>
      </c>
      <c r="ASX8" s="58">
        <v>205140.68</v>
      </c>
      <c r="ASY8" s="115">
        <v>43251</v>
      </c>
      <c r="ASZ8" t="s">
        <v>1765</v>
      </c>
      <c r="ATA8">
        <v>1.71</v>
      </c>
      <c r="ATB8" s="185">
        <f t="shared" si="99"/>
        <v>0.22982456140350879</v>
      </c>
      <c r="ATE8" s="115">
        <v>42481</v>
      </c>
      <c r="ATF8">
        <v>0.15</v>
      </c>
      <c r="ATG8">
        <v>0</v>
      </c>
      <c r="ATH8">
        <v>0</v>
      </c>
      <c r="ATI8" s="115">
        <v>42528</v>
      </c>
      <c r="ATJ8" s="58">
        <v>48799.98</v>
      </c>
      <c r="ATK8" s="115">
        <v>42529</v>
      </c>
      <c r="ATL8" t="s">
        <v>1765</v>
      </c>
      <c r="ATM8">
        <v>0.79</v>
      </c>
      <c r="ATN8" s="185">
        <f t="shared" si="100"/>
        <v>0.18987341772151897</v>
      </c>
      <c r="ATQ8" s="115">
        <v>42840</v>
      </c>
      <c r="ATR8">
        <v>0.1</v>
      </c>
      <c r="ATS8">
        <v>0</v>
      </c>
      <c r="ATT8">
        <v>0</v>
      </c>
      <c r="ATU8" s="115">
        <v>42964</v>
      </c>
      <c r="ATV8" s="58">
        <v>6247.62</v>
      </c>
      <c r="ATW8" s="115">
        <v>42965</v>
      </c>
      <c r="ATX8" t="s">
        <v>1765</v>
      </c>
      <c r="ATY8">
        <v>0.26</v>
      </c>
      <c r="ATZ8" s="185">
        <f t="shared" si="101"/>
        <v>0.38461538461538464</v>
      </c>
      <c r="AUC8" s="115">
        <v>42479</v>
      </c>
      <c r="AUD8">
        <v>0.5</v>
      </c>
      <c r="AUE8">
        <v>0</v>
      </c>
      <c r="AUF8">
        <v>0</v>
      </c>
      <c r="AUG8" s="115">
        <v>42564</v>
      </c>
      <c r="AUH8" s="58">
        <v>50447.53</v>
      </c>
      <c r="AUI8" s="115">
        <v>42565</v>
      </c>
      <c r="AUJ8" t="s">
        <v>1765</v>
      </c>
      <c r="AUK8">
        <v>1.49</v>
      </c>
      <c r="AUL8" s="185">
        <f t="shared" si="102"/>
        <v>0.33557046979865773</v>
      </c>
      <c r="AUO8" s="115">
        <v>41706</v>
      </c>
      <c r="AUP8">
        <v>0.01</v>
      </c>
      <c r="AUQ8">
        <v>0</v>
      </c>
      <c r="AUR8">
        <v>0</v>
      </c>
      <c r="AUS8" s="115">
        <v>41774</v>
      </c>
      <c r="AUT8" s="58">
        <v>8002.59</v>
      </c>
      <c r="AUU8" s="115">
        <v>41775</v>
      </c>
      <c r="AUV8" t="s">
        <v>1765</v>
      </c>
      <c r="AUW8" s="56">
        <v>-0.13</v>
      </c>
      <c r="AUX8" s="185">
        <f t="shared" si="103"/>
        <v>-7.6923076923076927E-2</v>
      </c>
      <c r="AVA8" s="115">
        <v>42460</v>
      </c>
      <c r="AVB8">
        <v>0.06</v>
      </c>
      <c r="AVC8">
        <v>0</v>
      </c>
      <c r="AVD8">
        <v>0</v>
      </c>
      <c r="AVE8" s="115">
        <v>42528</v>
      </c>
      <c r="AVF8" s="58">
        <v>98805.11</v>
      </c>
      <c r="AVG8" s="115">
        <v>42529</v>
      </c>
      <c r="AVH8" t="s">
        <v>1765</v>
      </c>
      <c r="AVI8">
        <v>0.06</v>
      </c>
      <c r="AVJ8" s="185">
        <f t="shared" si="104"/>
        <v>1</v>
      </c>
      <c r="AVM8" s="115">
        <v>42475</v>
      </c>
      <c r="AVN8">
        <v>2.4E-2</v>
      </c>
      <c r="AVO8">
        <v>0</v>
      </c>
      <c r="AVP8">
        <v>0</v>
      </c>
      <c r="AVQ8" s="115">
        <v>42557</v>
      </c>
      <c r="AVR8" s="58">
        <v>3182.62</v>
      </c>
      <c r="AVS8" s="115">
        <v>42558</v>
      </c>
      <c r="AVT8" t="s">
        <v>1765</v>
      </c>
      <c r="AVU8">
        <v>0.08</v>
      </c>
      <c r="AVV8" s="185">
        <f t="shared" si="105"/>
        <v>0.3</v>
      </c>
      <c r="AVY8" s="115">
        <v>42475</v>
      </c>
      <c r="AVZ8">
        <v>0.3</v>
      </c>
      <c r="AWA8">
        <v>0</v>
      </c>
      <c r="AWB8">
        <v>0</v>
      </c>
      <c r="AWC8" s="115">
        <v>42583</v>
      </c>
      <c r="AWD8" s="58">
        <v>8760</v>
      </c>
      <c r="AWE8" s="115">
        <v>42584</v>
      </c>
      <c r="AWF8" t="s">
        <v>1765</v>
      </c>
      <c r="AWG8" s="64">
        <v>1.05</v>
      </c>
      <c r="AWH8" s="185">
        <f t="shared" si="106"/>
        <v>0.2857142857142857</v>
      </c>
      <c r="AWK8" s="115">
        <v>42794</v>
      </c>
      <c r="AWL8">
        <v>0.01</v>
      </c>
      <c r="AWM8">
        <v>0</v>
      </c>
      <c r="AWN8">
        <v>0</v>
      </c>
      <c r="AWO8" s="115">
        <v>42824</v>
      </c>
      <c r="AWP8">
        <v>325.99</v>
      </c>
      <c r="AWQ8" s="115">
        <v>42825</v>
      </c>
      <c r="AWR8" t="s">
        <v>1765</v>
      </c>
      <c r="AWS8">
        <v>0.11</v>
      </c>
      <c r="AWT8" s="185">
        <f t="shared" si="107"/>
        <v>9.0909090909090912E-2</v>
      </c>
    </row>
    <row r="9" spans="1:1300" x14ac:dyDescent="0.25">
      <c r="A9" s="115">
        <v>42489</v>
      </c>
      <c r="B9">
        <v>0.01</v>
      </c>
      <c r="C9">
        <v>0</v>
      </c>
      <c r="D9">
        <v>0</v>
      </c>
      <c r="E9" s="115">
        <v>42605</v>
      </c>
      <c r="F9" s="58">
        <v>7616.5</v>
      </c>
      <c r="G9" s="115">
        <v>42606</v>
      </c>
      <c r="H9" t="s">
        <v>1765</v>
      </c>
      <c r="Y9" s="115">
        <v>42094</v>
      </c>
      <c r="Z9">
        <v>0.5</v>
      </c>
      <c r="AA9">
        <v>0</v>
      </c>
      <c r="AB9">
        <v>0</v>
      </c>
      <c r="AC9" s="115">
        <v>42205</v>
      </c>
      <c r="AD9" s="58">
        <v>552402.91</v>
      </c>
      <c r="AE9" s="115">
        <v>42206</v>
      </c>
      <c r="AF9" t="s">
        <v>1765</v>
      </c>
      <c r="AK9" s="115">
        <v>42094</v>
      </c>
      <c r="AL9">
        <v>0.5</v>
      </c>
      <c r="AM9">
        <v>0</v>
      </c>
      <c r="AN9">
        <v>0</v>
      </c>
      <c r="AO9" s="115">
        <v>42205</v>
      </c>
      <c r="AP9" s="58">
        <v>552402.91</v>
      </c>
      <c r="AQ9" s="115">
        <v>42206</v>
      </c>
      <c r="AR9" t="s">
        <v>1765</v>
      </c>
      <c r="AW9" s="115">
        <v>42081</v>
      </c>
      <c r="AX9">
        <v>0.15</v>
      </c>
      <c r="AY9">
        <v>0</v>
      </c>
      <c r="AZ9">
        <v>0.5</v>
      </c>
      <c r="BA9" s="115">
        <v>42109</v>
      </c>
      <c r="BB9" s="58">
        <v>12022.53</v>
      </c>
      <c r="BC9" s="115">
        <v>42110</v>
      </c>
      <c r="BD9" t="s">
        <v>1765</v>
      </c>
      <c r="BI9" s="115">
        <v>43188</v>
      </c>
      <c r="BJ9">
        <v>0.25</v>
      </c>
      <c r="BK9">
        <v>0</v>
      </c>
      <c r="BL9">
        <v>0</v>
      </c>
      <c r="BM9" s="115">
        <v>43311</v>
      </c>
      <c r="BN9" s="58">
        <v>199930.96</v>
      </c>
      <c r="BO9" s="115">
        <v>43312</v>
      </c>
      <c r="BP9" t="s">
        <v>1765</v>
      </c>
      <c r="BU9" s="115">
        <v>42245</v>
      </c>
      <c r="BV9">
        <v>0.12</v>
      </c>
      <c r="BW9">
        <v>0</v>
      </c>
      <c r="BX9">
        <v>0</v>
      </c>
      <c r="BY9" s="115">
        <v>42353</v>
      </c>
      <c r="BZ9" s="58">
        <v>327465.09999999998</v>
      </c>
      <c r="CA9" s="115">
        <v>42354</v>
      </c>
      <c r="CB9" t="s">
        <v>1765</v>
      </c>
      <c r="CG9" s="115">
        <v>41754</v>
      </c>
      <c r="CH9">
        <v>0.12</v>
      </c>
      <c r="CI9">
        <v>0</v>
      </c>
      <c r="CJ9">
        <v>0</v>
      </c>
      <c r="CK9" s="115">
        <v>41830</v>
      </c>
      <c r="CL9" s="58">
        <v>120000</v>
      </c>
      <c r="CM9" s="115">
        <v>41831</v>
      </c>
      <c r="CN9" t="s">
        <v>1765</v>
      </c>
      <c r="CS9" s="115">
        <v>41698</v>
      </c>
      <c r="CT9">
        <v>5.3400000000000003E-2</v>
      </c>
      <c r="CU9">
        <v>0</v>
      </c>
      <c r="CV9">
        <v>0</v>
      </c>
      <c r="CW9" s="115">
        <v>41785</v>
      </c>
      <c r="CX9" s="58">
        <v>113189.82</v>
      </c>
      <c r="CY9" s="115">
        <v>41786</v>
      </c>
      <c r="CZ9" t="s">
        <v>1765</v>
      </c>
      <c r="DE9" s="115">
        <v>42115</v>
      </c>
      <c r="DF9">
        <v>0.17199999999999999</v>
      </c>
      <c r="DG9">
        <v>0</v>
      </c>
      <c r="DH9">
        <v>0</v>
      </c>
      <c r="DI9" s="115">
        <v>42170</v>
      </c>
      <c r="DJ9" s="58">
        <v>516000</v>
      </c>
      <c r="DK9" s="115">
        <v>42171</v>
      </c>
      <c r="DL9" t="s">
        <v>1765</v>
      </c>
      <c r="DQ9" s="115">
        <v>42094</v>
      </c>
      <c r="DR9">
        <v>7.8E-2</v>
      </c>
      <c r="DS9">
        <v>0</v>
      </c>
      <c r="DT9">
        <v>0</v>
      </c>
      <c r="DU9" s="115">
        <v>42164</v>
      </c>
      <c r="DV9" s="58">
        <v>166139.22</v>
      </c>
      <c r="DW9" s="115">
        <v>42165</v>
      </c>
      <c r="DX9" t="s">
        <v>1765</v>
      </c>
      <c r="EO9" s="115">
        <v>42094</v>
      </c>
      <c r="EP9">
        <v>0.3</v>
      </c>
      <c r="EQ9">
        <v>0</v>
      </c>
      <c r="ER9">
        <v>0.3</v>
      </c>
      <c r="ES9" s="115">
        <v>42124</v>
      </c>
      <c r="ET9" s="58">
        <v>3000</v>
      </c>
      <c r="EU9" s="115">
        <v>42128</v>
      </c>
      <c r="EV9" t="s">
        <v>1765</v>
      </c>
      <c r="FA9" s="115">
        <v>41359</v>
      </c>
      <c r="FB9">
        <v>0.1</v>
      </c>
      <c r="FC9">
        <v>0</v>
      </c>
      <c r="FD9">
        <v>0</v>
      </c>
      <c r="FE9" s="115">
        <v>41396</v>
      </c>
      <c r="FF9" s="58">
        <v>2055</v>
      </c>
      <c r="FG9" s="115">
        <v>41397</v>
      </c>
      <c r="FH9" t="s">
        <v>1765</v>
      </c>
      <c r="FM9" s="115">
        <v>42124</v>
      </c>
      <c r="FN9">
        <v>0.5</v>
      </c>
      <c r="FO9">
        <v>0</v>
      </c>
      <c r="FP9">
        <v>0</v>
      </c>
      <c r="FQ9" s="115">
        <v>42164</v>
      </c>
      <c r="FR9" s="58">
        <v>111330.58</v>
      </c>
      <c r="FS9" s="115">
        <v>42165</v>
      </c>
      <c r="FT9" t="s">
        <v>1765</v>
      </c>
      <c r="FY9" s="115">
        <v>41739</v>
      </c>
      <c r="FZ9">
        <v>0.06</v>
      </c>
      <c r="GA9">
        <v>0</v>
      </c>
      <c r="GB9">
        <v>0</v>
      </c>
      <c r="GC9" s="115">
        <v>41816</v>
      </c>
      <c r="GD9" s="58">
        <v>1157.76</v>
      </c>
      <c r="GE9" s="115">
        <v>41817</v>
      </c>
      <c r="GF9" t="s">
        <v>1765</v>
      </c>
      <c r="GK9" s="115">
        <v>42489</v>
      </c>
      <c r="GL9">
        <v>1.5</v>
      </c>
      <c r="GM9">
        <v>0</v>
      </c>
      <c r="GN9">
        <v>0</v>
      </c>
      <c r="GO9" s="115">
        <v>42557</v>
      </c>
      <c r="GP9" s="58">
        <v>902359.63</v>
      </c>
      <c r="GQ9" s="115">
        <v>42558</v>
      </c>
      <c r="GR9" t="s">
        <v>1765</v>
      </c>
      <c r="GW9" s="115">
        <v>42094</v>
      </c>
      <c r="GX9">
        <v>0.5</v>
      </c>
      <c r="GY9">
        <v>0</v>
      </c>
      <c r="GZ9">
        <v>0</v>
      </c>
      <c r="HA9" s="115">
        <v>42205</v>
      </c>
      <c r="HB9" s="58">
        <v>552402.91</v>
      </c>
      <c r="HC9" s="115">
        <v>42206</v>
      </c>
      <c r="HD9" t="s">
        <v>1765</v>
      </c>
      <c r="HI9" s="115">
        <v>41726</v>
      </c>
      <c r="HJ9">
        <v>0.05</v>
      </c>
      <c r="HK9">
        <v>0</v>
      </c>
      <c r="HL9">
        <v>0</v>
      </c>
      <c r="HM9" s="115">
        <v>41768</v>
      </c>
      <c r="HN9" s="58">
        <v>11915</v>
      </c>
      <c r="HO9" s="115">
        <v>41771</v>
      </c>
      <c r="HP9" t="s">
        <v>1765</v>
      </c>
      <c r="HU9" s="115">
        <v>41698</v>
      </c>
      <c r="HV9">
        <v>5.3400000000000003E-2</v>
      </c>
      <c r="HW9">
        <v>0</v>
      </c>
      <c r="HX9">
        <v>0</v>
      </c>
      <c r="HY9" s="115">
        <v>41785</v>
      </c>
      <c r="HZ9" s="58">
        <v>113189.82</v>
      </c>
      <c r="IA9" s="115">
        <v>41786</v>
      </c>
      <c r="IB9" t="s">
        <v>1765</v>
      </c>
      <c r="IS9" s="115">
        <v>42081</v>
      </c>
      <c r="IT9">
        <v>0.15</v>
      </c>
      <c r="IU9">
        <v>0</v>
      </c>
      <c r="IV9">
        <v>0.5</v>
      </c>
      <c r="IW9" s="115">
        <v>42109</v>
      </c>
      <c r="IX9" s="58">
        <v>12022.53</v>
      </c>
      <c r="IY9" s="115">
        <v>42110</v>
      </c>
      <c r="IZ9" t="s">
        <v>1765</v>
      </c>
      <c r="JE9" s="115">
        <v>42094</v>
      </c>
      <c r="JF9">
        <v>0.5</v>
      </c>
      <c r="JG9">
        <v>0</v>
      </c>
      <c r="JH9">
        <v>1</v>
      </c>
      <c r="JI9" s="115">
        <v>42164</v>
      </c>
      <c r="JJ9" s="58">
        <v>81333.3</v>
      </c>
      <c r="JK9" s="115">
        <v>42165</v>
      </c>
      <c r="JL9" t="s">
        <v>1765</v>
      </c>
      <c r="KC9" s="115">
        <v>42090</v>
      </c>
      <c r="KD9">
        <v>0.18</v>
      </c>
      <c r="KE9">
        <v>0</v>
      </c>
      <c r="KF9">
        <v>0</v>
      </c>
      <c r="KG9" s="115">
        <v>42137</v>
      </c>
      <c r="KH9" s="58">
        <v>296478.46999999997</v>
      </c>
      <c r="KI9" s="115">
        <v>42138</v>
      </c>
      <c r="KJ9" t="s">
        <v>1765</v>
      </c>
      <c r="KO9" s="115">
        <v>42241</v>
      </c>
      <c r="KP9">
        <v>0.01</v>
      </c>
      <c r="KQ9">
        <v>0</v>
      </c>
      <c r="KR9">
        <v>0</v>
      </c>
      <c r="KS9" s="115">
        <v>42311</v>
      </c>
      <c r="KT9" s="58">
        <v>35153.07</v>
      </c>
      <c r="KU9" s="115">
        <v>42312</v>
      </c>
      <c r="KV9" t="s">
        <v>1765</v>
      </c>
      <c r="LA9" s="115">
        <v>42489</v>
      </c>
      <c r="LB9">
        <v>0.01</v>
      </c>
      <c r="LC9">
        <v>0</v>
      </c>
      <c r="LD9">
        <v>0</v>
      </c>
      <c r="LE9" s="115">
        <v>42605</v>
      </c>
      <c r="LF9" s="58">
        <v>7616.5</v>
      </c>
      <c r="LG9" s="115">
        <v>42606</v>
      </c>
      <c r="LH9" t="s">
        <v>1765</v>
      </c>
      <c r="LY9" s="115">
        <v>42488</v>
      </c>
      <c r="LZ9">
        <v>0.03</v>
      </c>
      <c r="MA9">
        <v>0</v>
      </c>
      <c r="MB9">
        <v>0</v>
      </c>
      <c r="MC9" s="115">
        <v>42541</v>
      </c>
      <c r="MD9" s="58">
        <v>2440.86</v>
      </c>
      <c r="ME9" s="115">
        <v>42542</v>
      </c>
      <c r="MF9" t="s">
        <v>1765</v>
      </c>
      <c r="MK9" s="115">
        <v>42489</v>
      </c>
      <c r="ML9">
        <v>0.02</v>
      </c>
      <c r="MM9">
        <v>0</v>
      </c>
      <c r="MN9">
        <v>0</v>
      </c>
      <c r="MO9" s="115">
        <v>42548</v>
      </c>
      <c r="MP9">
        <v>661.02</v>
      </c>
      <c r="MQ9" s="115">
        <v>42549</v>
      </c>
      <c r="MR9" t="s">
        <v>1765</v>
      </c>
      <c r="MW9" s="115">
        <v>42228</v>
      </c>
      <c r="MX9">
        <v>0</v>
      </c>
      <c r="MY9">
        <v>0</v>
      </c>
      <c r="MZ9">
        <v>0.5</v>
      </c>
      <c r="NA9" s="115">
        <v>42264</v>
      </c>
      <c r="NB9">
        <v>0</v>
      </c>
      <c r="NC9" s="115">
        <v>42265</v>
      </c>
      <c r="ND9" t="s">
        <v>1765</v>
      </c>
      <c r="NI9" s="115">
        <v>41754</v>
      </c>
      <c r="NJ9">
        <v>0.12</v>
      </c>
      <c r="NK9">
        <v>0</v>
      </c>
      <c r="NL9">
        <v>0</v>
      </c>
      <c r="NM9" s="115">
        <v>41830</v>
      </c>
      <c r="NN9" s="58">
        <v>120000</v>
      </c>
      <c r="NO9" s="115">
        <v>41831</v>
      </c>
      <c r="NP9" t="s">
        <v>1765</v>
      </c>
      <c r="NU9" s="115">
        <v>42489</v>
      </c>
      <c r="NV9">
        <v>1.5</v>
      </c>
      <c r="NW9">
        <v>0</v>
      </c>
      <c r="NX9">
        <v>0</v>
      </c>
      <c r="NY9" s="115">
        <v>42557</v>
      </c>
      <c r="NZ9" s="58">
        <v>902359.63</v>
      </c>
      <c r="OA9" s="115">
        <v>42558</v>
      </c>
      <c r="OB9" t="s">
        <v>1765</v>
      </c>
      <c r="OG9" s="115">
        <v>42094</v>
      </c>
      <c r="OH9">
        <v>0.5</v>
      </c>
      <c r="OI9">
        <v>0</v>
      </c>
      <c r="OJ9">
        <v>0</v>
      </c>
      <c r="OK9" s="115">
        <v>42205</v>
      </c>
      <c r="OL9" s="58">
        <v>552402.91</v>
      </c>
      <c r="OM9" s="115">
        <v>42206</v>
      </c>
      <c r="ON9" t="s">
        <v>1765</v>
      </c>
      <c r="OS9" s="115">
        <v>42482</v>
      </c>
      <c r="OT9">
        <v>0.2</v>
      </c>
      <c r="OU9">
        <v>0</v>
      </c>
      <c r="OV9">
        <v>1</v>
      </c>
      <c r="OW9" s="115">
        <v>42514</v>
      </c>
      <c r="OX9">
        <v>819.6</v>
      </c>
      <c r="OY9" s="115">
        <v>42515</v>
      </c>
      <c r="OZ9" t="s">
        <v>1765</v>
      </c>
      <c r="PE9" s="115">
        <v>42482</v>
      </c>
      <c r="PF9">
        <v>0.2</v>
      </c>
      <c r="PG9">
        <v>0</v>
      </c>
      <c r="PH9">
        <v>1</v>
      </c>
      <c r="PI9" s="115">
        <v>42514</v>
      </c>
      <c r="PJ9">
        <v>819.6</v>
      </c>
      <c r="PK9" s="115">
        <v>42515</v>
      </c>
      <c r="PL9" t="s">
        <v>1765</v>
      </c>
      <c r="PQ9" s="115">
        <v>42077</v>
      </c>
      <c r="PR9">
        <v>0.92</v>
      </c>
      <c r="PS9">
        <v>0</v>
      </c>
      <c r="PT9">
        <v>0</v>
      </c>
      <c r="PU9" s="115">
        <v>42131</v>
      </c>
      <c r="PV9" s="58">
        <v>39933.519999999997</v>
      </c>
      <c r="PW9" s="115">
        <v>42132</v>
      </c>
      <c r="PX9" t="s">
        <v>1765</v>
      </c>
      <c r="QC9" s="115">
        <v>42117</v>
      </c>
      <c r="QD9">
        <v>0.4</v>
      </c>
      <c r="QE9">
        <v>0</v>
      </c>
      <c r="QF9">
        <v>0</v>
      </c>
      <c r="QG9" s="115">
        <v>42180</v>
      </c>
      <c r="QH9" s="58">
        <v>40808.04</v>
      </c>
      <c r="QI9" s="115">
        <v>42181</v>
      </c>
      <c r="QJ9" t="s">
        <v>1765</v>
      </c>
      <c r="QO9" s="115">
        <v>43217</v>
      </c>
      <c r="QP9">
        <v>0.2</v>
      </c>
      <c r="QQ9">
        <v>0</v>
      </c>
      <c r="QR9">
        <v>0</v>
      </c>
      <c r="QS9" s="115">
        <v>43257</v>
      </c>
      <c r="QT9" s="58">
        <v>365604.83</v>
      </c>
      <c r="QU9" s="115">
        <v>43258</v>
      </c>
      <c r="QV9" t="s">
        <v>1765</v>
      </c>
      <c r="RA9" s="115">
        <v>42087</v>
      </c>
      <c r="RB9">
        <v>0.65</v>
      </c>
      <c r="RC9">
        <v>0</v>
      </c>
      <c r="RD9">
        <v>0</v>
      </c>
      <c r="RE9" s="115">
        <v>42173</v>
      </c>
      <c r="RF9" s="58">
        <v>344454.67</v>
      </c>
      <c r="RG9" s="115">
        <v>42174</v>
      </c>
      <c r="RH9" t="s">
        <v>1765</v>
      </c>
      <c r="RM9" s="115">
        <v>42090</v>
      </c>
      <c r="RN9">
        <v>0.17</v>
      </c>
      <c r="RO9">
        <v>0</v>
      </c>
      <c r="RP9">
        <v>0</v>
      </c>
      <c r="RQ9" s="115">
        <v>42166</v>
      </c>
      <c r="RR9" s="58">
        <v>25440.16</v>
      </c>
      <c r="RS9" s="115">
        <v>42167</v>
      </c>
      <c r="RT9" t="s">
        <v>1765</v>
      </c>
      <c r="RY9" s="115">
        <v>42081</v>
      </c>
      <c r="RZ9">
        <v>0.8</v>
      </c>
      <c r="SA9">
        <v>0</v>
      </c>
      <c r="SB9">
        <v>0</v>
      </c>
      <c r="SC9" s="115">
        <v>42173</v>
      </c>
      <c r="SD9" s="58">
        <v>106087.44</v>
      </c>
      <c r="SE9" s="115">
        <v>42174</v>
      </c>
      <c r="SF9" t="s">
        <v>1765</v>
      </c>
      <c r="SK9" s="115">
        <v>42087</v>
      </c>
      <c r="SL9">
        <v>0.65</v>
      </c>
      <c r="SM9">
        <v>0</v>
      </c>
      <c r="SN9">
        <v>0</v>
      </c>
      <c r="SO9" s="115">
        <v>42173</v>
      </c>
      <c r="SP9" s="58">
        <v>344454.67</v>
      </c>
      <c r="SQ9" s="115">
        <v>42174</v>
      </c>
      <c r="SR9" t="s">
        <v>1765</v>
      </c>
      <c r="SW9" s="115">
        <v>42090</v>
      </c>
      <c r="SX9">
        <v>0.17</v>
      </c>
      <c r="SY9">
        <v>0</v>
      </c>
      <c r="SZ9">
        <v>0</v>
      </c>
      <c r="TA9" s="115">
        <v>42166</v>
      </c>
      <c r="TB9" s="58">
        <v>25440.16</v>
      </c>
      <c r="TC9" s="115">
        <v>42167</v>
      </c>
      <c r="TD9" t="s">
        <v>1765</v>
      </c>
      <c r="TI9" s="115">
        <v>42115</v>
      </c>
      <c r="TJ9">
        <v>0.35</v>
      </c>
      <c r="TK9">
        <v>0</v>
      </c>
      <c r="TL9">
        <v>1</v>
      </c>
      <c r="TM9" s="115">
        <v>42165</v>
      </c>
      <c r="TN9" s="58">
        <v>5110</v>
      </c>
      <c r="TO9" s="115">
        <v>42166</v>
      </c>
      <c r="TP9" t="s">
        <v>1765</v>
      </c>
      <c r="TU9" s="115">
        <v>42832</v>
      </c>
      <c r="TV9">
        <v>1</v>
      </c>
      <c r="TW9">
        <v>0</v>
      </c>
      <c r="TX9">
        <v>0.2</v>
      </c>
      <c r="TY9" s="115">
        <v>42880</v>
      </c>
      <c r="TZ9" s="58">
        <v>435029.69</v>
      </c>
      <c r="UA9" s="115">
        <v>42881</v>
      </c>
      <c r="UB9" t="s">
        <v>1765</v>
      </c>
      <c r="UC9" s="203"/>
      <c r="UG9" s="115">
        <v>42832</v>
      </c>
      <c r="UH9">
        <v>1</v>
      </c>
      <c r="UI9">
        <v>0</v>
      </c>
      <c r="UJ9">
        <v>0.2</v>
      </c>
      <c r="UK9" s="115">
        <v>42880</v>
      </c>
      <c r="UL9" s="58">
        <v>435029.69</v>
      </c>
      <c r="UM9" s="115">
        <v>42881</v>
      </c>
      <c r="UN9" t="s">
        <v>1765</v>
      </c>
      <c r="US9" s="115">
        <v>42832</v>
      </c>
      <c r="UT9">
        <v>1</v>
      </c>
      <c r="UU9">
        <v>0</v>
      </c>
      <c r="UV9">
        <v>0.2</v>
      </c>
      <c r="UW9" s="115">
        <v>42880</v>
      </c>
      <c r="UX9" s="58">
        <v>435029.69</v>
      </c>
      <c r="UY9" s="115">
        <v>42881</v>
      </c>
      <c r="UZ9" t="s">
        <v>1765</v>
      </c>
      <c r="VE9" s="115">
        <v>42489</v>
      </c>
      <c r="VF9">
        <v>0.02</v>
      </c>
      <c r="VG9">
        <v>0</v>
      </c>
      <c r="VH9">
        <v>0</v>
      </c>
      <c r="VI9" s="115">
        <v>42548</v>
      </c>
      <c r="VJ9">
        <v>661.02</v>
      </c>
      <c r="VK9" s="115">
        <v>42549</v>
      </c>
      <c r="VL9" t="s">
        <v>1765</v>
      </c>
      <c r="VQ9" s="115">
        <v>42450</v>
      </c>
      <c r="VR9">
        <v>0.75</v>
      </c>
      <c r="VS9">
        <v>0</v>
      </c>
      <c r="VT9">
        <v>0</v>
      </c>
      <c r="VU9" s="115">
        <v>42528</v>
      </c>
      <c r="VV9" s="58">
        <v>188146.31</v>
      </c>
      <c r="VW9" s="115">
        <v>42529</v>
      </c>
      <c r="VX9" t="s">
        <v>1765</v>
      </c>
      <c r="WC9" s="115">
        <v>42241</v>
      </c>
      <c r="WD9">
        <v>0.01</v>
      </c>
      <c r="WE9">
        <v>0</v>
      </c>
      <c r="WF9">
        <v>0</v>
      </c>
      <c r="WG9" s="115">
        <v>42311</v>
      </c>
      <c r="WH9" s="58">
        <v>35153.07</v>
      </c>
      <c r="WI9" s="115">
        <v>42312</v>
      </c>
      <c r="WJ9" t="s">
        <v>1765</v>
      </c>
      <c r="WO9" s="115">
        <v>42241</v>
      </c>
      <c r="WP9">
        <v>0.01</v>
      </c>
      <c r="WQ9">
        <v>0</v>
      </c>
      <c r="WR9">
        <v>0</v>
      </c>
      <c r="WS9" s="115">
        <v>42311</v>
      </c>
      <c r="WT9" s="58">
        <v>35153.07</v>
      </c>
      <c r="WU9" s="115">
        <v>42312</v>
      </c>
      <c r="WV9" t="s">
        <v>1765</v>
      </c>
      <c r="XA9" s="115">
        <v>41754</v>
      </c>
      <c r="XB9">
        <v>0.12</v>
      </c>
      <c r="XC9">
        <v>0</v>
      </c>
      <c r="XD9">
        <v>0</v>
      </c>
      <c r="XE9" s="115">
        <v>41830</v>
      </c>
      <c r="XF9" s="58">
        <v>120000</v>
      </c>
      <c r="XG9" s="115">
        <v>41831</v>
      </c>
      <c r="XH9" t="s">
        <v>1765</v>
      </c>
      <c r="XM9" s="115">
        <v>42115</v>
      </c>
      <c r="XN9">
        <v>0.1</v>
      </c>
      <c r="XO9">
        <v>0</v>
      </c>
      <c r="XP9">
        <v>0</v>
      </c>
      <c r="XQ9" s="115">
        <v>42173</v>
      </c>
      <c r="XR9" s="58">
        <v>25600</v>
      </c>
      <c r="XS9" s="115">
        <v>42174</v>
      </c>
      <c r="XT9" t="s">
        <v>1765</v>
      </c>
      <c r="YW9" s="115">
        <v>42094</v>
      </c>
      <c r="YX9">
        <v>0.3</v>
      </c>
      <c r="YY9">
        <v>0</v>
      </c>
      <c r="YZ9">
        <v>0.3</v>
      </c>
      <c r="ZA9" s="115">
        <v>42124</v>
      </c>
      <c r="ZB9" s="58">
        <v>3000</v>
      </c>
      <c r="ZC9" s="115">
        <v>42128</v>
      </c>
      <c r="ZD9" t="s">
        <v>1765</v>
      </c>
      <c r="ZU9" s="115">
        <v>42110</v>
      </c>
      <c r="ZV9">
        <v>0.2</v>
      </c>
      <c r="ZW9">
        <v>0</v>
      </c>
      <c r="ZX9">
        <v>0</v>
      </c>
      <c r="ZY9" s="115">
        <v>42145</v>
      </c>
      <c r="ZZ9" s="58">
        <v>4944</v>
      </c>
      <c r="AAA9" s="115">
        <v>42146</v>
      </c>
      <c r="AAB9" t="s">
        <v>1765</v>
      </c>
      <c r="AAG9" s="115">
        <v>42094</v>
      </c>
      <c r="AAH9">
        <v>0</v>
      </c>
      <c r="AAI9">
        <v>0</v>
      </c>
      <c r="AAJ9">
        <v>0.1</v>
      </c>
      <c r="AAK9" s="115">
        <v>42144</v>
      </c>
      <c r="AAL9">
        <v>0</v>
      </c>
      <c r="AAM9" s="115">
        <v>42145</v>
      </c>
      <c r="AAN9" t="s">
        <v>1765</v>
      </c>
      <c r="AAS9" s="115">
        <v>41016</v>
      </c>
      <c r="AAT9">
        <v>0</v>
      </c>
      <c r="AAU9">
        <v>0</v>
      </c>
      <c r="AAV9">
        <v>0.3</v>
      </c>
      <c r="AAW9" s="115">
        <v>41095</v>
      </c>
      <c r="AAX9">
        <v>0</v>
      </c>
      <c r="AAY9" s="115">
        <v>41096</v>
      </c>
      <c r="AAZ9" t="s">
        <v>1765</v>
      </c>
      <c r="ABE9" s="115">
        <v>41754</v>
      </c>
      <c r="ABF9">
        <v>0.12</v>
      </c>
      <c r="ABG9">
        <v>0</v>
      </c>
      <c r="ABH9">
        <v>0</v>
      </c>
      <c r="ABI9" s="115">
        <v>41830</v>
      </c>
      <c r="ABJ9" s="58">
        <v>120000</v>
      </c>
      <c r="ABK9" s="115">
        <v>41831</v>
      </c>
      <c r="ABL9" t="s">
        <v>1765</v>
      </c>
      <c r="ABQ9" s="115">
        <v>42096</v>
      </c>
      <c r="ABR9">
        <v>0.22</v>
      </c>
      <c r="ABS9">
        <v>0</v>
      </c>
      <c r="ABT9">
        <v>0</v>
      </c>
      <c r="ABU9" s="115">
        <v>42142</v>
      </c>
      <c r="ABV9" s="58">
        <v>26142.33</v>
      </c>
      <c r="ABW9" s="115">
        <v>42143</v>
      </c>
      <c r="ABX9" t="s">
        <v>1765</v>
      </c>
      <c r="ACO9" s="115">
        <v>42094</v>
      </c>
      <c r="ACP9">
        <v>0.49199999999999999</v>
      </c>
      <c r="ACQ9">
        <v>0</v>
      </c>
      <c r="ACR9">
        <v>1</v>
      </c>
      <c r="ACS9" s="115">
        <v>42200</v>
      </c>
      <c r="ACT9" s="58">
        <v>149869.35999999999</v>
      </c>
      <c r="ACU9" s="115">
        <v>42201</v>
      </c>
      <c r="ACV9" t="s">
        <v>1765</v>
      </c>
      <c r="ADA9" s="115">
        <v>42455</v>
      </c>
      <c r="ADB9">
        <v>1.2</v>
      </c>
      <c r="ADC9">
        <v>0</v>
      </c>
      <c r="ADD9">
        <v>0.5</v>
      </c>
      <c r="ADE9" s="115">
        <v>42495</v>
      </c>
      <c r="ADF9" s="58">
        <v>511885.74</v>
      </c>
      <c r="ADG9" s="115">
        <v>42496</v>
      </c>
      <c r="ADH9" t="s">
        <v>1765</v>
      </c>
      <c r="ADY9" s="115">
        <v>42115</v>
      </c>
      <c r="ADZ9">
        <v>0.2</v>
      </c>
      <c r="AEA9">
        <v>0</v>
      </c>
      <c r="AEB9">
        <v>0</v>
      </c>
      <c r="AEC9" s="115">
        <v>42150</v>
      </c>
      <c r="AED9" s="58">
        <v>21111.62</v>
      </c>
      <c r="AEE9" s="115">
        <v>42151</v>
      </c>
      <c r="AEF9" t="s">
        <v>1765</v>
      </c>
      <c r="AEW9" s="115">
        <v>42459</v>
      </c>
      <c r="AEX9">
        <v>0.13900000000000001</v>
      </c>
      <c r="AEY9">
        <v>0</v>
      </c>
      <c r="AEZ9">
        <v>0</v>
      </c>
      <c r="AFA9" s="115">
        <v>42536</v>
      </c>
      <c r="AFB9" s="58">
        <v>20016</v>
      </c>
      <c r="AFC9" s="115">
        <v>42537</v>
      </c>
      <c r="AFD9" t="s">
        <v>1765</v>
      </c>
      <c r="AFI9" s="115">
        <v>42082</v>
      </c>
      <c r="AFJ9">
        <v>0.8</v>
      </c>
      <c r="AFK9">
        <v>0</v>
      </c>
      <c r="AFL9">
        <v>0</v>
      </c>
      <c r="AFM9" s="115">
        <v>42222</v>
      </c>
      <c r="AFN9" s="58">
        <v>52321.72</v>
      </c>
      <c r="AFO9" s="115">
        <v>42223</v>
      </c>
      <c r="AFP9" t="s">
        <v>1765</v>
      </c>
      <c r="AFU9" s="115">
        <v>42080</v>
      </c>
      <c r="AFV9">
        <v>0.3</v>
      </c>
      <c r="AFW9">
        <v>0</v>
      </c>
      <c r="AFX9">
        <v>0</v>
      </c>
      <c r="AFY9" s="115">
        <v>42151</v>
      </c>
      <c r="AFZ9" s="58">
        <v>64870.04</v>
      </c>
      <c r="AGA9" s="115">
        <v>42152</v>
      </c>
      <c r="AGB9" t="s">
        <v>1765</v>
      </c>
      <c r="AGG9" s="115">
        <v>42241</v>
      </c>
      <c r="AGH9">
        <v>0.01</v>
      </c>
      <c r="AGI9">
        <v>0</v>
      </c>
      <c r="AGJ9">
        <v>0</v>
      </c>
      <c r="AGK9" s="115">
        <v>42311</v>
      </c>
      <c r="AGL9" s="58">
        <v>35153.07</v>
      </c>
      <c r="AGM9" s="115">
        <v>42312</v>
      </c>
      <c r="AGN9" t="s">
        <v>1765</v>
      </c>
      <c r="AGS9" s="115">
        <v>42091</v>
      </c>
      <c r="AGT9">
        <v>0.05</v>
      </c>
      <c r="AGU9">
        <v>0</v>
      </c>
      <c r="AGV9">
        <v>0</v>
      </c>
      <c r="AGW9" s="115">
        <v>42222</v>
      </c>
      <c r="AGX9" s="58">
        <v>45606.15</v>
      </c>
      <c r="AGY9" s="115">
        <v>42223</v>
      </c>
      <c r="AGZ9" t="s">
        <v>1765</v>
      </c>
      <c r="AHE9" s="115">
        <v>42104</v>
      </c>
      <c r="AHF9">
        <v>0.1</v>
      </c>
      <c r="AHG9">
        <v>0</v>
      </c>
      <c r="AHH9">
        <v>0</v>
      </c>
      <c r="AHI9" s="115">
        <v>42135</v>
      </c>
      <c r="AHJ9" s="58">
        <v>3813.35</v>
      </c>
      <c r="AHK9" s="115">
        <v>42136</v>
      </c>
      <c r="AHL9" t="s">
        <v>1765</v>
      </c>
      <c r="AHQ9" s="115">
        <v>42489</v>
      </c>
      <c r="AHR9">
        <v>0.01</v>
      </c>
      <c r="AHS9">
        <v>0</v>
      </c>
      <c r="AHT9">
        <v>0</v>
      </c>
      <c r="AHU9" s="115">
        <v>42605</v>
      </c>
      <c r="AHV9" s="58">
        <v>7616.5</v>
      </c>
      <c r="AHW9" s="115">
        <v>42606</v>
      </c>
      <c r="AHX9" t="s">
        <v>1765</v>
      </c>
      <c r="AIC9" s="115">
        <v>42458</v>
      </c>
      <c r="AID9">
        <v>0.1</v>
      </c>
      <c r="AIE9">
        <v>0</v>
      </c>
      <c r="AIF9">
        <v>0</v>
      </c>
      <c r="AIG9" s="115">
        <v>42537</v>
      </c>
      <c r="AIH9" s="58">
        <v>11252.42</v>
      </c>
      <c r="AII9" s="115">
        <v>42538</v>
      </c>
      <c r="AIJ9" t="s">
        <v>1765</v>
      </c>
      <c r="AIO9" s="115">
        <v>42115</v>
      </c>
      <c r="AIP9">
        <v>4.3739999999999997</v>
      </c>
      <c r="AIQ9">
        <v>0.1</v>
      </c>
      <c r="AIR9">
        <v>0</v>
      </c>
      <c r="AIS9" s="115">
        <v>42201</v>
      </c>
      <c r="AIT9" s="58">
        <v>499509.93</v>
      </c>
      <c r="AIU9" s="115">
        <v>42202</v>
      </c>
      <c r="AIV9" t="s">
        <v>1765</v>
      </c>
      <c r="AJA9" s="115">
        <v>42111</v>
      </c>
      <c r="AJB9">
        <v>0.6</v>
      </c>
      <c r="AJC9">
        <v>0</v>
      </c>
      <c r="AJD9">
        <v>0</v>
      </c>
      <c r="AJE9" s="115">
        <v>42173</v>
      </c>
      <c r="AJF9" s="58">
        <v>227758</v>
      </c>
      <c r="AJG9" s="115">
        <v>42174</v>
      </c>
      <c r="AJH9" t="s">
        <v>1765</v>
      </c>
      <c r="AJY9" s="115">
        <v>42075</v>
      </c>
      <c r="AJZ9">
        <v>0.4</v>
      </c>
      <c r="AKA9">
        <v>0</v>
      </c>
      <c r="AKB9">
        <v>0</v>
      </c>
      <c r="AKC9" s="115">
        <v>42107</v>
      </c>
      <c r="AKD9" s="58">
        <v>162765.12</v>
      </c>
      <c r="AKE9" s="115">
        <v>42108</v>
      </c>
      <c r="AKF9" t="s">
        <v>1765</v>
      </c>
      <c r="AKK9" s="115">
        <v>41023</v>
      </c>
      <c r="AKL9">
        <v>0.1</v>
      </c>
      <c r="AKM9">
        <v>0</v>
      </c>
      <c r="AKN9">
        <v>0</v>
      </c>
      <c r="AKO9" s="115">
        <v>41075</v>
      </c>
      <c r="AKP9" s="58">
        <v>2205</v>
      </c>
      <c r="AKQ9" s="115">
        <v>41078</v>
      </c>
      <c r="AKR9" t="s">
        <v>1765</v>
      </c>
      <c r="AKW9" s="115">
        <v>41380</v>
      </c>
      <c r="AKX9">
        <v>0.05</v>
      </c>
      <c r="AKY9">
        <v>0</v>
      </c>
      <c r="AKZ9">
        <v>0.5</v>
      </c>
      <c r="ALA9" s="115">
        <v>41443</v>
      </c>
      <c r="ALB9" s="58">
        <v>1161</v>
      </c>
      <c r="ALC9" s="115">
        <v>41444</v>
      </c>
      <c r="ALD9" t="s">
        <v>1765</v>
      </c>
      <c r="AMG9" s="115">
        <v>42111</v>
      </c>
      <c r="AMH9">
        <v>0.9</v>
      </c>
      <c r="AMI9">
        <v>0</v>
      </c>
      <c r="AMJ9">
        <v>1.5</v>
      </c>
      <c r="AMK9" s="115">
        <v>42158</v>
      </c>
      <c r="AML9" s="58">
        <v>14479.61</v>
      </c>
      <c r="AMM9" s="115">
        <v>42159</v>
      </c>
      <c r="AMN9" t="s">
        <v>1765</v>
      </c>
      <c r="AMS9" s="115">
        <v>42488</v>
      </c>
      <c r="AMT9">
        <v>0.03</v>
      </c>
      <c r="AMU9">
        <v>0</v>
      </c>
      <c r="AMV9">
        <v>0</v>
      </c>
      <c r="AMW9" s="115">
        <v>42541</v>
      </c>
      <c r="AMX9" s="58">
        <v>2440.86</v>
      </c>
      <c r="AMY9" s="115">
        <v>42542</v>
      </c>
      <c r="AMZ9" t="s">
        <v>1765</v>
      </c>
      <c r="ANA9" s="56"/>
      <c r="ANE9" s="115">
        <v>42087</v>
      </c>
      <c r="ANF9">
        <v>0.65</v>
      </c>
      <c r="ANG9">
        <v>0</v>
      </c>
      <c r="ANH9">
        <v>0</v>
      </c>
      <c r="ANI9" s="115">
        <v>42173</v>
      </c>
      <c r="ANJ9" s="58">
        <v>344454.67</v>
      </c>
      <c r="ANK9" s="115">
        <v>42174</v>
      </c>
      <c r="ANL9" t="s">
        <v>1765</v>
      </c>
      <c r="ANQ9" s="115">
        <v>42488</v>
      </c>
      <c r="ANR9">
        <v>0.03</v>
      </c>
      <c r="ANS9">
        <v>0</v>
      </c>
      <c r="ANT9">
        <v>0</v>
      </c>
      <c r="ANU9" s="115">
        <v>42541</v>
      </c>
      <c r="ANV9" s="58">
        <v>2440.86</v>
      </c>
      <c r="ANW9" s="115">
        <v>42542</v>
      </c>
      <c r="ANX9" t="s">
        <v>1765</v>
      </c>
      <c r="AOC9" s="115">
        <v>43217</v>
      </c>
      <c r="AOD9">
        <v>0.2</v>
      </c>
      <c r="AOE9">
        <v>0</v>
      </c>
      <c r="AOF9">
        <v>0</v>
      </c>
      <c r="AOG9" s="115">
        <v>43257</v>
      </c>
      <c r="AOH9" s="58">
        <v>365604.83</v>
      </c>
      <c r="AOI9" s="115">
        <v>43258</v>
      </c>
      <c r="AOJ9" t="s">
        <v>1765</v>
      </c>
      <c r="AOO9" s="115">
        <v>42077</v>
      </c>
      <c r="AOP9">
        <v>0.92</v>
      </c>
      <c r="AOQ9">
        <v>0</v>
      </c>
      <c r="AOR9">
        <v>0</v>
      </c>
      <c r="AOS9" s="115">
        <v>42131</v>
      </c>
      <c r="AOT9" s="58">
        <v>39933.519999999997</v>
      </c>
      <c r="AOU9" s="115">
        <v>42132</v>
      </c>
      <c r="AOV9" t="s">
        <v>1765</v>
      </c>
      <c r="APA9" s="115">
        <v>41313</v>
      </c>
      <c r="APB9">
        <v>0.12</v>
      </c>
      <c r="APC9">
        <v>0</v>
      </c>
      <c r="APD9">
        <v>0</v>
      </c>
      <c r="APE9" s="115">
        <v>41372</v>
      </c>
      <c r="APF9" s="58">
        <v>3111.98</v>
      </c>
      <c r="APG9" s="115">
        <v>41373</v>
      </c>
      <c r="APH9" t="s">
        <v>1765</v>
      </c>
      <c r="APM9" s="115">
        <v>42066</v>
      </c>
      <c r="APN9">
        <v>0.38</v>
      </c>
      <c r="APO9">
        <v>0</v>
      </c>
      <c r="APP9">
        <v>0</v>
      </c>
      <c r="APQ9" s="115">
        <v>42123</v>
      </c>
      <c r="APR9" s="58">
        <v>170724.8</v>
      </c>
      <c r="APS9" s="115">
        <v>42124</v>
      </c>
      <c r="APT9" t="s">
        <v>1765</v>
      </c>
      <c r="APY9" s="115">
        <v>42228</v>
      </c>
      <c r="APZ9">
        <v>0</v>
      </c>
      <c r="AQA9">
        <v>0</v>
      </c>
      <c r="AQB9">
        <v>0.5</v>
      </c>
      <c r="AQC9" s="115">
        <v>42264</v>
      </c>
      <c r="AQD9">
        <v>0</v>
      </c>
      <c r="AQE9" s="115">
        <v>42265</v>
      </c>
      <c r="AQF9" t="s">
        <v>1765</v>
      </c>
      <c r="AQK9" s="115">
        <v>42087</v>
      </c>
      <c r="AQL9">
        <v>0.65</v>
      </c>
      <c r="AQM9">
        <v>0</v>
      </c>
      <c r="AQN9">
        <v>0</v>
      </c>
      <c r="AQO9" s="115">
        <v>42173</v>
      </c>
      <c r="AQP9" s="58">
        <v>344454.67</v>
      </c>
      <c r="AQQ9" s="115">
        <v>42174</v>
      </c>
      <c r="AQR9" t="s">
        <v>1765</v>
      </c>
      <c r="AQW9" s="115">
        <v>42122</v>
      </c>
      <c r="AQX9">
        <v>0.08</v>
      </c>
      <c r="AQY9">
        <v>0</v>
      </c>
      <c r="AQZ9">
        <v>0</v>
      </c>
      <c r="ARA9" s="115">
        <v>42192</v>
      </c>
      <c r="ARB9" s="58">
        <v>14803.08</v>
      </c>
      <c r="ARC9" s="115">
        <v>42193</v>
      </c>
      <c r="ARD9" t="s">
        <v>1765</v>
      </c>
      <c r="ARI9" s="115">
        <v>41739</v>
      </c>
      <c r="ARJ9">
        <v>0.06</v>
      </c>
      <c r="ARK9">
        <v>0</v>
      </c>
      <c r="ARL9">
        <v>0</v>
      </c>
      <c r="ARM9" s="115">
        <v>41816</v>
      </c>
      <c r="ARN9" s="58">
        <v>1157.76</v>
      </c>
      <c r="ARO9" s="115">
        <v>41817</v>
      </c>
      <c r="ARP9" t="s">
        <v>1765</v>
      </c>
      <c r="ARU9" s="115">
        <v>42489</v>
      </c>
      <c r="ARV9">
        <v>1.5</v>
      </c>
      <c r="ARW9">
        <v>0</v>
      </c>
      <c r="ARX9">
        <v>0</v>
      </c>
      <c r="ARY9" s="115">
        <v>42557</v>
      </c>
      <c r="ARZ9" s="58">
        <v>902359.63</v>
      </c>
      <c r="ASA9" s="115">
        <v>42558</v>
      </c>
      <c r="ASB9" t="s">
        <v>1765</v>
      </c>
      <c r="ASG9" s="115">
        <v>42094</v>
      </c>
      <c r="ASH9">
        <v>0.5</v>
      </c>
      <c r="ASI9">
        <v>0</v>
      </c>
      <c r="ASJ9">
        <v>0</v>
      </c>
      <c r="ASK9" s="115">
        <v>42205</v>
      </c>
      <c r="ASL9" s="58">
        <v>552402.91</v>
      </c>
      <c r="ASM9" s="115">
        <v>42206</v>
      </c>
      <c r="ASN9" t="s">
        <v>1765</v>
      </c>
      <c r="ASS9" s="115">
        <v>42832</v>
      </c>
      <c r="AST9">
        <v>1</v>
      </c>
      <c r="ASU9">
        <v>0</v>
      </c>
      <c r="ASV9">
        <v>0.2</v>
      </c>
      <c r="ASW9" s="115">
        <v>42880</v>
      </c>
      <c r="ASX9" s="58">
        <v>435029.69</v>
      </c>
      <c r="ASY9" s="115">
        <v>42881</v>
      </c>
      <c r="ASZ9" t="s">
        <v>1765</v>
      </c>
      <c r="ATE9" s="115">
        <v>42094</v>
      </c>
      <c r="ATF9">
        <v>0.5</v>
      </c>
      <c r="ATG9">
        <v>0</v>
      </c>
      <c r="ATH9">
        <v>1</v>
      </c>
      <c r="ATI9" s="115">
        <v>42164</v>
      </c>
      <c r="ATJ9" s="58">
        <v>81333.3</v>
      </c>
      <c r="ATK9" s="115">
        <v>42165</v>
      </c>
      <c r="ATL9" t="s">
        <v>1765</v>
      </c>
      <c r="ATQ9" s="115">
        <v>42460</v>
      </c>
      <c r="ATR9">
        <v>0.1</v>
      </c>
      <c r="ATS9">
        <v>0</v>
      </c>
      <c r="ATT9">
        <v>0</v>
      </c>
      <c r="ATU9" s="115">
        <v>42557</v>
      </c>
      <c r="ATV9" s="58">
        <v>6247.62</v>
      </c>
      <c r="ATW9" s="115">
        <v>42558</v>
      </c>
      <c r="ATX9" t="s">
        <v>1765</v>
      </c>
      <c r="AUC9" s="115">
        <v>42117</v>
      </c>
      <c r="AUD9">
        <v>0.4</v>
      </c>
      <c r="AUE9">
        <v>0</v>
      </c>
      <c r="AUF9">
        <v>0</v>
      </c>
      <c r="AUG9" s="115">
        <v>42180</v>
      </c>
      <c r="AUH9" s="58">
        <v>40808.04</v>
      </c>
      <c r="AUI9" s="115">
        <v>42181</v>
      </c>
      <c r="AUJ9" t="s">
        <v>1765</v>
      </c>
      <c r="AUO9" s="115">
        <v>41382</v>
      </c>
      <c r="AUP9">
        <v>0.01</v>
      </c>
      <c r="AUQ9">
        <v>0</v>
      </c>
      <c r="AUR9">
        <v>0</v>
      </c>
      <c r="AUS9" s="115">
        <v>41477</v>
      </c>
      <c r="AUT9" s="58">
        <v>8002.59</v>
      </c>
      <c r="AUU9" s="115">
        <v>41478</v>
      </c>
      <c r="AUV9" t="s">
        <v>1765</v>
      </c>
      <c r="AVA9" s="115">
        <v>42090</v>
      </c>
      <c r="AVB9">
        <v>0.18</v>
      </c>
      <c r="AVC9">
        <v>0</v>
      </c>
      <c r="AVD9">
        <v>0</v>
      </c>
      <c r="AVE9" s="115">
        <v>42137</v>
      </c>
      <c r="AVF9" s="58">
        <v>296478.46999999997</v>
      </c>
      <c r="AVG9" s="115">
        <v>42138</v>
      </c>
      <c r="AVH9" t="s">
        <v>1765</v>
      </c>
      <c r="AVM9" s="115">
        <v>42081</v>
      </c>
      <c r="AVN9">
        <v>0.8</v>
      </c>
      <c r="AVO9">
        <v>0</v>
      </c>
      <c r="AVP9">
        <v>0</v>
      </c>
      <c r="AVQ9" s="115">
        <v>42173</v>
      </c>
      <c r="AVR9" s="58">
        <v>106087.44</v>
      </c>
      <c r="AVS9" s="115">
        <v>42174</v>
      </c>
      <c r="AVT9" t="s">
        <v>1765</v>
      </c>
      <c r="AVY9" s="115">
        <v>42115</v>
      </c>
      <c r="AVZ9">
        <v>0.35</v>
      </c>
      <c r="AWA9">
        <v>0</v>
      </c>
      <c r="AWB9">
        <v>1</v>
      </c>
      <c r="AWC9" s="115">
        <v>42165</v>
      </c>
      <c r="AWD9" s="58">
        <v>5110</v>
      </c>
      <c r="AWE9" s="115">
        <v>42166</v>
      </c>
      <c r="AWF9" t="s">
        <v>1765</v>
      </c>
      <c r="AWH9" s="185"/>
      <c r="AWK9" s="115">
        <v>42489</v>
      </c>
      <c r="AWL9">
        <v>0.02</v>
      </c>
      <c r="AWM9">
        <v>0</v>
      </c>
      <c r="AWN9">
        <v>0</v>
      </c>
      <c r="AWO9" s="115">
        <v>42548</v>
      </c>
      <c r="AWP9">
        <v>661.02</v>
      </c>
      <c r="AWQ9" s="115">
        <v>42549</v>
      </c>
      <c r="AWR9" t="s">
        <v>1765</v>
      </c>
      <c r="AWS9">
        <v>0.28000000000000003</v>
      </c>
      <c r="AWT9" s="185">
        <f t="shared" si="107"/>
        <v>7.1428571428571425E-2</v>
      </c>
    </row>
    <row r="10" spans="1:1300" x14ac:dyDescent="0.25">
      <c r="A10" s="115">
        <v>42115</v>
      </c>
      <c r="B10">
        <v>4.8000000000000001E-2</v>
      </c>
      <c r="C10">
        <v>0</v>
      </c>
      <c r="D10">
        <v>0</v>
      </c>
      <c r="E10" s="115">
        <v>42165</v>
      </c>
      <c r="F10" s="58">
        <v>36559.22</v>
      </c>
      <c r="G10" s="115">
        <v>42166</v>
      </c>
      <c r="H10" t="s">
        <v>1765</v>
      </c>
      <c r="Y10" s="115">
        <v>41705</v>
      </c>
      <c r="Z10">
        <v>0.41</v>
      </c>
      <c r="AA10">
        <v>0</v>
      </c>
      <c r="AB10">
        <v>0</v>
      </c>
      <c r="AC10" s="115">
        <v>41766</v>
      </c>
      <c r="AD10" s="58">
        <v>451613.73</v>
      </c>
      <c r="AE10" s="115">
        <v>41767</v>
      </c>
      <c r="AF10" t="s">
        <v>1765</v>
      </c>
      <c r="AK10" s="115">
        <v>41705</v>
      </c>
      <c r="AL10">
        <v>0.41</v>
      </c>
      <c r="AM10">
        <v>0</v>
      </c>
      <c r="AN10">
        <v>0</v>
      </c>
      <c r="AO10" s="115">
        <v>41766</v>
      </c>
      <c r="AP10" s="58">
        <v>451613.73</v>
      </c>
      <c r="AQ10" s="115">
        <v>41767</v>
      </c>
      <c r="AR10" t="s">
        <v>1765</v>
      </c>
      <c r="AW10" s="115">
        <v>41716</v>
      </c>
      <c r="AX10">
        <v>0.2</v>
      </c>
      <c r="AY10">
        <v>0</v>
      </c>
      <c r="AZ10">
        <v>0.7</v>
      </c>
      <c r="BA10" s="115">
        <v>41744</v>
      </c>
      <c r="BB10" s="58">
        <v>9369.86</v>
      </c>
      <c r="BC10" s="115">
        <v>41745</v>
      </c>
      <c r="BD10" t="s">
        <v>1765</v>
      </c>
      <c r="BI10" s="115">
        <v>42978</v>
      </c>
      <c r="BJ10">
        <v>0.15</v>
      </c>
      <c r="BK10">
        <v>0</v>
      </c>
      <c r="BL10">
        <v>0</v>
      </c>
      <c r="BM10" s="115">
        <v>43027</v>
      </c>
      <c r="BN10" s="58">
        <v>119958.58</v>
      </c>
      <c r="BO10" s="115">
        <v>43028</v>
      </c>
      <c r="BP10" t="s">
        <v>1765</v>
      </c>
      <c r="BU10" s="115">
        <v>41727</v>
      </c>
      <c r="BV10">
        <v>0.09</v>
      </c>
      <c r="BW10">
        <v>0</v>
      </c>
      <c r="BX10">
        <v>0</v>
      </c>
      <c r="BY10" s="115">
        <v>41848</v>
      </c>
      <c r="BZ10" s="58">
        <v>124227</v>
      </c>
      <c r="CA10" s="115">
        <v>41849</v>
      </c>
      <c r="CB10" t="s">
        <v>1765</v>
      </c>
      <c r="CS10" s="115">
        <v>41355</v>
      </c>
      <c r="CT10">
        <v>3.9899999999999998E-2</v>
      </c>
      <c r="CU10">
        <v>0</v>
      </c>
      <c r="CV10">
        <v>0</v>
      </c>
      <c r="CW10" s="115">
        <v>41453</v>
      </c>
      <c r="CX10" s="58">
        <v>84574.42</v>
      </c>
      <c r="CY10" s="115">
        <v>41456</v>
      </c>
      <c r="CZ10" t="s">
        <v>1765</v>
      </c>
      <c r="DE10" s="115">
        <v>41753</v>
      </c>
      <c r="DF10">
        <v>0.14299999999999999</v>
      </c>
      <c r="DG10">
        <v>0</v>
      </c>
      <c r="DH10">
        <v>0</v>
      </c>
      <c r="DI10" s="115">
        <v>41806</v>
      </c>
      <c r="DJ10" s="58">
        <v>429000</v>
      </c>
      <c r="DK10" s="115">
        <v>41807</v>
      </c>
      <c r="DL10" t="s">
        <v>1765</v>
      </c>
      <c r="DQ10" s="115">
        <v>41727</v>
      </c>
      <c r="DR10">
        <v>6.6000000000000003E-2</v>
      </c>
      <c r="DS10">
        <v>0</v>
      </c>
      <c r="DT10">
        <v>0</v>
      </c>
      <c r="DU10" s="115">
        <v>41856</v>
      </c>
      <c r="DV10" s="58">
        <v>140579.34</v>
      </c>
      <c r="DW10" s="115">
        <v>41857</v>
      </c>
      <c r="DX10" t="s">
        <v>1765</v>
      </c>
      <c r="FA10" s="115">
        <v>40995</v>
      </c>
      <c r="FB10">
        <v>0.1</v>
      </c>
      <c r="FC10">
        <v>0</v>
      </c>
      <c r="FD10">
        <v>0</v>
      </c>
      <c r="FE10" s="115">
        <v>41026</v>
      </c>
      <c r="FF10" s="58">
        <v>2055</v>
      </c>
      <c r="FG10" s="115">
        <v>41031</v>
      </c>
      <c r="FH10" t="s">
        <v>1765</v>
      </c>
      <c r="FM10" s="115">
        <v>41723</v>
      </c>
      <c r="FN10">
        <v>0.5</v>
      </c>
      <c r="FO10">
        <v>0</v>
      </c>
      <c r="FP10">
        <v>0</v>
      </c>
      <c r="FQ10" s="115">
        <v>41781</v>
      </c>
      <c r="FR10" s="58">
        <v>111330.58</v>
      </c>
      <c r="FS10" s="115">
        <v>41782</v>
      </c>
      <c r="FT10" t="s">
        <v>1765</v>
      </c>
      <c r="FY10" s="115">
        <v>41374</v>
      </c>
      <c r="FZ10">
        <v>0.15</v>
      </c>
      <c r="GA10">
        <v>0</v>
      </c>
      <c r="GB10">
        <v>0.6</v>
      </c>
      <c r="GC10" s="115">
        <v>41410</v>
      </c>
      <c r="GD10" s="58">
        <v>1809</v>
      </c>
      <c r="GE10" s="115">
        <v>41411</v>
      </c>
      <c r="GF10" t="s">
        <v>1765</v>
      </c>
      <c r="GK10" s="115">
        <v>42122</v>
      </c>
      <c r="GL10">
        <v>3</v>
      </c>
      <c r="GM10">
        <v>0</v>
      </c>
      <c r="GN10">
        <v>1</v>
      </c>
      <c r="GO10" s="115">
        <v>42187</v>
      </c>
      <c r="GP10" s="58">
        <v>902359.63</v>
      </c>
      <c r="GQ10" s="115">
        <v>42188</v>
      </c>
      <c r="GR10" t="s">
        <v>1765</v>
      </c>
      <c r="GW10" s="115">
        <v>41705</v>
      </c>
      <c r="GX10">
        <v>0.41</v>
      </c>
      <c r="GY10">
        <v>0</v>
      </c>
      <c r="GZ10">
        <v>0</v>
      </c>
      <c r="HA10" s="115">
        <v>41766</v>
      </c>
      <c r="HB10" s="58">
        <v>451613.73</v>
      </c>
      <c r="HC10" s="115">
        <v>41767</v>
      </c>
      <c r="HD10" t="s">
        <v>1765</v>
      </c>
      <c r="HI10" s="115">
        <v>41361</v>
      </c>
      <c r="HJ10">
        <v>0.1</v>
      </c>
      <c r="HK10">
        <v>0</v>
      </c>
      <c r="HL10">
        <v>0</v>
      </c>
      <c r="HM10" s="115">
        <v>41409</v>
      </c>
      <c r="HN10" s="58">
        <v>23830</v>
      </c>
      <c r="HO10" s="115">
        <v>41410</v>
      </c>
      <c r="HP10" t="s">
        <v>1765</v>
      </c>
      <c r="HU10" s="115">
        <v>41355</v>
      </c>
      <c r="HV10">
        <v>3.9899999999999998E-2</v>
      </c>
      <c r="HW10">
        <v>0</v>
      </c>
      <c r="HX10">
        <v>0</v>
      </c>
      <c r="HY10" s="115">
        <v>41453</v>
      </c>
      <c r="HZ10" s="58">
        <v>84574.42</v>
      </c>
      <c r="IA10" s="115">
        <v>41456</v>
      </c>
      <c r="IB10" t="s">
        <v>1765</v>
      </c>
      <c r="IS10" s="115">
        <v>41716</v>
      </c>
      <c r="IT10">
        <v>0.2</v>
      </c>
      <c r="IU10">
        <v>0</v>
      </c>
      <c r="IV10">
        <v>0.7</v>
      </c>
      <c r="IW10" s="115">
        <v>41744</v>
      </c>
      <c r="IX10" s="58">
        <v>9369.86</v>
      </c>
      <c r="IY10" s="115">
        <v>41745</v>
      </c>
      <c r="IZ10" t="s">
        <v>1765</v>
      </c>
      <c r="JE10" s="115">
        <v>41734</v>
      </c>
      <c r="JF10">
        <v>0.27</v>
      </c>
      <c r="JG10">
        <v>0</v>
      </c>
      <c r="JH10">
        <v>0</v>
      </c>
      <c r="JI10" s="115">
        <v>41807</v>
      </c>
      <c r="JJ10" s="58">
        <v>41252.379999999997</v>
      </c>
      <c r="JK10" s="115">
        <v>41808</v>
      </c>
      <c r="JL10" t="s">
        <v>1765</v>
      </c>
      <c r="KC10" s="115">
        <v>41727</v>
      </c>
      <c r="KD10">
        <v>0.1</v>
      </c>
      <c r="KE10">
        <v>0</v>
      </c>
      <c r="KF10">
        <v>0</v>
      </c>
      <c r="KG10" s="115">
        <v>41817</v>
      </c>
      <c r="KH10" s="58">
        <v>164717.25</v>
      </c>
      <c r="KI10" s="115">
        <v>41820</v>
      </c>
      <c r="KJ10" t="s">
        <v>1765</v>
      </c>
      <c r="KO10" s="115">
        <v>40659</v>
      </c>
      <c r="KP10">
        <v>0</v>
      </c>
      <c r="KQ10">
        <v>0</v>
      </c>
      <c r="KR10">
        <v>0.2</v>
      </c>
      <c r="KS10" s="115">
        <v>40711</v>
      </c>
      <c r="KT10">
        <v>0</v>
      </c>
      <c r="KU10" s="115">
        <v>40714</v>
      </c>
      <c r="KV10" t="s">
        <v>1765</v>
      </c>
      <c r="LA10" s="115">
        <v>42115</v>
      </c>
      <c r="LB10">
        <v>4.8000000000000001E-2</v>
      </c>
      <c r="LC10">
        <v>0</v>
      </c>
      <c r="LD10">
        <v>0</v>
      </c>
      <c r="LE10" s="115">
        <v>42165</v>
      </c>
      <c r="LF10" s="58">
        <v>36559.22</v>
      </c>
      <c r="LG10" s="115">
        <v>42166</v>
      </c>
      <c r="LH10" t="s">
        <v>1765</v>
      </c>
      <c r="LY10" s="115">
        <v>42110</v>
      </c>
      <c r="LZ10">
        <v>0.05</v>
      </c>
      <c r="MA10">
        <v>0</v>
      </c>
      <c r="MB10">
        <v>0</v>
      </c>
      <c r="MC10" s="115">
        <v>42198</v>
      </c>
      <c r="MD10" s="58">
        <v>4068.1</v>
      </c>
      <c r="ME10" s="115">
        <v>42199</v>
      </c>
      <c r="MF10" t="s">
        <v>1765</v>
      </c>
      <c r="MK10" s="115">
        <v>42094</v>
      </c>
      <c r="ML10">
        <v>0.06</v>
      </c>
      <c r="MM10">
        <v>0</v>
      </c>
      <c r="MN10">
        <v>0</v>
      </c>
      <c r="MO10" s="115">
        <v>42146</v>
      </c>
      <c r="MP10" s="58">
        <v>1867.64</v>
      </c>
      <c r="MQ10" s="115">
        <v>42149</v>
      </c>
      <c r="MR10" t="s">
        <v>1765</v>
      </c>
      <c r="MW10" s="115">
        <v>42103</v>
      </c>
      <c r="MX10">
        <v>0.05</v>
      </c>
      <c r="MY10">
        <v>0</v>
      </c>
      <c r="MZ10">
        <v>0</v>
      </c>
      <c r="NA10" s="115">
        <v>42144</v>
      </c>
      <c r="NB10" s="58">
        <v>2770.59</v>
      </c>
      <c r="NC10" s="115">
        <v>42145</v>
      </c>
      <c r="ND10" t="s">
        <v>1765</v>
      </c>
      <c r="NU10" s="115">
        <v>42122</v>
      </c>
      <c r="NV10">
        <v>3</v>
      </c>
      <c r="NW10">
        <v>0</v>
      </c>
      <c r="NX10">
        <v>1</v>
      </c>
      <c r="NY10" s="115">
        <v>42187</v>
      </c>
      <c r="NZ10" s="58">
        <v>902359.63</v>
      </c>
      <c r="OA10" s="115">
        <v>42188</v>
      </c>
      <c r="OB10" t="s">
        <v>1765</v>
      </c>
      <c r="OG10" s="115">
        <v>41705</v>
      </c>
      <c r="OH10">
        <v>0.41</v>
      </c>
      <c r="OI10">
        <v>0</v>
      </c>
      <c r="OJ10">
        <v>0</v>
      </c>
      <c r="OK10" s="115">
        <v>41766</v>
      </c>
      <c r="OL10" s="58">
        <v>451613.73</v>
      </c>
      <c r="OM10" s="115">
        <v>41767</v>
      </c>
      <c r="ON10" t="s">
        <v>1765</v>
      </c>
      <c r="OS10" s="115">
        <v>42115</v>
      </c>
      <c r="OT10">
        <v>0.2</v>
      </c>
      <c r="OU10">
        <v>0</v>
      </c>
      <c r="OV10">
        <v>0</v>
      </c>
      <c r="OW10" s="115">
        <v>42160</v>
      </c>
      <c r="OX10">
        <v>816</v>
      </c>
      <c r="OY10" s="115">
        <v>42163</v>
      </c>
      <c r="OZ10" t="s">
        <v>1765</v>
      </c>
      <c r="PE10" s="115">
        <v>42115</v>
      </c>
      <c r="PF10">
        <v>0.2</v>
      </c>
      <c r="PG10">
        <v>0</v>
      </c>
      <c r="PH10">
        <v>0</v>
      </c>
      <c r="PI10" s="115">
        <v>42160</v>
      </c>
      <c r="PJ10">
        <v>816</v>
      </c>
      <c r="PK10" s="115">
        <v>42163</v>
      </c>
      <c r="PL10" t="s">
        <v>1765</v>
      </c>
      <c r="PQ10" s="115">
        <v>41719</v>
      </c>
      <c r="PR10">
        <v>0.7</v>
      </c>
      <c r="PS10">
        <v>0</v>
      </c>
      <c r="PT10">
        <v>0</v>
      </c>
      <c r="PU10" s="115">
        <v>41815</v>
      </c>
      <c r="PV10" s="58">
        <v>30384.2</v>
      </c>
      <c r="PW10" s="115">
        <v>41816</v>
      </c>
      <c r="PX10" t="s">
        <v>1765</v>
      </c>
      <c r="QC10" s="115">
        <v>41744</v>
      </c>
      <c r="QD10">
        <v>0.3</v>
      </c>
      <c r="QE10">
        <v>0</v>
      </c>
      <c r="QF10">
        <v>0</v>
      </c>
      <c r="QG10" s="115">
        <v>41835</v>
      </c>
      <c r="QH10" s="58">
        <v>30606.03</v>
      </c>
      <c r="QI10" s="115">
        <v>41836</v>
      </c>
      <c r="QJ10" t="s">
        <v>1765</v>
      </c>
      <c r="QO10" s="115">
        <v>43180</v>
      </c>
      <c r="QP10">
        <v>1</v>
      </c>
      <c r="QQ10">
        <v>0</v>
      </c>
      <c r="QR10">
        <v>0</v>
      </c>
      <c r="QS10" s="115">
        <v>43257</v>
      </c>
      <c r="QT10" s="58">
        <v>1828024.14</v>
      </c>
      <c r="QU10" s="115">
        <v>43258</v>
      </c>
      <c r="QV10" t="s">
        <v>1765</v>
      </c>
      <c r="RA10" s="115">
        <v>41723</v>
      </c>
      <c r="RB10">
        <v>0.35</v>
      </c>
      <c r="RC10">
        <v>0</v>
      </c>
      <c r="RD10">
        <v>0</v>
      </c>
      <c r="RE10" s="115">
        <v>41807</v>
      </c>
      <c r="RF10" s="58">
        <v>185475.59</v>
      </c>
      <c r="RG10" s="115">
        <v>41808</v>
      </c>
      <c r="RH10" t="s">
        <v>1765</v>
      </c>
      <c r="RM10" s="115">
        <v>41727</v>
      </c>
      <c r="RN10">
        <v>0.2</v>
      </c>
      <c r="RO10">
        <v>0</v>
      </c>
      <c r="RP10">
        <v>0.6</v>
      </c>
      <c r="RQ10" s="115">
        <v>41806</v>
      </c>
      <c r="RR10" s="58">
        <v>18706</v>
      </c>
      <c r="RS10" s="115">
        <v>41807</v>
      </c>
      <c r="RT10" t="s">
        <v>1765</v>
      </c>
      <c r="RY10" s="115">
        <v>41731</v>
      </c>
      <c r="RZ10">
        <v>0.13</v>
      </c>
      <c r="SA10">
        <v>0</v>
      </c>
      <c r="SB10">
        <v>0</v>
      </c>
      <c r="SC10" s="115">
        <v>41775</v>
      </c>
      <c r="SD10" s="58">
        <v>17239.21</v>
      </c>
      <c r="SE10" s="115">
        <v>41778</v>
      </c>
      <c r="SF10" t="s">
        <v>1765</v>
      </c>
      <c r="SK10" s="115">
        <v>41723</v>
      </c>
      <c r="SL10">
        <v>0.35</v>
      </c>
      <c r="SM10">
        <v>0</v>
      </c>
      <c r="SN10">
        <v>0</v>
      </c>
      <c r="SO10" s="115">
        <v>41807</v>
      </c>
      <c r="SP10" s="58">
        <v>185475.59</v>
      </c>
      <c r="SQ10" s="115">
        <v>41808</v>
      </c>
      <c r="SR10" t="s">
        <v>1765</v>
      </c>
      <c r="SW10" s="115">
        <v>41727</v>
      </c>
      <c r="SX10">
        <v>0.2</v>
      </c>
      <c r="SY10">
        <v>0</v>
      </c>
      <c r="SZ10">
        <v>0.6</v>
      </c>
      <c r="TA10" s="115">
        <v>41806</v>
      </c>
      <c r="TB10" s="58">
        <v>18706</v>
      </c>
      <c r="TC10" s="115">
        <v>41807</v>
      </c>
      <c r="TD10" t="s">
        <v>1765</v>
      </c>
      <c r="TU10" s="115">
        <v>42608</v>
      </c>
      <c r="TV10">
        <v>0.5</v>
      </c>
      <c r="TW10">
        <v>0</v>
      </c>
      <c r="TX10">
        <v>0</v>
      </c>
      <c r="TY10" s="115">
        <v>42683</v>
      </c>
      <c r="TZ10" s="58">
        <v>217514.84</v>
      </c>
      <c r="UA10" s="115">
        <v>42684</v>
      </c>
      <c r="UB10" t="s">
        <v>1765</v>
      </c>
      <c r="UC10" s="203"/>
      <c r="UG10" s="115">
        <v>42608</v>
      </c>
      <c r="UH10">
        <v>0.5</v>
      </c>
      <c r="UI10">
        <v>0</v>
      </c>
      <c r="UJ10">
        <v>0</v>
      </c>
      <c r="UK10" s="115">
        <v>42683</v>
      </c>
      <c r="UL10" s="58">
        <v>217514.84</v>
      </c>
      <c r="UM10" s="115">
        <v>42684</v>
      </c>
      <c r="UN10" t="s">
        <v>1765</v>
      </c>
      <c r="US10" s="115">
        <v>42608</v>
      </c>
      <c r="UT10">
        <v>0.5</v>
      </c>
      <c r="UU10">
        <v>0</v>
      </c>
      <c r="UV10">
        <v>0</v>
      </c>
      <c r="UW10" s="115">
        <v>42683</v>
      </c>
      <c r="UX10" s="58">
        <v>217514.84</v>
      </c>
      <c r="UY10" s="115">
        <v>42684</v>
      </c>
      <c r="UZ10" t="s">
        <v>1765</v>
      </c>
      <c r="VE10" s="115">
        <v>42094</v>
      </c>
      <c r="VF10">
        <v>0.06</v>
      </c>
      <c r="VG10">
        <v>0</v>
      </c>
      <c r="VH10">
        <v>0</v>
      </c>
      <c r="VI10" s="115">
        <v>42146</v>
      </c>
      <c r="VJ10" s="58">
        <v>1867.64</v>
      </c>
      <c r="VK10" s="115">
        <v>42149</v>
      </c>
      <c r="VL10" t="s">
        <v>1765</v>
      </c>
      <c r="VQ10" s="115">
        <v>42052</v>
      </c>
      <c r="VR10">
        <v>0.75</v>
      </c>
      <c r="VS10">
        <v>0</v>
      </c>
      <c r="VT10">
        <v>0</v>
      </c>
      <c r="VU10" s="115">
        <v>42108</v>
      </c>
      <c r="VV10" s="58">
        <v>183199.94</v>
      </c>
      <c r="VW10" s="115">
        <v>42109</v>
      </c>
      <c r="VX10" t="s">
        <v>1765</v>
      </c>
      <c r="WC10" s="115">
        <v>40659</v>
      </c>
      <c r="WD10">
        <v>0</v>
      </c>
      <c r="WE10">
        <v>0</v>
      </c>
      <c r="WF10">
        <v>0.2</v>
      </c>
      <c r="WG10" s="115">
        <v>40711</v>
      </c>
      <c r="WH10">
        <v>0</v>
      </c>
      <c r="WI10" s="115">
        <v>40714</v>
      </c>
      <c r="WJ10" t="s">
        <v>1765</v>
      </c>
      <c r="WO10" s="115">
        <v>40659</v>
      </c>
      <c r="WP10">
        <v>0</v>
      </c>
      <c r="WQ10">
        <v>0</v>
      </c>
      <c r="WR10">
        <v>0.2</v>
      </c>
      <c r="WS10" s="115">
        <v>40711</v>
      </c>
      <c r="WT10">
        <v>0</v>
      </c>
      <c r="WU10" s="115">
        <v>40714</v>
      </c>
      <c r="WV10" t="s">
        <v>1765</v>
      </c>
      <c r="XM10" s="115">
        <v>41758</v>
      </c>
      <c r="XN10">
        <v>0.1</v>
      </c>
      <c r="XO10">
        <v>0</v>
      </c>
      <c r="XP10">
        <v>0</v>
      </c>
      <c r="XQ10" s="115">
        <v>41809</v>
      </c>
      <c r="XR10" s="58">
        <v>25600</v>
      </c>
      <c r="XS10" s="115">
        <v>41810</v>
      </c>
      <c r="XT10" t="s">
        <v>1765</v>
      </c>
      <c r="ZU10" s="115">
        <v>41740</v>
      </c>
      <c r="ZV10">
        <v>6.25E-2</v>
      </c>
      <c r="ZW10">
        <v>0</v>
      </c>
      <c r="ZX10">
        <v>0</v>
      </c>
      <c r="ZY10" s="115">
        <v>41802</v>
      </c>
      <c r="ZZ10" s="58">
        <v>1500</v>
      </c>
      <c r="AAA10" s="115">
        <v>41803</v>
      </c>
      <c r="AAB10" t="s">
        <v>1765</v>
      </c>
      <c r="AAG10" s="115">
        <v>41744</v>
      </c>
      <c r="AAH10">
        <v>0.1</v>
      </c>
      <c r="AAI10">
        <v>0</v>
      </c>
      <c r="AAJ10">
        <v>0</v>
      </c>
      <c r="AAK10" s="115">
        <v>41806</v>
      </c>
      <c r="AAL10" s="58">
        <v>5316.06</v>
      </c>
      <c r="AAM10" s="115">
        <v>41807</v>
      </c>
      <c r="AAN10" t="s">
        <v>1765</v>
      </c>
      <c r="AAS10" s="115">
        <v>40264</v>
      </c>
      <c r="AAT10">
        <v>0.12</v>
      </c>
      <c r="AAU10">
        <v>0</v>
      </c>
      <c r="AAV10">
        <v>0</v>
      </c>
      <c r="AAW10" s="115">
        <v>40333</v>
      </c>
      <c r="AAX10" s="58">
        <v>2163.3200000000002</v>
      </c>
      <c r="AAY10" s="115">
        <v>40336</v>
      </c>
      <c r="AAZ10" t="s">
        <v>1765</v>
      </c>
      <c r="ABQ10" s="115">
        <v>41745</v>
      </c>
      <c r="ABR10">
        <v>0.35</v>
      </c>
      <c r="ABS10">
        <v>0</v>
      </c>
      <c r="ABT10">
        <v>1</v>
      </c>
      <c r="ABU10" s="115">
        <v>41778</v>
      </c>
      <c r="ABV10" s="58">
        <v>20795.03</v>
      </c>
      <c r="ABW10" s="115">
        <v>41779</v>
      </c>
      <c r="ABX10" t="s">
        <v>1765</v>
      </c>
      <c r="ACO10" s="115">
        <v>41758</v>
      </c>
      <c r="ACP10">
        <v>0.46</v>
      </c>
      <c r="ACQ10">
        <v>0</v>
      </c>
      <c r="ACR10">
        <v>0</v>
      </c>
      <c r="ACS10" s="115">
        <v>41807</v>
      </c>
      <c r="ACT10" s="58">
        <v>125158.45</v>
      </c>
      <c r="ACU10" s="115">
        <v>41808</v>
      </c>
      <c r="ACV10" t="s">
        <v>1765</v>
      </c>
      <c r="ADA10" s="115">
        <v>42094</v>
      </c>
      <c r="ADB10">
        <v>1</v>
      </c>
      <c r="ADC10">
        <v>0</v>
      </c>
      <c r="ADD10">
        <v>0</v>
      </c>
      <c r="ADE10" s="115">
        <v>42123</v>
      </c>
      <c r="ADF10" s="58">
        <v>421580.84</v>
      </c>
      <c r="ADG10" s="115">
        <v>42124</v>
      </c>
      <c r="ADH10" t="s">
        <v>1765</v>
      </c>
      <c r="ADY10" s="115">
        <v>41751</v>
      </c>
      <c r="ADZ10">
        <v>0.2</v>
      </c>
      <c r="AEA10">
        <v>0</v>
      </c>
      <c r="AEB10">
        <v>0</v>
      </c>
      <c r="AEC10" s="115">
        <v>41794</v>
      </c>
      <c r="AED10" s="58">
        <v>21045.07</v>
      </c>
      <c r="AEE10" s="115">
        <v>41795</v>
      </c>
      <c r="AEF10" t="s">
        <v>1765</v>
      </c>
      <c r="AEW10" s="115">
        <v>42094</v>
      </c>
      <c r="AEX10">
        <v>0.25</v>
      </c>
      <c r="AEY10">
        <v>0</v>
      </c>
      <c r="AEZ10">
        <v>1</v>
      </c>
      <c r="AFA10" s="115">
        <v>42206</v>
      </c>
      <c r="AFB10" s="58">
        <v>18000</v>
      </c>
      <c r="AFC10" s="115">
        <v>42207</v>
      </c>
      <c r="AFD10" t="s">
        <v>1765</v>
      </c>
      <c r="AFI10" s="115">
        <v>41710</v>
      </c>
      <c r="AFJ10">
        <v>0.7</v>
      </c>
      <c r="AFK10">
        <v>0</v>
      </c>
      <c r="AFL10">
        <v>0</v>
      </c>
      <c r="AFM10" s="115">
        <v>41855</v>
      </c>
      <c r="AFN10" s="58">
        <v>45781.51</v>
      </c>
      <c r="AFO10" s="115">
        <v>41856</v>
      </c>
      <c r="AFP10" t="s">
        <v>1765</v>
      </c>
      <c r="AFU10" s="115">
        <v>41744</v>
      </c>
      <c r="AFV10">
        <v>0.7</v>
      </c>
      <c r="AFW10">
        <v>0</v>
      </c>
      <c r="AFX10">
        <v>0</v>
      </c>
      <c r="AFY10" s="115">
        <v>41803</v>
      </c>
      <c r="AFZ10" s="58">
        <v>151363.43</v>
      </c>
      <c r="AGA10" s="115">
        <v>41806</v>
      </c>
      <c r="AGB10" t="s">
        <v>1765</v>
      </c>
      <c r="AGG10" s="115">
        <v>40659</v>
      </c>
      <c r="AGH10">
        <v>0</v>
      </c>
      <c r="AGI10">
        <v>0</v>
      </c>
      <c r="AGJ10">
        <v>0.2</v>
      </c>
      <c r="AGK10" s="115">
        <v>40711</v>
      </c>
      <c r="AGL10">
        <v>0</v>
      </c>
      <c r="AGM10" s="115">
        <v>40714</v>
      </c>
      <c r="AGN10" t="s">
        <v>1765</v>
      </c>
      <c r="AGS10" s="115">
        <v>41727</v>
      </c>
      <c r="AGT10">
        <v>0.15</v>
      </c>
      <c r="AGU10">
        <v>0</v>
      </c>
      <c r="AGV10">
        <v>0</v>
      </c>
      <c r="AGW10" s="115">
        <v>41858</v>
      </c>
      <c r="AGX10" s="58">
        <v>136818.44</v>
      </c>
      <c r="AGY10" s="115">
        <v>41859</v>
      </c>
      <c r="AGZ10" t="s">
        <v>1765</v>
      </c>
      <c r="AHE10" s="115">
        <v>41739</v>
      </c>
      <c r="AHF10">
        <v>0.1</v>
      </c>
      <c r="AHG10">
        <v>0</v>
      </c>
      <c r="AHH10">
        <v>0</v>
      </c>
      <c r="AHI10" s="115">
        <v>41771</v>
      </c>
      <c r="AHJ10" s="58">
        <v>3693.87</v>
      </c>
      <c r="AHK10" s="115">
        <v>41772</v>
      </c>
      <c r="AHL10" t="s">
        <v>1765</v>
      </c>
      <c r="AHQ10" s="115">
        <v>42115</v>
      </c>
      <c r="AHR10">
        <v>4.8000000000000001E-2</v>
      </c>
      <c r="AHS10">
        <v>0</v>
      </c>
      <c r="AHT10">
        <v>0</v>
      </c>
      <c r="AHU10" s="115">
        <v>42165</v>
      </c>
      <c r="AHV10" s="58">
        <v>36559.22</v>
      </c>
      <c r="AHW10" s="115">
        <v>42166</v>
      </c>
      <c r="AHX10" t="s">
        <v>1765</v>
      </c>
      <c r="AIC10" s="115">
        <v>42094</v>
      </c>
      <c r="AID10">
        <v>0.15</v>
      </c>
      <c r="AIE10">
        <v>0</v>
      </c>
      <c r="AIF10">
        <v>0</v>
      </c>
      <c r="AIG10" s="115">
        <v>42166</v>
      </c>
      <c r="AIH10" s="58">
        <v>16878.63</v>
      </c>
      <c r="AII10" s="115">
        <v>42167</v>
      </c>
      <c r="AIJ10" t="s">
        <v>1765</v>
      </c>
      <c r="AIO10" s="115">
        <v>41723</v>
      </c>
      <c r="AIP10">
        <v>4.3739999999999997</v>
      </c>
      <c r="AIQ10">
        <v>0.1</v>
      </c>
      <c r="AIR10">
        <v>0</v>
      </c>
      <c r="AIS10" s="115">
        <v>41814</v>
      </c>
      <c r="AIT10" s="58">
        <v>454099.93</v>
      </c>
      <c r="AIU10" s="115">
        <v>41815</v>
      </c>
      <c r="AIV10" t="s">
        <v>1765</v>
      </c>
      <c r="AJA10" s="115">
        <v>41747</v>
      </c>
      <c r="AJB10">
        <v>0.7</v>
      </c>
      <c r="AJC10">
        <v>0</v>
      </c>
      <c r="AJD10">
        <v>0</v>
      </c>
      <c r="AJE10" s="115">
        <v>41820</v>
      </c>
      <c r="AJF10" s="58">
        <v>265717.67</v>
      </c>
      <c r="AJG10" s="115">
        <v>41821</v>
      </c>
      <c r="AJH10" t="s">
        <v>1765</v>
      </c>
      <c r="AJY10" s="115">
        <v>41751</v>
      </c>
      <c r="AJZ10">
        <v>0.25</v>
      </c>
      <c r="AKA10">
        <v>0</v>
      </c>
      <c r="AKB10">
        <v>0</v>
      </c>
      <c r="AKC10" s="115">
        <v>41828</v>
      </c>
      <c r="AKD10" s="58">
        <v>100430.58</v>
      </c>
      <c r="AKE10" s="115">
        <v>41829</v>
      </c>
      <c r="AKF10" t="s">
        <v>1765</v>
      </c>
      <c r="AKK10" s="115">
        <v>40782</v>
      </c>
      <c r="AKL10">
        <v>0.1</v>
      </c>
      <c r="AKM10">
        <v>0</v>
      </c>
      <c r="AKN10">
        <v>0.5</v>
      </c>
      <c r="AKO10" s="115">
        <v>40816</v>
      </c>
      <c r="AKP10" s="58">
        <v>1470</v>
      </c>
      <c r="AKQ10" s="115">
        <v>40826</v>
      </c>
      <c r="AKR10" t="s">
        <v>1765</v>
      </c>
      <c r="AKW10" s="115">
        <v>41011</v>
      </c>
      <c r="AKX10">
        <v>0.05</v>
      </c>
      <c r="AKY10">
        <v>0</v>
      </c>
      <c r="AKZ10">
        <v>0</v>
      </c>
      <c r="ALA10" s="115">
        <v>41057</v>
      </c>
      <c r="ALB10" s="58">
        <v>1161</v>
      </c>
      <c r="ALC10" s="115">
        <v>41058</v>
      </c>
      <c r="ALD10" t="s">
        <v>1765</v>
      </c>
      <c r="AMG10" s="115">
        <v>41739</v>
      </c>
      <c r="AMH10">
        <v>1.1000000000000001</v>
      </c>
      <c r="AMI10">
        <v>0</v>
      </c>
      <c r="AMJ10">
        <v>0</v>
      </c>
      <c r="AMK10" s="115">
        <v>41815</v>
      </c>
      <c r="AML10" s="58">
        <v>17697.3</v>
      </c>
      <c r="AMM10" s="115">
        <v>41816</v>
      </c>
      <c r="AMN10" t="s">
        <v>1765</v>
      </c>
      <c r="AMS10" s="115">
        <v>42110</v>
      </c>
      <c r="AMT10">
        <v>0.05</v>
      </c>
      <c r="AMU10">
        <v>0</v>
      </c>
      <c r="AMV10">
        <v>0</v>
      </c>
      <c r="AMW10" s="115">
        <v>42198</v>
      </c>
      <c r="AMX10" s="58">
        <v>4068.1</v>
      </c>
      <c r="AMY10" s="115">
        <v>42199</v>
      </c>
      <c r="AMZ10" t="s">
        <v>1765</v>
      </c>
      <c r="ANA10" s="56"/>
      <c r="ANE10" s="115">
        <v>41723</v>
      </c>
      <c r="ANF10">
        <v>0.35</v>
      </c>
      <c r="ANG10">
        <v>0</v>
      </c>
      <c r="ANH10">
        <v>0</v>
      </c>
      <c r="ANI10" s="115">
        <v>41807</v>
      </c>
      <c r="ANJ10" s="58">
        <v>185475.59</v>
      </c>
      <c r="ANK10" s="115">
        <v>41808</v>
      </c>
      <c r="ANL10" t="s">
        <v>1765</v>
      </c>
      <c r="ANQ10" s="115">
        <v>42110</v>
      </c>
      <c r="ANR10">
        <v>0.05</v>
      </c>
      <c r="ANS10">
        <v>0</v>
      </c>
      <c r="ANT10">
        <v>0</v>
      </c>
      <c r="ANU10" s="115">
        <v>42198</v>
      </c>
      <c r="ANV10" s="58">
        <v>4068.1</v>
      </c>
      <c r="ANW10" s="115">
        <v>42199</v>
      </c>
      <c r="ANX10" t="s">
        <v>1765</v>
      </c>
      <c r="AOC10" s="115">
        <v>43180</v>
      </c>
      <c r="AOD10">
        <v>1</v>
      </c>
      <c r="AOE10">
        <v>0</v>
      </c>
      <c r="AOF10">
        <v>0</v>
      </c>
      <c r="AOG10" s="115">
        <v>43257</v>
      </c>
      <c r="AOH10" s="58">
        <v>1828024.14</v>
      </c>
      <c r="AOI10" s="115">
        <v>43258</v>
      </c>
      <c r="AOJ10" t="s">
        <v>1765</v>
      </c>
      <c r="AOO10" s="115">
        <v>41719</v>
      </c>
      <c r="AOP10">
        <v>0.7</v>
      </c>
      <c r="AOQ10">
        <v>0</v>
      </c>
      <c r="AOR10">
        <v>0</v>
      </c>
      <c r="AOS10" s="115">
        <v>41815</v>
      </c>
      <c r="AOT10" s="58">
        <v>30384.2</v>
      </c>
      <c r="AOU10" s="115">
        <v>41816</v>
      </c>
      <c r="AOV10" t="s">
        <v>1765</v>
      </c>
      <c r="APA10" s="115">
        <v>40949</v>
      </c>
      <c r="APB10">
        <v>0.03</v>
      </c>
      <c r="APC10">
        <v>0</v>
      </c>
      <c r="APD10">
        <v>0</v>
      </c>
      <c r="APE10" s="115">
        <v>41017</v>
      </c>
      <c r="APF10">
        <v>777.99</v>
      </c>
      <c r="APG10" s="115">
        <v>41018</v>
      </c>
      <c r="APH10" t="s">
        <v>1765</v>
      </c>
      <c r="APM10" s="115">
        <v>41724</v>
      </c>
      <c r="APN10">
        <v>0.19</v>
      </c>
      <c r="APO10">
        <v>0</v>
      </c>
      <c r="APP10">
        <v>0</v>
      </c>
      <c r="APQ10" s="115">
        <v>41779</v>
      </c>
      <c r="APR10" s="58">
        <v>85362.4</v>
      </c>
      <c r="APS10" s="115">
        <v>41780</v>
      </c>
      <c r="APT10" t="s">
        <v>1765</v>
      </c>
      <c r="APY10" s="115">
        <v>42103</v>
      </c>
      <c r="APZ10">
        <v>0.05</v>
      </c>
      <c r="AQA10">
        <v>0</v>
      </c>
      <c r="AQB10">
        <v>0</v>
      </c>
      <c r="AQC10" s="115">
        <v>42144</v>
      </c>
      <c r="AQD10" s="58">
        <v>2770.59</v>
      </c>
      <c r="AQE10" s="115">
        <v>42145</v>
      </c>
      <c r="AQF10" t="s">
        <v>1765</v>
      </c>
      <c r="AQK10" s="115">
        <v>41723</v>
      </c>
      <c r="AQL10">
        <v>0.35</v>
      </c>
      <c r="AQM10">
        <v>0</v>
      </c>
      <c r="AQN10">
        <v>0</v>
      </c>
      <c r="AQO10" s="115">
        <v>41807</v>
      </c>
      <c r="AQP10" s="58">
        <v>185475.59</v>
      </c>
      <c r="AQQ10" s="115">
        <v>41808</v>
      </c>
      <c r="AQR10" t="s">
        <v>1765</v>
      </c>
      <c r="AQW10" s="115">
        <v>41727</v>
      </c>
      <c r="AQX10">
        <v>0.08</v>
      </c>
      <c r="AQY10">
        <v>0</v>
      </c>
      <c r="AQZ10">
        <v>0</v>
      </c>
      <c r="ARA10" s="115">
        <v>41807</v>
      </c>
      <c r="ARB10" s="58">
        <v>14803.08</v>
      </c>
      <c r="ARC10" s="115">
        <v>41808</v>
      </c>
      <c r="ARD10" t="s">
        <v>1765</v>
      </c>
      <c r="ARI10" s="115">
        <v>41374</v>
      </c>
      <c r="ARJ10">
        <v>0.15</v>
      </c>
      <c r="ARK10">
        <v>0</v>
      </c>
      <c r="ARL10">
        <v>0.6</v>
      </c>
      <c r="ARM10" s="115">
        <v>41410</v>
      </c>
      <c r="ARN10" s="58">
        <v>1809</v>
      </c>
      <c r="ARO10" s="115">
        <v>41411</v>
      </c>
      <c r="ARP10" t="s">
        <v>1765</v>
      </c>
      <c r="ARU10" s="115">
        <v>42122</v>
      </c>
      <c r="ARV10">
        <v>3</v>
      </c>
      <c r="ARW10">
        <v>0</v>
      </c>
      <c r="ARX10">
        <v>1</v>
      </c>
      <c r="ARY10" s="115">
        <v>42187</v>
      </c>
      <c r="ARZ10" s="58">
        <v>902359.63</v>
      </c>
      <c r="ASA10" s="115">
        <v>42188</v>
      </c>
      <c r="ASB10" t="s">
        <v>1765</v>
      </c>
      <c r="ASG10" s="115">
        <v>41705</v>
      </c>
      <c r="ASH10">
        <v>0.41</v>
      </c>
      <c r="ASI10">
        <v>0</v>
      </c>
      <c r="ASJ10">
        <v>0</v>
      </c>
      <c r="ASK10" s="115">
        <v>41766</v>
      </c>
      <c r="ASL10" s="58">
        <v>451613.73</v>
      </c>
      <c r="ASM10" s="115">
        <v>41767</v>
      </c>
      <c r="ASN10" t="s">
        <v>1765</v>
      </c>
      <c r="ASS10" s="115">
        <v>42608</v>
      </c>
      <c r="AST10">
        <v>0.5</v>
      </c>
      <c r="ASU10">
        <v>0</v>
      </c>
      <c r="ASV10">
        <v>0</v>
      </c>
      <c r="ASW10" s="115">
        <v>42683</v>
      </c>
      <c r="ASX10" s="58">
        <v>217514.84</v>
      </c>
      <c r="ASY10" s="115">
        <v>42684</v>
      </c>
      <c r="ASZ10" t="s">
        <v>1765</v>
      </c>
      <c r="ATE10" s="115">
        <v>41734</v>
      </c>
      <c r="ATF10">
        <v>0.27</v>
      </c>
      <c r="ATG10">
        <v>0</v>
      </c>
      <c r="ATH10">
        <v>0</v>
      </c>
      <c r="ATI10" s="115">
        <v>41807</v>
      </c>
      <c r="ATJ10" s="58">
        <v>41252.379999999997</v>
      </c>
      <c r="ATK10" s="115">
        <v>41808</v>
      </c>
      <c r="ATL10" t="s">
        <v>1765</v>
      </c>
      <c r="ATQ10" s="115">
        <v>42091</v>
      </c>
      <c r="ATR10">
        <v>0.1</v>
      </c>
      <c r="ATS10">
        <v>0</v>
      </c>
      <c r="ATT10">
        <v>0</v>
      </c>
      <c r="ATU10" s="115">
        <v>42207</v>
      </c>
      <c r="ATV10" s="58">
        <v>6247.62</v>
      </c>
      <c r="ATW10" s="115">
        <v>42208</v>
      </c>
      <c r="ATX10" t="s">
        <v>1765</v>
      </c>
      <c r="AUC10" s="115">
        <v>41744</v>
      </c>
      <c r="AUD10">
        <v>0.3</v>
      </c>
      <c r="AUE10">
        <v>0</v>
      </c>
      <c r="AUF10">
        <v>0</v>
      </c>
      <c r="AUG10" s="115">
        <v>41835</v>
      </c>
      <c r="AUH10" s="58">
        <v>30606.03</v>
      </c>
      <c r="AUI10" s="115">
        <v>41836</v>
      </c>
      <c r="AUJ10" t="s">
        <v>1765</v>
      </c>
      <c r="AUO10" s="115">
        <v>40968</v>
      </c>
      <c r="AUP10">
        <v>0.03</v>
      </c>
      <c r="AUQ10">
        <v>0</v>
      </c>
      <c r="AUR10">
        <v>0</v>
      </c>
      <c r="AUS10" s="115">
        <v>41045</v>
      </c>
      <c r="AUT10" s="58">
        <v>19270.93</v>
      </c>
      <c r="AUU10" s="115">
        <v>41046</v>
      </c>
      <c r="AUV10" t="s">
        <v>1765</v>
      </c>
      <c r="AVA10" s="115">
        <v>41727</v>
      </c>
      <c r="AVB10">
        <v>0.1</v>
      </c>
      <c r="AVC10">
        <v>0</v>
      </c>
      <c r="AVD10">
        <v>0</v>
      </c>
      <c r="AVE10" s="115">
        <v>41817</v>
      </c>
      <c r="AVF10" s="58">
        <v>164717.25</v>
      </c>
      <c r="AVG10" s="115">
        <v>41820</v>
      </c>
      <c r="AVH10" t="s">
        <v>1765</v>
      </c>
      <c r="AVM10" s="115">
        <v>41731</v>
      </c>
      <c r="AVN10">
        <v>0.13</v>
      </c>
      <c r="AVO10">
        <v>0</v>
      </c>
      <c r="AVP10">
        <v>0</v>
      </c>
      <c r="AVQ10" s="115">
        <v>41775</v>
      </c>
      <c r="AVR10" s="58">
        <v>17239.21</v>
      </c>
      <c r="AVS10" s="115">
        <v>41778</v>
      </c>
      <c r="AVT10" t="s">
        <v>1765</v>
      </c>
      <c r="AWK10" s="115">
        <v>42094</v>
      </c>
      <c r="AWL10">
        <v>0.06</v>
      </c>
      <c r="AWM10">
        <v>0</v>
      </c>
      <c r="AWN10">
        <v>0</v>
      </c>
      <c r="AWO10" s="115">
        <v>42146</v>
      </c>
      <c r="AWP10" s="58">
        <v>1867.64</v>
      </c>
      <c r="AWQ10" s="115">
        <v>42149</v>
      </c>
      <c r="AWR10" t="s">
        <v>1765</v>
      </c>
      <c r="AWT10" s="185"/>
    </row>
    <row r="11" spans="1:1300" x14ac:dyDescent="0.25">
      <c r="A11" s="115">
        <v>41759</v>
      </c>
      <c r="B11">
        <v>0.12</v>
      </c>
      <c r="C11">
        <v>0</v>
      </c>
      <c r="D11">
        <v>0</v>
      </c>
      <c r="E11" s="115">
        <v>41858</v>
      </c>
      <c r="F11" s="58">
        <v>91398.05</v>
      </c>
      <c r="G11" s="115">
        <v>41859</v>
      </c>
      <c r="H11" t="s">
        <v>1765</v>
      </c>
      <c r="Y11" s="115">
        <v>41333</v>
      </c>
      <c r="Z11">
        <v>0.18</v>
      </c>
      <c r="AA11">
        <v>0</v>
      </c>
      <c r="AB11">
        <v>0</v>
      </c>
      <c r="AC11" s="115">
        <v>41409</v>
      </c>
      <c r="AD11" s="58">
        <v>197919.96</v>
      </c>
      <c r="AE11" s="115">
        <v>41410</v>
      </c>
      <c r="AF11" t="s">
        <v>1765</v>
      </c>
      <c r="AK11" s="115">
        <v>41333</v>
      </c>
      <c r="AL11">
        <v>0.18</v>
      </c>
      <c r="AM11">
        <v>0</v>
      </c>
      <c r="AN11">
        <v>0</v>
      </c>
      <c r="AO11" s="115">
        <v>41409</v>
      </c>
      <c r="AP11" s="58">
        <v>197919.96</v>
      </c>
      <c r="AQ11" s="115">
        <v>41410</v>
      </c>
      <c r="AR11" t="s">
        <v>1765</v>
      </c>
      <c r="AW11" s="115">
        <v>41496</v>
      </c>
      <c r="AX11">
        <v>0.15</v>
      </c>
      <c r="AY11">
        <v>0</v>
      </c>
      <c r="AZ11">
        <v>0</v>
      </c>
      <c r="BA11" s="115">
        <v>41526</v>
      </c>
      <c r="BB11" s="58">
        <v>7027.39</v>
      </c>
      <c r="BC11" s="115">
        <v>41527</v>
      </c>
      <c r="BD11" t="s">
        <v>1765</v>
      </c>
      <c r="BI11" s="115">
        <v>42824</v>
      </c>
      <c r="BJ11">
        <v>0.25</v>
      </c>
      <c r="BK11">
        <v>1</v>
      </c>
      <c r="BL11">
        <v>0</v>
      </c>
      <c r="BM11" s="115">
        <v>42936</v>
      </c>
      <c r="BN11" s="58">
        <v>99965.48</v>
      </c>
      <c r="BO11" s="115">
        <v>42937</v>
      </c>
      <c r="BP11" t="s">
        <v>1765</v>
      </c>
      <c r="BU11" s="115">
        <v>41362</v>
      </c>
      <c r="BV11">
        <v>0.09</v>
      </c>
      <c r="BW11">
        <v>0</v>
      </c>
      <c r="BX11">
        <v>0</v>
      </c>
      <c r="BY11" s="115">
        <v>41460</v>
      </c>
      <c r="BZ11" s="58">
        <v>124227</v>
      </c>
      <c r="CA11" s="115">
        <v>41463</v>
      </c>
      <c r="CB11" t="s">
        <v>1765</v>
      </c>
      <c r="CS11" s="115">
        <v>40991</v>
      </c>
      <c r="CT11">
        <v>3.3500000000000002E-2</v>
      </c>
      <c r="CU11">
        <v>0</v>
      </c>
      <c r="CV11">
        <v>0</v>
      </c>
      <c r="CW11" s="115">
        <v>41095</v>
      </c>
      <c r="CX11" s="58">
        <v>71008.600000000006</v>
      </c>
      <c r="CY11" s="115">
        <v>41096</v>
      </c>
      <c r="CZ11" t="s">
        <v>1765</v>
      </c>
      <c r="DE11" s="115">
        <v>41386</v>
      </c>
      <c r="DF11">
        <v>0.105</v>
      </c>
      <c r="DG11">
        <v>0</v>
      </c>
      <c r="DH11">
        <v>0</v>
      </c>
      <c r="DI11" s="115">
        <v>41479</v>
      </c>
      <c r="DJ11" s="58">
        <v>315000</v>
      </c>
      <c r="DK11" s="115">
        <v>41480</v>
      </c>
      <c r="DL11" t="s">
        <v>1765</v>
      </c>
      <c r="DQ11" s="115">
        <v>41362</v>
      </c>
      <c r="DR11">
        <v>5.1999999999999998E-2</v>
      </c>
      <c r="DS11">
        <v>0</v>
      </c>
      <c r="DT11">
        <v>0</v>
      </c>
      <c r="DU11" s="115">
        <v>41488</v>
      </c>
      <c r="DV11" s="58">
        <v>110759.48</v>
      </c>
      <c r="DW11" s="115">
        <v>41491</v>
      </c>
      <c r="DX11" t="s">
        <v>1765</v>
      </c>
      <c r="FA11" s="115">
        <v>40659</v>
      </c>
      <c r="FB11">
        <v>0.1</v>
      </c>
      <c r="FC11">
        <v>0</v>
      </c>
      <c r="FD11">
        <v>0</v>
      </c>
      <c r="FE11" s="115">
        <v>40695</v>
      </c>
      <c r="FF11" s="58">
        <v>2055</v>
      </c>
      <c r="FG11" s="115">
        <v>40696</v>
      </c>
      <c r="FH11" t="s">
        <v>1765</v>
      </c>
      <c r="FM11" s="115">
        <v>41359</v>
      </c>
      <c r="FN11">
        <v>0.5</v>
      </c>
      <c r="FO11">
        <v>0</v>
      </c>
      <c r="FP11">
        <v>0</v>
      </c>
      <c r="FQ11" s="115">
        <v>41416</v>
      </c>
      <c r="FR11" s="58">
        <v>111330.58</v>
      </c>
      <c r="FS11" s="115">
        <v>41417</v>
      </c>
      <c r="FT11" t="s">
        <v>1765</v>
      </c>
      <c r="FY11" s="115">
        <v>40990</v>
      </c>
      <c r="FZ11">
        <v>0.1</v>
      </c>
      <c r="GA11">
        <v>0</v>
      </c>
      <c r="GB11">
        <v>0</v>
      </c>
      <c r="GC11" s="115">
        <v>41025</v>
      </c>
      <c r="GD11" s="58">
        <v>1206</v>
      </c>
      <c r="GE11" s="115">
        <v>41026</v>
      </c>
      <c r="GF11" t="s">
        <v>1765</v>
      </c>
      <c r="GK11" s="115">
        <v>41754</v>
      </c>
      <c r="GL11">
        <v>1.5</v>
      </c>
      <c r="GM11">
        <v>0</v>
      </c>
      <c r="GN11">
        <v>0</v>
      </c>
      <c r="GO11" s="115">
        <v>41795</v>
      </c>
      <c r="GP11" s="58">
        <v>451179.82</v>
      </c>
      <c r="GQ11" s="115">
        <v>41796</v>
      </c>
      <c r="GR11" t="s">
        <v>1765</v>
      </c>
      <c r="GW11" s="115">
        <v>41333</v>
      </c>
      <c r="GX11">
        <v>0.18</v>
      </c>
      <c r="GY11">
        <v>0</v>
      </c>
      <c r="GZ11">
        <v>0</v>
      </c>
      <c r="HA11" s="115">
        <v>41409</v>
      </c>
      <c r="HB11" s="58">
        <v>197919.96</v>
      </c>
      <c r="HC11" s="115">
        <v>41410</v>
      </c>
      <c r="HD11" t="s">
        <v>1765</v>
      </c>
      <c r="HI11" s="115">
        <v>40984</v>
      </c>
      <c r="HJ11">
        <v>0.1</v>
      </c>
      <c r="HK11">
        <v>0</v>
      </c>
      <c r="HL11">
        <v>0</v>
      </c>
      <c r="HM11" s="115">
        <v>41043</v>
      </c>
      <c r="HN11" s="58">
        <v>23830</v>
      </c>
      <c r="HO11" s="115">
        <v>41044</v>
      </c>
      <c r="HP11" t="s">
        <v>1765</v>
      </c>
      <c r="HU11" s="115">
        <v>40991</v>
      </c>
      <c r="HV11">
        <v>3.3500000000000002E-2</v>
      </c>
      <c r="HW11">
        <v>0</v>
      </c>
      <c r="HX11">
        <v>0</v>
      </c>
      <c r="HY11" s="115">
        <v>41095</v>
      </c>
      <c r="HZ11" s="58">
        <v>71008.600000000006</v>
      </c>
      <c r="IA11" s="115">
        <v>41096</v>
      </c>
      <c r="IB11" t="s">
        <v>1765</v>
      </c>
      <c r="IS11" s="115">
        <v>41496</v>
      </c>
      <c r="IT11">
        <v>0.15</v>
      </c>
      <c r="IU11">
        <v>0</v>
      </c>
      <c r="IV11">
        <v>0</v>
      </c>
      <c r="IW11" s="115">
        <v>41526</v>
      </c>
      <c r="IX11" s="58">
        <v>7027.39</v>
      </c>
      <c r="IY11" s="115">
        <v>41527</v>
      </c>
      <c r="IZ11" t="s">
        <v>1765</v>
      </c>
      <c r="JE11" s="115">
        <v>41380</v>
      </c>
      <c r="JF11">
        <v>0.17</v>
      </c>
      <c r="JG11">
        <v>0</v>
      </c>
      <c r="JH11">
        <v>0</v>
      </c>
      <c r="JI11" s="115">
        <v>41410</v>
      </c>
      <c r="JJ11" s="58">
        <v>24963.07</v>
      </c>
      <c r="JK11" s="115">
        <v>41411</v>
      </c>
      <c r="JL11" t="s">
        <v>1765</v>
      </c>
      <c r="KC11" s="115">
        <v>41363</v>
      </c>
      <c r="KD11">
        <v>0.13830000000000001</v>
      </c>
      <c r="KE11">
        <v>0</v>
      </c>
      <c r="KF11">
        <v>0</v>
      </c>
      <c r="KG11" s="115">
        <v>41442</v>
      </c>
      <c r="KH11" s="58">
        <v>236797.93</v>
      </c>
      <c r="KI11" s="115">
        <v>41443</v>
      </c>
      <c r="KJ11" t="s">
        <v>1765</v>
      </c>
      <c r="KO11" s="115">
        <v>38505</v>
      </c>
      <c r="KP11">
        <v>0</v>
      </c>
      <c r="KQ11">
        <v>0</v>
      </c>
      <c r="KR11">
        <v>0.5</v>
      </c>
      <c r="KS11" s="115">
        <v>38551</v>
      </c>
      <c r="KT11">
        <v>0</v>
      </c>
      <c r="KU11" s="115">
        <v>38552</v>
      </c>
      <c r="KV11" t="s">
        <v>1765</v>
      </c>
      <c r="LA11" s="115">
        <v>41759</v>
      </c>
      <c r="LB11">
        <v>0.12</v>
      </c>
      <c r="LC11">
        <v>0</v>
      </c>
      <c r="LD11">
        <v>0</v>
      </c>
      <c r="LE11" s="115">
        <v>41858</v>
      </c>
      <c r="LF11" s="58">
        <v>91398.05</v>
      </c>
      <c r="LG11" s="115">
        <v>41859</v>
      </c>
      <c r="LH11" t="s">
        <v>1765</v>
      </c>
      <c r="LY11" s="115">
        <v>41866</v>
      </c>
      <c r="LZ11">
        <v>0.11</v>
      </c>
      <c r="MA11">
        <v>0</v>
      </c>
      <c r="MB11">
        <v>0</v>
      </c>
      <c r="MC11" s="115">
        <v>41904</v>
      </c>
      <c r="MD11" s="58">
        <v>8949.82</v>
      </c>
      <c r="ME11" s="115">
        <v>41905</v>
      </c>
      <c r="MF11" t="s">
        <v>1765</v>
      </c>
      <c r="MK11" s="115">
        <v>41733</v>
      </c>
      <c r="ML11">
        <v>0.1</v>
      </c>
      <c r="MM11">
        <v>0</v>
      </c>
      <c r="MN11">
        <v>0</v>
      </c>
      <c r="MO11" s="115">
        <v>41766</v>
      </c>
      <c r="MP11" s="58">
        <v>3112.74</v>
      </c>
      <c r="MQ11" s="115">
        <v>41767</v>
      </c>
      <c r="MR11" t="s">
        <v>1765</v>
      </c>
      <c r="NU11" s="115">
        <v>41754</v>
      </c>
      <c r="NV11">
        <v>1.5</v>
      </c>
      <c r="NW11">
        <v>0</v>
      </c>
      <c r="NX11">
        <v>0</v>
      </c>
      <c r="NY11" s="115">
        <v>41795</v>
      </c>
      <c r="NZ11" s="58">
        <v>451179.82</v>
      </c>
      <c r="OA11" s="115">
        <v>41796</v>
      </c>
      <c r="OB11" t="s">
        <v>1765</v>
      </c>
      <c r="OG11" s="115">
        <v>41333</v>
      </c>
      <c r="OH11">
        <v>0.18</v>
      </c>
      <c r="OI11">
        <v>0</v>
      </c>
      <c r="OJ11">
        <v>0</v>
      </c>
      <c r="OK11" s="115">
        <v>41409</v>
      </c>
      <c r="OL11" s="58">
        <v>197919.96</v>
      </c>
      <c r="OM11" s="115">
        <v>41410</v>
      </c>
      <c r="ON11" t="s">
        <v>1765</v>
      </c>
      <c r="PQ11" s="115">
        <v>40408</v>
      </c>
      <c r="PR11">
        <v>0.33</v>
      </c>
      <c r="PS11">
        <v>0</v>
      </c>
      <c r="PT11">
        <v>0</v>
      </c>
      <c r="PU11" s="115">
        <v>40473</v>
      </c>
      <c r="PV11" s="58">
        <v>14323.98</v>
      </c>
      <c r="PW11" s="115">
        <v>40476</v>
      </c>
      <c r="PX11" t="s">
        <v>1765</v>
      </c>
      <c r="QC11" s="115">
        <v>41361</v>
      </c>
      <c r="QD11">
        <v>0.3</v>
      </c>
      <c r="QE11">
        <v>0.5</v>
      </c>
      <c r="QF11">
        <v>0</v>
      </c>
      <c r="QG11" s="115">
        <v>41457</v>
      </c>
      <c r="QH11" s="58">
        <v>20404.02</v>
      </c>
      <c r="QI11" s="115">
        <v>41458</v>
      </c>
      <c r="QJ11" t="s">
        <v>1765</v>
      </c>
      <c r="QO11" s="115">
        <v>42965</v>
      </c>
      <c r="QP11">
        <v>0.5</v>
      </c>
      <c r="QQ11">
        <v>0</v>
      </c>
      <c r="QR11">
        <v>0</v>
      </c>
      <c r="QS11" s="115">
        <v>42979</v>
      </c>
      <c r="QT11" s="58">
        <v>914012.07</v>
      </c>
      <c r="QU11" s="115">
        <v>42982</v>
      </c>
      <c r="QV11" t="s">
        <v>1765</v>
      </c>
      <c r="RA11" s="115">
        <v>41356</v>
      </c>
      <c r="RB11">
        <v>0.25</v>
      </c>
      <c r="RC11">
        <v>0</v>
      </c>
      <c r="RD11">
        <v>0</v>
      </c>
      <c r="RE11" s="115">
        <v>41438</v>
      </c>
      <c r="RF11" s="58">
        <v>132482.56</v>
      </c>
      <c r="RG11" s="115">
        <v>41439</v>
      </c>
      <c r="RH11" t="s">
        <v>1765</v>
      </c>
      <c r="RM11" s="115">
        <v>41359</v>
      </c>
      <c r="RN11">
        <v>0.18</v>
      </c>
      <c r="RO11">
        <v>0</v>
      </c>
      <c r="RP11">
        <v>0</v>
      </c>
      <c r="RQ11" s="115">
        <v>41430</v>
      </c>
      <c r="RR11" s="58">
        <v>16835.400000000001</v>
      </c>
      <c r="RS11" s="115">
        <v>41431</v>
      </c>
      <c r="RT11" t="s">
        <v>1765</v>
      </c>
      <c r="RY11" s="115">
        <v>41311</v>
      </c>
      <c r="RZ11">
        <v>1</v>
      </c>
      <c r="SA11">
        <v>0</v>
      </c>
      <c r="SB11">
        <v>0</v>
      </c>
      <c r="SC11" s="115">
        <v>41341</v>
      </c>
      <c r="SD11" s="58">
        <v>130053.05</v>
      </c>
      <c r="SE11" s="115">
        <v>41344</v>
      </c>
      <c r="SF11" t="s">
        <v>1765</v>
      </c>
      <c r="SK11" s="115">
        <v>41356</v>
      </c>
      <c r="SL11">
        <v>0.25</v>
      </c>
      <c r="SM11">
        <v>0</v>
      </c>
      <c r="SN11">
        <v>0</v>
      </c>
      <c r="SO11" s="115">
        <v>41438</v>
      </c>
      <c r="SP11" s="58">
        <v>132482.56</v>
      </c>
      <c r="SQ11" s="115">
        <v>41439</v>
      </c>
      <c r="SR11" t="s">
        <v>1765</v>
      </c>
      <c r="SW11" s="115">
        <v>41359</v>
      </c>
      <c r="SX11">
        <v>0.18</v>
      </c>
      <c r="SY11">
        <v>0</v>
      </c>
      <c r="SZ11">
        <v>0</v>
      </c>
      <c r="TA11" s="115">
        <v>41430</v>
      </c>
      <c r="TB11" s="58">
        <v>16835.400000000001</v>
      </c>
      <c r="TC11" s="115">
        <v>41431</v>
      </c>
      <c r="TD11" t="s">
        <v>1765</v>
      </c>
      <c r="TU11" s="115">
        <v>42478</v>
      </c>
      <c r="TV11">
        <v>0.5</v>
      </c>
      <c r="TW11">
        <v>0</v>
      </c>
      <c r="TX11">
        <v>0.2</v>
      </c>
      <c r="TY11" s="115">
        <v>42521</v>
      </c>
      <c r="TZ11" s="58">
        <v>181262.37</v>
      </c>
      <c r="UA11" s="115">
        <v>42522</v>
      </c>
      <c r="UB11" t="s">
        <v>1765</v>
      </c>
      <c r="UC11" s="203"/>
      <c r="UG11" s="115">
        <v>42478</v>
      </c>
      <c r="UH11">
        <v>0.5</v>
      </c>
      <c r="UI11">
        <v>0</v>
      </c>
      <c r="UJ11">
        <v>0.2</v>
      </c>
      <c r="UK11" s="115">
        <v>42521</v>
      </c>
      <c r="UL11" s="58">
        <v>181262.37</v>
      </c>
      <c r="UM11" s="115">
        <v>42522</v>
      </c>
      <c r="UN11" t="s">
        <v>1765</v>
      </c>
      <c r="US11" s="115">
        <v>42478</v>
      </c>
      <c r="UT11">
        <v>0.5</v>
      </c>
      <c r="UU11">
        <v>0</v>
      </c>
      <c r="UV11">
        <v>0.2</v>
      </c>
      <c r="UW11" s="115">
        <v>42521</v>
      </c>
      <c r="UX11" s="58">
        <v>181262.37</v>
      </c>
      <c r="UY11" s="115">
        <v>42522</v>
      </c>
      <c r="UZ11" t="s">
        <v>1765</v>
      </c>
      <c r="VE11" s="115">
        <v>41733</v>
      </c>
      <c r="VF11">
        <v>0.1</v>
      </c>
      <c r="VG11">
        <v>0</v>
      </c>
      <c r="VH11">
        <v>0</v>
      </c>
      <c r="VI11" s="115">
        <v>41766</v>
      </c>
      <c r="VJ11" s="58">
        <v>3112.74</v>
      </c>
      <c r="VK11" s="115">
        <v>41767</v>
      </c>
      <c r="VL11" t="s">
        <v>1765</v>
      </c>
      <c r="VQ11" s="115">
        <v>41695</v>
      </c>
      <c r="VR11">
        <v>0.5</v>
      </c>
      <c r="VS11">
        <v>0</v>
      </c>
      <c r="VT11">
        <v>0</v>
      </c>
      <c r="VU11" s="115">
        <v>41772</v>
      </c>
      <c r="VV11" s="58">
        <v>100149.32</v>
      </c>
      <c r="VW11" s="115">
        <v>41773</v>
      </c>
      <c r="VX11" t="s">
        <v>1765</v>
      </c>
      <c r="WC11" s="115">
        <v>38505</v>
      </c>
      <c r="WD11">
        <v>0</v>
      </c>
      <c r="WE11">
        <v>0</v>
      </c>
      <c r="WF11">
        <v>0.5</v>
      </c>
      <c r="WG11" s="115">
        <v>38551</v>
      </c>
      <c r="WH11">
        <v>0</v>
      </c>
      <c r="WI11" s="115">
        <v>38552</v>
      </c>
      <c r="WJ11" t="s">
        <v>1765</v>
      </c>
      <c r="WO11" s="115">
        <v>38505</v>
      </c>
      <c r="WP11">
        <v>0</v>
      </c>
      <c r="WQ11">
        <v>0</v>
      </c>
      <c r="WR11">
        <v>0.5</v>
      </c>
      <c r="WS11" s="115">
        <v>38551</v>
      </c>
      <c r="WT11">
        <v>0</v>
      </c>
      <c r="WU11" s="115">
        <v>38552</v>
      </c>
      <c r="WV11" t="s">
        <v>1765</v>
      </c>
      <c r="XM11" s="115">
        <v>41387</v>
      </c>
      <c r="XN11">
        <v>0.2</v>
      </c>
      <c r="XO11">
        <v>0</v>
      </c>
      <c r="XP11">
        <v>0</v>
      </c>
      <c r="XQ11" s="115">
        <v>41450</v>
      </c>
      <c r="XR11" s="58">
        <v>52688</v>
      </c>
      <c r="XS11" s="115">
        <v>41451</v>
      </c>
      <c r="XT11" t="s">
        <v>1765</v>
      </c>
      <c r="ZU11" s="115">
        <v>41380</v>
      </c>
      <c r="ZV11">
        <v>0.1</v>
      </c>
      <c r="ZW11">
        <v>0</v>
      </c>
      <c r="ZX11">
        <v>0</v>
      </c>
      <c r="ZY11" s="115">
        <v>41421</v>
      </c>
      <c r="ZZ11" s="58">
        <v>2400</v>
      </c>
      <c r="AAA11" s="115">
        <v>41422</v>
      </c>
      <c r="AAB11" t="s">
        <v>1765</v>
      </c>
      <c r="AAG11" s="115">
        <v>41380</v>
      </c>
      <c r="AAH11">
        <v>0.1</v>
      </c>
      <c r="AAI11">
        <v>0</v>
      </c>
      <c r="AAJ11">
        <v>0</v>
      </c>
      <c r="AAK11" s="115">
        <v>41429</v>
      </c>
      <c r="AAL11" s="58">
        <v>5316.06</v>
      </c>
      <c r="AAM11" s="115">
        <v>41430</v>
      </c>
      <c r="AAN11" t="s">
        <v>1765</v>
      </c>
      <c r="AAS11" s="115">
        <v>39653</v>
      </c>
      <c r="AAT11">
        <v>0.19</v>
      </c>
      <c r="AAU11">
        <v>0</v>
      </c>
      <c r="AAV11">
        <v>0</v>
      </c>
      <c r="AAW11" s="115">
        <v>39680</v>
      </c>
      <c r="AAX11" s="58">
        <v>3425.26</v>
      </c>
      <c r="AAY11" s="115">
        <v>39681</v>
      </c>
      <c r="AAZ11" t="s">
        <v>1765</v>
      </c>
      <c r="ABQ11" s="115">
        <v>41391</v>
      </c>
      <c r="ABR11">
        <v>0.25</v>
      </c>
      <c r="ABS11">
        <v>0</v>
      </c>
      <c r="ABT11">
        <v>0</v>
      </c>
      <c r="ABU11" s="115">
        <v>41424</v>
      </c>
      <c r="ABV11" s="58">
        <v>10743.34</v>
      </c>
      <c r="ABW11" s="115">
        <v>41425</v>
      </c>
      <c r="ABX11" t="s">
        <v>1765</v>
      </c>
      <c r="ACO11" s="115">
        <v>41354</v>
      </c>
      <c r="ACP11">
        <v>0.37</v>
      </c>
      <c r="ACQ11">
        <v>0</v>
      </c>
      <c r="ACR11">
        <v>0</v>
      </c>
      <c r="ACS11" s="115">
        <v>41431</v>
      </c>
      <c r="ACT11" s="58">
        <v>99748.65</v>
      </c>
      <c r="ACU11" s="115">
        <v>41432</v>
      </c>
      <c r="ACV11" t="s">
        <v>1765</v>
      </c>
      <c r="ADA11" s="115">
        <v>41727</v>
      </c>
      <c r="ADB11">
        <v>2</v>
      </c>
      <c r="ADC11">
        <v>0</v>
      </c>
      <c r="ADD11">
        <v>1.5</v>
      </c>
      <c r="ADE11" s="115">
        <v>41758</v>
      </c>
      <c r="ADF11" s="58">
        <v>337264.68</v>
      </c>
      <c r="ADG11" s="115">
        <v>41759</v>
      </c>
      <c r="ADH11" t="s">
        <v>1765</v>
      </c>
      <c r="ADY11" s="115">
        <v>41387</v>
      </c>
      <c r="ADZ11">
        <v>0.2</v>
      </c>
      <c r="AEA11">
        <v>0</v>
      </c>
      <c r="AEB11">
        <v>0</v>
      </c>
      <c r="AEC11" s="115">
        <v>41423</v>
      </c>
      <c r="AED11" s="58">
        <v>20887.93</v>
      </c>
      <c r="AEE11" s="115">
        <v>41424</v>
      </c>
      <c r="AEF11" t="s">
        <v>1765</v>
      </c>
      <c r="AEW11" s="115">
        <v>41755</v>
      </c>
      <c r="AEX11">
        <v>0.25</v>
      </c>
      <c r="AEY11">
        <v>0</v>
      </c>
      <c r="AEZ11">
        <v>0.5</v>
      </c>
      <c r="AFA11" s="115">
        <v>41820</v>
      </c>
      <c r="AFB11" s="58">
        <v>12000</v>
      </c>
      <c r="AFC11" s="115">
        <v>41821</v>
      </c>
      <c r="AFD11" t="s">
        <v>1765</v>
      </c>
      <c r="AFI11" s="115">
        <v>41363</v>
      </c>
      <c r="AFJ11">
        <v>0.7</v>
      </c>
      <c r="AFK11">
        <v>0</v>
      </c>
      <c r="AFL11">
        <v>0</v>
      </c>
      <c r="AFM11" s="115">
        <v>41491</v>
      </c>
      <c r="AFN11" s="58">
        <v>45781.51</v>
      </c>
      <c r="AFO11" s="115">
        <v>41492</v>
      </c>
      <c r="AFP11" t="s">
        <v>1765</v>
      </c>
      <c r="AFU11" s="115">
        <v>41359</v>
      </c>
      <c r="AFV11">
        <v>0.7</v>
      </c>
      <c r="AFW11">
        <v>0</v>
      </c>
      <c r="AFX11">
        <v>0</v>
      </c>
      <c r="AFY11" s="115">
        <v>41396</v>
      </c>
      <c r="AFZ11" s="58">
        <v>151363.43</v>
      </c>
      <c r="AGA11" s="115">
        <v>41397</v>
      </c>
      <c r="AGB11" t="s">
        <v>1765</v>
      </c>
      <c r="AGG11" s="115">
        <v>38505</v>
      </c>
      <c r="AGH11">
        <v>0</v>
      </c>
      <c r="AGI11">
        <v>0</v>
      </c>
      <c r="AGJ11">
        <v>0.5</v>
      </c>
      <c r="AGK11" s="115">
        <v>38551</v>
      </c>
      <c r="AGL11">
        <v>0</v>
      </c>
      <c r="AGM11" s="115">
        <v>38552</v>
      </c>
      <c r="AGN11" t="s">
        <v>1765</v>
      </c>
      <c r="AGS11" s="115">
        <v>41362</v>
      </c>
      <c r="AGT11">
        <v>0.2</v>
      </c>
      <c r="AGU11">
        <v>0</v>
      </c>
      <c r="AGV11">
        <v>0</v>
      </c>
      <c r="AGW11" s="115">
        <v>41474</v>
      </c>
      <c r="AGX11" s="58">
        <v>154119.07999999999</v>
      </c>
      <c r="AGY11" s="115">
        <v>41477</v>
      </c>
      <c r="AGZ11" t="s">
        <v>1765</v>
      </c>
      <c r="AHE11" s="115">
        <v>41361</v>
      </c>
      <c r="AHF11">
        <v>0.2</v>
      </c>
      <c r="AHG11">
        <v>0</v>
      </c>
      <c r="AHH11">
        <v>1</v>
      </c>
      <c r="AHI11" s="115">
        <v>41390</v>
      </c>
      <c r="AHJ11" s="58">
        <v>3679.65</v>
      </c>
      <c r="AHK11" s="115">
        <v>41396</v>
      </c>
      <c r="AHL11" t="s">
        <v>1765</v>
      </c>
      <c r="AHQ11" s="115">
        <v>41759</v>
      </c>
      <c r="AHR11">
        <v>0.12</v>
      </c>
      <c r="AHS11">
        <v>0</v>
      </c>
      <c r="AHT11">
        <v>0</v>
      </c>
      <c r="AHU11" s="115">
        <v>41858</v>
      </c>
      <c r="AHV11" s="58">
        <v>91398.05</v>
      </c>
      <c r="AHW11" s="115">
        <v>41859</v>
      </c>
      <c r="AHX11" t="s">
        <v>1765</v>
      </c>
      <c r="AIC11" s="115">
        <v>41730</v>
      </c>
      <c r="AID11">
        <v>0.25</v>
      </c>
      <c r="AIE11">
        <v>0</v>
      </c>
      <c r="AIF11">
        <v>0</v>
      </c>
      <c r="AIG11" s="115">
        <v>41801</v>
      </c>
      <c r="AIH11" s="58">
        <v>28131.06</v>
      </c>
      <c r="AII11" s="115">
        <v>41802</v>
      </c>
      <c r="AIJ11" t="s">
        <v>1765</v>
      </c>
      <c r="AIO11" s="115">
        <v>41362</v>
      </c>
      <c r="AIP11">
        <v>6.4189999999999996</v>
      </c>
      <c r="AIQ11">
        <v>0</v>
      </c>
      <c r="AIR11">
        <v>0</v>
      </c>
      <c r="AIS11" s="115">
        <v>41431</v>
      </c>
      <c r="AIT11" s="58">
        <v>666407.74</v>
      </c>
      <c r="AIU11" s="115">
        <v>41432</v>
      </c>
      <c r="AIV11" t="s">
        <v>1765</v>
      </c>
      <c r="AJA11" s="115">
        <v>41366</v>
      </c>
      <c r="AJB11">
        <v>0.8</v>
      </c>
      <c r="AJC11">
        <v>0</v>
      </c>
      <c r="AJD11">
        <v>0</v>
      </c>
      <c r="AJE11" s="115">
        <v>41431</v>
      </c>
      <c r="AJF11" s="58">
        <v>303677.34000000003</v>
      </c>
      <c r="AJG11" s="115">
        <v>41432</v>
      </c>
      <c r="AJH11" t="s">
        <v>1765</v>
      </c>
      <c r="AJY11" s="115">
        <v>41373</v>
      </c>
      <c r="AJZ11">
        <v>0.3</v>
      </c>
      <c r="AKA11">
        <v>0.5</v>
      </c>
      <c r="AKB11">
        <v>0.5</v>
      </c>
      <c r="AKC11" s="115">
        <v>41464</v>
      </c>
      <c r="AKD11" s="58">
        <v>60258.35</v>
      </c>
      <c r="AKE11" s="115">
        <v>41465</v>
      </c>
      <c r="AKF11" t="s">
        <v>1765</v>
      </c>
      <c r="AKW11" s="115">
        <v>40656</v>
      </c>
      <c r="AKX11">
        <v>0.08</v>
      </c>
      <c r="AKY11">
        <v>0</v>
      </c>
      <c r="AKZ11">
        <v>0.8</v>
      </c>
      <c r="ALA11" s="115">
        <v>40715</v>
      </c>
      <c r="ALB11" s="58">
        <v>1032</v>
      </c>
      <c r="ALC11" s="115">
        <v>40716</v>
      </c>
      <c r="ALD11" t="s">
        <v>1765</v>
      </c>
      <c r="AMG11" s="115">
        <v>41443</v>
      </c>
      <c r="AMH11">
        <v>0</v>
      </c>
      <c r="AMI11">
        <v>0</v>
      </c>
      <c r="AMJ11">
        <v>0</v>
      </c>
      <c r="AMK11" s="115">
        <v>41445</v>
      </c>
      <c r="AML11">
        <v>0</v>
      </c>
      <c r="AMM11" s="115">
        <v>41456</v>
      </c>
      <c r="AMN11" t="s">
        <v>1765</v>
      </c>
      <c r="AMS11" s="115">
        <v>41866</v>
      </c>
      <c r="AMT11">
        <v>0.11</v>
      </c>
      <c r="AMU11">
        <v>0</v>
      </c>
      <c r="AMV11">
        <v>0</v>
      </c>
      <c r="AMW11" s="115">
        <v>41904</v>
      </c>
      <c r="AMX11" s="58">
        <v>8949.82</v>
      </c>
      <c r="AMY11" s="115">
        <v>41905</v>
      </c>
      <c r="AMZ11" t="s">
        <v>1765</v>
      </c>
      <c r="ANA11" s="56"/>
      <c r="ANE11" s="115">
        <v>41356</v>
      </c>
      <c r="ANF11">
        <v>0.25</v>
      </c>
      <c r="ANG11">
        <v>0</v>
      </c>
      <c r="ANH11">
        <v>0</v>
      </c>
      <c r="ANI11" s="115">
        <v>41438</v>
      </c>
      <c r="ANJ11" s="58">
        <v>132482.56</v>
      </c>
      <c r="ANK11" s="115">
        <v>41439</v>
      </c>
      <c r="ANL11" t="s">
        <v>1765</v>
      </c>
      <c r="ANQ11" s="115">
        <v>41866</v>
      </c>
      <c r="ANR11">
        <v>0.11</v>
      </c>
      <c r="ANS11">
        <v>0</v>
      </c>
      <c r="ANT11">
        <v>0</v>
      </c>
      <c r="ANU11" s="115">
        <v>41904</v>
      </c>
      <c r="ANV11" s="58">
        <v>8949.82</v>
      </c>
      <c r="ANW11" s="115">
        <v>41905</v>
      </c>
      <c r="ANX11" t="s">
        <v>1765</v>
      </c>
      <c r="AOC11" s="115">
        <v>42965</v>
      </c>
      <c r="AOD11">
        <v>0.5</v>
      </c>
      <c r="AOE11">
        <v>0</v>
      </c>
      <c r="AOF11">
        <v>0</v>
      </c>
      <c r="AOG11" s="115">
        <v>42979</v>
      </c>
      <c r="AOH11" s="58">
        <v>914012.07</v>
      </c>
      <c r="AOI11" s="115">
        <v>42982</v>
      </c>
      <c r="AOJ11" t="s">
        <v>1765</v>
      </c>
      <c r="AOO11" s="115">
        <v>40408</v>
      </c>
      <c r="AOP11">
        <v>0.33</v>
      </c>
      <c r="AOQ11">
        <v>0</v>
      </c>
      <c r="AOR11">
        <v>0</v>
      </c>
      <c r="AOS11" s="115">
        <v>40473</v>
      </c>
      <c r="AOT11" s="58">
        <v>14323.98</v>
      </c>
      <c r="AOU11" s="115">
        <v>40476</v>
      </c>
      <c r="AOV11" t="s">
        <v>1765</v>
      </c>
      <c r="APA11" s="115">
        <v>40607</v>
      </c>
      <c r="APB11">
        <v>0.13</v>
      </c>
      <c r="APC11">
        <v>0</v>
      </c>
      <c r="APD11">
        <v>0</v>
      </c>
      <c r="APE11" s="115">
        <v>40679</v>
      </c>
      <c r="APF11" s="58">
        <v>3371.31</v>
      </c>
      <c r="APG11" s="115">
        <v>40680</v>
      </c>
      <c r="APH11" t="s">
        <v>1765</v>
      </c>
      <c r="APM11" s="115">
        <v>41387</v>
      </c>
      <c r="APN11">
        <v>0.05</v>
      </c>
      <c r="APO11">
        <v>0</v>
      </c>
      <c r="APP11">
        <v>0</v>
      </c>
      <c r="APQ11" s="115">
        <v>41453</v>
      </c>
      <c r="APR11" s="58">
        <v>3233.02</v>
      </c>
      <c r="APS11" s="115">
        <v>41456</v>
      </c>
      <c r="APT11" t="s">
        <v>1765</v>
      </c>
      <c r="AQK11" s="115">
        <v>41356</v>
      </c>
      <c r="AQL11">
        <v>0.25</v>
      </c>
      <c r="AQM11">
        <v>0</v>
      </c>
      <c r="AQN11">
        <v>0</v>
      </c>
      <c r="AQO11" s="115">
        <v>41438</v>
      </c>
      <c r="AQP11" s="58">
        <v>132482.56</v>
      </c>
      <c r="AQQ11" s="115">
        <v>41439</v>
      </c>
      <c r="AQR11" t="s">
        <v>1765</v>
      </c>
      <c r="AQW11" s="115">
        <v>41333</v>
      </c>
      <c r="AQX11">
        <v>0.02</v>
      </c>
      <c r="AQY11">
        <v>0</v>
      </c>
      <c r="AQZ11">
        <v>0</v>
      </c>
      <c r="ARA11" s="115">
        <v>41474</v>
      </c>
      <c r="ARB11" s="58">
        <v>3700.77</v>
      </c>
      <c r="ARC11" s="115">
        <v>41477</v>
      </c>
      <c r="ARD11" t="s">
        <v>1765</v>
      </c>
      <c r="ARI11" s="115">
        <v>40990</v>
      </c>
      <c r="ARJ11">
        <v>0.1</v>
      </c>
      <c r="ARK11">
        <v>0</v>
      </c>
      <c r="ARL11">
        <v>0</v>
      </c>
      <c r="ARM11" s="115">
        <v>41025</v>
      </c>
      <c r="ARN11" s="58">
        <v>1206</v>
      </c>
      <c r="ARO11" s="115">
        <v>41026</v>
      </c>
      <c r="ARP11" t="s">
        <v>1765</v>
      </c>
      <c r="ARU11" s="115">
        <v>41754</v>
      </c>
      <c r="ARV11">
        <v>1.5</v>
      </c>
      <c r="ARW11">
        <v>0</v>
      </c>
      <c r="ARX11">
        <v>0</v>
      </c>
      <c r="ARY11" s="115">
        <v>41795</v>
      </c>
      <c r="ARZ11" s="58">
        <v>451179.82</v>
      </c>
      <c r="ASA11" s="115">
        <v>41796</v>
      </c>
      <c r="ASB11" t="s">
        <v>1765</v>
      </c>
      <c r="ASG11" s="115">
        <v>41333</v>
      </c>
      <c r="ASH11">
        <v>0.18</v>
      </c>
      <c r="ASI11">
        <v>0</v>
      </c>
      <c r="ASJ11">
        <v>0</v>
      </c>
      <c r="ASK11" s="115">
        <v>41409</v>
      </c>
      <c r="ASL11" s="58">
        <v>197919.96</v>
      </c>
      <c r="ASM11" s="115">
        <v>41410</v>
      </c>
      <c r="ASN11" t="s">
        <v>1765</v>
      </c>
      <c r="ASS11" s="115">
        <v>42478</v>
      </c>
      <c r="AST11">
        <v>0.5</v>
      </c>
      <c r="ASU11">
        <v>0</v>
      </c>
      <c r="ASV11">
        <v>0.2</v>
      </c>
      <c r="ASW11" s="115">
        <v>42521</v>
      </c>
      <c r="ASX11" s="58">
        <v>181262.37</v>
      </c>
      <c r="ASY11" s="115">
        <v>42522</v>
      </c>
      <c r="ASZ11" t="s">
        <v>1765</v>
      </c>
      <c r="ATE11" s="115">
        <v>41380</v>
      </c>
      <c r="ATF11">
        <v>0.17</v>
      </c>
      <c r="ATG11">
        <v>0</v>
      </c>
      <c r="ATH11">
        <v>0</v>
      </c>
      <c r="ATI11" s="115">
        <v>41410</v>
      </c>
      <c r="ATJ11" s="58">
        <v>24963.07</v>
      </c>
      <c r="ATK11" s="115">
        <v>41411</v>
      </c>
      <c r="ATL11" t="s">
        <v>1765</v>
      </c>
      <c r="ATQ11" s="115">
        <v>41731</v>
      </c>
      <c r="ATR11">
        <v>0.08</v>
      </c>
      <c r="ATS11">
        <v>0</v>
      </c>
      <c r="ATT11">
        <v>0</v>
      </c>
      <c r="ATU11" s="115">
        <v>41829</v>
      </c>
      <c r="ATV11" s="58">
        <v>4998.09</v>
      </c>
      <c r="ATW11" s="115">
        <v>41830</v>
      </c>
      <c r="ATX11" t="s">
        <v>1765</v>
      </c>
      <c r="AUC11" s="115">
        <v>41361</v>
      </c>
      <c r="AUD11">
        <v>0.3</v>
      </c>
      <c r="AUE11">
        <v>0.5</v>
      </c>
      <c r="AUF11">
        <v>0</v>
      </c>
      <c r="AUG11" s="115">
        <v>41457</v>
      </c>
      <c r="AUH11" s="58">
        <v>20404.02</v>
      </c>
      <c r="AUI11" s="115">
        <v>41458</v>
      </c>
      <c r="AUJ11" t="s">
        <v>1765</v>
      </c>
      <c r="AUO11" s="115">
        <v>40628</v>
      </c>
      <c r="AUP11">
        <v>1.2E-2</v>
      </c>
      <c r="AUQ11">
        <v>0</v>
      </c>
      <c r="AUR11">
        <v>0</v>
      </c>
      <c r="AUS11" s="115">
        <v>40722</v>
      </c>
      <c r="AUT11" s="58">
        <v>7708.37</v>
      </c>
      <c r="AUU11" s="115">
        <v>40723</v>
      </c>
      <c r="AUV11" t="s">
        <v>1765</v>
      </c>
      <c r="AVA11" s="115">
        <v>41363</v>
      </c>
      <c r="AVB11">
        <v>0.13830000000000001</v>
      </c>
      <c r="AVC11">
        <v>0</v>
      </c>
      <c r="AVD11">
        <v>0</v>
      </c>
      <c r="AVE11" s="115">
        <v>41442</v>
      </c>
      <c r="AVF11" s="58">
        <v>236797.93</v>
      </c>
      <c r="AVG11" s="115">
        <v>41443</v>
      </c>
      <c r="AVH11" t="s">
        <v>1765</v>
      </c>
      <c r="AVM11" s="115">
        <v>41311</v>
      </c>
      <c r="AVN11">
        <v>1</v>
      </c>
      <c r="AVO11">
        <v>0</v>
      </c>
      <c r="AVP11">
        <v>0</v>
      </c>
      <c r="AVQ11" s="115">
        <v>41341</v>
      </c>
      <c r="AVR11" s="58">
        <v>130053.05</v>
      </c>
      <c r="AVS11" s="115">
        <v>41344</v>
      </c>
      <c r="AVT11" t="s">
        <v>1765</v>
      </c>
      <c r="AWK11" s="115">
        <v>41733</v>
      </c>
      <c r="AWL11">
        <v>0.1</v>
      </c>
      <c r="AWM11">
        <v>0</v>
      </c>
      <c r="AWN11">
        <v>0</v>
      </c>
      <c r="AWO11" s="115">
        <v>41766</v>
      </c>
      <c r="AWP11" s="58">
        <v>3112.74</v>
      </c>
      <c r="AWQ11" s="115">
        <v>41767</v>
      </c>
      <c r="AWR11" t="s">
        <v>1765</v>
      </c>
    </row>
    <row r="12" spans="1:1300" x14ac:dyDescent="0.25">
      <c r="A12" s="115">
        <v>41391</v>
      </c>
      <c r="B12">
        <v>0.25</v>
      </c>
      <c r="C12">
        <v>0</v>
      </c>
      <c r="D12">
        <v>0</v>
      </c>
      <c r="E12" s="115">
        <v>41507</v>
      </c>
      <c r="F12" s="58">
        <v>190412.6</v>
      </c>
      <c r="G12" s="115">
        <v>41508</v>
      </c>
      <c r="H12" t="s">
        <v>1765</v>
      </c>
      <c r="Y12" s="115">
        <v>40981</v>
      </c>
      <c r="Z12">
        <v>0.13</v>
      </c>
      <c r="AA12">
        <v>0</v>
      </c>
      <c r="AB12">
        <v>0</v>
      </c>
      <c r="AC12" s="115">
        <v>41094</v>
      </c>
      <c r="AD12" s="58">
        <v>142937.73000000001</v>
      </c>
      <c r="AE12" s="115">
        <v>41095</v>
      </c>
      <c r="AF12" t="s">
        <v>1765</v>
      </c>
      <c r="AK12" s="115">
        <v>40981</v>
      </c>
      <c r="AL12">
        <v>0.13</v>
      </c>
      <c r="AM12">
        <v>0</v>
      </c>
      <c r="AN12">
        <v>0</v>
      </c>
      <c r="AO12" s="115">
        <v>41094</v>
      </c>
      <c r="AP12" s="58">
        <v>142937.73000000001</v>
      </c>
      <c r="AQ12" s="115">
        <v>41095</v>
      </c>
      <c r="AR12" t="s">
        <v>1765</v>
      </c>
      <c r="AW12" s="115">
        <v>41005</v>
      </c>
      <c r="AX12">
        <v>0.15</v>
      </c>
      <c r="AY12">
        <v>0</v>
      </c>
      <c r="AZ12">
        <v>0.5</v>
      </c>
      <c r="BA12" s="115">
        <v>41047</v>
      </c>
      <c r="BB12" s="58">
        <v>3781.16</v>
      </c>
      <c r="BC12" s="115">
        <v>41050</v>
      </c>
      <c r="BD12" t="s">
        <v>1765</v>
      </c>
      <c r="BI12" s="115">
        <v>42613</v>
      </c>
      <c r="BJ12">
        <v>0.1</v>
      </c>
      <c r="BK12">
        <v>0</v>
      </c>
      <c r="BL12">
        <v>0</v>
      </c>
      <c r="BM12" s="115">
        <v>42662</v>
      </c>
      <c r="BN12" s="58">
        <v>39986.19</v>
      </c>
      <c r="BO12" s="115">
        <v>42663</v>
      </c>
      <c r="BP12" t="s">
        <v>1765</v>
      </c>
      <c r="BU12" s="115">
        <v>40999</v>
      </c>
      <c r="BV12">
        <v>0.18</v>
      </c>
      <c r="BW12">
        <v>0</v>
      </c>
      <c r="BX12">
        <v>0</v>
      </c>
      <c r="BY12" s="115">
        <v>41096</v>
      </c>
      <c r="BZ12" s="58">
        <v>248454</v>
      </c>
      <c r="CA12" s="115">
        <v>41099</v>
      </c>
      <c r="CB12" t="s">
        <v>1765</v>
      </c>
      <c r="CS12" s="115">
        <v>40632</v>
      </c>
      <c r="CT12">
        <v>2.5999999999999999E-2</v>
      </c>
      <c r="CU12">
        <v>0</v>
      </c>
      <c r="CV12">
        <v>0</v>
      </c>
      <c r="CW12" s="115">
        <v>40724</v>
      </c>
      <c r="CX12" s="58">
        <v>55111.15</v>
      </c>
      <c r="CY12" s="115">
        <v>40725</v>
      </c>
      <c r="CZ12" t="s">
        <v>1765</v>
      </c>
      <c r="DE12" s="115">
        <v>41019</v>
      </c>
      <c r="DF12">
        <v>0.08</v>
      </c>
      <c r="DG12">
        <v>0</v>
      </c>
      <c r="DH12">
        <v>0</v>
      </c>
      <c r="DI12" s="115">
        <v>41071</v>
      </c>
      <c r="DJ12" s="58">
        <v>240000</v>
      </c>
      <c r="DK12" s="115">
        <v>41072</v>
      </c>
      <c r="DL12" t="s">
        <v>1765</v>
      </c>
      <c r="DQ12" s="115">
        <v>40999</v>
      </c>
      <c r="DR12">
        <v>4.8000000000000001E-2</v>
      </c>
      <c r="DS12">
        <v>0</v>
      </c>
      <c r="DT12">
        <v>0</v>
      </c>
      <c r="DU12" s="115">
        <v>41117</v>
      </c>
      <c r="DV12" s="58">
        <v>102239.52</v>
      </c>
      <c r="DW12" s="115">
        <v>41120</v>
      </c>
      <c r="DX12" t="s">
        <v>1765</v>
      </c>
      <c r="FA12" s="115">
        <v>40260</v>
      </c>
      <c r="FB12">
        <v>0.2</v>
      </c>
      <c r="FC12">
        <v>0</v>
      </c>
      <c r="FD12">
        <v>0.5</v>
      </c>
      <c r="FE12" s="115">
        <v>40297</v>
      </c>
      <c r="FF12" s="58">
        <v>2740</v>
      </c>
      <c r="FG12" s="115">
        <v>40298</v>
      </c>
      <c r="FH12" t="s">
        <v>1765</v>
      </c>
      <c r="FM12" s="115">
        <v>40995</v>
      </c>
      <c r="FN12">
        <v>0.4</v>
      </c>
      <c r="FO12">
        <v>0</v>
      </c>
      <c r="FP12">
        <v>0</v>
      </c>
      <c r="FQ12" s="115">
        <v>41068</v>
      </c>
      <c r="FR12" s="58">
        <v>89064.47</v>
      </c>
      <c r="FS12" s="115">
        <v>41071</v>
      </c>
      <c r="FT12" t="s">
        <v>1765</v>
      </c>
      <c r="FY12" s="115">
        <v>40618</v>
      </c>
      <c r="FZ12">
        <v>0.3</v>
      </c>
      <c r="GA12">
        <v>0</v>
      </c>
      <c r="GB12">
        <v>0.8</v>
      </c>
      <c r="GC12" s="115">
        <v>40651</v>
      </c>
      <c r="GD12" s="58">
        <v>2010</v>
      </c>
      <c r="GE12" s="115">
        <v>40652</v>
      </c>
      <c r="GF12" t="s">
        <v>1765</v>
      </c>
      <c r="GK12" s="115">
        <v>41391</v>
      </c>
      <c r="GL12">
        <v>1</v>
      </c>
      <c r="GM12">
        <v>0</v>
      </c>
      <c r="GN12">
        <v>0</v>
      </c>
      <c r="GO12" s="115">
        <v>41465</v>
      </c>
      <c r="GP12" s="58">
        <v>300786.53999999998</v>
      </c>
      <c r="GQ12" s="115">
        <v>41466</v>
      </c>
      <c r="GR12" t="s">
        <v>1765</v>
      </c>
      <c r="GW12" s="115">
        <v>40981</v>
      </c>
      <c r="GX12">
        <v>0.13</v>
      </c>
      <c r="GY12">
        <v>0</v>
      </c>
      <c r="GZ12">
        <v>0</v>
      </c>
      <c r="HA12" s="115">
        <v>41094</v>
      </c>
      <c r="HB12" s="58">
        <v>142937.73000000001</v>
      </c>
      <c r="HC12" s="115">
        <v>41095</v>
      </c>
      <c r="HD12" t="s">
        <v>1765</v>
      </c>
      <c r="HI12" s="115">
        <v>40628</v>
      </c>
      <c r="HJ12">
        <v>0.18</v>
      </c>
      <c r="HK12">
        <v>0</v>
      </c>
      <c r="HL12">
        <v>0</v>
      </c>
      <c r="HM12" s="115">
        <v>40679</v>
      </c>
      <c r="HN12" s="58">
        <v>42894</v>
      </c>
      <c r="HO12" s="115">
        <v>40680</v>
      </c>
      <c r="HP12" t="s">
        <v>1765</v>
      </c>
      <c r="HU12" s="115">
        <v>40632</v>
      </c>
      <c r="HV12">
        <v>2.5999999999999999E-2</v>
      </c>
      <c r="HW12">
        <v>0</v>
      </c>
      <c r="HX12">
        <v>0</v>
      </c>
      <c r="HY12" s="115">
        <v>40724</v>
      </c>
      <c r="HZ12" s="58">
        <v>55111.15</v>
      </c>
      <c r="IA12" s="115">
        <v>40725</v>
      </c>
      <c r="IB12" t="s">
        <v>1765</v>
      </c>
      <c r="IS12" s="115">
        <v>41005</v>
      </c>
      <c r="IT12">
        <v>0.15</v>
      </c>
      <c r="IU12">
        <v>0</v>
      </c>
      <c r="IV12">
        <v>0.5</v>
      </c>
      <c r="IW12" s="115">
        <v>41047</v>
      </c>
      <c r="IX12" s="58">
        <v>3781.16</v>
      </c>
      <c r="IY12" s="115">
        <v>41050</v>
      </c>
      <c r="IZ12" t="s">
        <v>1765</v>
      </c>
      <c r="JE12" s="115">
        <v>41027</v>
      </c>
      <c r="JF12">
        <v>0.1</v>
      </c>
      <c r="JG12">
        <v>0</v>
      </c>
      <c r="JH12">
        <v>0</v>
      </c>
      <c r="JI12" s="115">
        <v>41064</v>
      </c>
      <c r="JJ12" s="58">
        <v>14684.16</v>
      </c>
      <c r="JK12" s="115">
        <v>41065</v>
      </c>
      <c r="JL12" t="s">
        <v>1765</v>
      </c>
      <c r="KC12" s="115">
        <v>40999</v>
      </c>
      <c r="KD12">
        <v>0.2</v>
      </c>
      <c r="KE12">
        <v>0</v>
      </c>
      <c r="KF12">
        <v>0</v>
      </c>
      <c r="KG12" s="115">
        <v>41068</v>
      </c>
      <c r="KH12" s="58">
        <v>350240.96</v>
      </c>
      <c r="KI12" s="115">
        <v>41071</v>
      </c>
      <c r="KJ12" t="s">
        <v>1765</v>
      </c>
      <c r="KO12" s="115">
        <v>38470</v>
      </c>
      <c r="KP12">
        <v>0.02</v>
      </c>
      <c r="KQ12">
        <v>0</v>
      </c>
      <c r="KR12">
        <v>0</v>
      </c>
      <c r="KS12" s="115">
        <v>38530</v>
      </c>
      <c r="KT12" s="58">
        <v>2927.59</v>
      </c>
      <c r="KU12" s="115">
        <v>38531</v>
      </c>
      <c r="KV12" t="s">
        <v>1765</v>
      </c>
      <c r="LA12" s="115">
        <v>41391</v>
      </c>
      <c r="LB12">
        <v>0.25</v>
      </c>
      <c r="LC12">
        <v>0</v>
      </c>
      <c r="LD12">
        <v>0</v>
      </c>
      <c r="LE12" s="115">
        <v>41507</v>
      </c>
      <c r="LF12" s="58">
        <v>190412.6</v>
      </c>
      <c r="LG12" s="115">
        <v>41508</v>
      </c>
      <c r="LH12" t="s">
        <v>1765</v>
      </c>
      <c r="LY12" s="115">
        <v>39073</v>
      </c>
      <c r="LZ12">
        <v>0</v>
      </c>
      <c r="MA12">
        <v>0</v>
      </c>
      <c r="MB12">
        <v>0.9</v>
      </c>
      <c r="MC12" s="115">
        <v>39190</v>
      </c>
      <c r="MD12">
        <v>0</v>
      </c>
      <c r="ME12" s="115">
        <v>39191</v>
      </c>
      <c r="MF12" t="s">
        <v>1765</v>
      </c>
      <c r="MK12" s="115">
        <v>41338</v>
      </c>
      <c r="ML12">
        <v>0.2</v>
      </c>
      <c r="MM12">
        <v>0</v>
      </c>
      <c r="MN12">
        <v>1</v>
      </c>
      <c r="MO12" s="115">
        <v>41379</v>
      </c>
      <c r="MP12" s="58">
        <v>3054.98</v>
      </c>
      <c r="MQ12" s="115">
        <v>41380</v>
      </c>
      <c r="MR12" t="s">
        <v>1765</v>
      </c>
      <c r="NU12" s="115">
        <v>41391</v>
      </c>
      <c r="NV12">
        <v>1</v>
      </c>
      <c r="NW12">
        <v>0</v>
      </c>
      <c r="NX12">
        <v>0</v>
      </c>
      <c r="NY12" s="115">
        <v>41465</v>
      </c>
      <c r="NZ12" s="58">
        <v>300786.53999999998</v>
      </c>
      <c r="OA12" s="115">
        <v>41466</v>
      </c>
      <c r="OB12" t="s">
        <v>1765</v>
      </c>
      <c r="OG12" s="115">
        <v>40981</v>
      </c>
      <c r="OH12">
        <v>0.13</v>
      </c>
      <c r="OI12">
        <v>0</v>
      </c>
      <c r="OJ12">
        <v>0</v>
      </c>
      <c r="OK12" s="115">
        <v>41094</v>
      </c>
      <c r="OL12" s="58">
        <v>142937.73000000001</v>
      </c>
      <c r="OM12" s="115">
        <v>41095</v>
      </c>
      <c r="ON12" t="s">
        <v>1765</v>
      </c>
      <c r="PQ12" s="115">
        <v>40264</v>
      </c>
      <c r="PR12">
        <v>0.33</v>
      </c>
      <c r="PS12">
        <v>0</v>
      </c>
      <c r="PT12">
        <v>0</v>
      </c>
      <c r="PU12" s="115">
        <v>40325</v>
      </c>
      <c r="PV12" s="58">
        <v>14323.98</v>
      </c>
      <c r="PW12" s="115">
        <v>40326</v>
      </c>
      <c r="PX12" t="s">
        <v>1765</v>
      </c>
      <c r="QC12" s="115">
        <v>41017</v>
      </c>
      <c r="QD12">
        <v>0.3</v>
      </c>
      <c r="QE12">
        <v>0</v>
      </c>
      <c r="QF12">
        <v>0</v>
      </c>
      <c r="QG12" s="115">
        <v>41107</v>
      </c>
      <c r="QH12" s="58">
        <v>20404.02</v>
      </c>
      <c r="QI12" s="115">
        <v>41108</v>
      </c>
      <c r="QJ12" t="s">
        <v>1765</v>
      </c>
      <c r="QO12" s="115">
        <v>42817</v>
      </c>
      <c r="QP12">
        <v>0.55000000000000004</v>
      </c>
      <c r="QQ12">
        <v>0</v>
      </c>
      <c r="QR12">
        <v>0</v>
      </c>
      <c r="QS12" s="115">
        <v>42926</v>
      </c>
      <c r="QT12" s="58">
        <v>1005413.28</v>
      </c>
      <c r="QU12" s="115">
        <v>42927</v>
      </c>
      <c r="QV12" t="s">
        <v>1765</v>
      </c>
      <c r="RA12" s="115">
        <v>40995</v>
      </c>
      <c r="RB12">
        <v>0.35</v>
      </c>
      <c r="RC12">
        <v>0</v>
      </c>
      <c r="RD12">
        <v>0</v>
      </c>
      <c r="RE12" s="115">
        <v>41073</v>
      </c>
      <c r="RF12" s="58">
        <v>185475.59</v>
      </c>
      <c r="RG12" s="115">
        <v>41074</v>
      </c>
      <c r="RH12" t="s">
        <v>1765</v>
      </c>
      <c r="RM12" s="115">
        <v>40990</v>
      </c>
      <c r="RN12">
        <v>0.15</v>
      </c>
      <c r="RO12">
        <v>0</v>
      </c>
      <c r="RP12">
        <v>0</v>
      </c>
      <c r="RQ12" s="115">
        <v>41053</v>
      </c>
      <c r="RR12" s="58">
        <v>14029.5</v>
      </c>
      <c r="RS12" s="115">
        <v>41054</v>
      </c>
      <c r="RT12" t="s">
        <v>1765</v>
      </c>
      <c r="RY12" s="115">
        <v>40380</v>
      </c>
      <c r="RZ12">
        <v>0</v>
      </c>
      <c r="SA12">
        <v>0</v>
      </c>
      <c r="SB12">
        <v>0.9</v>
      </c>
      <c r="SC12" s="115">
        <v>40464</v>
      </c>
      <c r="SD12">
        <v>0</v>
      </c>
      <c r="SE12" s="115">
        <v>40465</v>
      </c>
      <c r="SF12" t="s">
        <v>1765</v>
      </c>
      <c r="SK12" s="115">
        <v>40995</v>
      </c>
      <c r="SL12">
        <v>0.35</v>
      </c>
      <c r="SM12">
        <v>0</v>
      </c>
      <c r="SN12">
        <v>0</v>
      </c>
      <c r="SO12" s="115">
        <v>41073</v>
      </c>
      <c r="SP12" s="58">
        <v>185475.59</v>
      </c>
      <c r="SQ12" s="115">
        <v>41074</v>
      </c>
      <c r="SR12" t="s">
        <v>1765</v>
      </c>
      <c r="SW12" s="115">
        <v>40990</v>
      </c>
      <c r="SX12">
        <v>0.15</v>
      </c>
      <c r="SY12">
        <v>0</v>
      </c>
      <c r="SZ12">
        <v>0</v>
      </c>
      <c r="TA12" s="115">
        <v>41053</v>
      </c>
      <c r="TB12" s="58">
        <v>14029.5</v>
      </c>
      <c r="TC12" s="115">
        <v>41054</v>
      </c>
      <c r="TD12" t="s">
        <v>1765</v>
      </c>
      <c r="TR12">
        <f>TQ4/15</f>
        <v>6.4666666666666664E-2</v>
      </c>
      <c r="UC12" s="203"/>
      <c r="VE12" s="115">
        <v>41338</v>
      </c>
      <c r="VF12">
        <v>0.2</v>
      </c>
      <c r="VG12">
        <v>0</v>
      </c>
      <c r="VH12">
        <v>1</v>
      </c>
      <c r="VI12" s="115">
        <v>41379</v>
      </c>
      <c r="VJ12" s="58">
        <v>3054.98</v>
      </c>
      <c r="VK12" s="115">
        <v>41380</v>
      </c>
      <c r="VL12" t="s">
        <v>1765</v>
      </c>
      <c r="VQ12" s="115">
        <v>41352</v>
      </c>
      <c r="VR12">
        <v>0.5</v>
      </c>
      <c r="VS12">
        <v>0</v>
      </c>
      <c r="VT12">
        <v>0</v>
      </c>
      <c r="VU12" s="115">
        <v>41428</v>
      </c>
      <c r="VV12" s="58">
        <v>100149.32</v>
      </c>
      <c r="VW12" s="115">
        <v>41429</v>
      </c>
      <c r="VX12" t="s">
        <v>1765</v>
      </c>
      <c r="WC12" s="115">
        <v>38470</v>
      </c>
      <c r="WD12">
        <v>0.02</v>
      </c>
      <c r="WE12">
        <v>0</v>
      </c>
      <c r="WF12">
        <v>0</v>
      </c>
      <c r="WG12" s="115">
        <v>38530</v>
      </c>
      <c r="WH12" s="58">
        <v>2927.59</v>
      </c>
      <c r="WI12" s="115">
        <v>38531</v>
      </c>
      <c r="WJ12" t="s">
        <v>1765</v>
      </c>
      <c r="WO12" s="115">
        <v>38470</v>
      </c>
      <c r="WP12">
        <v>0.02</v>
      </c>
      <c r="WQ12">
        <v>0</v>
      </c>
      <c r="WR12">
        <v>0</v>
      </c>
      <c r="WS12" s="115">
        <v>38530</v>
      </c>
      <c r="WT12" s="58">
        <v>2927.59</v>
      </c>
      <c r="WU12" s="115">
        <v>38531</v>
      </c>
      <c r="WV12" t="s">
        <v>1765</v>
      </c>
      <c r="XM12" s="115">
        <v>41027</v>
      </c>
      <c r="XN12">
        <v>0.3</v>
      </c>
      <c r="XO12">
        <v>0.3</v>
      </c>
      <c r="XP12">
        <v>0.3</v>
      </c>
      <c r="XQ12" s="115">
        <v>41061</v>
      </c>
      <c r="XR12" s="58">
        <v>49395</v>
      </c>
      <c r="XS12" s="115">
        <v>41064</v>
      </c>
      <c r="XT12" t="s">
        <v>1765</v>
      </c>
      <c r="ZU12" s="115">
        <v>41019</v>
      </c>
      <c r="ZV12">
        <v>0.05</v>
      </c>
      <c r="ZW12">
        <v>0</v>
      </c>
      <c r="ZX12">
        <v>1</v>
      </c>
      <c r="ZY12" s="115">
        <v>41058</v>
      </c>
      <c r="ZZ12">
        <v>600</v>
      </c>
      <c r="AAA12" s="115">
        <v>41059</v>
      </c>
      <c r="AAB12" t="s">
        <v>1765</v>
      </c>
      <c r="AAG12" s="115">
        <v>41004</v>
      </c>
      <c r="AAH12">
        <v>0.1</v>
      </c>
      <c r="AAI12">
        <v>0</v>
      </c>
      <c r="AAJ12">
        <v>0.3</v>
      </c>
      <c r="AAK12" s="115">
        <v>41050</v>
      </c>
      <c r="AAL12" s="58">
        <v>4089.28</v>
      </c>
      <c r="AAM12" s="115">
        <v>41051</v>
      </c>
      <c r="AAN12" t="s">
        <v>1765</v>
      </c>
      <c r="AAS12" s="115">
        <v>39324</v>
      </c>
      <c r="AAT12">
        <v>0</v>
      </c>
      <c r="AAU12">
        <v>0</v>
      </c>
      <c r="AAV12">
        <v>0.8</v>
      </c>
      <c r="AAW12" s="115">
        <v>39365</v>
      </c>
      <c r="AAX12">
        <v>0</v>
      </c>
      <c r="AAY12" s="115">
        <v>39366</v>
      </c>
      <c r="AAZ12" t="s">
        <v>1765</v>
      </c>
      <c r="ABQ12" s="115">
        <v>41005</v>
      </c>
      <c r="ABR12">
        <v>0.2</v>
      </c>
      <c r="ABS12">
        <v>0</v>
      </c>
      <c r="ABT12">
        <v>0</v>
      </c>
      <c r="ABU12" s="115">
        <v>41044</v>
      </c>
      <c r="ABV12" s="58">
        <v>8594.67</v>
      </c>
      <c r="ABW12" s="115">
        <v>41045</v>
      </c>
      <c r="ABX12" t="s">
        <v>1765</v>
      </c>
      <c r="ACO12" s="115">
        <v>40999</v>
      </c>
      <c r="ACP12">
        <v>0.17</v>
      </c>
      <c r="ACQ12">
        <v>0</v>
      </c>
      <c r="ACR12">
        <v>0</v>
      </c>
      <c r="ACS12" s="115">
        <v>41071</v>
      </c>
      <c r="ACT12" s="58">
        <v>45647.17</v>
      </c>
      <c r="ACU12" s="115">
        <v>41072</v>
      </c>
      <c r="ACV12" t="s">
        <v>1765</v>
      </c>
      <c r="ADY12" s="115">
        <v>41017</v>
      </c>
      <c r="ADZ12">
        <v>0.2</v>
      </c>
      <c r="AEA12">
        <v>0</v>
      </c>
      <c r="AEB12">
        <v>0</v>
      </c>
      <c r="AEC12" s="115">
        <v>41072</v>
      </c>
      <c r="AED12" s="58">
        <v>20887.93</v>
      </c>
      <c r="AEE12" s="115">
        <v>41073</v>
      </c>
      <c r="AEF12" t="s">
        <v>1765</v>
      </c>
      <c r="AEW12" s="115">
        <v>41352</v>
      </c>
      <c r="AEX12">
        <v>0.25</v>
      </c>
      <c r="AEY12">
        <v>0</v>
      </c>
      <c r="AEZ12">
        <v>0</v>
      </c>
      <c r="AFA12" s="115">
        <v>41414</v>
      </c>
      <c r="AFB12" s="58">
        <v>12000</v>
      </c>
      <c r="AFC12" s="115">
        <v>41415</v>
      </c>
      <c r="AFD12" t="s">
        <v>1765</v>
      </c>
      <c r="AFI12" s="115">
        <v>40976</v>
      </c>
      <c r="AFJ12">
        <v>0.3</v>
      </c>
      <c r="AFK12">
        <v>0</v>
      </c>
      <c r="AFL12">
        <v>0</v>
      </c>
      <c r="AFM12" s="115">
        <v>41130</v>
      </c>
      <c r="AFN12" s="58">
        <v>19620.650000000001</v>
      </c>
      <c r="AFO12" s="115">
        <v>41131</v>
      </c>
      <c r="AFP12" t="s">
        <v>1765</v>
      </c>
      <c r="AFU12" s="115">
        <v>40975</v>
      </c>
      <c r="AFV12">
        <v>0.6</v>
      </c>
      <c r="AFW12">
        <v>0</v>
      </c>
      <c r="AFX12">
        <v>0</v>
      </c>
      <c r="AFY12" s="115">
        <v>41022</v>
      </c>
      <c r="AFZ12" s="58">
        <v>129740.08</v>
      </c>
      <c r="AGA12" s="115">
        <v>41023</v>
      </c>
      <c r="AGB12" t="s">
        <v>1765</v>
      </c>
      <c r="AGG12" s="115">
        <v>38470</v>
      </c>
      <c r="AGH12">
        <v>0.02</v>
      </c>
      <c r="AGI12">
        <v>0</v>
      </c>
      <c r="AGJ12">
        <v>0</v>
      </c>
      <c r="AGK12" s="115">
        <v>38530</v>
      </c>
      <c r="AGL12" s="58">
        <v>2927.59</v>
      </c>
      <c r="AGM12" s="115">
        <v>38531</v>
      </c>
      <c r="AGN12" t="s">
        <v>1765</v>
      </c>
      <c r="AGS12" s="115">
        <v>40984</v>
      </c>
      <c r="AGT12">
        <v>0.25</v>
      </c>
      <c r="AGU12">
        <v>0</v>
      </c>
      <c r="AGV12">
        <v>0</v>
      </c>
      <c r="AGW12" s="115">
        <v>41123</v>
      </c>
      <c r="AGX12" s="58">
        <v>192648.85</v>
      </c>
      <c r="AGY12" s="115">
        <v>41124</v>
      </c>
      <c r="AGZ12" t="s">
        <v>1765</v>
      </c>
      <c r="AHE12" s="115">
        <v>41131</v>
      </c>
      <c r="AHF12">
        <v>0.1</v>
      </c>
      <c r="AHG12">
        <v>0</v>
      </c>
      <c r="AHH12">
        <v>0</v>
      </c>
      <c r="AHI12" s="115">
        <v>41156</v>
      </c>
      <c r="AHJ12" s="58">
        <v>1839.83</v>
      </c>
      <c r="AHK12" s="115">
        <v>41157</v>
      </c>
      <c r="AHL12" t="s">
        <v>1765</v>
      </c>
      <c r="AHQ12" s="115">
        <v>41391</v>
      </c>
      <c r="AHR12">
        <v>0.25</v>
      </c>
      <c r="AHS12">
        <v>0</v>
      </c>
      <c r="AHT12">
        <v>0</v>
      </c>
      <c r="AHU12" s="115">
        <v>41507</v>
      </c>
      <c r="AHV12" s="58">
        <v>190412.6</v>
      </c>
      <c r="AHW12" s="115">
        <v>41508</v>
      </c>
      <c r="AHX12" t="s">
        <v>1765</v>
      </c>
      <c r="AIC12" s="115">
        <v>41366</v>
      </c>
      <c r="AID12">
        <v>0.25</v>
      </c>
      <c r="AIE12">
        <v>0</v>
      </c>
      <c r="AIF12">
        <v>0</v>
      </c>
      <c r="AIG12" s="115">
        <v>41444</v>
      </c>
      <c r="AIH12" s="58">
        <v>28131.05</v>
      </c>
      <c r="AII12" s="115">
        <v>41445</v>
      </c>
      <c r="AIJ12" t="s">
        <v>1765</v>
      </c>
      <c r="AIO12" s="115">
        <v>41010</v>
      </c>
      <c r="AIP12">
        <v>3.9969999999999999</v>
      </c>
      <c r="AIQ12">
        <v>0</v>
      </c>
      <c r="AIR12">
        <v>0</v>
      </c>
      <c r="AIS12" s="115">
        <v>41094</v>
      </c>
      <c r="AIT12" s="58">
        <v>414960.55</v>
      </c>
      <c r="AIU12" s="115">
        <v>41095</v>
      </c>
      <c r="AIV12" t="s">
        <v>1765</v>
      </c>
      <c r="AJA12" s="115">
        <v>40996</v>
      </c>
      <c r="AJB12">
        <v>0.5</v>
      </c>
      <c r="AJC12">
        <v>0</v>
      </c>
      <c r="AJD12">
        <v>0</v>
      </c>
      <c r="AJE12" s="115">
        <v>41044</v>
      </c>
      <c r="AJF12" s="58">
        <v>189798.34</v>
      </c>
      <c r="AJG12" s="115">
        <v>41045</v>
      </c>
      <c r="AJH12" t="s">
        <v>1765</v>
      </c>
      <c r="AJY12" s="115">
        <v>41023</v>
      </c>
      <c r="AJZ12">
        <v>0.4</v>
      </c>
      <c r="AKA12">
        <v>0</v>
      </c>
      <c r="AKB12">
        <v>1</v>
      </c>
      <c r="AKC12" s="115">
        <v>41072</v>
      </c>
      <c r="AKD12" s="58">
        <v>40000</v>
      </c>
      <c r="AKE12" s="115">
        <v>41073</v>
      </c>
      <c r="AKF12" t="s">
        <v>1765</v>
      </c>
      <c r="AKW12" s="115">
        <v>40415</v>
      </c>
      <c r="AKX12">
        <v>0</v>
      </c>
      <c r="AKY12">
        <v>0</v>
      </c>
      <c r="AKZ12">
        <v>0.5</v>
      </c>
      <c r="ALA12" s="115">
        <v>40449</v>
      </c>
      <c r="ALB12">
        <v>0</v>
      </c>
      <c r="ALC12" s="115">
        <v>40450</v>
      </c>
      <c r="ALD12" t="s">
        <v>1765</v>
      </c>
      <c r="AMG12" s="115">
        <v>41391</v>
      </c>
      <c r="AMH12">
        <v>0.8</v>
      </c>
      <c r="AMI12">
        <v>0</v>
      </c>
      <c r="AMJ12">
        <v>0</v>
      </c>
      <c r="AMK12" s="115">
        <v>41425</v>
      </c>
      <c r="AML12" s="58">
        <v>11200</v>
      </c>
      <c r="AMM12" s="115">
        <v>41428</v>
      </c>
      <c r="AMN12" t="s">
        <v>1765</v>
      </c>
      <c r="AMS12" s="115">
        <v>39073</v>
      </c>
      <c r="AMT12">
        <v>0</v>
      </c>
      <c r="AMU12">
        <v>0</v>
      </c>
      <c r="AMV12">
        <v>0.9</v>
      </c>
      <c r="AMW12" s="115">
        <v>39190</v>
      </c>
      <c r="AMX12">
        <v>0</v>
      </c>
      <c r="AMY12" s="115">
        <v>39191</v>
      </c>
      <c r="AMZ12" t="s">
        <v>1765</v>
      </c>
      <c r="ANA12" s="56"/>
      <c r="ANE12" s="115">
        <v>40995</v>
      </c>
      <c r="ANF12">
        <v>0.35</v>
      </c>
      <c r="ANG12">
        <v>0</v>
      </c>
      <c r="ANH12">
        <v>0</v>
      </c>
      <c r="ANI12" s="115">
        <v>41073</v>
      </c>
      <c r="ANJ12" s="58">
        <v>185475.59</v>
      </c>
      <c r="ANK12" s="115">
        <v>41074</v>
      </c>
      <c r="ANL12" t="s">
        <v>1765</v>
      </c>
      <c r="ANQ12" s="115">
        <v>39073</v>
      </c>
      <c r="ANR12">
        <v>0</v>
      </c>
      <c r="ANS12">
        <v>0</v>
      </c>
      <c r="ANT12">
        <v>0.9</v>
      </c>
      <c r="ANU12" s="115">
        <v>39190</v>
      </c>
      <c r="ANV12">
        <v>0</v>
      </c>
      <c r="ANW12" s="115">
        <v>39191</v>
      </c>
      <c r="ANX12" t="s">
        <v>1765</v>
      </c>
      <c r="AOC12" s="115">
        <v>42817</v>
      </c>
      <c r="AOD12">
        <v>0.55000000000000004</v>
      </c>
      <c r="AOE12">
        <v>0</v>
      </c>
      <c r="AOF12">
        <v>0</v>
      </c>
      <c r="AOG12" s="115">
        <v>42926</v>
      </c>
      <c r="AOH12" s="58">
        <v>1005413.28</v>
      </c>
      <c r="AOI12" s="115">
        <v>42927</v>
      </c>
      <c r="AOJ12" t="s">
        <v>1765</v>
      </c>
      <c r="AOO12" s="115">
        <v>40264</v>
      </c>
      <c r="AOP12">
        <v>0.33</v>
      </c>
      <c r="AOQ12">
        <v>0</v>
      </c>
      <c r="AOR12">
        <v>0</v>
      </c>
      <c r="AOS12" s="115">
        <v>40325</v>
      </c>
      <c r="AOT12" s="58">
        <v>14323.98</v>
      </c>
      <c r="AOU12" s="115">
        <v>40326</v>
      </c>
      <c r="AOV12" t="s">
        <v>1765</v>
      </c>
      <c r="APA12" s="115">
        <v>40243</v>
      </c>
      <c r="APB12">
        <v>0.08</v>
      </c>
      <c r="APC12">
        <v>0</v>
      </c>
      <c r="APD12">
        <v>0</v>
      </c>
      <c r="APE12" s="115">
        <v>40291</v>
      </c>
      <c r="APF12" s="58">
        <v>2074.65</v>
      </c>
      <c r="APG12" s="115">
        <v>40294</v>
      </c>
      <c r="APH12" t="s">
        <v>1765</v>
      </c>
      <c r="APM12" s="115">
        <v>41020</v>
      </c>
      <c r="APN12">
        <v>0.05</v>
      </c>
      <c r="APO12">
        <v>0</v>
      </c>
      <c r="APP12">
        <v>0</v>
      </c>
      <c r="APQ12" s="115">
        <v>41060</v>
      </c>
      <c r="APR12" s="58">
        <v>3233.02</v>
      </c>
      <c r="APS12" s="115">
        <v>41061</v>
      </c>
      <c r="APT12" t="s">
        <v>1765</v>
      </c>
      <c r="AQK12" s="115">
        <v>40995</v>
      </c>
      <c r="AQL12">
        <v>0.35</v>
      </c>
      <c r="AQM12">
        <v>0</v>
      </c>
      <c r="AQN12">
        <v>0</v>
      </c>
      <c r="AQO12" s="115">
        <v>41073</v>
      </c>
      <c r="AQP12" s="58">
        <v>185475.59</v>
      </c>
      <c r="AQQ12" s="115">
        <v>41074</v>
      </c>
      <c r="AQR12" t="s">
        <v>1765</v>
      </c>
      <c r="AQW12" s="115">
        <v>41130</v>
      </c>
      <c r="AQX12">
        <v>0</v>
      </c>
      <c r="AQY12">
        <v>0</v>
      </c>
      <c r="AQZ12">
        <v>0.5</v>
      </c>
      <c r="ARA12" s="115">
        <v>41179</v>
      </c>
      <c r="ARB12">
        <v>0</v>
      </c>
      <c r="ARC12" s="115">
        <v>41180</v>
      </c>
      <c r="ARD12" t="s">
        <v>1765</v>
      </c>
      <c r="ARI12" s="115">
        <v>40618</v>
      </c>
      <c r="ARJ12">
        <v>0.3</v>
      </c>
      <c r="ARK12">
        <v>0</v>
      </c>
      <c r="ARL12">
        <v>0.8</v>
      </c>
      <c r="ARM12" s="115">
        <v>40651</v>
      </c>
      <c r="ARN12" s="58">
        <v>2010</v>
      </c>
      <c r="ARO12" s="115">
        <v>40652</v>
      </c>
      <c r="ARP12" t="s">
        <v>1765</v>
      </c>
      <c r="ARU12" s="115">
        <v>41391</v>
      </c>
      <c r="ARV12">
        <v>1</v>
      </c>
      <c r="ARW12">
        <v>0</v>
      </c>
      <c r="ARX12">
        <v>0</v>
      </c>
      <c r="ARY12" s="115">
        <v>41465</v>
      </c>
      <c r="ARZ12" s="58">
        <v>300786.53999999998</v>
      </c>
      <c r="ASA12" s="115">
        <v>41466</v>
      </c>
      <c r="ASB12" t="s">
        <v>1765</v>
      </c>
      <c r="ASG12" s="115">
        <v>40981</v>
      </c>
      <c r="ASH12">
        <v>0.13</v>
      </c>
      <c r="ASI12">
        <v>0</v>
      </c>
      <c r="ASJ12">
        <v>0</v>
      </c>
      <c r="ASK12" s="115">
        <v>41094</v>
      </c>
      <c r="ASL12" s="58">
        <v>142937.73000000001</v>
      </c>
      <c r="ASM12" s="115">
        <v>41095</v>
      </c>
      <c r="ASN12" t="s">
        <v>1765</v>
      </c>
      <c r="ATE12" s="115">
        <v>41027</v>
      </c>
      <c r="ATF12">
        <v>0.1</v>
      </c>
      <c r="ATG12">
        <v>0</v>
      </c>
      <c r="ATH12">
        <v>0</v>
      </c>
      <c r="ATI12" s="115">
        <v>41064</v>
      </c>
      <c r="ATJ12" s="58">
        <v>14684.16</v>
      </c>
      <c r="ATK12" s="115">
        <v>41065</v>
      </c>
      <c r="ATL12" t="s">
        <v>1765</v>
      </c>
      <c r="ATQ12" s="115">
        <v>41363</v>
      </c>
      <c r="ATR12">
        <v>0.02</v>
      </c>
      <c r="ATS12">
        <v>0</v>
      </c>
      <c r="ATT12">
        <v>0</v>
      </c>
      <c r="ATU12" s="115">
        <v>41460</v>
      </c>
      <c r="ATV12" s="58">
        <v>1249.52</v>
      </c>
      <c r="ATW12" s="115">
        <v>41463</v>
      </c>
      <c r="ATX12" t="s">
        <v>1765</v>
      </c>
      <c r="AUC12" s="115">
        <v>41017</v>
      </c>
      <c r="AUD12">
        <v>0.3</v>
      </c>
      <c r="AUE12">
        <v>0</v>
      </c>
      <c r="AUF12">
        <v>0</v>
      </c>
      <c r="AUG12" s="115">
        <v>41107</v>
      </c>
      <c r="AUH12" s="58">
        <v>20404.02</v>
      </c>
      <c r="AUI12" s="115">
        <v>41108</v>
      </c>
      <c r="AUJ12" t="s">
        <v>1765</v>
      </c>
      <c r="AUO12" s="115">
        <v>39919</v>
      </c>
      <c r="AUP12">
        <v>0.05</v>
      </c>
      <c r="AUQ12">
        <v>0</v>
      </c>
      <c r="AUR12">
        <v>0</v>
      </c>
      <c r="AUS12" s="115">
        <v>40007</v>
      </c>
      <c r="AUT12" s="58">
        <v>32116.98</v>
      </c>
      <c r="AUU12" s="115">
        <v>40008</v>
      </c>
      <c r="AUV12" t="s">
        <v>1765</v>
      </c>
      <c r="AVA12" s="115">
        <v>40999</v>
      </c>
      <c r="AVB12">
        <v>0.2</v>
      </c>
      <c r="AVC12">
        <v>0</v>
      </c>
      <c r="AVD12">
        <v>0</v>
      </c>
      <c r="AVE12" s="115">
        <v>41068</v>
      </c>
      <c r="AVF12" s="58">
        <v>350240.96</v>
      </c>
      <c r="AVG12" s="115">
        <v>41071</v>
      </c>
      <c r="AVH12" t="s">
        <v>1765</v>
      </c>
      <c r="AVM12" s="115">
        <v>40380</v>
      </c>
      <c r="AVN12">
        <v>0</v>
      </c>
      <c r="AVO12">
        <v>0</v>
      </c>
      <c r="AVP12">
        <v>0.9</v>
      </c>
      <c r="AVQ12" s="115">
        <v>40464</v>
      </c>
      <c r="AVR12">
        <v>0</v>
      </c>
      <c r="AVS12" s="115">
        <v>40465</v>
      </c>
      <c r="AVT12" t="s">
        <v>1765</v>
      </c>
      <c r="AWK12" s="115">
        <v>41338</v>
      </c>
      <c r="AWL12">
        <v>0.2</v>
      </c>
      <c r="AWM12">
        <v>0</v>
      </c>
      <c r="AWN12">
        <v>1</v>
      </c>
      <c r="AWO12" s="115">
        <v>41379</v>
      </c>
      <c r="AWP12" s="58">
        <v>3054.98</v>
      </c>
      <c r="AWQ12" s="115">
        <v>41380</v>
      </c>
      <c r="AWR12" t="s">
        <v>1765</v>
      </c>
    </row>
    <row r="13" spans="1:1300" x14ac:dyDescent="0.25">
      <c r="A13" s="115">
        <v>40997</v>
      </c>
      <c r="B13">
        <v>0.3</v>
      </c>
      <c r="C13">
        <v>0</v>
      </c>
      <c r="D13">
        <v>0</v>
      </c>
      <c r="E13" s="115">
        <v>41128</v>
      </c>
      <c r="F13" s="58">
        <v>227811.18</v>
      </c>
      <c r="G13" s="115">
        <v>41129</v>
      </c>
      <c r="H13" t="s">
        <v>1765</v>
      </c>
      <c r="Y13" s="115">
        <v>40610</v>
      </c>
      <c r="Z13">
        <v>0.1</v>
      </c>
      <c r="AA13">
        <v>0</v>
      </c>
      <c r="AB13">
        <v>0</v>
      </c>
      <c r="AC13" s="115">
        <v>40689</v>
      </c>
      <c r="AD13" s="58">
        <v>109952.1</v>
      </c>
      <c r="AE13" s="115">
        <v>40690</v>
      </c>
      <c r="AF13" t="s">
        <v>1765</v>
      </c>
      <c r="AK13" s="115">
        <v>40610</v>
      </c>
      <c r="AL13">
        <v>0.1</v>
      </c>
      <c r="AM13">
        <v>0</v>
      </c>
      <c r="AN13">
        <v>0</v>
      </c>
      <c r="AO13" s="115">
        <v>40689</v>
      </c>
      <c r="AP13" s="58">
        <v>109952.1</v>
      </c>
      <c r="AQ13" s="115">
        <v>40690</v>
      </c>
      <c r="AR13" t="s">
        <v>1765</v>
      </c>
      <c r="AW13" s="115">
        <v>40571</v>
      </c>
      <c r="AX13">
        <v>0.2</v>
      </c>
      <c r="AY13">
        <v>0</v>
      </c>
      <c r="AZ13">
        <v>0.5</v>
      </c>
      <c r="BA13" s="115">
        <v>40604</v>
      </c>
      <c r="BB13" s="58">
        <v>3214.98</v>
      </c>
      <c r="BC13" s="115">
        <v>40605</v>
      </c>
      <c r="BD13" t="s">
        <v>1765</v>
      </c>
      <c r="BI13" s="115">
        <v>42460</v>
      </c>
      <c r="BJ13">
        <v>0.1</v>
      </c>
      <c r="BK13">
        <v>0</v>
      </c>
      <c r="BL13">
        <v>0</v>
      </c>
      <c r="BM13" s="115">
        <v>42579</v>
      </c>
      <c r="BN13" s="58">
        <v>39986.19</v>
      </c>
      <c r="BO13" s="115">
        <v>42580</v>
      </c>
      <c r="BP13" t="s">
        <v>1765</v>
      </c>
      <c r="BU13" s="115">
        <v>40632</v>
      </c>
      <c r="BV13">
        <v>0.04</v>
      </c>
      <c r="BW13">
        <v>0</v>
      </c>
      <c r="BX13">
        <v>0</v>
      </c>
      <c r="BY13" s="115">
        <v>40716</v>
      </c>
      <c r="BZ13" s="58">
        <v>47360</v>
      </c>
      <c r="CA13" s="115">
        <v>40717</v>
      </c>
      <c r="CB13" t="s">
        <v>1765</v>
      </c>
      <c r="CS13" s="115">
        <v>40262</v>
      </c>
      <c r="CT13">
        <v>5.3600000000000002E-2</v>
      </c>
      <c r="CU13">
        <v>0</v>
      </c>
      <c r="CV13">
        <v>0</v>
      </c>
      <c r="CW13" s="115">
        <v>40350</v>
      </c>
      <c r="CX13" s="58">
        <v>113613.75999999999</v>
      </c>
      <c r="CY13" s="115">
        <v>40351</v>
      </c>
      <c r="CZ13" t="s">
        <v>1765</v>
      </c>
      <c r="DE13" s="115">
        <v>40654</v>
      </c>
      <c r="DF13">
        <v>6.2E-2</v>
      </c>
      <c r="DG13">
        <v>0</v>
      </c>
      <c r="DH13">
        <v>0</v>
      </c>
      <c r="DI13" s="115">
        <v>40696</v>
      </c>
      <c r="DJ13" s="58">
        <v>186000</v>
      </c>
      <c r="DK13" s="115">
        <v>40697</v>
      </c>
      <c r="DL13" t="s">
        <v>1765</v>
      </c>
      <c r="DQ13" s="115">
        <v>40633</v>
      </c>
      <c r="DR13">
        <v>5.5E-2</v>
      </c>
      <c r="DS13">
        <v>0</v>
      </c>
      <c r="DT13">
        <v>0</v>
      </c>
      <c r="DU13" s="115">
        <v>40742</v>
      </c>
      <c r="DV13" s="58">
        <v>117149.45</v>
      </c>
      <c r="DW13" s="115">
        <v>40743</v>
      </c>
      <c r="DX13" t="s">
        <v>1765</v>
      </c>
      <c r="FA13" s="115">
        <v>39884</v>
      </c>
      <c r="FB13">
        <v>0.15</v>
      </c>
      <c r="FC13">
        <v>0</v>
      </c>
      <c r="FD13">
        <v>0</v>
      </c>
      <c r="FE13" s="115">
        <v>39923</v>
      </c>
      <c r="FF13" s="58">
        <v>2055</v>
      </c>
      <c r="FG13" s="115">
        <v>39924</v>
      </c>
      <c r="FH13" t="s">
        <v>1765</v>
      </c>
      <c r="FM13" s="115">
        <v>40652</v>
      </c>
      <c r="FN13">
        <v>0.5</v>
      </c>
      <c r="FO13">
        <v>0</v>
      </c>
      <c r="FP13">
        <v>0</v>
      </c>
      <c r="FQ13" s="115">
        <v>40690</v>
      </c>
      <c r="FR13" s="58">
        <v>111330.58</v>
      </c>
      <c r="FS13" s="115">
        <v>40693</v>
      </c>
      <c r="FT13" t="s">
        <v>1765</v>
      </c>
      <c r="GK13" s="115">
        <v>41024</v>
      </c>
      <c r="GL13">
        <v>0.5</v>
      </c>
      <c r="GM13">
        <v>0</v>
      </c>
      <c r="GN13">
        <v>0</v>
      </c>
      <c r="GO13" s="115">
        <v>41095</v>
      </c>
      <c r="GP13" s="58">
        <v>150393.26999999999</v>
      </c>
      <c r="GQ13" s="115">
        <v>41096</v>
      </c>
      <c r="GR13" t="s">
        <v>1765</v>
      </c>
      <c r="GW13" s="115">
        <v>40610</v>
      </c>
      <c r="GX13">
        <v>0.1</v>
      </c>
      <c r="GY13">
        <v>0</v>
      </c>
      <c r="GZ13">
        <v>0</v>
      </c>
      <c r="HA13" s="115">
        <v>40689</v>
      </c>
      <c r="HB13" s="58">
        <v>109952.1</v>
      </c>
      <c r="HC13" s="115">
        <v>40690</v>
      </c>
      <c r="HD13" t="s">
        <v>1765</v>
      </c>
      <c r="HI13" s="115">
        <v>40296</v>
      </c>
      <c r="HJ13">
        <v>0.1</v>
      </c>
      <c r="HK13">
        <v>0</v>
      </c>
      <c r="HL13">
        <v>0</v>
      </c>
      <c r="HM13" s="115">
        <v>40366</v>
      </c>
      <c r="HN13" s="58">
        <v>23830</v>
      </c>
      <c r="HO13" s="115">
        <v>40367</v>
      </c>
      <c r="HP13" t="s">
        <v>1765</v>
      </c>
      <c r="HU13" s="115">
        <v>40262</v>
      </c>
      <c r="HV13">
        <v>5.3600000000000002E-2</v>
      </c>
      <c r="HW13">
        <v>0</v>
      </c>
      <c r="HX13">
        <v>0</v>
      </c>
      <c r="HY13" s="115">
        <v>40350</v>
      </c>
      <c r="HZ13" s="58">
        <v>113613.75999999999</v>
      </c>
      <c r="IA13" s="115">
        <v>40351</v>
      </c>
      <c r="IB13" t="s">
        <v>1765</v>
      </c>
      <c r="IS13" s="115">
        <v>40571</v>
      </c>
      <c r="IT13">
        <v>0.2</v>
      </c>
      <c r="IU13">
        <v>0</v>
      </c>
      <c r="IV13">
        <v>0.5</v>
      </c>
      <c r="IW13" s="115">
        <v>40604</v>
      </c>
      <c r="IX13" s="58">
        <v>3214.98</v>
      </c>
      <c r="IY13" s="115">
        <v>40605</v>
      </c>
      <c r="IZ13" t="s">
        <v>1765</v>
      </c>
      <c r="JE13" s="115">
        <v>40642</v>
      </c>
      <c r="JF13">
        <v>0.1</v>
      </c>
      <c r="JG13">
        <v>0</v>
      </c>
      <c r="JH13">
        <v>0</v>
      </c>
      <c r="JI13" s="115">
        <v>40708</v>
      </c>
      <c r="JJ13" s="58">
        <v>14684.16</v>
      </c>
      <c r="JK13" s="115">
        <v>40709</v>
      </c>
      <c r="JL13" t="s">
        <v>1765</v>
      </c>
      <c r="KC13" s="115">
        <v>40633</v>
      </c>
      <c r="KD13">
        <v>0.3</v>
      </c>
      <c r="KE13">
        <v>0</v>
      </c>
      <c r="KF13">
        <v>0</v>
      </c>
      <c r="KG13" s="115">
        <v>40702</v>
      </c>
      <c r="KH13" s="58">
        <v>525361.43999999994</v>
      </c>
      <c r="KI13" s="115">
        <v>40703</v>
      </c>
      <c r="KJ13" t="s">
        <v>1765</v>
      </c>
      <c r="KO13" s="115">
        <v>38104</v>
      </c>
      <c r="KP13">
        <v>0.01</v>
      </c>
      <c r="KQ13">
        <v>0</v>
      </c>
      <c r="KR13">
        <v>0.5</v>
      </c>
      <c r="KS13" s="115">
        <v>38146</v>
      </c>
      <c r="KT13">
        <v>975.86</v>
      </c>
      <c r="KU13" s="115">
        <v>38147</v>
      </c>
      <c r="KV13" t="s">
        <v>1765</v>
      </c>
      <c r="LA13" s="115">
        <v>40997</v>
      </c>
      <c r="LB13">
        <v>0.3</v>
      </c>
      <c r="LC13">
        <v>0</v>
      </c>
      <c r="LD13">
        <v>0</v>
      </c>
      <c r="LE13" s="115">
        <v>41128</v>
      </c>
      <c r="LF13" s="58">
        <v>227811.18</v>
      </c>
      <c r="LG13" s="115">
        <v>41129</v>
      </c>
      <c r="LH13" t="s">
        <v>1765</v>
      </c>
      <c r="LY13" s="115">
        <v>37429</v>
      </c>
      <c r="LZ13">
        <v>0.02</v>
      </c>
      <c r="MA13">
        <v>0</v>
      </c>
      <c r="MB13">
        <v>0.4</v>
      </c>
      <c r="MC13" s="115">
        <v>37434</v>
      </c>
      <c r="MD13">
        <v>303.94</v>
      </c>
      <c r="ME13" s="115">
        <v>37435</v>
      </c>
      <c r="MF13" t="s">
        <v>1765</v>
      </c>
      <c r="MK13" s="115">
        <v>40968</v>
      </c>
      <c r="ML13">
        <v>0.2</v>
      </c>
      <c r="MM13">
        <v>0</v>
      </c>
      <c r="MN13">
        <v>0</v>
      </c>
      <c r="MO13" s="115">
        <v>41009</v>
      </c>
      <c r="MP13" s="58">
        <v>3054.98</v>
      </c>
      <c r="MQ13" s="115">
        <v>41010</v>
      </c>
      <c r="MR13" t="s">
        <v>1765</v>
      </c>
      <c r="NU13" s="115">
        <v>41024</v>
      </c>
      <c r="NV13">
        <v>0.5</v>
      </c>
      <c r="NW13">
        <v>0</v>
      </c>
      <c r="NX13">
        <v>0</v>
      </c>
      <c r="NY13" s="115">
        <v>41095</v>
      </c>
      <c r="NZ13" s="58">
        <v>150393.26999999999</v>
      </c>
      <c r="OA13" s="115">
        <v>41096</v>
      </c>
      <c r="OB13" t="s">
        <v>1765</v>
      </c>
      <c r="OG13" s="115">
        <v>40610</v>
      </c>
      <c r="OH13">
        <v>0.1</v>
      </c>
      <c r="OI13">
        <v>0</v>
      </c>
      <c r="OJ13">
        <v>0</v>
      </c>
      <c r="OK13" s="115">
        <v>40689</v>
      </c>
      <c r="OL13" s="58">
        <v>109952.1</v>
      </c>
      <c r="OM13" s="115">
        <v>40690</v>
      </c>
      <c r="ON13" t="s">
        <v>1765</v>
      </c>
      <c r="PQ13" s="115">
        <v>39127</v>
      </c>
      <c r="PR13">
        <v>0.16</v>
      </c>
      <c r="PS13">
        <v>0</v>
      </c>
      <c r="PT13">
        <v>0</v>
      </c>
      <c r="PU13" s="115">
        <v>39198</v>
      </c>
      <c r="PV13" s="58">
        <v>6944.96</v>
      </c>
      <c r="PW13" s="115">
        <v>39199</v>
      </c>
      <c r="PX13" t="s">
        <v>1765</v>
      </c>
      <c r="QC13" s="115">
        <v>40621</v>
      </c>
      <c r="QD13">
        <v>0.435</v>
      </c>
      <c r="QE13">
        <v>0</v>
      </c>
      <c r="QF13">
        <v>0</v>
      </c>
      <c r="QG13" s="115">
        <v>40771</v>
      </c>
      <c r="QH13" s="58">
        <v>24676.51</v>
      </c>
      <c r="QI13" s="115">
        <v>40772</v>
      </c>
      <c r="QJ13" t="s">
        <v>1765</v>
      </c>
      <c r="QO13" s="115">
        <v>42600</v>
      </c>
      <c r="QP13">
        <v>0.2</v>
      </c>
      <c r="QQ13">
        <v>0</v>
      </c>
      <c r="QR13">
        <v>0</v>
      </c>
      <c r="QS13" s="115">
        <v>42615</v>
      </c>
      <c r="QT13" s="58">
        <v>365604.83</v>
      </c>
      <c r="QU13" s="115">
        <v>42618</v>
      </c>
      <c r="QV13" t="s">
        <v>1765</v>
      </c>
      <c r="RA13" s="115">
        <v>40631</v>
      </c>
      <c r="RB13">
        <v>0.3</v>
      </c>
      <c r="RC13">
        <v>0</v>
      </c>
      <c r="RD13">
        <v>0.5</v>
      </c>
      <c r="RE13" s="115">
        <v>40709</v>
      </c>
      <c r="RF13" s="58">
        <v>105986.05</v>
      </c>
      <c r="RG13" s="115">
        <v>40710</v>
      </c>
      <c r="RH13" t="s">
        <v>1765</v>
      </c>
      <c r="RM13" s="115">
        <v>40633</v>
      </c>
      <c r="RN13">
        <v>0.2</v>
      </c>
      <c r="RO13">
        <v>0</v>
      </c>
      <c r="RP13">
        <v>1</v>
      </c>
      <c r="RQ13" s="115">
        <v>40688</v>
      </c>
      <c r="RR13" s="58">
        <v>8072</v>
      </c>
      <c r="RS13" s="115">
        <v>40689</v>
      </c>
      <c r="RT13" t="s">
        <v>1765</v>
      </c>
      <c r="RY13" s="115">
        <v>39501</v>
      </c>
      <c r="RZ13">
        <v>0.06</v>
      </c>
      <c r="SA13">
        <v>0</v>
      </c>
      <c r="SB13">
        <v>0</v>
      </c>
      <c r="SC13" s="115">
        <v>39556</v>
      </c>
      <c r="SD13" s="58">
        <v>4106.9399999999996</v>
      </c>
      <c r="SE13" s="115">
        <v>39559</v>
      </c>
      <c r="SF13" t="s">
        <v>1765</v>
      </c>
      <c r="SK13" s="115">
        <v>40631</v>
      </c>
      <c r="SL13">
        <v>0.3</v>
      </c>
      <c r="SM13">
        <v>0</v>
      </c>
      <c r="SN13">
        <v>0.5</v>
      </c>
      <c r="SO13" s="115">
        <v>40709</v>
      </c>
      <c r="SP13" s="58">
        <v>105986.05</v>
      </c>
      <c r="SQ13" s="115">
        <v>40710</v>
      </c>
      <c r="SR13" t="s">
        <v>1765</v>
      </c>
      <c r="SW13" s="115">
        <v>40633</v>
      </c>
      <c r="SX13">
        <v>0.2</v>
      </c>
      <c r="SY13">
        <v>0</v>
      </c>
      <c r="SZ13">
        <v>1</v>
      </c>
      <c r="TA13" s="115">
        <v>40688</v>
      </c>
      <c r="TB13" s="58">
        <v>8072</v>
      </c>
      <c r="TC13" s="115">
        <v>40689</v>
      </c>
      <c r="TD13" t="s">
        <v>1765</v>
      </c>
      <c r="UC13" s="203"/>
      <c r="VE13" s="115">
        <v>40968</v>
      </c>
      <c r="VF13">
        <v>0.2</v>
      </c>
      <c r="VG13">
        <v>0</v>
      </c>
      <c r="VH13">
        <v>0</v>
      </c>
      <c r="VI13" s="115">
        <v>41009</v>
      </c>
      <c r="VJ13" s="58">
        <v>3054.98</v>
      </c>
      <c r="VK13" s="115">
        <v>41010</v>
      </c>
      <c r="VL13" t="s">
        <v>1765</v>
      </c>
      <c r="VQ13" s="115">
        <v>41024</v>
      </c>
      <c r="VR13">
        <v>0.4</v>
      </c>
      <c r="VS13">
        <v>0</v>
      </c>
      <c r="VT13">
        <v>0</v>
      </c>
      <c r="VU13" s="115">
        <v>41087</v>
      </c>
      <c r="VV13" s="58">
        <v>80119.45</v>
      </c>
      <c r="VW13" s="115">
        <v>41088</v>
      </c>
      <c r="VX13" t="s">
        <v>1765</v>
      </c>
      <c r="WC13" s="115">
        <v>38104</v>
      </c>
      <c r="WD13">
        <v>0.01</v>
      </c>
      <c r="WE13">
        <v>0</v>
      </c>
      <c r="WF13">
        <v>0.5</v>
      </c>
      <c r="WG13" s="115">
        <v>38146</v>
      </c>
      <c r="WH13">
        <v>975.86</v>
      </c>
      <c r="WI13" s="115">
        <v>38147</v>
      </c>
      <c r="WJ13" t="s">
        <v>1765</v>
      </c>
      <c r="WO13" s="115">
        <v>38104</v>
      </c>
      <c r="WP13">
        <v>0.01</v>
      </c>
      <c r="WQ13">
        <v>0</v>
      </c>
      <c r="WR13">
        <v>0.5</v>
      </c>
      <c r="WS13" s="115">
        <v>38146</v>
      </c>
      <c r="WT13">
        <v>975.86</v>
      </c>
      <c r="WU13" s="115">
        <v>38147</v>
      </c>
      <c r="WV13" t="s">
        <v>1765</v>
      </c>
      <c r="XM13" s="115">
        <v>40603</v>
      </c>
      <c r="XN13">
        <v>0.1</v>
      </c>
      <c r="XO13">
        <v>0</v>
      </c>
      <c r="XP13">
        <v>0</v>
      </c>
      <c r="XQ13" s="115">
        <v>40676</v>
      </c>
      <c r="XR13" s="58">
        <v>13965</v>
      </c>
      <c r="XS13" s="115">
        <v>40679</v>
      </c>
      <c r="XT13" t="s">
        <v>1765</v>
      </c>
      <c r="ZU13" s="115">
        <v>40634</v>
      </c>
      <c r="ZV13">
        <v>0.2</v>
      </c>
      <c r="ZW13">
        <v>0</v>
      </c>
      <c r="ZX13">
        <v>0.5</v>
      </c>
      <c r="ZY13" s="115">
        <v>40690</v>
      </c>
      <c r="ZZ13" s="58">
        <v>1600</v>
      </c>
      <c r="AAA13" s="115">
        <v>40693</v>
      </c>
      <c r="AAB13" t="s">
        <v>1765</v>
      </c>
      <c r="AAG13" s="115">
        <v>40645</v>
      </c>
      <c r="AAH13">
        <v>0</v>
      </c>
      <c r="AAI13">
        <v>0</v>
      </c>
      <c r="AAJ13">
        <v>0.6</v>
      </c>
      <c r="AAK13" s="115">
        <v>40689</v>
      </c>
      <c r="AAL13">
        <v>0</v>
      </c>
      <c r="AAM13" s="115">
        <v>40690</v>
      </c>
      <c r="AAN13" t="s">
        <v>1765</v>
      </c>
      <c r="AAS13" s="115">
        <v>39184</v>
      </c>
      <c r="AAT13">
        <v>0.15</v>
      </c>
      <c r="AAU13">
        <v>0</v>
      </c>
      <c r="AAV13">
        <v>0</v>
      </c>
      <c r="AAW13" s="115">
        <v>39268</v>
      </c>
      <c r="AAX13" s="58">
        <v>1502.31</v>
      </c>
      <c r="AAY13" s="115">
        <v>39269</v>
      </c>
      <c r="AAZ13" t="s">
        <v>1765</v>
      </c>
      <c r="ABQ13" s="115">
        <v>38073</v>
      </c>
      <c r="ABR13">
        <v>7.0000000000000007E-2</v>
      </c>
      <c r="ABS13">
        <v>0</v>
      </c>
      <c r="ABT13">
        <v>0</v>
      </c>
      <c r="ABU13" s="115">
        <v>38175</v>
      </c>
      <c r="ABV13" s="58">
        <v>1064.3599999999999</v>
      </c>
      <c r="ABW13" s="115">
        <v>38176</v>
      </c>
      <c r="ABX13" t="s">
        <v>1765</v>
      </c>
      <c r="ACO13" s="115">
        <v>40633</v>
      </c>
      <c r="ACP13">
        <v>0.1</v>
      </c>
      <c r="ACQ13">
        <v>0</v>
      </c>
      <c r="ACR13">
        <v>1</v>
      </c>
      <c r="ACS13" s="115">
        <v>40739</v>
      </c>
      <c r="ACT13" s="58">
        <v>13399.62</v>
      </c>
      <c r="ACU13" s="115">
        <v>40742</v>
      </c>
      <c r="ACV13" t="s">
        <v>1765</v>
      </c>
      <c r="ADY13" s="115">
        <v>40648</v>
      </c>
      <c r="ADZ13">
        <v>0.25</v>
      </c>
      <c r="AEA13">
        <v>0</v>
      </c>
      <c r="AEB13">
        <v>0.5</v>
      </c>
      <c r="AEC13" s="115">
        <v>40708</v>
      </c>
      <c r="AED13" s="58">
        <v>17406.61</v>
      </c>
      <c r="AEE13" s="115">
        <v>40709</v>
      </c>
      <c r="AEF13" t="s">
        <v>1765</v>
      </c>
      <c r="AEW13" s="115">
        <v>40995</v>
      </c>
      <c r="AEX13">
        <v>0.25</v>
      </c>
      <c r="AEY13">
        <v>0</v>
      </c>
      <c r="AEZ13">
        <v>0</v>
      </c>
      <c r="AFA13" s="115">
        <v>41074</v>
      </c>
      <c r="AFB13" s="58">
        <v>12000</v>
      </c>
      <c r="AFC13" s="115">
        <v>41075</v>
      </c>
      <c r="AFD13" t="s">
        <v>1765</v>
      </c>
      <c r="AFI13" s="115">
        <v>40645</v>
      </c>
      <c r="AFJ13">
        <v>0.3</v>
      </c>
      <c r="AFK13">
        <v>0</v>
      </c>
      <c r="AFL13">
        <v>0</v>
      </c>
      <c r="AFM13" s="115">
        <v>40766</v>
      </c>
      <c r="AFN13" s="58">
        <v>19620.650000000001</v>
      </c>
      <c r="AFO13" s="115">
        <v>40767</v>
      </c>
      <c r="AFP13" t="s">
        <v>1765</v>
      </c>
      <c r="AFU13" s="115">
        <v>40624</v>
      </c>
      <c r="AFV13">
        <v>0.4</v>
      </c>
      <c r="AFW13">
        <v>0.3</v>
      </c>
      <c r="AFX13">
        <v>0</v>
      </c>
      <c r="AFY13" s="115">
        <v>40674</v>
      </c>
      <c r="AFZ13" s="58">
        <v>66533.38</v>
      </c>
      <c r="AGA13" s="115">
        <v>40675</v>
      </c>
      <c r="AGB13" t="s">
        <v>1765</v>
      </c>
      <c r="AGG13" s="115">
        <v>38104</v>
      </c>
      <c r="AGH13">
        <v>0.01</v>
      </c>
      <c r="AGI13">
        <v>0</v>
      </c>
      <c r="AGJ13">
        <v>0.5</v>
      </c>
      <c r="AGK13" s="115">
        <v>38146</v>
      </c>
      <c r="AGL13">
        <v>975.86</v>
      </c>
      <c r="AGM13" s="115">
        <v>38147</v>
      </c>
      <c r="AGN13" t="s">
        <v>1765</v>
      </c>
      <c r="AGS13" s="115">
        <v>40631</v>
      </c>
      <c r="AGT13">
        <v>0.26</v>
      </c>
      <c r="AGU13">
        <v>0</v>
      </c>
      <c r="AGV13">
        <v>0.3</v>
      </c>
      <c r="AGW13" s="115">
        <v>40738</v>
      </c>
      <c r="AGX13" s="58">
        <v>154119.07999999999</v>
      </c>
      <c r="AGY13" s="115">
        <v>40739</v>
      </c>
      <c r="AGZ13" t="s">
        <v>1765</v>
      </c>
      <c r="AHE13" s="115">
        <v>40995</v>
      </c>
      <c r="AHF13">
        <v>0.2</v>
      </c>
      <c r="AHG13">
        <v>0</v>
      </c>
      <c r="AHH13">
        <v>0</v>
      </c>
      <c r="AHI13" s="115">
        <v>41024</v>
      </c>
      <c r="AHJ13" s="58">
        <v>3679.65</v>
      </c>
      <c r="AHK13" s="115">
        <v>41025</v>
      </c>
      <c r="AHL13" t="s">
        <v>1765</v>
      </c>
      <c r="AHQ13" s="115">
        <v>40997</v>
      </c>
      <c r="AHR13">
        <v>0.3</v>
      </c>
      <c r="AHS13">
        <v>0</v>
      </c>
      <c r="AHT13">
        <v>0</v>
      </c>
      <c r="AHU13" s="115">
        <v>41128</v>
      </c>
      <c r="AHV13" s="58">
        <v>227811.18</v>
      </c>
      <c r="AHW13" s="115">
        <v>41129</v>
      </c>
      <c r="AHX13" t="s">
        <v>1765</v>
      </c>
      <c r="AIC13" s="115">
        <v>40995</v>
      </c>
      <c r="AID13">
        <v>0.3</v>
      </c>
      <c r="AIE13">
        <v>0</v>
      </c>
      <c r="AIF13">
        <v>0</v>
      </c>
      <c r="AIG13" s="115">
        <v>41073</v>
      </c>
      <c r="AIH13" s="58">
        <v>33757.26</v>
      </c>
      <c r="AII13" s="115">
        <v>41074</v>
      </c>
      <c r="AIJ13" t="s">
        <v>1765</v>
      </c>
      <c r="AIO13" s="115">
        <v>40623</v>
      </c>
      <c r="AIP13">
        <v>2.2999999999999998</v>
      </c>
      <c r="AIQ13">
        <v>0.1</v>
      </c>
      <c r="AIR13">
        <v>0</v>
      </c>
      <c r="AIS13" s="115">
        <v>40724</v>
      </c>
      <c r="AIT13" s="58">
        <v>217074</v>
      </c>
      <c r="AIU13" s="115">
        <v>40725</v>
      </c>
      <c r="AIV13" t="s">
        <v>1765</v>
      </c>
      <c r="AJA13" s="115">
        <v>40632</v>
      </c>
      <c r="AJB13">
        <v>0.3</v>
      </c>
      <c r="AJC13">
        <v>0</v>
      </c>
      <c r="AJD13">
        <v>0</v>
      </c>
      <c r="AJE13" s="115">
        <v>40675</v>
      </c>
      <c r="AJF13" s="58">
        <v>113879</v>
      </c>
      <c r="AJG13" s="115">
        <v>40676</v>
      </c>
      <c r="AJH13" t="s">
        <v>1765</v>
      </c>
      <c r="AJY13" s="115">
        <v>40621</v>
      </c>
      <c r="AJZ13">
        <v>0.6</v>
      </c>
      <c r="AKA13">
        <v>0</v>
      </c>
      <c r="AKB13">
        <v>1</v>
      </c>
      <c r="AKC13" s="115">
        <v>40652</v>
      </c>
      <c r="AKD13" s="58">
        <v>30000</v>
      </c>
      <c r="AKE13" s="115">
        <v>40653</v>
      </c>
      <c r="AKF13" t="s">
        <v>1765</v>
      </c>
      <c r="AMG13" s="115">
        <v>41013</v>
      </c>
      <c r="AMH13">
        <v>0.7</v>
      </c>
      <c r="AMI13">
        <v>0</v>
      </c>
      <c r="AMJ13">
        <v>0</v>
      </c>
      <c r="AMK13" s="115">
        <v>41059</v>
      </c>
      <c r="AML13" s="58">
        <v>9800</v>
      </c>
      <c r="AMM13" s="115">
        <v>41060</v>
      </c>
      <c r="AMN13" t="s">
        <v>1765</v>
      </c>
      <c r="AMS13" s="115">
        <v>37429</v>
      </c>
      <c r="AMT13">
        <v>0.02</v>
      </c>
      <c r="AMU13">
        <v>0</v>
      </c>
      <c r="AMV13">
        <v>0.4</v>
      </c>
      <c r="AMW13" s="115">
        <v>37434</v>
      </c>
      <c r="AMX13">
        <v>303.94</v>
      </c>
      <c r="AMY13" s="115">
        <v>37435</v>
      </c>
      <c r="AMZ13" t="s">
        <v>1765</v>
      </c>
      <c r="ANA13" s="56"/>
      <c r="ANE13" s="115">
        <v>40631</v>
      </c>
      <c r="ANF13">
        <v>0.3</v>
      </c>
      <c r="ANG13">
        <v>0</v>
      </c>
      <c r="ANH13">
        <v>0.5</v>
      </c>
      <c r="ANI13" s="115">
        <v>40709</v>
      </c>
      <c r="ANJ13" s="58">
        <v>105986.05</v>
      </c>
      <c r="ANK13" s="115">
        <v>40710</v>
      </c>
      <c r="ANL13" t="s">
        <v>1765</v>
      </c>
      <c r="ANQ13" s="115">
        <v>37429</v>
      </c>
      <c r="ANR13">
        <v>0.02</v>
      </c>
      <c r="ANS13">
        <v>0</v>
      </c>
      <c r="ANT13">
        <v>0.4</v>
      </c>
      <c r="ANU13" s="115">
        <v>37434</v>
      </c>
      <c r="ANV13">
        <v>303.94</v>
      </c>
      <c r="ANW13" s="115">
        <v>37435</v>
      </c>
      <c r="ANX13" t="s">
        <v>1765</v>
      </c>
      <c r="AOC13" s="115">
        <v>42600</v>
      </c>
      <c r="AOD13">
        <v>0.2</v>
      </c>
      <c r="AOE13">
        <v>0</v>
      </c>
      <c r="AOF13">
        <v>0</v>
      </c>
      <c r="AOG13" s="115">
        <v>42615</v>
      </c>
      <c r="AOH13" s="58">
        <v>365604.83</v>
      </c>
      <c r="AOI13" s="115">
        <v>42618</v>
      </c>
      <c r="AOJ13" t="s">
        <v>1765</v>
      </c>
      <c r="AOO13" s="115">
        <v>39127</v>
      </c>
      <c r="AOP13">
        <v>0.16</v>
      </c>
      <c r="AOQ13">
        <v>0</v>
      </c>
      <c r="AOR13">
        <v>0</v>
      </c>
      <c r="AOS13" s="115">
        <v>39198</v>
      </c>
      <c r="AOT13" s="58">
        <v>6944.96</v>
      </c>
      <c r="AOU13" s="115">
        <v>39199</v>
      </c>
      <c r="AOV13" t="s">
        <v>1765</v>
      </c>
      <c r="APA13" s="115">
        <v>39875</v>
      </c>
      <c r="APB13">
        <v>0.13</v>
      </c>
      <c r="APC13">
        <v>0</v>
      </c>
      <c r="APD13">
        <v>0</v>
      </c>
      <c r="APE13" s="115">
        <v>39944</v>
      </c>
      <c r="APF13" s="58">
        <v>3371.31</v>
      </c>
      <c r="APG13" s="115">
        <v>39945</v>
      </c>
      <c r="APH13" t="s">
        <v>1765</v>
      </c>
      <c r="APM13" s="115">
        <v>40612</v>
      </c>
      <c r="APN13">
        <v>0.1</v>
      </c>
      <c r="APO13">
        <v>0</v>
      </c>
      <c r="APP13">
        <v>0</v>
      </c>
      <c r="APQ13" s="115">
        <v>40659</v>
      </c>
      <c r="APR13" s="58">
        <v>6466.04</v>
      </c>
      <c r="APS13" s="115">
        <v>40660</v>
      </c>
      <c r="APT13" t="s">
        <v>1765</v>
      </c>
      <c r="AQK13" s="115">
        <v>40631</v>
      </c>
      <c r="AQL13">
        <v>0.3</v>
      </c>
      <c r="AQM13">
        <v>0</v>
      </c>
      <c r="AQN13">
        <v>0.5</v>
      </c>
      <c r="AQO13" s="115">
        <v>40709</v>
      </c>
      <c r="AQP13" s="58">
        <v>105986.05</v>
      </c>
      <c r="AQQ13" s="115">
        <v>40710</v>
      </c>
      <c r="AQR13" t="s">
        <v>1765</v>
      </c>
      <c r="AQW13" s="115">
        <v>41025</v>
      </c>
      <c r="AQX13">
        <v>0.12</v>
      </c>
      <c r="AQY13">
        <v>0</v>
      </c>
      <c r="AQZ13">
        <v>0</v>
      </c>
      <c r="ARA13" s="115">
        <v>41110</v>
      </c>
      <c r="ARB13" s="58">
        <v>14803.08</v>
      </c>
      <c r="ARC13" s="115">
        <v>41113</v>
      </c>
      <c r="ARD13" t="s">
        <v>1765</v>
      </c>
      <c r="ARU13" s="115">
        <v>41024</v>
      </c>
      <c r="ARV13">
        <v>0.5</v>
      </c>
      <c r="ARW13">
        <v>0</v>
      </c>
      <c r="ARX13">
        <v>0</v>
      </c>
      <c r="ARY13" s="115">
        <v>41095</v>
      </c>
      <c r="ARZ13" s="58">
        <v>150393.26999999999</v>
      </c>
      <c r="ASA13" s="115">
        <v>41096</v>
      </c>
      <c r="ASB13" t="s">
        <v>1765</v>
      </c>
      <c r="ASG13" s="115">
        <v>40610</v>
      </c>
      <c r="ASH13">
        <v>0.1</v>
      </c>
      <c r="ASI13">
        <v>0</v>
      </c>
      <c r="ASJ13">
        <v>0</v>
      </c>
      <c r="ASK13" s="115">
        <v>40689</v>
      </c>
      <c r="ASL13" s="58">
        <v>109952.1</v>
      </c>
      <c r="ASM13" s="115">
        <v>40690</v>
      </c>
      <c r="ASN13" t="s">
        <v>1765</v>
      </c>
      <c r="ATE13" s="115">
        <v>40642</v>
      </c>
      <c r="ATF13">
        <v>0.1</v>
      </c>
      <c r="ATG13">
        <v>0</v>
      </c>
      <c r="ATH13">
        <v>0</v>
      </c>
      <c r="ATI13" s="115">
        <v>40708</v>
      </c>
      <c r="ATJ13" s="58">
        <v>14684.16</v>
      </c>
      <c r="ATK13" s="115">
        <v>40709</v>
      </c>
      <c r="ATL13" t="s">
        <v>1765</v>
      </c>
      <c r="ATQ13" s="115">
        <v>40997</v>
      </c>
      <c r="ATR13">
        <v>0.02</v>
      </c>
      <c r="ATS13">
        <v>0</v>
      </c>
      <c r="ATT13">
        <v>0</v>
      </c>
      <c r="ATU13" s="115">
        <v>41073</v>
      </c>
      <c r="ATV13" s="58">
        <v>1249.52</v>
      </c>
      <c r="ATW13" s="115">
        <v>41074</v>
      </c>
      <c r="ATX13" t="s">
        <v>1765</v>
      </c>
      <c r="AUC13" s="115">
        <v>40621</v>
      </c>
      <c r="AUD13">
        <v>0.435</v>
      </c>
      <c r="AUE13">
        <v>0</v>
      </c>
      <c r="AUF13">
        <v>0</v>
      </c>
      <c r="AUG13" s="115">
        <v>40771</v>
      </c>
      <c r="AUH13" s="58">
        <v>24676.51</v>
      </c>
      <c r="AUI13" s="115">
        <v>40772</v>
      </c>
      <c r="AUJ13" t="s">
        <v>1765</v>
      </c>
      <c r="AUO13" s="115">
        <v>39556</v>
      </c>
      <c r="AUP13">
        <v>0.1</v>
      </c>
      <c r="AUQ13">
        <v>0</v>
      </c>
      <c r="AUR13">
        <v>0</v>
      </c>
      <c r="AUS13" s="115">
        <v>39610</v>
      </c>
      <c r="AUT13" s="58">
        <v>64233.21</v>
      </c>
      <c r="AUU13" s="115">
        <v>39611</v>
      </c>
      <c r="AUV13" t="s">
        <v>1765</v>
      </c>
      <c r="AVA13" s="115">
        <v>40633</v>
      </c>
      <c r="AVB13">
        <v>0.3</v>
      </c>
      <c r="AVC13">
        <v>0</v>
      </c>
      <c r="AVD13">
        <v>0</v>
      </c>
      <c r="AVE13" s="115">
        <v>40702</v>
      </c>
      <c r="AVF13" s="58">
        <v>525361.43999999994</v>
      </c>
      <c r="AVG13" s="115">
        <v>40703</v>
      </c>
      <c r="AVH13" t="s">
        <v>1765</v>
      </c>
      <c r="AVM13" s="115">
        <v>39501</v>
      </c>
      <c r="AVN13">
        <v>0.06</v>
      </c>
      <c r="AVO13">
        <v>0</v>
      </c>
      <c r="AVP13">
        <v>0</v>
      </c>
      <c r="AVQ13" s="115">
        <v>39556</v>
      </c>
      <c r="AVR13" s="58">
        <v>4106.9399999999996</v>
      </c>
      <c r="AVS13" s="115">
        <v>39559</v>
      </c>
      <c r="AVT13" t="s">
        <v>1765</v>
      </c>
      <c r="AWK13" s="115">
        <v>40968</v>
      </c>
      <c r="AWL13">
        <v>0.2</v>
      </c>
      <c r="AWM13">
        <v>0</v>
      </c>
      <c r="AWN13">
        <v>0</v>
      </c>
      <c r="AWO13" s="115">
        <v>41009</v>
      </c>
      <c r="AWP13" s="58">
        <v>3054.98</v>
      </c>
      <c r="AWQ13" s="115">
        <v>41010</v>
      </c>
      <c r="AWR13" t="s">
        <v>1765</v>
      </c>
    </row>
    <row r="14" spans="1:1300" x14ac:dyDescent="0.25">
      <c r="A14" s="115">
        <v>40620</v>
      </c>
      <c r="B14">
        <v>0.06</v>
      </c>
      <c r="C14">
        <v>0.5</v>
      </c>
      <c r="D14">
        <v>0</v>
      </c>
      <c r="E14" s="115">
        <v>40654</v>
      </c>
      <c r="F14" s="58">
        <v>30374.82</v>
      </c>
      <c r="G14" s="115">
        <v>40655</v>
      </c>
      <c r="H14" t="s">
        <v>1765</v>
      </c>
      <c r="Y14" s="115">
        <v>40239</v>
      </c>
      <c r="Z14">
        <v>7.0000000000000007E-2</v>
      </c>
      <c r="AA14">
        <v>0</v>
      </c>
      <c r="AB14">
        <v>0</v>
      </c>
      <c r="AC14" s="115">
        <v>40315</v>
      </c>
      <c r="AD14" s="58">
        <v>76966.47</v>
      </c>
      <c r="AE14" s="115">
        <v>40316</v>
      </c>
      <c r="AF14" t="s">
        <v>1765</v>
      </c>
      <c r="AK14" s="115">
        <v>40239</v>
      </c>
      <c r="AL14">
        <v>7.0000000000000007E-2</v>
      </c>
      <c r="AM14">
        <v>0</v>
      </c>
      <c r="AN14">
        <v>0</v>
      </c>
      <c r="AO14" s="115">
        <v>40315</v>
      </c>
      <c r="AP14" s="58">
        <v>76966.47</v>
      </c>
      <c r="AQ14" s="115">
        <v>40316</v>
      </c>
      <c r="AR14" t="s">
        <v>1765</v>
      </c>
      <c r="AW14" s="115">
        <v>40257</v>
      </c>
      <c r="AX14">
        <v>0.2</v>
      </c>
      <c r="AY14">
        <v>0</v>
      </c>
      <c r="AZ14">
        <v>0</v>
      </c>
      <c r="BA14" s="115">
        <v>40291</v>
      </c>
      <c r="BB14" s="58">
        <v>3214.98</v>
      </c>
      <c r="BC14" s="115">
        <v>40294</v>
      </c>
      <c r="BD14" t="s">
        <v>1765</v>
      </c>
      <c r="BI14" s="115">
        <v>42244</v>
      </c>
      <c r="BJ14">
        <v>0.1</v>
      </c>
      <c r="BK14">
        <v>0</v>
      </c>
      <c r="BL14">
        <v>0</v>
      </c>
      <c r="BM14" s="115">
        <v>42296</v>
      </c>
      <c r="BN14" s="58">
        <v>19993.099999999999</v>
      </c>
      <c r="BO14" s="115">
        <v>42297</v>
      </c>
      <c r="BP14" t="s">
        <v>1765</v>
      </c>
      <c r="BU14" s="115">
        <v>40291</v>
      </c>
      <c r="BV14">
        <v>0.04</v>
      </c>
      <c r="BW14">
        <v>0</v>
      </c>
      <c r="BX14">
        <v>0</v>
      </c>
      <c r="BY14" s="115">
        <v>40366</v>
      </c>
      <c r="BZ14" s="58">
        <v>47360</v>
      </c>
      <c r="CA14" s="115">
        <v>40367</v>
      </c>
      <c r="CB14" t="s">
        <v>1765</v>
      </c>
      <c r="CS14" s="115">
        <v>39904</v>
      </c>
      <c r="CT14">
        <v>6.7199999999999996E-2</v>
      </c>
      <c r="CU14">
        <v>0</v>
      </c>
      <c r="CV14">
        <v>0</v>
      </c>
      <c r="CW14" s="115">
        <v>40004</v>
      </c>
      <c r="CX14" s="58">
        <v>142441.13</v>
      </c>
      <c r="CY14" s="115">
        <v>40007</v>
      </c>
      <c r="CZ14" t="s">
        <v>1765</v>
      </c>
      <c r="DE14" s="115">
        <v>40288</v>
      </c>
      <c r="DF14">
        <v>2.9000000000000001E-2</v>
      </c>
      <c r="DG14">
        <v>0</v>
      </c>
      <c r="DH14">
        <v>0</v>
      </c>
      <c r="DI14" s="115">
        <v>40330</v>
      </c>
      <c r="DJ14" s="58">
        <v>87000</v>
      </c>
      <c r="DK14" s="115">
        <v>40331</v>
      </c>
      <c r="DL14" t="s">
        <v>1765</v>
      </c>
      <c r="DQ14" s="115">
        <v>40295</v>
      </c>
      <c r="DR14">
        <v>6.3E-2</v>
      </c>
      <c r="DS14">
        <v>0</v>
      </c>
      <c r="DT14">
        <v>0</v>
      </c>
      <c r="DU14" s="115">
        <v>40374</v>
      </c>
      <c r="DV14" s="58">
        <v>134189.37</v>
      </c>
      <c r="DW14" s="115">
        <v>40375</v>
      </c>
      <c r="DX14" t="s">
        <v>1765</v>
      </c>
      <c r="FA14" s="115">
        <v>39536</v>
      </c>
      <c r="FB14">
        <v>0.2</v>
      </c>
      <c r="FC14">
        <v>0</v>
      </c>
      <c r="FD14">
        <v>1</v>
      </c>
      <c r="FE14" s="115">
        <v>39582</v>
      </c>
      <c r="FF14" s="58">
        <v>1370</v>
      </c>
      <c r="FG14" s="115">
        <v>39583</v>
      </c>
      <c r="FH14" t="s">
        <v>1765</v>
      </c>
      <c r="FM14" s="115">
        <v>40260</v>
      </c>
      <c r="FN14">
        <v>0.55000000000000004</v>
      </c>
      <c r="FO14">
        <v>0</v>
      </c>
      <c r="FP14">
        <v>0</v>
      </c>
      <c r="FQ14" s="115">
        <v>40297</v>
      </c>
      <c r="FR14" s="58">
        <v>122463.64</v>
      </c>
      <c r="FS14" s="115">
        <v>40298</v>
      </c>
      <c r="FT14" t="s">
        <v>1765</v>
      </c>
      <c r="GK14" s="115">
        <v>40626</v>
      </c>
      <c r="GL14">
        <v>0.3</v>
      </c>
      <c r="GM14">
        <v>0</v>
      </c>
      <c r="GN14">
        <v>0</v>
      </c>
      <c r="GO14" s="115">
        <v>40693</v>
      </c>
      <c r="GP14" s="58">
        <v>84536.66</v>
      </c>
      <c r="GQ14" s="115">
        <v>40694</v>
      </c>
      <c r="GR14" t="s">
        <v>1765</v>
      </c>
      <c r="GW14" s="115">
        <v>40239</v>
      </c>
      <c r="GX14">
        <v>7.0000000000000007E-2</v>
      </c>
      <c r="GY14">
        <v>0</v>
      </c>
      <c r="GZ14">
        <v>0</v>
      </c>
      <c r="HA14" s="115">
        <v>40315</v>
      </c>
      <c r="HB14" s="58">
        <v>76966.47</v>
      </c>
      <c r="HC14" s="115">
        <v>40316</v>
      </c>
      <c r="HD14" t="s">
        <v>1765</v>
      </c>
      <c r="HI14" s="115">
        <v>39882</v>
      </c>
      <c r="HJ14">
        <v>0.1</v>
      </c>
      <c r="HK14">
        <v>0</v>
      </c>
      <c r="HL14">
        <v>0</v>
      </c>
      <c r="HM14" s="115">
        <v>39927</v>
      </c>
      <c r="HN14" s="58">
        <v>23830</v>
      </c>
      <c r="HO14" s="115">
        <v>39930</v>
      </c>
      <c r="HP14" t="s">
        <v>1765</v>
      </c>
      <c r="HU14" s="115">
        <v>39904</v>
      </c>
      <c r="HV14">
        <v>6.7199999999999996E-2</v>
      </c>
      <c r="HW14">
        <v>0</v>
      </c>
      <c r="HX14">
        <v>0</v>
      </c>
      <c r="HY14" s="115">
        <v>40004</v>
      </c>
      <c r="HZ14" s="58">
        <v>142441.13</v>
      </c>
      <c r="IA14" s="115">
        <v>40007</v>
      </c>
      <c r="IB14" t="s">
        <v>1765</v>
      </c>
      <c r="IS14" s="115">
        <v>40257</v>
      </c>
      <c r="IT14">
        <v>0.2</v>
      </c>
      <c r="IU14">
        <v>0</v>
      </c>
      <c r="IV14">
        <v>0</v>
      </c>
      <c r="IW14" s="115">
        <v>40291</v>
      </c>
      <c r="IX14" s="58">
        <v>3214.98</v>
      </c>
      <c r="IY14" s="115">
        <v>40294</v>
      </c>
      <c r="IZ14" t="s">
        <v>1765</v>
      </c>
      <c r="JE14" s="115">
        <v>40253</v>
      </c>
      <c r="JF14">
        <v>0.1</v>
      </c>
      <c r="JG14">
        <v>0</v>
      </c>
      <c r="JH14">
        <v>0</v>
      </c>
      <c r="JI14" s="115">
        <v>40324</v>
      </c>
      <c r="JJ14" s="58">
        <v>13288.98</v>
      </c>
      <c r="JK14" s="115">
        <v>40325</v>
      </c>
      <c r="JL14" t="s">
        <v>1765</v>
      </c>
      <c r="KC14" s="115">
        <v>40269</v>
      </c>
      <c r="KD14">
        <v>0.2</v>
      </c>
      <c r="KE14">
        <v>0</v>
      </c>
      <c r="KF14">
        <v>0</v>
      </c>
      <c r="KG14" s="115">
        <v>40319</v>
      </c>
      <c r="KH14" s="58">
        <v>350240</v>
      </c>
      <c r="KI14" s="115">
        <v>40322</v>
      </c>
      <c r="KJ14" t="s">
        <v>1765</v>
      </c>
      <c r="KO14" s="115">
        <v>37776</v>
      </c>
      <c r="KP14">
        <v>0</v>
      </c>
      <c r="KQ14">
        <v>0</v>
      </c>
      <c r="KR14">
        <v>0.2</v>
      </c>
      <c r="KS14" s="115">
        <v>37781</v>
      </c>
      <c r="KT14">
        <v>0</v>
      </c>
      <c r="KU14" s="115">
        <v>37782</v>
      </c>
      <c r="KV14" t="s">
        <v>1765</v>
      </c>
      <c r="LA14" s="115">
        <v>40620</v>
      </c>
      <c r="LB14">
        <v>0.06</v>
      </c>
      <c r="LC14">
        <v>0.5</v>
      </c>
      <c r="LD14">
        <v>0</v>
      </c>
      <c r="LE14" s="115">
        <v>40654</v>
      </c>
      <c r="LF14" s="58">
        <v>30374.82</v>
      </c>
      <c r="LG14" s="115">
        <v>40655</v>
      </c>
      <c r="LH14" t="s">
        <v>1765</v>
      </c>
      <c r="LY14" s="115">
        <v>37022</v>
      </c>
      <c r="LZ14">
        <v>2.6800000000000001E-2</v>
      </c>
      <c r="MA14">
        <v>0.49109999999999998</v>
      </c>
      <c r="MB14">
        <v>0</v>
      </c>
      <c r="MC14" s="115">
        <v>37027</v>
      </c>
      <c r="MD14">
        <v>195.1</v>
      </c>
      <c r="ME14" s="115">
        <v>37028</v>
      </c>
      <c r="MF14" t="s">
        <v>1765</v>
      </c>
      <c r="MK14" s="115">
        <v>40644</v>
      </c>
      <c r="ML14">
        <v>0.2</v>
      </c>
      <c r="MM14">
        <v>0</v>
      </c>
      <c r="MN14">
        <v>0.5</v>
      </c>
      <c r="MO14" s="115">
        <v>40681</v>
      </c>
      <c r="MP14" s="58">
        <v>2036.65</v>
      </c>
      <c r="MQ14" s="115">
        <v>40682</v>
      </c>
      <c r="MR14" t="s">
        <v>1765</v>
      </c>
      <c r="NU14" s="115">
        <v>40626</v>
      </c>
      <c r="NV14">
        <v>0.3</v>
      </c>
      <c r="NW14">
        <v>0</v>
      </c>
      <c r="NX14">
        <v>0</v>
      </c>
      <c r="NY14" s="115">
        <v>40693</v>
      </c>
      <c r="NZ14" s="58">
        <v>84536.66</v>
      </c>
      <c r="OA14" s="115">
        <v>40694</v>
      </c>
      <c r="OB14" t="s">
        <v>1765</v>
      </c>
      <c r="OG14" s="115">
        <v>40239</v>
      </c>
      <c r="OH14">
        <v>7.0000000000000007E-2</v>
      </c>
      <c r="OI14">
        <v>0</v>
      </c>
      <c r="OJ14">
        <v>0</v>
      </c>
      <c r="OK14" s="115">
        <v>40315</v>
      </c>
      <c r="OL14" s="58">
        <v>76966.47</v>
      </c>
      <c r="OM14" s="115">
        <v>40316</v>
      </c>
      <c r="ON14" t="s">
        <v>1765</v>
      </c>
      <c r="PQ14" s="115">
        <v>38902</v>
      </c>
      <c r="PR14">
        <v>0</v>
      </c>
      <c r="PS14">
        <v>0</v>
      </c>
      <c r="PT14">
        <v>0.42780000000000001</v>
      </c>
      <c r="PU14" s="115">
        <v>39021</v>
      </c>
      <c r="PV14">
        <v>0</v>
      </c>
      <c r="PW14" s="115">
        <v>39022</v>
      </c>
      <c r="PX14" t="s">
        <v>1765</v>
      </c>
      <c r="QC14" s="115">
        <v>40290</v>
      </c>
      <c r="QD14">
        <v>0.15</v>
      </c>
      <c r="QE14">
        <v>0</v>
      </c>
      <c r="QF14">
        <v>0</v>
      </c>
      <c r="QG14" s="115">
        <v>40379</v>
      </c>
      <c r="QH14" s="58">
        <v>8509.14</v>
      </c>
      <c r="QI14" s="115">
        <v>40380</v>
      </c>
      <c r="QJ14" t="s">
        <v>1765</v>
      </c>
      <c r="QO14" s="115">
        <v>42445</v>
      </c>
      <c r="QP14">
        <v>0.35</v>
      </c>
      <c r="QQ14">
        <v>0</v>
      </c>
      <c r="QR14">
        <v>0</v>
      </c>
      <c r="QS14" s="115">
        <v>42555</v>
      </c>
      <c r="QT14" s="58">
        <v>639808.44999999995</v>
      </c>
      <c r="QU14" s="115">
        <v>42556</v>
      </c>
      <c r="QV14" t="s">
        <v>1765</v>
      </c>
      <c r="RA14" s="115">
        <v>40267</v>
      </c>
      <c r="RB14">
        <v>0.35</v>
      </c>
      <c r="RC14">
        <v>0</v>
      </c>
      <c r="RD14">
        <v>1</v>
      </c>
      <c r="RE14" s="115">
        <v>40347</v>
      </c>
      <c r="RF14" s="58">
        <v>61825.2</v>
      </c>
      <c r="RG14" s="115">
        <v>40350</v>
      </c>
      <c r="RH14" t="s">
        <v>1765</v>
      </c>
      <c r="RM14" s="115">
        <v>40268</v>
      </c>
      <c r="RN14">
        <v>0.2</v>
      </c>
      <c r="RO14">
        <v>0</v>
      </c>
      <c r="RP14">
        <v>0</v>
      </c>
      <c r="RQ14" s="115">
        <v>40333</v>
      </c>
      <c r="RR14" s="58">
        <v>8072</v>
      </c>
      <c r="RS14" s="115">
        <v>40336</v>
      </c>
      <c r="RT14" t="s">
        <v>1765</v>
      </c>
      <c r="RY14" s="115">
        <v>39192</v>
      </c>
      <c r="RZ14">
        <v>0.05</v>
      </c>
      <c r="SA14">
        <v>0</v>
      </c>
      <c r="SB14">
        <v>0</v>
      </c>
      <c r="SC14" s="115">
        <v>39248</v>
      </c>
      <c r="SD14" s="58">
        <v>3422.45</v>
      </c>
      <c r="SE14" s="115">
        <v>39251</v>
      </c>
      <c r="SF14" t="s">
        <v>1765</v>
      </c>
      <c r="SK14" s="115">
        <v>40267</v>
      </c>
      <c r="SL14">
        <v>0.35</v>
      </c>
      <c r="SM14">
        <v>0</v>
      </c>
      <c r="SN14">
        <v>1</v>
      </c>
      <c r="SO14" s="115">
        <v>40347</v>
      </c>
      <c r="SP14" s="58">
        <v>61825.2</v>
      </c>
      <c r="SQ14" s="115">
        <v>40350</v>
      </c>
      <c r="SR14" t="s">
        <v>1765</v>
      </c>
      <c r="SW14" s="115">
        <v>40268</v>
      </c>
      <c r="SX14">
        <v>0.2</v>
      </c>
      <c r="SY14">
        <v>0</v>
      </c>
      <c r="SZ14">
        <v>0</v>
      </c>
      <c r="TA14" s="115">
        <v>40333</v>
      </c>
      <c r="TB14" s="58">
        <v>8072</v>
      </c>
      <c r="TC14" s="115">
        <v>40336</v>
      </c>
      <c r="TD14" t="s">
        <v>1765</v>
      </c>
      <c r="VE14" s="115">
        <v>40644</v>
      </c>
      <c r="VF14">
        <v>0.2</v>
      </c>
      <c r="VG14">
        <v>0</v>
      </c>
      <c r="VH14">
        <v>0.5</v>
      </c>
      <c r="VI14" s="115">
        <v>40681</v>
      </c>
      <c r="VJ14" s="58">
        <v>2036.65</v>
      </c>
      <c r="VK14" s="115">
        <v>40682</v>
      </c>
      <c r="VL14" t="s">
        <v>1765</v>
      </c>
      <c r="VQ14" s="115">
        <v>40604</v>
      </c>
      <c r="VR14">
        <v>0.56999999999999995</v>
      </c>
      <c r="VS14">
        <v>0</v>
      </c>
      <c r="VT14">
        <v>0</v>
      </c>
      <c r="VU14" s="115">
        <v>40632</v>
      </c>
      <c r="VV14" s="58">
        <v>114170.22</v>
      </c>
      <c r="VW14" s="115">
        <v>40633</v>
      </c>
      <c r="VX14" t="s">
        <v>1765</v>
      </c>
      <c r="WC14" s="115">
        <v>37776</v>
      </c>
      <c r="WD14">
        <v>0</v>
      </c>
      <c r="WE14">
        <v>0</v>
      </c>
      <c r="WF14">
        <v>0.2</v>
      </c>
      <c r="WG14" s="115">
        <v>37781</v>
      </c>
      <c r="WH14">
        <v>0</v>
      </c>
      <c r="WI14" s="115">
        <v>37782</v>
      </c>
      <c r="WJ14" t="s">
        <v>1765</v>
      </c>
      <c r="WO14" s="115">
        <v>37776</v>
      </c>
      <c r="WP14">
        <v>0</v>
      </c>
      <c r="WQ14">
        <v>0</v>
      </c>
      <c r="WR14">
        <v>0.2</v>
      </c>
      <c r="WS14" s="115">
        <v>37781</v>
      </c>
      <c r="WT14">
        <v>0</v>
      </c>
      <c r="WU14" s="115">
        <v>37782</v>
      </c>
      <c r="WV14" t="s">
        <v>1765</v>
      </c>
      <c r="XM14" s="115">
        <v>40296</v>
      </c>
      <c r="XN14">
        <v>0.1</v>
      </c>
      <c r="XO14">
        <v>0</v>
      </c>
      <c r="XP14">
        <v>0</v>
      </c>
      <c r="XQ14" s="115">
        <v>40331</v>
      </c>
      <c r="XR14" s="58">
        <v>13965</v>
      </c>
      <c r="XS14" s="115">
        <v>40332</v>
      </c>
      <c r="XT14" t="s">
        <v>1765</v>
      </c>
      <c r="AAG14" s="115">
        <v>40295</v>
      </c>
      <c r="AAH14">
        <v>0.1</v>
      </c>
      <c r="AAI14">
        <v>0</v>
      </c>
      <c r="AAJ14">
        <v>0.6</v>
      </c>
      <c r="AAK14" s="115">
        <v>40324</v>
      </c>
      <c r="AAL14" s="58">
        <v>1545</v>
      </c>
      <c r="AAM14" s="115">
        <v>40325</v>
      </c>
      <c r="AAN14" t="s">
        <v>1765</v>
      </c>
      <c r="AAS14" s="115">
        <v>38820</v>
      </c>
      <c r="AAT14">
        <v>0.22</v>
      </c>
      <c r="AAU14">
        <v>0</v>
      </c>
      <c r="AAV14">
        <v>0</v>
      </c>
      <c r="AAW14" s="115">
        <v>38911</v>
      </c>
      <c r="AAX14" s="58">
        <v>2203.39</v>
      </c>
      <c r="AAY14" s="115">
        <v>38912</v>
      </c>
      <c r="AAZ14" t="s">
        <v>1765</v>
      </c>
      <c r="ABQ14" s="115">
        <v>37799</v>
      </c>
      <c r="ABR14">
        <v>0.05</v>
      </c>
      <c r="ABS14">
        <v>0</v>
      </c>
      <c r="ABT14">
        <v>0</v>
      </c>
      <c r="ABU14" s="115">
        <v>37804</v>
      </c>
      <c r="ABV14">
        <v>760.25</v>
      </c>
      <c r="ABW14" s="115">
        <v>37805</v>
      </c>
      <c r="ABX14" t="s">
        <v>1765</v>
      </c>
      <c r="ACO14" s="115">
        <v>40287</v>
      </c>
      <c r="ACP14">
        <v>0.3</v>
      </c>
      <c r="ACQ14">
        <v>0</v>
      </c>
      <c r="ACR14">
        <v>0</v>
      </c>
      <c r="ACS14" s="115">
        <v>40387</v>
      </c>
      <c r="ACT14" s="58">
        <v>40155.56</v>
      </c>
      <c r="ACU14" s="115">
        <v>40388</v>
      </c>
      <c r="ACV14" t="s">
        <v>1765</v>
      </c>
      <c r="ADY14" s="115">
        <v>40295</v>
      </c>
      <c r="ADZ14">
        <v>0.05</v>
      </c>
      <c r="AEA14">
        <v>0</v>
      </c>
      <c r="AEB14">
        <v>0</v>
      </c>
      <c r="AEC14" s="115">
        <v>40329</v>
      </c>
      <c r="AED14" s="58">
        <v>3481.32</v>
      </c>
      <c r="AEE14" s="115">
        <v>40330</v>
      </c>
      <c r="AEF14" t="s">
        <v>1765</v>
      </c>
      <c r="AEW14" s="115">
        <v>40609</v>
      </c>
      <c r="AEX14">
        <v>0.5</v>
      </c>
      <c r="AEY14">
        <v>0</v>
      </c>
      <c r="AEZ14">
        <v>1</v>
      </c>
      <c r="AFA14" s="115">
        <v>40661</v>
      </c>
      <c r="AFB14" s="58">
        <v>12000</v>
      </c>
      <c r="AFC14" s="115">
        <v>40662</v>
      </c>
      <c r="AFD14" t="s">
        <v>1765</v>
      </c>
      <c r="AFI14" s="115">
        <v>40291</v>
      </c>
      <c r="AFJ14">
        <v>0.35</v>
      </c>
      <c r="AFK14">
        <v>0</v>
      </c>
      <c r="AFL14">
        <v>0</v>
      </c>
      <c r="AFM14" s="115">
        <v>40381</v>
      </c>
      <c r="AFN14" s="58">
        <v>22890.75</v>
      </c>
      <c r="AFO14" s="115">
        <v>40382</v>
      </c>
      <c r="AFP14" t="s">
        <v>1765</v>
      </c>
      <c r="AFU14" s="115">
        <v>40275</v>
      </c>
      <c r="AFV14">
        <v>0.3</v>
      </c>
      <c r="AFW14">
        <v>0</v>
      </c>
      <c r="AFX14">
        <v>0</v>
      </c>
      <c r="AFY14" s="115">
        <v>40312</v>
      </c>
      <c r="AFZ14" s="58">
        <v>49900.03</v>
      </c>
      <c r="AGA14" s="115">
        <v>40315</v>
      </c>
      <c r="AGB14" t="s">
        <v>1765</v>
      </c>
      <c r="AGG14" s="115">
        <v>37776</v>
      </c>
      <c r="AGH14">
        <v>0</v>
      </c>
      <c r="AGI14">
        <v>0</v>
      </c>
      <c r="AGJ14">
        <v>0.2</v>
      </c>
      <c r="AGK14" s="115">
        <v>37781</v>
      </c>
      <c r="AGL14">
        <v>0</v>
      </c>
      <c r="AGM14" s="115">
        <v>37782</v>
      </c>
      <c r="AGN14" t="s">
        <v>1765</v>
      </c>
      <c r="AGS14" s="115">
        <v>40366</v>
      </c>
      <c r="AGT14">
        <v>0.17</v>
      </c>
      <c r="AGU14">
        <v>1.5</v>
      </c>
      <c r="AGV14">
        <v>0</v>
      </c>
      <c r="AGW14" s="115">
        <v>40416</v>
      </c>
      <c r="AGX14" s="58">
        <v>33507.93</v>
      </c>
      <c r="AGY14" s="115">
        <v>40417</v>
      </c>
      <c r="AGZ14" t="s">
        <v>1765</v>
      </c>
      <c r="AHE14" s="115">
        <v>40630</v>
      </c>
      <c r="AHF14">
        <v>0.3</v>
      </c>
      <c r="AHG14">
        <v>0</v>
      </c>
      <c r="AHH14">
        <v>0.5</v>
      </c>
      <c r="AHI14" s="115">
        <v>40660</v>
      </c>
      <c r="AHJ14" s="58">
        <v>3679.65</v>
      </c>
      <c r="AHK14" s="115">
        <v>40661</v>
      </c>
      <c r="AHL14" t="s">
        <v>1765</v>
      </c>
      <c r="AHQ14" s="115">
        <v>40620</v>
      </c>
      <c r="AHR14">
        <v>0.06</v>
      </c>
      <c r="AHS14">
        <v>0.5</v>
      </c>
      <c r="AHT14">
        <v>0</v>
      </c>
      <c r="AHU14" s="115">
        <v>40654</v>
      </c>
      <c r="AHV14" s="58">
        <v>30374.82</v>
      </c>
      <c r="AHW14" s="115">
        <v>40655</v>
      </c>
      <c r="AHX14" t="s">
        <v>1765</v>
      </c>
      <c r="AIC14" s="115">
        <v>40603</v>
      </c>
      <c r="AID14">
        <v>0.5</v>
      </c>
      <c r="AIE14">
        <v>0</v>
      </c>
      <c r="AIF14">
        <v>0.5</v>
      </c>
      <c r="AIG14" s="115">
        <v>40689</v>
      </c>
      <c r="AIH14" s="58">
        <v>37508.07</v>
      </c>
      <c r="AII14" s="115">
        <v>40690</v>
      </c>
      <c r="AIJ14" t="s">
        <v>1765</v>
      </c>
      <c r="AIO14" s="115">
        <v>40270</v>
      </c>
      <c r="AIP14">
        <v>1.1850000000000001</v>
      </c>
      <c r="AIQ14">
        <v>0</v>
      </c>
      <c r="AIR14">
        <v>0</v>
      </c>
      <c r="AIS14" s="115">
        <v>40361</v>
      </c>
      <c r="AIT14" s="58">
        <v>111840.3</v>
      </c>
      <c r="AIU14" s="115">
        <v>40364</v>
      </c>
      <c r="AIV14" t="s">
        <v>1765</v>
      </c>
      <c r="AJA14" s="115">
        <v>40256</v>
      </c>
      <c r="AJB14">
        <v>0.15</v>
      </c>
      <c r="AJC14">
        <v>0</v>
      </c>
      <c r="AJD14">
        <v>0</v>
      </c>
      <c r="AJE14" s="115">
        <v>40311</v>
      </c>
      <c r="AJF14" s="58">
        <v>56939.5</v>
      </c>
      <c r="AJG14" s="115">
        <v>40312</v>
      </c>
      <c r="AJH14" t="s">
        <v>1765</v>
      </c>
      <c r="AJY14" s="115">
        <v>40334</v>
      </c>
      <c r="AJZ14">
        <v>0.5</v>
      </c>
      <c r="AKA14">
        <v>0</v>
      </c>
      <c r="AKB14">
        <v>0</v>
      </c>
      <c r="AKC14" s="115">
        <v>40365</v>
      </c>
      <c r="AKD14" s="58">
        <v>25000</v>
      </c>
      <c r="AKE14" s="115">
        <v>40366</v>
      </c>
      <c r="AKF14" t="s">
        <v>1765</v>
      </c>
      <c r="AMG14" s="115">
        <v>40642</v>
      </c>
      <c r="AMH14">
        <v>0.7</v>
      </c>
      <c r="AMI14">
        <v>0</v>
      </c>
      <c r="AMJ14">
        <v>0</v>
      </c>
      <c r="AMK14" s="115">
        <v>40716</v>
      </c>
      <c r="AML14" s="58">
        <v>9800</v>
      </c>
      <c r="AMM14" s="115">
        <v>40717</v>
      </c>
      <c r="AMN14" t="s">
        <v>1765</v>
      </c>
      <c r="AMS14" s="115">
        <v>37022</v>
      </c>
      <c r="AMT14">
        <v>2.6800000000000001E-2</v>
      </c>
      <c r="AMU14">
        <v>0.49109999999999998</v>
      </c>
      <c r="AMV14">
        <v>0</v>
      </c>
      <c r="AMW14" s="115">
        <v>37027</v>
      </c>
      <c r="AMX14">
        <v>195.1</v>
      </c>
      <c r="AMY14" s="115">
        <v>37028</v>
      </c>
      <c r="AMZ14" t="s">
        <v>1765</v>
      </c>
      <c r="ANE14" s="115">
        <v>40267</v>
      </c>
      <c r="ANF14">
        <v>0.35</v>
      </c>
      <c r="ANG14">
        <v>0</v>
      </c>
      <c r="ANH14">
        <v>1</v>
      </c>
      <c r="ANI14" s="115">
        <v>40347</v>
      </c>
      <c r="ANJ14" s="58">
        <v>61825.2</v>
      </c>
      <c r="ANK14" s="115">
        <v>40350</v>
      </c>
      <c r="ANL14" t="s">
        <v>1765</v>
      </c>
      <c r="ANQ14" s="115">
        <v>37022</v>
      </c>
      <c r="ANR14">
        <v>2.6800000000000001E-2</v>
      </c>
      <c r="ANS14">
        <v>0.49109999999999998</v>
      </c>
      <c r="ANT14">
        <v>0</v>
      </c>
      <c r="ANU14" s="115">
        <v>37027</v>
      </c>
      <c r="ANV14">
        <v>195.1</v>
      </c>
      <c r="ANW14" s="115">
        <v>37028</v>
      </c>
      <c r="ANX14" t="s">
        <v>1765</v>
      </c>
      <c r="AOC14" s="115">
        <v>42445</v>
      </c>
      <c r="AOD14">
        <v>0.35</v>
      </c>
      <c r="AOE14">
        <v>0</v>
      </c>
      <c r="AOF14">
        <v>0</v>
      </c>
      <c r="AOG14" s="115">
        <v>42555</v>
      </c>
      <c r="AOH14" s="58">
        <v>639808.44999999995</v>
      </c>
      <c r="AOI14" s="115">
        <v>42556</v>
      </c>
      <c r="AOJ14" t="s">
        <v>1765</v>
      </c>
      <c r="AOO14" s="115">
        <v>38902</v>
      </c>
      <c r="AOP14">
        <v>0</v>
      </c>
      <c r="AOQ14">
        <v>0</v>
      </c>
      <c r="AOR14">
        <v>0.42780000000000001</v>
      </c>
      <c r="AOS14" s="115">
        <v>39021</v>
      </c>
      <c r="AOT14">
        <v>0</v>
      </c>
      <c r="AOU14" s="115">
        <v>39022</v>
      </c>
      <c r="AOV14" t="s">
        <v>1765</v>
      </c>
      <c r="APA14" s="115">
        <v>39522</v>
      </c>
      <c r="APB14">
        <v>0.1</v>
      </c>
      <c r="APC14">
        <v>0</v>
      </c>
      <c r="APD14">
        <v>0</v>
      </c>
      <c r="APE14" s="115">
        <v>39598</v>
      </c>
      <c r="APF14" s="58">
        <v>2593.3200000000002</v>
      </c>
      <c r="APG14" s="115">
        <v>39601</v>
      </c>
      <c r="APH14" t="s">
        <v>1765</v>
      </c>
      <c r="APM14" s="115">
        <v>40289</v>
      </c>
      <c r="APN14">
        <v>0.03</v>
      </c>
      <c r="APO14">
        <v>0</v>
      </c>
      <c r="APP14">
        <v>0</v>
      </c>
      <c r="APQ14" s="115">
        <v>40350</v>
      </c>
      <c r="APR14" s="58">
        <v>1939.81</v>
      </c>
      <c r="APS14" s="115">
        <v>40351</v>
      </c>
      <c r="APT14" t="s">
        <v>1765</v>
      </c>
      <c r="AQK14" s="115">
        <v>40267</v>
      </c>
      <c r="AQL14">
        <v>0.35</v>
      </c>
      <c r="AQM14">
        <v>0</v>
      </c>
      <c r="AQN14">
        <v>1</v>
      </c>
      <c r="AQO14" s="115">
        <v>40347</v>
      </c>
      <c r="AQP14" s="58">
        <v>61825.2</v>
      </c>
      <c r="AQQ14" s="115">
        <v>40350</v>
      </c>
      <c r="AQR14" t="s">
        <v>1765</v>
      </c>
      <c r="AQW14" s="115">
        <v>40602</v>
      </c>
      <c r="AQX14">
        <v>0.12</v>
      </c>
      <c r="AQY14">
        <v>0</v>
      </c>
      <c r="AQZ14">
        <v>0</v>
      </c>
      <c r="ARA14" s="115">
        <v>40654</v>
      </c>
      <c r="ARB14" s="58">
        <v>12714.96</v>
      </c>
      <c r="ARC14" s="115">
        <v>40655</v>
      </c>
      <c r="ARD14" t="s">
        <v>1765</v>
      </c>
      <c r="ARU14" s="115">
        <v>40626</v>
      </c>
      <c r="ARV14">
        <v>0.3</v>
      </c>
      <c r="ARW14">
        <v>0</v>
      </c>
      <c r="ARX14">
        <v>0</v>
      </c>
      <c r="ARY14" s="115">
        <v>40693</v>
      </c>
      <c r="ARZ14" s="58">
        <v>84536.66</v>
      </c>
      <c r="ASA14" s="115">
        <v>40694</v>
      </c>
      <c r="ASB14" t="s">
        <v>1765</v>
      </c>
      <c r="ASG14" s="115">
        <v>40239</v>
      </c>
      <c r="ASH14">
        <v>7.0000000000000007E-2</v>
      </c>
      <c r="ASI14">
        <v>0</v>
      </c>
      <c r="ASJ14">
        <v>0</v>
      </c>
      <c r="ASK14" s="115">
        <v>40315</v>
      </c>
      <c r="ASL14" s="58">
        <v>76966.47</v>
      </c>
      <c r="ASM14" s="115">
        <v>40316</v>
      </c>
      <c r="ASN14" t="s">
        <v>1765</v>
      </c>
      <c r="ATE14" s="115">
        <v>40253</v>
      </c>
      <c r="ATF14">
        <v>0.1</v>
      </c>
      <c r="ATG14">
        <v>0</v>
      </c>
      <c r="ATH14">
        <v>0</v>
      </c>
      <c r="ATI14" s="115">
        <v>40324</v>
      </c>
      <c r="ATJ14" s="58">
        <v>13288.98</v>
      </c>
      <c r="ATK14" s="115">
        <v>40325</v>
      </c>
      <c r="ATL14" t="s">
        <v>1765</v>
      </c>
      <c r="ATQ14" s="115">
        <v>40389</v>
      </c>
      <c r="ATR14">
        <v>0.02</v>
      </c>
      <c r="ATS14">
        <v>0</v>
      </c>
      <c r="ATT14">
        <v>0.2</v>
      </c>
      <c r="ATU14" s="115">
        <v>40508</v>
      </c>
      <c r="ATV14" s="58">
        <v>1041.27</v>
      </c>
      <c r="ATW14" s="115">
        <v>40511</v>
      </c>
      <c r="ATX14" t="s">
        <v>1765</v>
      </c>
      <c r="AUC14" s="115">
        <v>40290</v>
      </c>
      <c r="AUD14">
        <v>0.15</v>
      </c>
      <c r="AUE14">
        <v>0</v>
      </c>
      <c r="AUF14">
        <v>0</v>
      </c>
      <c r="AUG14" s="115">
        <v>40379</v>
      </c>
      <c r="AUH14" s="58">
        <v>8509.14</v>
      </c>
      <c r="AUI14" s="115">
        <v>40380</v>
      </c>
      <c r="AUJ14" t="s">
        <v>1765</v>
      </c>
      <c r="AUO14" s="115">
        <v>39149</v>
      </c>
      <c r="AUP14">
        <v>5.5E-2</v>
      </c>
      <c r="AUQ14">
        <v>0</v>
      </c>
      <c r="AUR14">
        <v>0</v>
      </c>
      <c r="AUS14" s="115">
        <v>39244</v>
      </c>
      <c r="AUT14" s="58">
        <v>18650.3</v>
      </c>
      <c r="AUU14" s="115">
        <v>39245</v>
      </c>
      <c r="AUV14" t="s">
        <v>1765</v>
      </c>
      <c r="AVA14" s="115">
        <v>40269</v>
      </c>
      <c r="AVB14">
        <v>0.2</v>
      </c>
      <c r="AVC14">
        <v>0</v>
      </c>
      <c r="AVD14">
        <v>0</v>
      </c>
      <c r="AVE14" s="115">
        <v>40319</v>
      </c>
      <c r="AVF14" s="58">
        <v>350240</v>
      </c>
      <c r="AVG14" s="115">
        <v>40322</v>
      </c>
      <c r="AVH14" t="s">
        <v>1765</v>
      </c>
      <c r="AVM14" s="115">
        <v>39192</v>
      </c>
      <c r="AVN14">
        <v>0.05</v>
      </c>
      <c r="AVO14">
        <v>0</v>
      </c>
      <c r="AVP14">
        <v>0</v>
      </c>
      <c r="AVQ14" s="115">
        <v>39248</v>
      </c>
      <c r="AVR14" s="58">
        <v>3422.45</v>
      </c>
      <c r="AVS14" s="115">
        <v>39251</v>
      </c>
      <c r="AVT14" t="s">
        <v>1765</v>
      </c>
      <c r="AWK14" s="115">
        <v>40644</v>
      </c>
      <c r="AWL14">
        <v>0.2</v>
      </c>
      <c r="AWM14">
        <v>0</v>
      </c>
      <c r="AWN14">
        <v>0.5</v>
      </c>
      <c r="AWO14" s="115">
        <v>40681</v>
      </c>
      <c r="AWP14" s="58">
        <v>2036.65</v>
      </c>
      <c r="AWQ14" s="115">
        <v>40682</v>
      </c>
      <c r="AWR14" t="s">
        <v>1765</v>
      </c>
    </row>
    <row r="15" spans="1:1300" x14ac:dyDescent="0.25">
      <c r="A15" s="115">
        <v>40413</v>
      </c>
      <c r="B15">
        <v>0.13</v>
      </c>
      <c r="C15">
        <v>1.1000000000000001</v>
      </c>
      <c r="D15">
        <v>0</v>
      </c>
      <c r="E15" s="115">
        <v>40472</v>
      </c>
      <c r="F15" s="58">
        <v>31339.1</v>
      </c>
      <c r="G15" s="115">
        <v>40473</v>
      </c>
      <c r="H15" t="s">
        <v>1765</v>
      </c>
      <c r="Y15" s="115">
        <v>39882</v>
      </c>
      <c r="Z15">
        <v>0.05</v>
      </c>
      <c r="AA15">
        <v>0</v>
      </c>
      <c r="AB15">
        <v>0</v>
      </c>
      <c r="AC15" s="115">
        <v>39969</v>
      </c>
      <c r="AD15" s="58">
        <v>54976.05</v>
      </c>
      <c r="AE15" s="115">
        <v>39972</v>
      </c>
      <c r="AF15" t="s">
        <v>1765</v>
      </c>
      <c r="AK15" s="115">
        <v>39882</v>
      </c>
      <c r="AL15">
        <v>0.05</v>
      </c>
      <c r="AM15">
        <v>0</v>
      </c>
      <c r="AN15">
        <v>0</v>
      </c>
      <c r="AO15" s="115">
        <v>39969</v>
      </c>
      <c r="AP15" s="58">
        <v>54976.05</v>
      </c>
      <c r="AQ15" s="115">
        <v>39972</v>
      </c>
      <c r="AR15" t="s">
        <v>1765</v>
      </c>
      <c r="AW15" s="115">
        <v>39913</v>
      </c>
      <c r="AX15">
        <v>0.25</v>
      </c>
      <c r="AY15">
        <v>0</v>
      </c>
      <c r="AZ15">
        <v>0.5</v>
      </c>
      <c r="BA15" s="115">
        <v>39954</v>
      </c>
      <c r="BB15" s="58">
        <v>2679.15</v>
      </c>
      <c r="BC15" s="115">
        <v>39955</v>
      </c>
      <c r="BD15" t="s">
        <v>1765</v>
      </c>
      <c r="BI15" s="115">
        <v>42094</v>
      </c>
      <c r="BJ15">
        <v>0.15</v>
      </c>
      <c r="BK15">
        <v>0</v>
      </c>
      <c r="BL15">
        <v>1</v>
      </c>
      <c r="BM15" s="115">
        <v>42235</v>
      </c>
      <c r="BN15" s="58">
        <v>29989.64</v>
      </c>
      <c r="BO15" s="115">
        <v>42236</v>
      </c>
      <c r="BP15" t="s">
        <v>1765</v>
      </c>
      <c r="BU15" s="115">
        <v>39926</v>
      </c>
      <c r="BV15">
        <v>3.2000000000000001E-2</v>
      </c>
      <c r="BW15">
        <v>0</v>
      </c>
      <c r="BX15">
        <v>0</v>
      </c>
      <c r="BY15" s="115">
        <v>40001</v>
      </c>
      <c r="BZ15" s="58">
        <v>37888</v>
      </c>
      <c r="CA15" s="115">
        <v>40002</v>
      </c>
      <c r="CB15" t="s">
        <v>1765</v>
      </c>
      <c r="CS15" s="115">
        <v>39535</v>
      </c>
      <c r="CT15">
        <v>6.7199999999999996E-2</v>
      </c>
      <c r="CU15">
        <v>0</v>
      </c>
      <c r="CV15">
        <v>0</v>
      </c>
      <c r="CW15" s="115">
        <v>39626</v>
      </c>
      <c r="CX15" s="58">
        <v>142441.13</v>
      </c>
      <c r="CY15" s="115">
        <v>39629</v>
      </c>
      <c r="CZ15" t="s">
        <v>1765</v>
      </c>
      <c r="FM15" s="115">
        <v>39903</v>
      </c>
      <c r="FN15">
        <v>0.3</v>
      </c>
      <c r="FO15">
        <v>0</v>
      </c>
      <c r="FP15">
        <v>0</v>
      </c>
      <c r="FQ15" s="115">
        <v>39968</v>
      </c>
      <c r="FR15" s="58">
        <v>66798.350000000006</v>
      </c>
      <c r="FS15" s="115">
        <v>39969</v>
      </c>
      <c r="FT15" t="s">
        <v>1765</v>
      </c>
      <c r="GK15" s="115">
        <v>40295</v>
      </c>
      <c r="GL15">
        <v>0.5</v>
      </c>
      <c r="GM15">
        <v>0.5</v>
      </c>
      <c r="GN15">
        <v>0</v>
      </c>
      <c r="GO15" s="115">
        <v>40371</v>
      </c>
      <c r="GP15" s="58">
        <v>93929.63</v>
      </c>
      <c r="GQ15" s="115">
        <v>40372</v>
      </c>
      <c r="GR15" t="s">
        <v>1765</v>
      </c>
      <c r="GW15" s="115">
        <v>39882</v>
      </c>
      <c r="GX15">
        <v>0.05</v>
      </c>
      <c r="GY15">
        <v>0</v>
      </c>
      <c r="GZ15">
        <v>0</v>
      </c>
      <c r="HA15" s="115">
        <v>39969</v>
      </c>
      <c r="HB15" s="58">
        <v>54976.05</v>
      </c>
      <c r="HC15" s="115">
        <v>39972</v>
      </c>
      <c r="HD15" t="s">
        <v>1765</v>
      </c>
      <c r="HI15" s="115">
        <v>39548</v>
      </c>
      <c r="HJ15">
        <v>0.3</v>
      </c>
      <c r="HK15">
        <v>0</v>
      </c>
      <c r="HL15">
        <v>0</v>
      </c>
      <c r="HM15" s="115">
        <v>39587</v>
      </c>
      <c r="HN15" s="58">
        <v>71490</v>
      </c>
      <c r="HO15" s="115">
        <v>39588</v>
      </c>
      <c r="HP15" t="s">
        <v>1765</v>
      </c>
      <c r="HU15" s="115">
        <v>39535</v>
      </c>
      <c r="HV15">
        <v>6.7199999999999996E-2</v>
      </c>
      <c r="HW15">
        <v>0</v>
      </c>
      <c r="HX15">
        <v>0</v>
      </c>
      <c r="HY15" s="115">
        <v>39626</v>
      </c>
      <c r="HZ15" s="58">
        <v>142441.13</v>
      </c>
      <c r="IA15" s="115">
        <v>39629</v>
      </c>
      <c r="IB15" t="s">
        <v>1765</v>
      </c>
      <c r="IS15" s="115">
        <v>39913</v>
      </c>
      <c r="IT15">
        <v>0.25</v>
      </c>
      <c r="IU15">
        <v>0</v>
      </c>
      <c r="IV15">
        <v>0.5</v>
      </c>
      <c r="IW15" s="115">
        <v>39954</v>
      </c>
      <c r="IX15" s="58">
        <v>2679.15</v>
      </c>
      <c r="IY15" s="115">
        <v>39955</v>
      </c>
      <c r="IZ15" t="s">
        <v>1765</v>
      </c>
      <c r="JE15" s="115">
        <v>39902</v>
      </c>
      <c r="JF15">
        <v>0.2</v>
      </c>
      <c r="JG15">
        <v>0</v>
      </c>
      <c r="JH15">
        <v>1</v>
      </c>
      <c r="JI15" s="115">
        <v>39968</v>
      </c>
      <c r="JJ15" s="58">
        <v>13180</v>
      </c>
      <c r="JK15" s="115">
        <v>39969</v>
      </c>
      <c r="JL15" t="s">
        <v>1765</v>
      </c>
      <c r="KC15" s="115">
        <v>39900</v>
      </c>
      <c r="KD15">
        <v>0.18</v>
      </c>
      <c r="KE15">
        <v>0</v>
      </c>
      <c r="KF15">
        <v>0</v>
      </c>
      <c r="KG15" s="115">
        <v>39976</v>
      </c>
      <c r="KH15" s="58">
        <v>315216</v>
      </c>
      <c r="KI15" s="115">
        <v>39979</v>
      </c>
      <c r="KJ15" t="s">
        <v>1765</v>
      </c>
      <c r="KO15" s="115">
        <v>37369</v>
      </c>
      <c r="KP15">
        <v>0.05</v>
      </c>
      <c r="KQ15">
        <v>0</v>
      </c>
      <c r="KR15">
        <v>0</v>
      </c>
      <c r="KS15" s="115">
        <v>37456</v>
      </c>
      <c r="KT15" s="58">
        <v>2747.77</v>
      </c>
      <c r="KU15" s="115">
        <v>37459</v>
      </c>
      <c r="KV15" t="s">
        <v>1765</v>
      </c>
      <c r="LA15" s="115">
        <v>40413</v>
      </c>
      <c r="LB15">
        <v>0.13</v>
      </c>
      <c r="LC15">
        <v>1.1000000000000001</v>
      </c>
      <c r="LD15">
        <v>0</v>
      </c>
      <c r="LE15" s="115">
        <v>40472</v>
      </c>
      <c r="LF15" s="58">
        <v>31339.1</v>
      </c>
      <c r="LG15" s="115">
        <v>40473</v>
      </c>
      <c r="LH15" t="s">
        <v>1765</v>
      </c>
      <c r="LY15" s="115">
        <v>36887</v>
      </c>
      <c r="LZ15">
        <v>0</v>
      </c>
      <c r="MA15">
        <v>0</v>
      </c>
      <c r="MB15">
        <v>0</v>
      </c>
      <c r="MC15" s="115">
        <v>36902</v>
      </c>
      <c r="MD15">
        <v>0</v>
      </c>
      <c r="ME15" s="115">
        <v>36903</v>
      </c>
      <c r="MF15" t="s">
        <v>1765</v>
      </c>
      <c r="MK15" s="115">
        <v>40267</v>
      </c>
      <c r="ML15">
        <v>0.13</v>
      </c>
      <c r="MM15">
        <v>0</v>
      </c>
      <c r="MN15">
        <v>0.5</v>
      </c>
      <c r="MO15" s="115">
        <v>40326</v>
      </c>
      <c r="MP15">
        <v>882.55</v>
      </c>
      <c r="MQ15" s="115">
        <v>40329</v>
      </c>
      <c r="MR15" t="s">
        <v>1765</v>
      </c>
      <c r="NU15" s="115">
        <v>40295</v>
      </c>
      <c r="NV15">
        <v>0.5</v>
      </c>
      <c r="NW15">
        <v>0.5</v>
      </c>
      <c r="NX15">
        <v>0</v>
      </c>
      <c r="NY15" s="115">
        <v>40371</v>
      </c>
      <c r="NZ15" s="58">
        <v>93929.63</v>
      </c>
      <c r="OA15" s="115">
        <v>40372</v>
      </c>
      <c r="OB15" t="s">
        <v>1765</v>
      </c>
      <c r="OG15" s="115">
        <v>39882</v>
      </c>
      <c r="OH15">
        <v>0.05</v>
      </c>
      <c r="OI15">
        <v>0</v>
      </c>
      <c r="OJ15">
        <v>0</v>
      </c>
      <c r="OK15" s="115">
        <v>39969</v>
      </c>
      <c r="OL15" s="58">
        <v>54976.05</v>
      </c>
      <c r="OM15" s="115">
        <v>39972</v>
      </c>
      <c r="ON15" t="s">
        <v>1765</v>
      </c>
      <c r="PQ15" s="115">
        <v>38818</v>
      </c>
      <c r="PR15">
        <v>0.13500000000000001</v>
      </c>
      <c r="PS15">
        <v>0</v>
      </c>
      <c r="PT15">
        <v>0</v>
      </c>
      <c r="PU15" s="115">
        <v>38910</v>
      </c>
      <c r="PV15" s="58">
        <v>5130</v>
      </c>
      <c r="PW15" s="115">
        <v>38911</v>
      </c>
      <c r="PX15" t="s">
        <v>1765</v>
      </c>
      <c r="QC15" s="115">
        <v>39921</v>
      </c>
      <c r="QD15">
        <v>0.16200000000000001</v>
      </c>
      <c r="QE15">
        <v>0</v>
      </c>
      <c r="QF15">
        <v>0</v>
      </c>
      <c r="QG15" s="115">
        <v>39954</v>
      </c>
      <c r="QH15" s="58">
        <v>9189.8700000000008</v>
      </c>
      <c r="QI15" s="115">
        <v>39955</v>
      </c>
      <c r="QJ15" t="s">
        <v>1765</v>
      </c>
      <c r="QO15" s="115">
        <v>42237</v>
      </c>
      <c r="QP15">
        <v>0.18</v>
      </c>
      <c r="QQ15">
        <v>0</v>
      </c>
      <c r="QR15">
        <v>0</v>
      </c>
      <c r="QS15" s="115">
        <v>42255</v>
      </c>
      <c r="QT15" s="58">
        <v>164522.17000000001</v>
      </c>
      <c r="QU15" s="115">
        <v>42256</v>
      </c>
      <c r="QV15" t="s">
        <v>1765</v>
      </c>
      <c r="RA15" s="115">
        <v>39903</v>
      </c>
      <c r="RB15">
        <v>0.3</v>
      </c>
      <c r="RC15">
        <v>0</v>
      </c>
      <c r="RD15">
        <v>0</v>
      </c>
      <c r="RE15" s="115">
        <v>39987</v>
      </c>
      <c r="RF15" s="58">
        <v>52993.03</v>
      </c>
      <c r="RG15" s="115">
        <v>39988</v>
      </c>
      <c r="RH15" t="s">
        <v>1765</v>
      </c>
      <c r="RM15" s="115">
        <v>39883</v>
      </c>
      <c r="RN15">
        <v>0.15</v>
      </c>
      <c r="RO15">
        <v>0</v>
      </c>
      <c r="RP15">
        <v>0</v>
      </c>
      <c r="RQ15" s="115">
        <v>39953</v>
      </c>
      <c r="RR15" s="58">
        <v>6054</v>
      </c>
      <c r="RS15" s="115">
        <v>39954</v>
      </c>
      <c r="RT15" t="s">
        <v>1765</v>
      </c>
      <c r="RY15" s="115">
        <v>38776</v>
      </c>
      <c r="RZ15">
        <v>0.05</v>
      </c>
      <c r="SA15">
        <v>0</v>
      </c>
      <c r="SB15">
        <v>0</v>
      </c>
      <c r="SC15" s="115">
        <v>38828</v>
      </c>
      <c r="SD15" s="58">
        <v>1625</v>
      </c>
      <c r="SE15" s="115">
        <v>38831</v>
      </c>
      <c r="SF15" t="s">
        <v>1765</v>
      </c>
      <c r="SK15" s="115">
        <v>39903</v>
      </c>
      <c r="SL15">
        <v>0.3</v>
      </c>
      <c r="SM15">
        <v>0</v>
      </c>
      <c r="SN15">
        <v>0</v>
      </c>
      <c r="SO15" s="115">
        <v>39987</v>
      </c>
      <c r="SP15" s="58">
        <v>52993.03</v>
      </c>
      <c r="SQ15" s="115">
        <v>39988</v>
      </c>
      <c r="SR15" t="s">
        <v>1765</v>
      </c>
      <c r="SW15" s="115">
        <v>39883</v>
      </c>
      <c r="SX15">
        <v>0.15</v>
      </c>
      <c r="SY15">
        <v>0</v>
      </c>
      <c r="SZ15">
        <v>0</v>
      </c>
      <c r="TA15" s="115">
        <v>39953</v>
      </c>
      <c r="TB15" s="58">
        <v>6054</v>
      </c>
      <c r="TC15" s="115">
        <v>39954</v>
      </c>
      <c r="TD15" t="s">
        <v>1765</v>
      </c>
      <c r="VE15" s="115">
        <v>40267</v>
      </c>
      <c r="VF15">
        <v>0.13</v>
      </c>
      <c r="VG15">
        <v>0</v>
      </c>
      <c r="VH15">
        <v>0.5</v>
      </c>
      <c r="VI15" s="115">
        <v>40326</v>
      </c>
      <c r="VJ15">
        <v>882.55</v>
      </c>
      <c r="VK15" s="115">
        <v>40329</v>
      </c>
      <c r="VL15" t="s">
        <v>1765</v>
      </c>
      <c r="VQ15" s="115">
        <v>40247</v>
      </c>
      <c r="VR15">
        <v>0.17</v>
      </c>
      <c r="VS15">
        <v>0</v>
      </c>
      <c r="VT15">
        <v>0</v>
      </c>
      <c r="VU15" s="115">
        <v>40288</v>
      </c>
      <c r="VV15" s="58">
        <v>34050.769999999997</v>
      </c>
      <c r="VW15" s="115">
        <v>40289</v>
      </c>
      <c r="VX15" t="s">
        <v>1765</v>
      </c>
      <c r="WC15" s="115">
        <v>37369</v>
      </c>
      <c r="WD15">
        <v>0.05</v>
      </c>
      <c r="WE15">
        <v>0</v>
      </c>
      <c r="WF15">
        <v>0</v>
      </c>
      <c r="WG15" s="115">
        <v>37456</v>
      </c>
      <c r="WH15" s="58">
        <v>2747.77</v>
      </c>
      <c r="WI15" s="115">
        <v>37459</v>
      </c>
      <c r="WJ15" t="s">
        <v>1765</v>
      </c>
      <c r="WO15" s="115">
        <v>37369</v>
      </c>
      <c r="WP15">
        <v>0.05</v>
      </c>
      <c r="WQ15">
        <v>0</v>
      </c>
      <c r="WR15">
        <v>0</v>
      </c>
      <c r="WS15" s="115">
        <v>37456</v>
      </c>
      <c r="WT15" s="58">
        <v>2747.77</v>
      </c>
      <c r="WU15" s="115">
        <v>37459</v>
      </c>
      <c r="WV15" t="s">
        <v>1765</v>
      </c>
      <c r="XM15" s="115">
        <v>39911</v>
      </c>
      <c r="XN15">
        <v>0.1</v>
      </c>
      <c r="XO15">
        <v>0</v>
      </c>
      <c r="XP15">
        <v>0</v>
      </c>
      <c r="XQ15" s="115">
        <v>39966</v>
      </c>
      <c r="XR15" s="58">
        <v>13965</v>
      </c>
      <c r="XS15" s="115">
        <v>39967</v>
      </c>
      <c r="XT15" t="s">
        <v>1765</v>
      </c>
      <c r="AAG15" s="115">
        <v>39896</v>
      </c>
      <c r="AAH15">
        <v>0.3</v>
      </c>
      <c r="AAI15">
        <v>0.1</v>
      </c>
      <c r="AAJ15">
        <v>0.4</v>
      </c>
      <c r="AAK15" s="115">
        <v>39924</v>
      </c>
      <c r="AAL15" s="58">
        <v>3090</v>
      </c>
      <c r="AAM15" s="115">
        <v>39925</v>
      </c>
      <c r="AAN15" t="s">
        <v>1765</v>
      </c>
      <c r="AAS15" s="115">
        <v>38440</v>
      </c>
      <c r="AAT15">
        <v>7.0000000000000007E-2</v>
      </c>
      <c r="AAU15">
        <v>0</v>
      </c>
      <c r="AAV15">
        <v>0</v>
      </c>
      <c r="AAW15" s="115">
        <v>38506</v>
      </c>
      <c r="AAX15">
        <v>701.08</v>
      </c>
      <c r="AAY15" s="115">
        <v>38509</v>
      </c>
      <c r="AAZ15" t="s">
        <v>1765</v>
      </c>
      <c r="ABQ15" s="115">
        <v>37442</v>
      </c>
      <c r="ABR15">
        <v>0.01</v>
      </c>
      <c r="ABS15">
        <v>0</v>
      </c>
      <c r="ABT15">
        <v>0</v>
      </c>
      <c r="ABU15" s="115">
        <v>37447</v>
      </c>
      <c r="ABV15">
        <v>152.05000000000001</v>
      </c>
      <c r="ABW15" s="115">
        <v>37448</v>
      </c>
      <c r="ABX15" t="s">
        <v>1765</v>
      </c>
      <c r="ACO15" s="115">
        <v>39932</v>
      </c>
      <c r="ACP15">
        <v>0.15</v>
      </c>
      <c r="ACQ15">
        <v>0</v>
      </c>
      <c r="ACR15">
        <v>0</v>
      </c>
      <c r="ACS15" s="115">
        <v>40004</v>
      </c>
      <c r="ACT15" s="58">
        <v>20077.78</v>
      </c>
      <c r="ACU15" s="115">
        <v>40007</v>
      </c>
      <c r="ACV15" t="s">
        <v>1765</v>
      </c>
      <c r="ADY15" s="115">
        <v>39931</v>
      </c>
      <c r="ADZ15">
        <v>0.1</v>
      </c>
      <c r="AEA15">
        <v>0</v>
      </c>
      <c r="AEB15">
        <v>0</v>
      </c>
      <c r="AEC15" s="115">
        <v>39958</v>
      </c>
      <c r="AED15" s="58">
        <v>6962.64</v>
      </c>
      <c r="AEE15" s="115">
        <v>39959</v>
      </c>
      <c r="AEF15" t="s">
        <v>1765</v>
      </c>
      <c r="AFI15" s="115">
        <v>39913</v>
      </c>
      <c r="AFJ15">
        <v>0.16</v>
      </c>
      <c r="AFK15">
        <v>0</v>
      </c>
      <c r="AFL15">
        <v>0</v>
      </c>
      <c r="AFM15" s="115">
        <v>40059</v>
      </c>
      <c r="AFN15" s="58">
        <v>8380.2199999999993</v>
      </c>
      <c r="AFO15" s="115">
        <v>40060</v>
      </c>
      <c r="AFP15" t="s">
        <v>1765</v>
      </c>
      <c r="AFU15" s="115">
        <v>39877</v>
      </c>
      <c r="AFV15">
        <v>0.5</v>
      </c>
      <c r="AFW15">
        <v>0</v>
      </c>
      <c r="AFX15">
        <v>0</v>
      </c>
      <c r="AFY15" s="115">
        <v>39916</v>
      </c>
      <c r="AFZ15" s="58">
        <v>83166.720000000001</v>
      </c>
      <c r="AGA15" s="115">
        <v>39917</v>
      </c>
      <c r="AGB15" t="s">
        <v>1765</v>
      </c>
      <c r="AGG15" s="115">
        <v>37369</v>
      </c>
      <c r="AGH15">
        <v>0.05</v>
      </c>
      <c r="AGI15">
        <v>0</v>
      </c>
      <c r="AGJ15">
        <v>0</v>
      </c>
      <c r="AGK15" s="115">
        <v>37456</v>
      </c>
      <c r="AGL15" s="58">
        <v>2747.77</v>
      </c>
      <c r="AGM15" s="115">
        <v>37459</v>
      </c>
      <c r="AGN15" t="s">
        <v>1765</v>
      </c>
      <c r="AGS15" s="115">
        <v>40298</v>
      </c>
      <c r="AGT15">
        <v>0.25</v>
      </c>
      <c r="AGU15">
        <v>0</v>
      </c>
      <c r="AGV15">
        <v>0</v>
      </c>
      <c r="AGW15" s="115">
        <v>40346</v>
      </c>
      <c r="AGX15" s="58">
        <v>49276.37</v>
      </c>
      <c r="AGY15" s="115">
        <v>40347</v>
      </c>
      <c r="AGZ15" t="s">
        <v>1765</v>
      </c>
      <c r="AHE15" s="115">
        <v>40260</v>
      </c>
      <c r="AHF15">
        <v>0.5</v>
      </c>
      <c r="AHG15">
        <v>0</v>
      </c>
      <c r="AHH15">
        <v>0.5</v>
      </c>
      <c r="AHI15" s="115">
        <v>40289</v>
      </c>
      <c r="AHJ15" s="58">
        <v>4088.5</v>
      </c>
      <c r="AHK15" s="115">
        <v>40290</v>
      </c>
      <c r="AHL15" t="s">
        <v>1765</v>
      </c>
      <c r="AHQ15" s="115">
        <v>40413</v>
      </c>
      <c r="AHR15">
        <v>0.13</v>
      </c>
      <c r="AHS15">
        <v>1.1000000000000001</v>
      </c>
      <c r="AHT15">
        <v>0</v>
      </c>
      <c r="AHU15" s="115">
        <v>40472</v>
      </c>
      <c r="AHV15" s="58">
        <v>31339.1</v>
      </c>
      <c r="AHW15" s="115">
        <v>40473</v>
      </c>
      <c r="AHX15" t="s">
        <v>1765</v>
      </c>
      <c r="AIC15" s="115">
        <v>40263</v>
      </c>
      <c r="AID15">
        <v>0.3</v>
      </c>
      <c r="AIE15">
        <v>0</v>
      </c>
      <c r="AIF15">
        <v>0</v>
      </c>
      <c r="AIG15" s="115">
        <v>40353</v>
      </c>
      <c r="AIH15" s="58">
        <v>19504.84</v>
      </c>
      <c r="AII15" s="115">
        <v>40354</v>
      </c>
      <c r="AIJ15" t="s">
        <v>1765</v>
      </c>
      <c r="AIO15" s="115">
        <v>39897</v>
      </c>
      <c r="AIP15">
        <v>1.1559999999999999</v>
      </c>
      <c r="AIQ15">
        <v>0</v>
      </c>
      <c r="AIR15">
        <v>0</v>
      </c>
      <c r="AIS15" s="115">
        <v>39994</v>
      </c>
      <c r="AIT15" s="58">
        <v>109103.28</v>
      </c>
      <c r="AIU15" s="115">
        <v>39995</v>
      </c>
      <c r="AIV15" t="s">
        <v>1765</v>
      </c>
      <c r="AJA15" s="115">
        <v>39862</v>
      </c>
      <c r="AJB15">
        <v>0.05</v>
      </c>
      <c r="AJC15">
        <v>0</v>
      </c>
      <c r="AJD15">
        <v>0</v>
      </c>
      <c r="AJE15" s="115">
        <v>39941</v>
      </c>
      <c r="AJF15" s="58">
        <v>18979.830000000002</v>
      </c>
      <c r="AJG15" s="115">
        <v>39944</v>
      </c>
      <c r="AJH15" t="s">
        <v>1765</v>
      </c>
      <c r="AMG15" s="115">
        <v>40264</v>
      </c>
      <c r="AMH15">
        <v>0.5</v>
      </c>
      <c r="AMI15">
        <v>0</v>
      </c>
      <c r="AMJ15">
        <v>0</v>
      </c>
      <c r="AMK15" s="115">
        <v>40350</v>
      </c>
      <c r="AML15" s="58">
        <v>7000</v>
      </c>
      <c r="AMM15" s="115">
        <v>40351</v>
      </c>
      <c r="AMN15" t="s">
        <v>1765</v>
      </c>
      <c r="AMS15" s="115">
        <v>36887</v>
      </c>
      <c r="AMT15">
        <v>0</v>
      </c>
      <c r="AMU15">
        <v>0</v>
      </c>
      <c r="AMV15">
        <v>0</v>
      </c>
      <c r="AMW15" s="115">
        <v>36902</v>
      </c>
      <c r="AMX15">
        <v>0</v>
      </c>
      <c r="AMY15" s="115">
        <v>36903</v>
      </c>
      <c r="AMZ15" t="s">
        <v>1765</v>
      </c>
      <c r="ANE15" s="115">
        <v>39903</v>
      </c>
      <c r="ANF15">
        <v>0.3</v>
      </c>
      <c r="ANG15">
        <v>0</v>
      </c>
      <c r="ANH15">
        <v>0</v>
      </c>
      <c r="ANI15" s="115">
        <v>39987</v>
      </c>
      <c r="ANJ15" s="58">
        <v>52993.03</v>
      </c>
      <c r="ANK15" s="115">
        <v>39988</v>
      </c>
      <c r="ANL15" t="s">
        <v>1765</v>
      </c>
      <c r="ANQ15" s="115">
        <v>36887</v>
      </c>
      <c r="ANR15">
        <v>0</v>
      </c>
      <c r="ANS15">
        <v>0</v>
      </c>
      <c r="ANT15">
        <v>0</v>
      </c>
      <c r="ANU15" s="115">
        <v>36902</v>
      </c>
      <c r="ANV15">
        <v>0</v>
      </c>
      <c r="ANW15" s="115">
        <v>36903</v>
      </c>
      <c r="ANX15" t="s">
        <v>1765</v>
      </c>
      <c r="AOC15" s="115">
        <v>42237</v>
      </c>
      <c r="AOD15">
        <v>0.18</v>
      </c>
      <c r="AOE15">
        <v>0</v>
      </c>
      <c r="AOF15">
        <v>0</v>
      </c>
      <c r="AOG15" s="115">
        <v>42255</v>
      </c>
      <c r="AOH15" s="58">
        <v>164522.17000000001</v>
      </c>
      <c r="AOI15" s="115">
        <v>42256</v>
      </c>
      <c r="AOJ15" t="s">
        <v>1765</v>
      </c>
      <c r="AOO15" s="115">
        <v>38818</v>
      </c>
      <c r="AOP15">
        <v>0.13500000000000001</v>
      </c>
      <c r="AOQ15">
        <v>0</v>
      </c>
      <c r="AOR15">
        <v>0</v>
      </c>
      <c r="AOS15" s="115">
        <v>38910</v>
      </c>
      <c r="AOT15" s="58">
        <v>5130</v>
      </c>
      <c r="AOU15" s="115">
        <v>38911</v>
      </c>
      <c r="AOV15" t="s">
        <v>1765</v>
      </c>
      <c r="APA15" s="115">
        <v>39157</v>
      </c>
      <c r="APB15">
        <v>0.11</v>
      </c>
      <c r="APC15">
        <v>0</v>
      </c>
      <c r="APD15">
        <v>0</v>
      </c>
      <c r="APE15" s="115">
        <v>39192</v>
      </c>
      <c r="APF15" s="58">
        <v>2852.65</v>
      </c>
      <c r="APG15" s="115">
        <v>39195</v>
      </c>
      <c r="APH15" t="s">
        <v>1765</v>
      </c>
      <c r="APM15" s="115">
        <v>39924</v>
      </c>
      <c r="APN15">
        <v>0.05</v>
      </c>
      <c r="APO15">
        <v>0</v>
      </c>
      <c r="APP15">
        <v>0</v>
      </c>
      <c r="APQ15" s="115">
        <v>39979</v>
      </c>
      <c r="APR15" s="58">
        <v>3233.02</v>
      </c>
      <c r="APS15" s="115">
        <v>39980</v>
      </c>
      <c r="APT15" t="s">
        <v>1765</v>
      </c>
      <c r="AQK15" s="115">
        <v>39903</v>
      </c>
      <c r="AQL15">
        <v>0.3</v>
      </c>
      <c r="AQM15">
        <v>0</v>
      </c>
      <c r="AQN15">
        <v>0</v>
      </c>
      <c r="AQO15" s="115">
        <v>39987</v>
      </c>
      <c r="AQP15" s="58">
        <v>52993.03</v>
      </c>
      <c r="AQQ15" s="115">
        <v>39988</v>
      </c>
      <c r="AQR15" t="s">
        <v>1765</v>
      </c>
      <c r="AQW15" s="115">
        <v>39860</v>
      </c>
      <c r="AQX15">
        <v>2.5000000000000001E-2</v>
      </c>
      <c r="AQY15">
        <v>0</v>
      </c>
      <c r="AQZ15">
        <v>0</v>
      </c>
      <c r="ARA15" s="115">
        <v>39976</v>
      </c>
      <c r="ARB15" s="58">
        <v>2347.84</v>
      </c>
      <c r="ARC15" s="115">
        <v>39979</v>
      </c>
      <c r="ARD15" t="s">
        <v>1765</v>
      </c>
      <c r="ARU15" s="115">
        <v>40295</v>
      </c>
      <c r="ARV15">
        <v>0.5</v>
      </c>
      <c r="ARW15">
        <v>0.5</v>
      </c>
      <c r="ARX15">
        <v>0</v>
      </c>
      <c r="ARY15" s="115">
        <v>40371</v>
      </c>
      <c r="ARZ15" s="58">
        <v>93929.63</v>
      </c>
      <c r="ASA15" s="115">
        <v>40372</v>
      </c>
      <c r="ASB15" t="s">
        <v>1765</v>
      </c>
      <c r="ASG15" s="115">
        <v>39882</v>
      </c>
      <c r="ASH15">
        <v>0.05</v>
      </c>
      <c r="ASI15">
        <v>0</v>
      </c>
      <c r="ASJ15">
        <v>0</v>
      </c>
      <c r="ASK15" s="115">
        <v>39969</v>
      </c>
      <c r="ASL15" s="58">
        <v>54976.05</v>
      </c>
      <c r="ASM15" s="115">
        <v>39972</v>
      </c>
      <c r="ASN15" t="s">
        <v>1765</v>
      </c>
      <c r="ATE15" s="115">
        <v>39902</v>
      </c>
      <c r="ATF15">
        <v>0.2</v>
      </c>
      <c r="ATG15">
        <v>0</v>
      </c>
      <c r="ATH15">
        <v>1</v>
      </c>
      <c r="ATI15" s="115">
        <v>39968</v>
      </c>
      <c r="ATJ15" s="58">
        <v>13180</v>
      </c>
      <c r="ATK15" s="115">
        <v>39969</v>
      </c>
      <c r="ATL15" t="s">
        <v>1765</v>
      </c>
      <c r="ATQ15" s="115">
        <v>40296</v>
      </c>
      <c r="ATR15">
        <v>0.03</v>
      </c>
      <c r="ATS15">
        <v>0</v>
      </c>
      <c r="ATT15">
        <v>0.5</v>
      </c>
      <c r="ATU15" s="115">
        <v>40333</v>
      </c>
      <c r="ATV15" s="58">
        <v>1041.27</v>
      </c>
      <c r="ATW15" s="115">
        <v>40336</v>
      </c>
      <c r="ATX15" t="s">
        <v>1765</v>
      </c>
      <c r="AUC15" s="115">
        <v>39921</v>
      </c>
      <c r="AUD15">
        <v>0.16200000000000001</v>
      </c>
      <c r="AUE15">
        <v>0</v>
      </c>
      <c r="AUF15">
        <v>0</v>
      </c>
      <c r="AUG15" s="115">
        <v>39954</v>
      </c>
      <c r="AUH15" s="58">
        <v>9189.8700000000008</v>
      </c>
      <c r="AUI15" s="115">
        <v>39955</v>
      </c>
      <c r="AUJ15" t="s">
        <v>1765</v>
      </c>
      <c r="AUO15" s="115">
        <v>38825</v>
      </c>
      <c r="AUP15">
        <v>0.08</v>
      </c>
      <c r="AUQ15">
        <v>0</v>
      </c>
      <c r="AUR15">
        <v>0</v>
      </c>
      <c r="AUS15" s="115">
        <v>38908</v>
      </c>
      <c r="AUT15" s="58">
        <v>27115.21</v>
      </c>
      <c r="AUU15" s="115">
        <v>38909</v>
      </c>
      <c r="AUV15" t="s">
        <v>1765</v>
      </c>
      <c r="AVA15" s="115">
        <v>39900</v>
      </c>
      <c r="AVB15">
        <v>0.18</v>
      </c>
      <c r="AVC15">
        <v>0</v>
      </c>
      <c r="AVD15">
        <v>0</v>
      </c>
      <c r="AVE15" s="115">
        <v>39976</v>
      </c>
      <c r="AVF15" s="58">
        <v>315216</v>
      </c>
      <c r="AVG15" s="115">
        <v>39979</v>
      </c>
      <c r="AVH15" t="s">
        <v>1765</v>
      </c>
      <c r="AVM15" s="115">
        <v>38776</v>
      </c>
      <c r="AVN15">
        <v>0.05</v>
      </c>
      <c r="AVO15">
        <v>0</v>
      </c>
      <c r="AVP15">
        <v>0</v>
      </c>
      <c r="AVQ15" s="115">
        <v>38828</v>
      </c>
      <c r="AVR15" s="58">
        <v>1625</v>
      </c>
      <c r="AVS15" s="115">
        <v>38831</v>
      </c>
      <c r="AVT15" t="s">
        <v>1765</v>
      </c>
      <c r="AWK15" s="115">
        <v>40267</v>
      </c>
      <c r="AWL15">
        <v>0.13</v>
      </c>
      <c r="AWM15">
        <v>0</v>
      </c>
      <c r="AWN15">
        <v>0.5</v>
      </c>
      <c r="AWO15" s="115">
        <v>40326</v>
      </c>
      <c r="AWP15">
        <v>882.55</v>
      </c>
      <c r="AWQ15" s="115">
        <v>40329</v>
      </c>
      <c r="AWR15" t="s">
        <v>1765</v>
      </c>
    </row>
    <row r="16" spans="1:1300" x14ac:dyDescent="0.25">
      <c r="A16" s="115">
        <v>40294</v>
      </c>
      <c r="B16">
        <v>0.16</v>
      </c>
      <c r="C16">
        <v>0.2</v>
      </c>
      <c r="D16">
        <v>0.3</v>
      </c>
      <c r="E16" s="115">
        <v>40352</v>
      </c>
      <c r="F16" s="58">
        <v>25714.14</v>
      </c>
      <c r="G16" s="115">
        <v>40353</v>
      </c>
      <c r="H16" t="s">
        <v>1765</v>
      </c>
      <c r="Y16" s="115">
        <v>39528</v>
      </c>
      <c r="Z16">
        <v>0.1</v>
      </c>
      <c r="AA16">
        <v>0</v>
      </c>
      <c r="AB16">
        <v>0.6</v>
      </c>
      <c r="AC16" s="115">
        <v>39612</v>
      </c>
      <c r="AD16" s="58">
        <v>68720.06</v>
      </c>
      <c r="AE16" s="115">
        <v>39615</v>
      </c>
      <c r="AF16" t="s">
        <v>1765</v>
      </c>
      <c r="AK16" s="115">
        <v>39528</v>
      </c>
      <c r="AL16">
        <v>0.1</v>
      </c>
      <c r="AM16">
        <v>0</v>
      </c>
      <c r="AN16">
        <v>0.6</v>
      </c>
      <c r="AO16" s="115">
        <v>39612</v>
      </c>
      <c r="AP16" s="58">
        <v>68720.06</v>
      </c>
      <c r="AQ16" s="115">
        <v>39615</v>
      </c>
      <c r="AR16" t="s">
        <v>1765</v>
      </c>
      <c r="BI16" s="115">
        <v>41881</v>
      </c>
      <c r="BJ16">
        <v>0.1</v>
      </c>
      <c r="BK16">
        <v>0</v>
      </c>
      <c r="BL16">
        <v>0</v>
      </c>
      <c r="BM16" s="115">
        <v>41935</v>
      </c>
      <c r="BN16" s="58">
        <v>19993.099999999999</v>
      </c>
      <c r="BO16" s="115">
        <v>41936</v>
      </c>
      <c r="BP16" t="s">
        <v>1765</v>
      </c>
      <c r="CS16" s="115">
        <v>39171</v>
      </c>
      <c r="CT16">
        <v>6.7199999999999996E-2</v>
      </c>
      <c r="CU16">
        <v>0</v>
      </c>
      <c r="CV16">
        <v>0</v>
      </c>
      <c r="CW16" s="115">
        <v>39259</v>
      </c>
      <c r="CX16" s="58">
        <v>142441.13</v>
      </c>
      <c r="CY16" s="115">
        <v>39260</v>
      </c>
      <c r="CZ16" t="s">
        <v>1765</v>
      </c>
      <c r="FM16" s="115">
        <v>39560</v>
      </c>
      <c r="FN16">
        <v>0.5</v>
      </c>
      <c r="FO16">
        <v>0</v>
      </c>
      <c r="FP16">
        <v>0</v>
      </c>
      <c r="FQ16" s="115">
        <v>39604</v>
      </c>
      <c r="FR16" s="58">
        <v>111330.58</v>
      </c>
      <c r="FS16" s="115">
        <v>39605</v>
      </c>
      <c r="FT16" t="s">
        <v>1765</v>
      </c>
      <c r="GK16" s="115">
        <v>39924</v>
      </c>
      <c r="GL16">
        <v>0.3</v>
      </c>
      <c r="GM16">
        <v>0</v>
      </c>
      <c r="GN16">
        <v>0.5</v>
      </c>
      <c r="GO16" s="115">
        <v>39966</v>
      </c>
      <c r="GP16" s="58">
        <v>37571.85</v>
      </c>
      <c r="GQ16" s="115">
        <v>39967</v>
      </c>
      <c r="GR16" t="s">
        <v>1765</v>
      </c>
      <c r="GW16" s="115">
        <v>39528</v>
      </c>
      <c r="GX16">
        <v>0.1</v>
      </c>
      <c r="GY16">
        <v>0</v>
      </c>
      <c r="GZ16">
        <v>0.6</v>
      </c>
      <c r="HA16" s="115">
        <v>39612</v>
      </c>
      <c r="HB16" s="58">
        <v>68720.06</v>
      </c>
      <c r="HC16" s="115">
        <v>39615</v>
      </c>
      <c r="HD16" t="s">
        <v>1765</v>
      </c>
      <c r="HU16" s="115">
        <v>39171</v>
      </c>
      <c r="HV16">
        <v>6.7199999999999996E-2</v>
      </c>
      <c r="HW16">
        <v>0</v>
      </c>
      <c r="HX16">
        <v>0</v>
      </c>
      <c r="HY16" s="115">
        <v>39259</v>
      </c>
      <c r="HZ16" s="58">
        <v>142441.13</v>
      </c>
      <c r="IA16" s="115">
        <v>39260</v>
      </c>
      <c r="IB16" t="s">
        <v>1765</v>
      </c>
      <c r="JE16" s="115">
        <v>39170</v>
      </c>
      <c r="JF16">
        <v>0.1</v>
      </c>
      <c r="JG16">
        <v>0</v>
      </c>
      <c r="JH16">
        <v>0</v>
      </c>
      <c r="JI16" s="115">
        <v>39237</v>
      </c>
      <c r="JJ16" s="58">
        <v>5902</v>
      </c>
      <c r="JK16" s="115">
        <v>39238</v>
      </c>
      <c r="JL16" t="s">
        <v>1765</v>
      </c>
      <c r="KC16" s="115">
        <v>39534</v>
      </c>
      <c r="KD16">
        <v>0.35</v>
      </c>
      <c r="KE16">
        <v>0</v>
      </c>
      <c r="KF16">
        <v>0</v>
      </c>
      <c r="KG16" s="115">
        <v>39580</v>
      </c>
      <c r="KH16" s="58">
        <v>612920</v>
      </c>
      <c r="KI16" s="115">
        <v>39581</v>
      </c>
      <c r="KJ16" t="s">
        <v>1765</v>
      </c>
      <c r="KO16" s="115">
        <v>37106</v>
      </c>
      <c r="KP16">
        <v>0.1</v>
      </c>
      <c r="KQ16">
        <v>0</v>
      </c>
      <c r="KR16">
        <v>0</v>
      </c>
      <c r="KS16" s="115">
        <v>37113</v>
      </c>
      <c r="KT16" s="58">
        <v>5495.54</v>
      </c>
      <c r="KU16" s="115">
        <v>37116</v>
      </c>
      <c r="KV16" t="s">
        <v>1765</v>
      </c>
      <c r="LA16" s="115">
        <v>40294</v>
      </c>
      <c r="LB16">
        <v>0.16</v>
      </c>
      <c r="LC16">
        <v>0.2</v>
      </c>
      <c r="LD16">
        <v>0.3</v>
      </c>
      <c r="LE16" s="115">
        <v>40352</v>
      </c>
      <c r="LF16" s="58">
        <v>25714.14</v>
      </c>
      <c r="LG16" s="115">
        <v>40353</v>
      </c>
      <c r="LH16" t="s">
        <v>1765</v>
      </c>
      <c r="LY16" s="115">
        <v>35557</v>
      </c>
      <c r="LZ16">
        <v>0</v>
      </c>
      <c r="MA16">
        <v>0.3</v>
      </c>
      <c r="MB16">
        <v>0</v>
      </c>
      <c r="MC16" s="115">
        <v>35562</v>
      </c>
      <c r="MD16">
        <v>0</v>
      </c>
      <c r="ME16" s="115">
        <v>35563</v>
      </c>
      <c r="MF16" t="s">
        <v>1765</v>
      </c>
      <c r="NU16" s="115">
        <v>39924</v>
      </c>
      <c r="NV16">
        <v>0.3</v>
      </c>
      <c r="NW16">
        <v>0</v>
      </c>
      <c r="NX16">
        <v>0.5</v>
      </c>
      <c r="NY16" s="115">
        <v>39966</v>
      </c>
      <c r="NZ16" s="58">
        <v>37571.85</v>
      </c>
      <c r="OA16" s="115">
        <v>39967</v>
      </c>
      <c r="OB16" t="s">
        <v>1765</v>
      </c>
      <c r="OG16" s="115">
        <v>39528</v>
      </c>
      <c r="OH16">
        <v>0.1</v>
      </c>
      <c r="OI16">
        <v>0</v>
      </c>
      <c r="OJ16">
        <v>0.6</v>
      </c>
      <c r="OK16" s="115">
        <v>39612</v>
      </c>
      <c r="OL16" s="58">
        <v>68720.06</v>
      </c>
      <c r="OM16" s="115">
        <v>39615</v>
      </c>
      <c r="ON16" t="s">
        <v>1765</v>
      </c>
      <c r="PQ16" s="115">
        <v>38454</v>
      </c>
      <c r="PR16">
        <v>0.1</v>
      </c>
      <c r="PS16">
        <v>0</v>
      </c>
      <c r="PT16">
        <v>0</v>
      </c>
      <c r="PU16" s="115">
        <v>38554</v>
      </c>
      <c r="PV16" s="58">
        <v>3800</v>
      </c>
      <c r="PW16" s="115">
        <v>38555</v>
      </c>
      <c r="PX16" t="s">
        <v>1765</v>
      </c>
      <c r="QC16" s="115">
        <v>39553</v>
      </c>
      <c r="QD16">
        <v>0.153</v>
      </c>
      <c r="QE16">
        <v>0</v>
      </c>
      <c r="QF16">
        <v>0</v>
      </c>
      <c r="QG16" s="115">
        <v>39661</v>
      </c>
      <c r="QH16" s="58">
        <v>8679.32</v>
      </c>
      <c r="QI16" s="115">
        <v>39664</v>
      </c>
      <c r="QJ16" t="s">
        <v>1765</v>
      </c>
      <c r="QO16" s="115">
        <v>42083</v>
      </c>
      <c r="QP16">
        <v>0.5</v>
      </c>
      <c r="QQ16">
        <v>0</v>
      </c>
      <c r="QR16">
        <v>1</v>
      </c>
      <c r="QS16" s="115">
        <v>42209</v>
      </c>
      <c r="QT16" s="58">
        <v>457006.04</v>
      </c>
      <c r="QU16" s="115">
        <v>42212</v>
      </c>
      <c r="QV16" t="s">
        <v>1765</v>
      </c>
      <c r="RA16" s="115">
        <v>39185</v>
      </c>
      <c r="RB16">
        <v>0.2</v>
      </c>
      <c r="RC16">
        <v>0</v>
      </c>
      <c r="RD16">
        <v>0</v>
      </c>
      <c r="RE16" s="115">
        <v>39258</v>
      </c>
      <c r="RF16" s="58">
        <v>25113.599999999999</v>
      </c>
      <c r="RG16" s="115">
        <v>39259</v>
      </c>
      <c r="RH16" t="s">
        <v>1765</v>
      </c>
      <c r="RM16" s="115">
        <v>39526</v>
      </c>
      <c r="RN16">
        <v>0.12</v>
      </c>
      <c r="RO16">
        <v>0</v>
      </c>
      <c r="RP16">
        <v>0</v>
      </c>
      <c r="RQ16" s="115">
        <v>39605</v>
      </c>
      <c r="RR16" s="58">
        <v>4843.2</v>
      </c>
      <c r="RS16" s="115">
        <v>39609</v>
      </c>
      <c r="RT16" t="s">
        <v>1765</v>
      </c>
      <c r="RY16" s="115">
        <v>38595</v>
      </c>
      <c r="RZ16">
        <v>0</v>
      </c>
      <c r="SA16">
        <v>0</v>
      </c>
      <c r="SB16">
        <v>0.3</v>
      </c>
      <c r="SC16" s="115">
        <v>38622</v>
      </c>
      <c r="SD16">
        <v>0</v>
      </c>
      <c r="SE16" s="115">
        <v>38623</v>
      </c>
      <c r="SF16" t="s">
        <v>1765</v>
      </c>
      <c r="SK16" s="115">
        <v>39185</v>
      </c>
      <c r="SL16">
        <v>0.2</v>
      </c>
      <c r="SM16">
        <v>0</v>
      </c>
      <c r="SN16">
        <v>0</v>
      </c>
      <c r="SO16" s="115">
        <v>39258</v>
      </c>
      <c r="SP16" s="58">
        <v>25113.599999999999</v>
      </c>
      <c r="SQ16" s="115">
        <v>39259</v>
      </c>
      <c r="SR16" t="s">
        <v>1765</v>
      </c>
      <c r="SW16" s="115">
        <v>39526</v>
      </c>
      <c r="SX16">
        <v>0.12</v>
      </c>
      <c r="SY16">
        <v>0</v>
      </c>
      <c r="SZ16">
        <v>0</v>
      </c>
      <c r="TA16" s="115">
        <v>39605</v>
      </c>
      <c r="TB16" s="58">
        <v>4843.2</v>
      </c>
      <c r="TC16" s="115">
        <v>39609</v>
      </c>
      <c r="TD16" t="s">
        <v>1765</v>
      </c>
      <c r="VQ16" s="115">
        <v>39503</v>
      </c>
      <c r="VR16">
        <v>0.5</v>
      </c>
      <c r="VS16">
        <v>1</v>
      </c>
      <c r="VT16">
        <v>0</v>
      </c>
      <c r="VU16" s="115">
        <v>39580</v>
      </c>
      <c r="VV16" s="58">
        <v>50074.66</v>
      </c>
      <c r="VW16" s="115">
        <v>39581</v>
      </c>
      <c r="VX16" t="s">
        <v>1765</v>
      </c>
      <c r="WC16" s="115">
        <v>37106</v>
      </c>
      <c r="WD16">
        <v>0.1</v>
      </c>
      <c r="WE16">
        <v>0</v>
      </c>
      <c r="WF16">
        <v>0</v>
      </c>
      <c r="WG16" s="115">
        <v>37113</v>
      </c>
      <c r="WH16" s="58">
        <v>5495.54</v>
      </c>
      <c r="WI16" s="115">
        <v>37116</v>
      </c>
      <c r="WJ16" t="s">
        <v>1765</v>
      </c>
      <c r="WO16" s="115">
        <v>37106</v>
      </c>
      <c r="WP16">
        <v>0.1</v>
      </c>
      <c r="WQ16">
        <v>0</v>
      </c>
      <c r="WR16">
        <v>0</v>
      </c>
      <c r="WS16" s="115">
        <v>37113</v>
      </c>
      <c r="WT16" s="58">
        <v>5495.54</v>
      </c>
      <c r="WU16" s="115">
        <v>37116</v>
      </c>
      <c r="WV16" t="s">
        <v>1765</v>
      </c>
      <c r="XM16" s="115">
        <v>39680</v>
      </c>
      <c r="XN16">
        <v>0</v>
      </c>
      <c r="XO16">
        <v>0</v>
      </c>
      <c r="XP16">
        <v>1</v>
      </c>
      <c r="XQ16" s="115">
        <v>39713</v>
      </c>
      <c r="XR16">
        <v>0</v>
      </c>
      <c r="XS16" s="115">
        <v>39714</v>
      </c>
      <c r="XT16" t="s">
        <v>1765</v>
      </c>
      <c r="AAG16" s="115">
        <v>39581</v>
      </c>
      <c r="AAH16">
        <v>0.2</v>
      </c>
      <c r="AAI16">
        <v>0</v>
      </c>
      <c r="AAJ16">
        <v>0</v>
      </c>
      <c r="AAK16" s="115">
        <v>39616</v>
      </c>
      <c r="AAL16">
        <v>0</v>
      </c>
      <c r="AAM16" s="115">
        <v>39617</v>
      </c>
      <c r="AAN16" t="s">
        <v>1765</v>
      </c>
      <c r="ABQ16" s="115">
        <v>35237</v>
      </c>
      <c r="ABR16">
        <v>0</v>
      </c>
      <c r="ABS16">
        <v>0.1</v>
      </c>
      <c r="ABT16">
        <v>0</v>
      </c>
      <c r="ABU16" s="115">
        <v>35243</v>
      </c>
      <c r="ABV16">
        <v>0</v>
      </c>
      <c r="ABW16" s="115">
        <v>35244</v>
      </c>
      <c r="ABX16" t="s">
        <v>1765</v>
      </c>
      <c r="ACO16" s="115">
        <v>39563</v>
      </c>
      <c r="ACP16">
        <v>0.2</v>
      </c>
      <c r="ACQ16">
        <v>0</v>
      </c>
      <c r="ACR16">
        <v>0</v>
      </c>
      <c r="ACS16" s="115">
        <v>39623</v>
      </c>
      <c r="ACT16" s="58">
        <v>26770.38</v>
      </c>
      <c r="ACU16" s="115">
        <v>39624</v>
      </c>
      <c r="ACV16" t="s">
        <v>1765</v>
      </c>
      <c r="ADY16" s="115">
        <v>39497</v>
      </c>
      <c r="ADZ16">
        <v>0.1</v>
      </c>
      <c r="AEA16">
        <v>0</v>
      </c>
      <c r="AEB16">
        <v>0.6</v>
      </c>
      <c r="AEC16" s="115">
        <v>39562</v>
      </c>
      <c r="AED16" s="58">
        <v>3800.79</v>
      </c>
      <c r="AEE16" s="115">
        <v>39563</v>
      </c>
      <c r="AEF16" t="s">
        <v>1765</v>
      </c>
      <c r="AFI16" s="115">
        <v>39556</v>
      </c>
      <c r="AFJ16">
        <v>0.2</v>
      </c>
      <c r="AFK16">
        <v>0</v>
      </c>
      <c r="AFL16">
        <v>0</v>
      </c>
      <c r="AFM16" s="115">
        <v>39687</v>
      </c>
      <c r="AFN16" s="58">
        <v>10475.27</v>
      </c>
      <c r="AFO16" s="115">
        <v>39688</v>
      </c>
      <c r="AFP16" t="s">
        <v>1765</v>
      </c>
      <c r="AFU16" s="115">
        <v>39514</v>
      </c>
      <c r="AFV16">
        <v>0.4</v>
      </c>
      <c r="AFW16">
        <v>0</v>
      </c>
      <c r="AFX16">
        <v>0</v>
      </c>
      <c r="AFY16" s="115">
        <v>39549</v>
      </c>
      <c r="AFZ16" s="58">
        <v>66533.38</v>
      </c>
      <c r="AGA16" s="115">
        <v>39552</v>
      </c>
      <c r="AGB16" t="s">
        <v>1765</v>
      </c>
      <c r="AGG16" s="115">
        <v>37106</v>
      </c>
      <c r="AGH16">
        <v>0.1</v>
      </c>
      <c r="AGI16">
        <v>0</v>
      </c>
      <c r="AGJ16">
        <v>0</v>
      </c>
      <c r="AGK16" s="115">
        <v>37113</v>
      </c>
      <c r="AGL16" s="58">
        <v>5495.54</v>
      </c>
      <c r="AGM16" s="115">
        <v>37116</v>
      </c>
      <c r="AGN16" t="s">
        <v>1765</v>
      </c>
      <c r="AGS16" s="115">
        <v>39924</v>
      </c>
      <c r="AGT16">
        <v>0.1</v>
      </c>
      <c r="AGU16">
        <v>0.1</v>
      </c>
      <c r="AGV16">
        <v>0</v>
      </c>
      <c r="AGW16" s="115">
        <v>40003</v>
      </c>
      <c r="AGX16" s="58">
        <v>15210</v>
      </c>
      <c r="AGY16" s="115">
        <v>40004</v>
      </c>
      <c r="AGZ16" t="s">
        <v>1765</v>
      </c>
      <c r="AHQ16" s="115">
        <v>40294</v>
      </c>
      <c r="AHR16">
        <v>0.16</v>
      </c>
      <c r="AHS16">
        <v>0.2</v>
      </c>
      <c r="AHT16">
        <v>0.3</v>
      </c>
      <c r="AHU16" s="115">
        <v>40352</v>
      </c>
      <c r="AHV16" s="58">
        <v>25714.14</v>
      </c>
      <c r="AHW16" s="115">
        <v>40353</v>
      </c>
      <c r="AHX16" t="s">
        <v>1765</v>
      </c>
      <c r="AIC16" s="115">
        <v>39892</v>
      </c>
      <c r="AID16">
        <v>0.1</v>
      </c>
      <c r="AIE16">
        <v>0</v>
      </c>
      <c r="AIF16">
        <v>0.2</v>
      </c>
      <c r="AIG16" s="115">
        <v>39966</v>
      </c>
      <c r="AIH16" s="58">
        <v>4743.2</v>
      </c>
      <c r="AII16" s="115">
        <v>39967</v>
      </c>
      <c r="AIJ16" t="s">
        <v>1765</v>
      </c>
      <c r="AIO16" s="115">
        <v>39520</v>
      </c>
      <c r="AIP16">
        <v>0.83599999999999997</v>
      </c>
      <c r="AIQ16">
        <v>0</v>
      </c>
      <c r="AIR16">
        <v>0</v>
      </c>
      <c r="AIS16" s="115">
        <v>39612</v>
      </c>
      <c r="AIT16" s="58">
        <v>78901.679999999993</v>
      </c>
      <c r="AIU16" s="115">
        <v>39615</v>
      </c>
      <c r="AIV16" t="s">
        <v>1765</v>
      </c>
      <c r="AJA16" s="115">
        <v>39167</v>
      </c>
      <c r="AJB16">
        <v>0.06</v>
      </c>
      <c r="AJC16">
        <v>0.4</v>
      </c>
      <c r="AJD16">
        <v>0</v>
      </c>
      <c r="AJE16" s="115">
        <v>39202</v>
      </c>
      <c r="AJF16" s="58">
        <v>16268.43</v>
      </c>
      <c r="AJG16" s="115">
        <v>39210</v>
      </c>
      <c r="AJH16" t="s">
        <v>1765</v>
      </c>
      <c r="AMG16" s="115">
        <v>39899</v>
      </c>
      <c r="AMH16">
        <v>0.55000000000000004</v>
      </c>
      <c r="AMI16">
        <v>0</v>
      </c>
      <c r="AMJ16">
        <v>0</v>
      </c>
      <c r="AMK16" s="115">
        <v>39974</v>
      </c>
      <c r="AML16" s="58">
        <v>7700</v>
      </c>
      <c r="AMM16" s="115">
        <v>39975</v>
      </c>
      <c r="AMN16" t="s">
        <v>1765</v>
      </c>
      <c r="AMS16" s="115">
        <v>35557</v>
      </c>
      <c r="AMT16">
        <v>0</v>
      </c>
      <c r="AMU16">
        <v>0.3</v>
      </c>
      <c r="AMV16">
        <v>0</v>
      </c>
      <c r="AMW16" s="115">
        <v>35562</v>
      </c>
      <c r="AMX16">
        <v>0</v>
      </c>
      <c r="AMY16" s="115">
        <v>35563</v>
      </c>
      <c r="AMZ16" t="s">
        <v>1765</v>
      </c>
      <c r="ANE16" s="115">
        <v>39185</v>
      </c>
      <c r="ANF16">
        <v>0.2</v>
      </c>
      <c r="ANG16">
        <v>0</v>
      </c>
      <c r="ANH16">
        <v>0</v>
      </c>
      <c r="ANI16" s="115">
        <v>39258</v>
      </c>
      <c r="ANJ16" s="58">
        <v>25113.599999999999</v>
      </c>
      <c r="ANK16" s="115">
        <v>39259</v>
      </c>
      <c r="ANL16" t="s">
        <v>1765</v>
      </c>
      <c r="ANQ16" s="115">
        <v>35557</v>
      </c>
      <c r="ANR16">
        <v>0</v>
      </c>
      <c r="ANS16">
        <v>0.3</v>
      </c>
      <c r="ANT16">
        <v>0</v>
      </c>
      <c r="ANU16" s="115">
        <v>35562</v>
      </c>
      <c r="ANV16">
        <v>0</v>
      </c>
      <c r="ANW16" s="115">
        <v>35563</v>
      </c>
      <c r="ANX16" t="s">
        <v>1765</v>
      </c>
      <c r="AOC16" s="115">
        <v>42083</v>
      </c>
      <c r="AOD16">
        <v>0.5</v>
      </c>
      <c r="AOE16">
        <v>0</v>
      </c>
      <c r="AOF16">
        <v>1</v>
      </c>
      <c r="AOG16" s="115">
        <v>42209</v>
      </c>
      <c r="AOH16" s="58">
        <v>457006.04</v>
      </c>
      <c r="AOI16" s="115">
        <v>42212</v>
      </c>
      <c r="AOJ16" t="s">
        <v>1765</v>
      </c>
      <c r="AOO16" s="115">
        <v>38454</v>
      </c>
      <c r="AOP16">
        <v>0.1</v>
      </c>
      <c r="AOQ16">
        <v>0</v>
      </c>
      <c r="AOR16">
        <v>0</v>
      </c>
      <c r="AOS16" s="115">
        <v>38554</v>
      </c>
      <c r="AOT16" s="58">
        <v>3800</v>
      </c>
      <c r="AOU16" s="115">
        <v>38555</v>
      </c>
      <c r="AOV16" t="s">
        <v>1765</v>
      </c>
      <c r="APA16" s="115">
        <v>38821</v>
      </c>
      <c r="APB16">
        <v>0.11</v>
      </c>
      <c r="APC16">
        <v>0</v>
      </c>
      <c r="APD16">
        <v>0</v>
      </c>
      <c r="APE16" s="115">
        <v>38866</v>
      </c>
      <c r="APF16" s="58">
        <v>2852.65</v>
      </c>
      <c r="APG16" s="115">
        <v>38867</v>
      </c>
      <c r="APH16" t="s">
        <v>1765</v>
      </c>
      <c r="APM16" s="115">
        <v>39584</v>
      </c>
      <c r="APN16">
        <v>0</v>
      </c>
      <c r="APO16">
        <v>0</v>
      </c>
      <c r="APP16">
        <v>1</v>
      </c>
      <c r="APQ16" s="115">
        <v>39615</v>
      </c>
      <c r="APR16">
        <v>0</v>
      </c>
      <c r="APS16" s="115">
        <v>39616</v>
      </c>
      <c r="APT16" t="s">
        <v>1765</v>
      </c>
      <c r="AQK16" s="115">
        <v>39185</v>
      </c>
      <c r="AQL16">
        <v>0.2</v>
      </c>
      <c r="AQM16">
        <v>0</v>
      </c>
      <c r="AQN16">
        <v>0</v>
      </c>
      <c r="AQO16" s="115">
        <v>39258</v>
      </c>
      <c r="AQP16" s="58">
        <v>25113.599999999999</v>
      </c>
      <c r="AQQ16" s="115">
        <v>39259</v>
      </c>
      <c r="AQR16" t="s">
        <v>1765</v>
      </c>
      <c r="AQW16" s="115">
        <v>39560</v>
      </c>
      <c r="AQX16">
        <v>0.24</v>
      </c>
      <c r="AQY16">
        <v>0.3</v>
      </c>
      <c r="AQZ16">
        <v>0.3</v>
      </c>
      <c r="ARA16" s="115">
        <v>39609</v>
      </c>
      <c r="ARB16" s="58">
        <v>14087.04</v>
      </c>
      <c r="ARC16" s="115">
        <v>39610</v>
      </c>
      <c r="ARD16" t="s">
        <v>1765</v>
      </c>
      <c r="ARU16" s="115">
        <v>39924</v>
      </c>
      <c r="ARV16">
        <v>0.3</v>
      </c>
      <c r="ARW16">
        <v>0</v>
      </c>
      <c r="ARX16">
        <v>0.5</v>
      </c>
      <c r="ARY16" s="115">
        <v>39966</v>
      </c>
      <c r="ARZ16" s="58">
        <v>37571.85</v>
      </c>
      <c r="ASA16" s="115">
        <v>39967</v>
      </c>
      <c r="ASB16" t="s">
        <v>1765</v>
      </c>
      <c r="ASG16" s="115">
        <v>39528</v>
      </c>
      <c r="ASH16">
        <v>0.1</v>
      </c>
      <c r="ASI16">
        <v>0</v>
      </c>
      <c r="ASJ16">
        <v>0.6</v>
      </c>
      <c r="ASK16" s="115">
        <v>39612</v>
      </c>
      <c r="ASL16" s="58">
        <v>68720.06</v>
      </c>
      <c r="ASM16" s="115">
        <v>39615</v>
      </c>
      <c r="ASN16" t="s">
        <v>1765</v>
      </c>
      <c r="ATE16" s="115">
        <v>39170</v>
      </c>
      <c r="ATF16">
        <v>0.1</v>
      </c>
      <c r="ATG16">
        <v>0</v>
      </c>
      <c r="ATH16">
        <v>0</v>
      </c>
      <c r="ATI16" s="115">
        <v>39237</v>
      </c>
      <c r="ATJ16" s="58">
        <v>5902</v>
      </c>
      <c r="ATK16" s="115">
        <v>39238</v>
      </c>
      <c r="ATL16" t="s">
        <v>1765</v>
      </c>
      <c r="ATQ16" s="115">
        <v>39538</v>
      </c>
      <c r="ATR16">
        <v>0.06</v>
      </c>
      <c r="ATS16">
        <v>0</v>
      </c>
      <c r="ATT16">
        <v>0</v>
      </c>
      <c r="ATU16" s="115">
        <v>39644</v>
      </c>
      <c r="ATV16" s="58">
        <v>1668.54</v>
      </c>
      <c r="ATW16" s="115">
        <v>39645</v>
      </c>
      <c r="ATX16" t="s">
        <v>1765</v>
      </c>
      <c r="AUC16" s="115">
        <v>39553</v>
      </c>
      <c r="AUD16">
        <v>0.153</v>
      </c>
      <c r="AUE16">
        <v>0</v>
      </c>
      <c r="AUF16">
        <v>0</v>
      </c>
      <c r="AUG16" s="115">
        <v>39661</v>
      </c>
      <c r="AUH16" s="58">
        <v>8679.32</v>
      </c>
      <c r="AUI16" s="115">
        <v>39664</v>
      </c>
      <c r="AUJ16" t="s">
        <v>1765</v>
      </c>
      <c r="AUO16" s="115">
        <v>38742</v>
      </c>
      <c r="AUP16">
        <v>0</v>
      </c>
      <c r="AUQ16">
        <v>0.16</v>
      </c>
      <c r="AUR16">
        <v>0</v>
      </c>
      <c r="AUS16" s="115">
        <v>38800</v>
      </c>
      <c r="AUT16">
        <v>0</v>
      </c>
      <c r="AUU16" s="115">
        <v>38804</v>
      </c>
      <c r="AUV16" t="s">
        <v>1765</v>
      </c>
      <c r="AVA16" s="115">
        <v>39534</v>
      </c>
      <c r="AVB16">
        <v>0.35</v>
      </c>
      <c r="AVC16">
        <v>0</v>
      </c>
      <c r="AVD16">
        <v>0</v>
      </c>
      <c r="AVE16" s="115">
        <v>39580</v>
      </c>
      <c r="AVF16" s="58">
        <v>612920</v>
      </c>
      <c r="AVG16" s="115">
        <v>39581</v>
      </c>
      <c r="AVH16" t="s">
        <v>1765</v>
      </c>
      <c r="AVM16" s="115">
        <v>38595</v>
      </c>
      <c r="AVN16">
        <v>0</v>
      </c>
      <c r="AVO16">
        <v>0</v>
      </c>
      <c r="AVP16">
        <v>0.3</v>
      </c>
      <c r="AVQ16" s="115">
        <v>38622</v>
      </c>
      <c r="AVR16">
        <v>0</v>
      </c>
      <c r="AVS16" s="115">
        <v>38623</v>
      </c>
      <c r="AVT16" t="s">
        <v>1765</v>
      </c>
    </row>
    <row r="17" spans="1:1268" x14ac:dyDescent="0.25">
      <c r="A17" s="115">
        <v>39924</v>
      </c>
      <c r="B17">
        <v>0.18</v>
      </c>
      <c r="C17">
        <v>0</v>
      </c>
      <c r="D17">
        <v>0</v>
      </c>
      <c r="E17" s="115">
        <v>39989</v>
      </c>
      <c r="F17" s="58">
        <v>26784</v>
      </c>
      <c r="G17" s="115">
        <v>39990</v>
      </c>
      <c r="H17" t="s">
        <v>1765</v>
      </c>
      <c r="Y17" s="115">
        <v>39161</v>
      </c>
      <c r="Z17">
        <v>0.15</v>
      </c>
      <c r="AA17">
        <v>0</v>
      </c>
      <c r="AB17">
        <v>0.5</v>
      </c>
      <c r="AC17" s="115">
        <v>39217</v>
      </c>
      <c r="AD17" s="58">
        <v>65548.479999999996</v>
      </c>
      <c r="AE17" s="115">
        <v>39218</v>
      </c>
      <c r="AF17" t="s">
        <v>1765</v>
      </c>
      <c r="AK17" s="115">
        <v>39161</v>
      </c>
      <c r="AL17">
        <v>0.15</v>
      </c>
      <c r="AM17">
        <v>0</v>
      </c>
      <c r="AN17">
        <v>0.5</v>
      </c>
      <c r="AO17" s="115">
        <v>39217</v>
      </c>
      <c r="AP17" s="58">
        <v>65548.479999999996</v>
      </c>
      <c r="AQ17" s="115">
        <v>39218</v>
      </c>
      <c r="AR17" t="s">
        <v>1765</v>
      </c>
      <c r="BI17" s="115">
        <v>41729</v>
      </c>
      <c r="BJ17">
        <v>0.15</v>
      </c>
      <c r="BK17">
        <v>0</v>
      </c>
      <c r="BL17">
        <v>0</v>
      </c>
      <c r="BM17" s="115">
        <v>41877</v>
      </c>
      <c r="BN17" s="58">
        <v>29989.64</v>
      </c>
      <c r="BO17" s="115">
        <v>41878</v>
      </c>
      <c r="BP17" t="s">
        <v>1765</v>
      </c>
      <c r="CS17" s="115">
        <v>38800</v>
      </c>
      <c r="CT17">
        <v>4.1399999999999999E-2</v>
      </c>
      <c r="CU17">
        <v>0</v>
      </c>
      <c r="CV17">
        <v>0</v>
      </c>
      <c r="CW17" s="115">
        <v>38890</v>
      </c>
      <c r="CX17" s="58">
        <v>87753.91</v>
      </c>
      <c r="CY17" s="115">
        <v>38891</v>
      </c>
      <c r="CZ17" t="s">
        <v>1765</v>
      </c>
      <c r="FM17" s="115">
        <v>39175</v>
      </c>
      <c r="FN17">
        <v>0.3</v>
      </c>
      <c r="FO17">
        <v>0</v>
      </c>
      <c r="FP17">
        <v>0.25</v>
      </c>
      <c r="FQ17" s="115">
        <v>39234</v>
      </c>
      <c r="FR17" s="58">
        <v>53438.68</v>
      </c>
      <c r="FS17" s="115">
        <v>39237</v>
      </c>
      <c r="FT17" t="s">
        <v>1765</v>
      </c>
      <c r="GK17" s="115">
        <v>39556</v>
      </c>
      <c r="GL17">
        <v>0.3</v>
      </c>
      <c r="GM17">
        <v>0</v>
      </c>
      <c r="GN17">
        <v>0.5</v>
      </c>
      <c r="GO17" s="115">
        <v>39640</v>
      </c>
      <c r="GP17" s="58">
        <v>25047.9</v>
      </c>
      <c r="GQ17" s="115">
        <v>39643</v>
      </c>
      <c r="GR17" t="s">
        <v>1765</v>
      </c>
      <c r="GW17" s="115">
        <v>39161</v>
      </c>
      <c r="GX17">
        <v>0.15</v>
      </c>
      <c r="GY17">
        <v>0</v>
      </c>
      <c r="GZ17">
        <v>0.5</v>
      </c>
      <c r="HA17" s="115">
        <v>39217</v>
      </c>
      <c r="HB17" s="58">
        <v>65548.479999999996</v>
      </c>
      <c r="HC17" s="115">
        <v>39218</v>
      </c>
      <c r="HD17" t="s">
        <v>1765</v>
      </c>
      <c r="HU17" s="115">
        <v>38800</v>
      </c>
      <c r="HV17">
        <v>4.1399999999999999E-2</v>
      </c>
      <c r="HW17">
        <v>0</v>
      </c>
      <c r="HX17">
        <v>0</v>
      </c>
      <c r="HY17" s="115">
        <v>38890</v>
      </c>
      <c r="HZ17" s="58">
        <v>87753.91</v>
      </c>
      <c r="IA17" s="115">
        <v>38891</v>
      </c>
      <c r="IB17" t="s">
        <v>1765</v>
      </c>
      <c r="JE17" s="115">
        <v>38804</v>
      </c>
      <c r="JF17">
        <v>0.1</v>
      </c>
      <c r="JG17">
        <v>0</v>
      </c>
      <c r="JH17">
        <v>0</v>
      </c>
      <c r="JI17" s="115">
        <v>38884</v>
      </c>
      <c r="JJ17" s="58">
        <v>5902</v>
      </c>
      <c r="JK17" s="115">
        <v>38887</v>
      </c>
      <c r="JL17" t="s">
        <v>1765</v>
      </c>
      <c r="KC17" s="115">
        <v>39172</v>
      </c>
      <c r="KD17">
        <v>0.35</v>
      </c>
      <c r="KE17">
        <v>0</v>
      </c>
      <c r="KF17">
        <v>0</v>
      </c>
      <c r="KG17" s="115">
        <v>39230</v>
      </c>
      <c r="KH17" s="58">
        <v>612920</v>
      </c>
      <c r="KI17" s="115">
        <v>39231</v>
      </c>
      <c r="KJ17" t="s">
        <v>1765</v>
      </c>
      <c r="LA17" s="115">
        <v>39924</v>
      </c>
      <c r="LB17">
        <v>0.18</v>
      </c>
      <c r="LC17">
        <v>0</v>
      </c>
      <c r="LD17">
        <v>0</v>
      </c>
      <c r="LE17" s="115">
        <v>39989</v>
      </c>
      <c r="LF17" s="58">
        <v>26784</v>
      </c>
      <c r="LG17" s="115">
        <v>39990</v>
      </c>
      <c r="LH17" t="s">
        <v>1765</v>
      </c>
      <c r="NU17" s="115">
        <v>39556</v>
      </c>
      <c r="NV17">
        <v>0.3</v>
      </c>
      <c r="NW17">
        <v>0</v>
      </c>
      <c r="NX17">
        <v>0.5</v>
      </c>
      <c r="NY17" s="115">
        <v>39640</v>
      </c>
      <c r="NZ17" s="58">
        <v>25047.9</v>
      </c>
      <c r="OA17" s="115">
        <v>39643</v>
      </c>
      <c r="OB17" t="s">
        <v>1765</v>
      </c>
      <c r="OG17" s="115">
        <v>39161</v>
      </c>
      <c r="OH17">
        <v>0.15</v>
      </c>
      <c r="OI17">
        <v>0</v>
      </c>
      <c r="OJ17">
        <v>0.5</v>
      </c>
      <c r="OK17" s="115">
        <v>39217</v>
      </c>
      <c r="OL17" s="58">
        <v>65548.479999999996</v>
      </c>
      <c r="OM17" s="115">
        <v>39218</v>
      </c>
      <c r="ON17" t="s">
        <v>1765</v>
      </c>
      <c r="PQ17" s="115">
        <v>38073</v>
      </c>
      <c r="PR17">
        <v>7.0000000000000007E-2</v>
      </c>
      <c r="PS17">
        <v>0</v>
      </c>
      <c r="PT17">
        <v>0</v>
      </c>
      <c r="PU17" s="115">
        <v>38131</v>
      </c>
      <c r="PV17" s="58">
        <v>2660</v>
      </c>
      <c r="PW17" s="115">
        <v>38132</v>
      </c>
      <c r="PX17" t="s">
        <v>1765</v>
      </c>
      <c r="QC17" s="115">
        <v>39191</v>
      </c>
      <c r="QD17">
        <v>0.06</v>
      </c>
      <c r="QE17">
        <v>0</v>
      </c>
      <c r="QF17">
        <v>0</v>
      </c>
      <c r="QG17" s="115">
        <v>39269</v>
      </c>
      <c r="QH17" s="58">
        <v>3403.66</v>
      </c>
      <c r="QI17" s="115">
        <v>39272</v>
      </c>
      <c r="QJ17" t="s">
        <v>1765</v>
      </c>
      <c r="QO17" s="115">
        <v>41871</v>
      </c>
      <c r="QP17">
        <v>0.25</v>
      </c>
      <c r="QQ17">
        <v>0</v>
      </c>
      <c r="QR17">
        <v>0</v>
      </c>
      <c r="QS17" s="115">
        <v>41893</v>
      </c>
      <c r="QT17" s="58">
        <v>197903.71</v>
      </c>
      <c r="QU17" s="115">
        <v>41894</v>
      </c>
      <c r="QV17" t="s">
        <v>1765</v>
      </c>
      <c r="RA17" s="115">
        <v>38833</v>
      </c>
      <c r="RB17">
        <v>7.0000000000000007E-2</v>
      </c>
      <c r="RC17">
        <v>0</v>
      </c>
      <c r="RD17">
        <v>0</v>
      </c>
      <c r="RE17" s="115">
        <v>38903</v>
      </c>
      <c r="RF17" s="58">
        <v>8789.76</v>
      </c>
      <c r="RG17" s="115">
        <v>38904</v>
      </c>
      <c r="RH17" t="s">
        <v>1765</v>
      </c>
      <c r="RM17" s="115">
        <v>39158</v>
      </c>
      <c r="RN17">
        <v>0.06</v>
      </c>
      <c r="RO17">
        <v>0</v>
      </c>
      <c r="RP17">
        <v>0</v>
      </c>
      <c r="RQ17" s="115">
        <v>39217</v>
      </c>
      <c r="RR17" s="58">
        <v>1970.4</v>
      </c>
      <c r="RS17" s="115">
        <v>39218</v>
      </c>
      <c r="RT17" t="s">
        <v>1765</v>
      </c>
      <c r="RY17" s="115">
        <v>38439</v>
      </c>
      <c r="RZ17">
        <v>0.4</v>
      </c>
      <c r="SA17">
        <v>0</v>
      </c>
      <c r="SB17">
        <v>1</v>
      </c>
      <c r="SC17" s="115">
        <v>38499</v>
      </c>
      <c r="SD17" s="58">
        <v>5000</v>
      </c>
      <c r="SE17" s="115">
        <v>38502</v>
      </c>
      <c r="SF17" t="s">
        <v>1765</v>
      </c>
      <c r="SK17" s="115">
        <v>38833</v>
      </c>
      <c r="SL17">
        <v>7.0000000000000007E-2</v>
      </c>
      <c r="SM17">
        <v>0</v>
      </c>
      <c r="SN17">
        <v>0</v>
      </c>
      <c r="SO17" s="115">
        <v>38903</v>
      </c>
      <c r="SP17" s="58">
        <v>8789.76</v>
      </c>
      <c r="SQ17" s="115">
        <v>38904</v>
      </c>
      <c r="SR17" t="s">
        <v>1765</v>
      </c>
      <c r="SW17" s="115">
        <v>39158</v>
      </c>
      <c r="SX17">
        <v>0.06</v>
      </c>
      <c r="SY17">
        <v>0</v>
      </c>
      <c r="SZ17">
        <v>0</v>
      </c>
      <c r="TA17" s="115">
        <v>39217</v>
      </c>
      <c r="TB17" s="58">
        <v>1970.4</v>
      </c>
      <c r="TC17" s="115">
        <v>39218</v>
      </c>
      <c r="TD17" t="s">
        <v>1765</v>
      </c>
      <c r="VQ17" s="115">
        <v>39147</v>
      </c>
      <c r="VR17">
        <v>0.31</v>
      </c>
      <c r="VS17">
        <v>0</v>
      </c>
      <c r="VT17">
        <v>0</v>
      </c>
      <c r="VU17" s="115">
        <v>39245</v>
      </c>
      <c r="VV17" s="58">
        <v>31046.29</v>
      </c>
      <c r="VW17" s="115">
        <v>39246</v>
      </c>
      <c r="VX17" t="s">
        <v>1765</v>
      </c>
      <c r="XM17" s="115">
        <v>39519</v>
      </c>
      <c r="XN17">
        <v>0.1996</v>
      </c>
      <c r="XO17">
        <v>0</v>
      </c>
      <c r="XP17">
        <v>0</v>
      </c>
      <c r="XQ17" s="115">
        <v>39598</v>
      </c>
      <c r="XR17" s="58">
        <v>13174.2</v>
      </c>
      <c r="XS17" s="115">
        <v>39601</v>
      </c>
      <c r="XT17" t="s">
        <v>1765</v>
      </c>
      <c r="ABQ17" s="115">
        <v>34821</v>
      </c>
      <c r="ABR17">
        <v>0.15</v>
      </c>
      <c r="ABS17">
        <v>0</v>
      </c>
      <c r="ABT17">
        <v>0</v>
      </c>
      <c r="ABU17" s="115">
        <v>34831</v>
      </c>
      <c r="ABV17" s="58">
        <v>2073.42</v>
      </c>
      <c r="ABW17" s="115">
        <v>34834</v>
      </c>
      <c r="ABX17" t="s">
        <v>1765</v>
      </c>
      <c r="ACO17" s="115">
        <v>39199</v>
      </c>
      <c r="ACP17">
        <v>0.15</v>
      </c>
      <c r="ACQ17">
        <v>0</v>
      </c>
      <c r="ACR17">
        <v>0</v>
      </c>
      <c r="ACS17" s="115">
        <v>39281</v>
      </c>
      <c r="ACT17" s="58">
        <v>20077.78</v>
      </c>
      <c r="ACU17" s="115">
        <v>39282</v>
      </c>
      <c r="ACV17" t="s">
        <v>1765</v>
      </c>
      <c r="ADY17" s="115">
        <v>39175</v>
      </c>
      <c r="ADZ17">
        <v>0.1</v>
      </c>
      <c r="AEA17">
        <v>0.2</v>
      </c>
      <c r="AEB17">
        <v>0.3</v>
      </c>
      <c r="AEC17" s="115">
        <v>39213</v>
      </c>
      <c r="AED17" s="58">
        <v>2407.86</v>
      </c>
      <c r="AEE17" s="115">
        <v>39216</v>
      </c>
      <c r="AEF17" t="s">
        <v>1765</v>
      </c>
      <c r="AFI17" s="115">
        <v>39210</v>
      </c>
      <c r="AFJ17">
        <v>0</v>
      </c>
      <c r="AFK17">
        <v>0</v>
      </c>
      <c r="AFL17">
        <v>0.4</v>
      </c>
      <c r="AFM17" s="115">
        <v>39233</v>
      </c>
      <c r="AFN17">
        <v>0</v>
      </c>
      <c r="AFO17" s="115">
        <v>39234</v>
      </c>
      <c r="AFP17" t="s">
        <v>1765</v>
      </c>
      <c r="AFU17" s="115">
        <v>39176</v>
      </c>
      <c r="AFV17">
        <v>0.1</v>
      </c>
      <c r="AFW17">
        <v>0.4</v>
      </c>
      <c r="AFX17">
        <v>0</v>
      </c>
      <c r="AFY17" s="115">
        <v>39273</v>
      </c>
      <c r="AFZ17" s="58">
        <v>11880.96</v>
      </c>
      <c r="AGA17" s="115">
        <v>39274</v>
      </c>
      <c r="AGB17" t="s">
        <v>1765</v>
      </c>
      <c r="AGS17" s="115">
        <v>39560</v>
      </c>
      <c r="AGT17">
        <v>0.1</v>
      </c>
      <c r="AGU17">
        <v>0.7</v>
      </c>
      <c r="AGV17">
        <v>0.3</v>
      </c>
      <c r="AGW17" s="115">
        <v>39601</v>
      </c>
      <c r="AGX17" s="58">
        <v>7605</v>
      </c>
      <c r="AGY17" s="115">
        <v>39602</v>
      </c>
      <c r="AGZ17" t="s">
        <v>1765</v>
      </c>
      <c r="AHQ17" s="115">
        <v>39924</v>
      </c>
      <c r="AHR17">
        <v>0.18</v>
      </c>
      <c r="AHS17">
        <v>0</v>
      </c>
      <c r="AHT17">
        <v>0</v>
      </c>
      <c r="AHU17" s="115">
        <v>39989</v>
      </c>
      <c r="AHV17" s="58">
        <v>26784</v>
      </c>
      <c r="AHW17" s="115">
        <v>39990</v>
      </c>
      <c r="AHX17" t="s">
        <v>1765</v>
      </c>
      <c r="AIC17" s="115">
        <v>39498</v>
      </c>
      <c r="AID17">
        <v>0.45</v>
      </c>
      <c r="AIE17">
        <v>0</v>
      </c>
      <c r="AIF17">
        <v>0</v>
      </c>
      <c r="AIG17" s="115">
        <v>39685</v>
      </c>
      <c r="AIH17" s="58">
        <v>21260.53</v>
      </c>
      <c r="AII17" s="115">
        <v>39686</v>
      </c>
      <c r="AIJ17" t="s">
        <v>1765</v>
      </c>
      <c r="AIO17" s="115">
        <v>39175</v>
      </c>
      <c r="AIP17">
        <v>0.7</v>
      </c>
      <c r="AIQ17">
        <v>0</v>
      </c>
      <c r="AIR17">
        <v>0</v>
      </c>
      <c r="AIS17" s="115">
        <v>39275</v>
      </c>
      <c r="AIT17" s="58">
        <v>66066</v>
      </c>
      <c r="AIU17" s="115">
        <v>39276</v>
      </c>
      <c r="AIV17" t="s">
        <v>1765</v>
      </c>
      <c r="AJA17" s="115">
        <v>38815</v>
      </c>
      <c r="AJB17">
        <v>0.1</v>
      </c>
      <c r="AJC17">
        <v>0</v>
      </c>
      <c r="AJD17">
        <v>0</v>
      </c>
      <c r="AJE17" s="115">
        <v>38877</v>
      </c>
      <c r="AJF17" s="58">
        <v>27114.05</v>
      </c>
      <c r="AJG17" s="115">
        <v>38880</v>
      </c>
      <c r="AJH17" t="s">
        <v>1765</v>
      </c>
      <c r="AMG17" s="115">
        <v>39561</v>
      </c>
      <c r="AMH17">
        <v>0.5</v>
      </c>
      <c r="AMI17">
        <v>0</v>
      </c>
      <c r="AMJ17">
        <v>0</v>
      </c>
      <c r="AMK17" s="115">
        <v>39632</v>
      </c>
      <c r="AML17" s="58">
        <v>7000</v>
      </c>
      <c r="AMM17" s="115">
        <v>39633</v>
      </c>
      <c r="AMN17" t="s">
        <v>1765</v>
      </c>
      <c r="ANE17" s="115">
        <v>38833</v>
      </c>
      <c r="ANF17">
        <v>7.0000000000000007E-2</v>
      </c>
      <c r="ANG17">
        <v>0</v>
      </c>
      <c r="ANH17">
        <v>0</v>
      </c>
      <c r="ANI17" s="115">
        <v>38903</v>
      </c>
      <c r="ANJ17" s="58">
        <v>8789.76</v>
      </c>
      <c r="ANK17" s="115">
        <v>38904</v>
      </c>
      <c r="ANL17" t="s">
        <v>1765</v>
      </c>
      <c r="AOC17" s="115">
        <v>41871</v>
      </c>
      <c r="AOD17">
        <v>0.25</v>
      </c>
      <c r="AOE17">
        <v>0</v>
      </c>
      <c r="AOF17">
        <v>0</v>
      </c>
      <c r="AOG17" s="115">
        <v>41893</v>
      </c>
      <c r="AOH17" s="58">
        <v>197903.71</v>
      </c>
      <c r="AOI17" s="115">
        <v>41894</v>
      </c>
      <c r="AOJ17" t="s">
        <v>1765</v>
      </c>
      <c r="AOO17" s="115">
        <v>38073</v>
      </c>
      <c r="AOP17">
        <v>7.0000000000000007E-2</v>
      </c>
      <c r="AOQ17">
        <v>0</v>
      </c>
      <c r="AOR17">
        <v>0</v>
      </c>
      <c r="AOS17" s="115">
        <v>38131</v>
      </c>
      <c r="AOT17" s="58">
        <v>2660</v>
      </c>
      <c r="AOU17" s="115">
        <v>38132</v>
      </c>
      <c r="AOV17" t="s">
        <v>1765</v>
      </c>
      <c r="APA17" s="115">
        <v>38429</v>
      </c>
      <c r="APB17">
        <v>0.1</v>
      </c>
      <c r="APC17">
        <v>0</v>
      </c>
      <c r="APD17">
        <v>0</v>
      </c>
      <c r="APE17" s="115">
        <v>38502</v>
      </c>
      <c r="APF17" s="58">
        <v>2593.3200000000002</v>
      </c>
      <c r="APG17" s="115">
        <v>38503</v>
      </c>
      <c r="APH17" t="s">
        <v>1765</v>
      </c>
      <c r="APM17" s="115">
        <v>38742</v>
      </c>
      <c r="APN17">
        <v>0.08</v>
      </c>
      <c r="APO17">
        <v>0</v>
      </c>
      <c r="APP17">
        <v>0</v>
      </c>
      <c r="APQ17" s="115">
        <v>38825</v>
      </c>
      <c r="APR17" s="58">
        <v>1893.27</v>
      </c>
      <c r="APS17" s="115">
        <v>38826</v>
      </c>
      <c r="APT17" t="s">
        <v>1765</v>
      </c>
      <c r="AQK17" s="115">
        <v>38833</v>
      </c>
      <c r="AQL17">
        <v>7.0000000000000007E-2</v>
      </c>
      <c r="AQM17">
        <v>0</v>
      </c>
      <c r="AQN17">
        <v>0</v>
      </c>
      <c r="AQO17" s="115">
        <v>38903</v>
      </c>
      <c r="AQP17" s="58">
        <v>8789.76</v>
      </c>
      <c r="AQQ17" s="115">
        <v>38904</v>
      </c>
      <c r="AQR17" t="s">
        <v>1765</v>
      </c>
      <c r="AQW17" s="115">
        <v>39143</v>
      </c>
      <c r="AQX17">
        <v>0.11</v>
      </c>
      <c r="AQY17">
        <v>0</v>
      </c>
      <c r="AQZ17">
        <v>0</v>
      </c>
      <c r="ARA17" s="115">
        <v>39223</v>
      </c>
      <c r="ARB17" s="58">
        <v>6006</v>
      </c>
      <c r="ARC17" s="115">
        <v>39224</v>
      </c>
      <c r="ARD17" t="s">
        <v>1765</v>
      </c>
      <c r="ARU17" s="115">
        <v>39556</v>
      </c>
      <c r="ARV17">
        <v>0.3</v>
      </c>
      <c r="ARW17">
        <v>0</v>
      </c>
      <c r="ARX17">
        <v>0.5</v>
      </c>
      <c r="ARY17" s="115">
        <v>39640</v>
      </c>
      <c r="ARZ17" s="58">
        <v>25047.9</v>
      </c>
      <c r="ASA17" s="115">
        <v>39643</v>
      </c>
      <c r="ASB17" t="s">
        <v>1765</v>
      </c>
      <c r="ASG17" s="115">
        <v>39161</v>
      </c>
      <c r="ASH17">
        <v>0.15</v>
      </c>
      <c r="ASI17">
        <v>0</v>
      </c>
      <c r="ASJ17">
        <v>0.5</v>
      </c>
      <c r="ASK17" s="115">
        <v>39217</v>
      </c>
      <c r="ASL17" s="58">
        <v>65548.479999999996</v>
      </c>
      <c r="ASM17" s="115">
        <v>39218</v>
      </c>
      <c r="ASN17" t="s">
        <v>1765</v>
      </c>
      <c r="ATE17" s="115">
        <v>38804</v>
      </c>
      <c r="ATF17">
        <v>0.1</v>
      </c>
      <c r="ATG17">
        <v>0</v>
      </c>
      <c r="ATH17">
        <v>0</v>
      </c>
      <c r="ATI17" s="115">
        <v>38884</v>
      </c>
      <c r="ATJ17" s="58">
        <v>5902</v>
      </c>
      <c r="ATK17" s="115">
        <v>38887</v>
      </c>
      <c r="ATL17" t="s">
        <v>1765</v>
      </c>
      <c r="ATQ17" s="115">
        <v>39151</v>
      </c>
      <c r="ATR17">
        <v>0.05</v>
      </c>
      <c r="ATS17">
        <v>0</v>
      </c>
      <c r="ATT17">
        <v>0</v>
      </c>
      <c r="ATU17" s="115">
        <v>39280</v>
      </c>
      <c r="ATV17" s="58">
        <v>1390.45</v>
      </c>
      <c r="ATW17" s="115">
        <v>39281</v>
      </c>
      <c r="ATX17" t="s">
        <v>1765</v>
      </c>
      <c r="AUC17" s="115">
        <v>39191</v>
      </c>
      <c r="AUD17">
        <v>0.06</v>
      </c>
      <c r="AUE17">
        <v>0</v>
      </c>
      <c r="AUF17">
        <v>0</v>
      </c>
      <c r="AUG17" s="115">
        <v>39269</v>
      </c>
      <c r="AUH17" s="58">
        <v>3403.66</v>
      </c>
      <c r="AUI17" s="115">
        <v>39272</v>
      </c>
      <c r="AUJ17" t="s">
        <v>1765</v>
      </c>
      <c r="AUO17" s="115">
        <v>38584</v>
      </c>
      <c r="AUP17">
        <v>0.2</v>
      </c>
      <c r="AUQ17">
        <v>0.5</v>
      </c>
      <c r="AUR17">
        <v>0.5</v>
      </c>
      <c r="AUS17" s="115">
        <v>38667</v>
      </c>
      <c r="AUT17" s="58">
        <v>28353.21</v>
      </c>
      <c r="AUU17" s="115">
        <v>38670</v>
      </c>
      <c r="AUV17" t="s">
        <v>1765</v>
      </c>
      <c r="AVA17" s="115">
        <v>39172</v>
      </c>
      <c r="AVB17">
        <v>0.35</v>
      </c>
      <c r="AVC17">
        <v>0</v>
      </c>
      <c r="AVD17">
        <v>0</v>
      </c>
      <c r="AVE17" s="115">
        <v>39230</v>
      </c>
      <c r="AVF17" s="58">
        <v>612920</v>
      </c>
      <c r="AVG17" s="115">
        <v>39231</v>
      </c>
      <c r="AVH17" t="s">
        <v>1765</v>
      </c>
      <c r="AVM17" s="115">
        <v>38439</v>
      </c>
      <c r="AVN17">
        <v>0.4</v>
      </c>
      <c r="AVO17">
        <v>0</v>
      </c>
      <c r="AVP17">
        <v>1</v>
      </c>
      <c r="AVQ17" s="115">
        <v>38499</v>
      </c>
      <c r="AVR17" s="58">
        <v>5000</v>
      </c>
      <c r="AVS17" s="115">
        <v>38502</v>
      </c>
      <c r="AVT17" t="s">
        <v>1765</v>
      </c>
    </row>
    <row r="18" spans="1:1268" x14ac:dyDescent="0.25">
      <c r="A18" s="115">
        <v>39563</v>
      </c>
      <c r="B18">
        <v>0.05</v>
      </c>
      <c r="C18">
        <v>0.2</v>
      </c>
      <c r="D18">
        <v>0.3</v>
      </c>
      <c r="E18" s="115">
        <v>39638</v>
      </c>
      <c r="F18" s="58">
        <v>4960</v>
      </c>
      <c r="G18" s="115">
        <v>39639</v>
      </c>
      <c r="H18" t="s">
        <v>1765</v>
      </c>
      <c r="Y18" s="115">
        <v>38797</v>
      </c>
      <c r="Z18">
        <v>0.15</v>
      </c>
      <c r="AA18">
        <v>0</v>
      </c>
      <c r="AB18">
        <v>0</v>
      </c>
      <c r="AC18" s="115">
        <v>38918</v>
      </c>
      <c r="AD18" s="58">
        <v>59548.480000000003</v>
      </c>
      <c r="AE18" s="115">
        <v>38919</v>
      </c>
      <c r="AF18" t="s">
        <v>1765</v>
      </c>
      <c r="AK18" s="115">
        <v>38797</v>
      </c>
      <c r="AL18">
        <v>0.15</v>
      </c>
      <c r="AM18">
        <v>0</v>
      </c>
      <c r="AN18">
        <v>0</v>
      </c>
      <c r="AO18" s="115">
        <v>38918</v>
      </c>
      <c r="AP18" s="58">
        <v>59548.480000000003</v>
      </c>
      <c r="AQ18" s="115">
        <v>38919</v>
      </c>
      <c r="AR18" t="s">
        <v>1765</v>
      </c>
      <c r="BI18" s="115">
        <v>41516</v>
      </c>
      <c r="BJ18">
        <v>0.1</v>
      </c>
      <c r="BK18">
        <v>0</v>
      </c>
      <c r="BL18">
        <v>0</v>
      </c>
      <c r="BM18" s="115">
        <v>41564</v>
      </c>
      <c r="BN18" s="58">
        <v>19993.099999999999</v>
      </c>
      <c r="BO18" s="115">
        <v>41565</v>
      </c>
      <c r="BP18" t="s">
        <v>1765</v>
      </c>
      <c r="CS18" s="115">
        <v>38436</v>
      </c>
      <c r="CT18">
        <v>3.2500000000000001E-2</v>
      </c>
      <c r="CU18">
        <v>0</v>
      </c>
      <c r="CV18">
        <v>0</v>
      </c>
      <c r="CW18" s="115">
        <v>38526</v>
      </c>
      <c r="CX18" s="58">
        <v>68888.94</v>
      </c>
      <c r="CY18" s="115">
        <v>38527</v>
      </c>
      <c r="CZ18" t="s">
        <v>1765</v>
      </c>
      <c r="FM18" s="115">
        <v>38783</v>
      </c>
      <c r="FN18">
        <v>0.25</v>
      </c>
      <c r="FO18">
        <v>0</v>
      </c>
      <c r="FP18">
        <v>0</v>
      </c>
      <c r="FQ18" s="115">
        <v>38869</v>
      </c>
      <c r="FR18" s="58">
        <v>44532.23</v>
      </c>
      <c r="FS18" s="115">
        <v>38870</v>
      </c>
      <c r="FT18" t="s">
        <v>1765</v>
      </c>
      <c r="GK18" s="115">
        <v>38818</v>
      </c>
      <c r="GL18">
        <v>0.4</v>
      </c>
      <c r="GM18">
        <v>0</v>
      </c>
      <c r="GN18">
        <v>0.5</v>
      </c>
      <c r="GO18" s="115">
        <v>38908</v>
      </c>
      <c r="GP18" s="58">
        <v>21477.599999999999</v>
      </c>
      <c r="GQ18" s="115">
        <v>38909</v>
      </c>
      <c r="GR18" t="s">
        <v>1765</v>
      </c>
      <c r="GW18" s="115">
        <v>38797</v>
      </c>
      <c r="GX18">
        <v>0.15</v>
      </c>
      <c r="GY18">
        <v>0</v>
      </c>
      <c r="GZ18">
        <v>0</v>
      </c>
      <c r="HA18" s="115">
        <v>38918</v>
      </c>
      <c r="HB18" s="58">
        <v>59548.480000000003</v>
      </c>
      <c r="HC18" s="115">
        <v>38919</v>
      </c>
      <c r="HD18" t="s">
        <v>1765</v>
      </c>
      <c r="HU18" s="115">
        <v>38436</v>
      </c>
      <c r="HV18">
        <v>3.2500000000000001E-2</v>
      </c>
      <c r="HW18">
        <v>0</v>
      </c>
      <c r="HX18">
        <v>0</v>
      </c>
      <c r="HY18" s="115">
        <v>38526</v>
      </c>
      <c r="HZ18" s="58">
        <v>68888.94</v>
      </c>
      <c r="IA18" s="115">
        <v>38527</v>
      </c>
      <c r="IB18" t="s">
        <v>1765</v>
      </c>
      <c r="JE18" s="115">
        <v>38412</v>
      </c>
      <c r="JF18">
        <v>0.1</v>
      </c>
      <c r="JG18">
        <v>0</v>
      </c>
      <c r="JH18">
        <v>0.3</v>
      </c>
      <c r="JI18" s="115">
        <v>38469</v>
      </c>
      <c r="JJ18" s="58">
        <v>4540</v>
      </c>
      <c r="JK18" s="115">
        <v>38470</v>
      </c>
      <c r="JL18" t="s">
        <v>1765</v>
      </c>
      <c r="KC18" s="115">
        <v>38805</v>
      </c>
      <c r="KD18">
        <v>0.32</v>
      </c>
      <c r="KE18">
        <v>0</v>
      </c>
      <c r="KF18">
        <v>0</v>
      </c>
      <c r="KG18" s="115">
        <v>38861</v>
      </c>
      <c r="KH18" s="58">
        <v>560384</v>
      </c>
      <c r="KI18" s="115">
        <v>38862</v>
      </c>
      <c r="KJ18" t="s">
        <v>1765</v>
      </c>
      <c r="LA18" s="115">
        <v>39563</v>
      </c>
      <c r="LB18">
        <v>0.05</v>
      </c>
      <c r="LC18">
        <v>0.2</v>
      </c>
      <c r="LD18">
        <v>0.3</v>
      </c>
      <c r="LE18" s="115">
        <v>39638</v>
      </c>
      <c r="LF18" s="58">
        <v>4960</v>
      </c>
      <c r="LG18" s="115">
        <v>39639</v>
      </c>
      <c r="LH18" t="s">
        <v>1765</v>
      </c>
      <c r="NU18" s="115">
        <v>38818</v>
      </c>
      <c r="NV18">
        <v>0.4</v>
      </c>
      <c r="NW18">
        <v>0</v>
      </c>
      <c r="NX18">
        <v>0.5</v>
      </c>
      <c r="NY18" s="115">
        <v>38908</v>
      </c>
      <c r="NZ18" s="58">
        <v>21477.599999999999</v>
      </c>
      <c r="OA18" s="115">
        <v>38909</v>
      </c>
      <c r="OB18" t="s">
        <v>1765</v>
      </c>
      <c r="OG18" s="115">
        <v>38797</v>
      </c>
      <c r="OH18">
        <v>0.15</v>
      </c>
      <c r="OI18">
        <v>0</v>
      </c>
      <c r="OJ18">
        <v>0</v>
      </c>
      <c r="OK18" s="115">
        <v>38918</v>
      </c>
      <c r="OL18" s="58">
        <v>59548.480000000003</v>
      </c>
      <c r="OM18" s="115">
        <v>38919</v>
      </c>
      <c r="ON18" t="s">
        <v>1765</v>
      </c>
      <c r="PQ18" s="115">
        <v>37842</v>
      </c>
      <c r="PR18">
        <v>7.0000000000000007E-2</v>
      </c>
      <c r="PS18">
        <v>0</v>
      </c>
      <c r="PT18">
        <v>0</v>
      </c>
      <c r="PU18" s="115">
        <v>37847</v>
      </c>
      <c r="PV18" s="58">
        <v>2660</v>
      </c>
      <c r="PW18" s="115">
        <v>37848</v>
      </c>
      <c r="PX18" t="s">
        <v>1765</v>
      </c>
      <c r="QC18" s="115">
        <v>38828</v>
      </c>
      <c r="QD18">
        <v>0.4</v>
      </c>
      <c r="QE18">
        <v>0</v>
      </c>
      <c r="QF18">
        <v>0</v>
      </c>
      <c r="QG18" s="115">
        <v>38933</v>
      </c>
      <c r="QH18" s="58">
        <v>22691.040000000001</v>
      </c>
      <c r="QI18" s="115">
        <v>38936</v>
      </c>
      <c r="QJ18" t="s">
        <v>1765</v>
      </c>
      <c r="QO18" s="115">
        <v>41712</v>
      </c>
      <c r="QP18">
        <v>0.45</v>
      </c>
      <c r="QQ18">
        <v>0</v>
      </c>
      <c r="QR18">
        <v>0</v>
      </c>
      <c r="QS18" s="115">
        <v>41816</v>
      </c>
      <c r="QT18" s="58">
        <v>356226.39</v>
      </c>
      <c r="QU18" s="115">
        <v>41817</v>
      </c>
      <c r="QV18" t="s">
        <v>1765</v>
      </c>
      <c r="RA18" s="115">
        <v>38734</v>
      </c>
      <c r="RB18">
        <v>1.5</v>
      </c>
      <c r="RC18">
        <v>0</v>
      </c>
      <c r="RD18">
        <v>0</v>
      </c>
      <c r="RE18" s="115">
        <v>38776</v>
      </c>
      <c r="RF18" s="58">
        <v>188352</v>
      </c>
      <c r="RG18" s="115">
        <v>38778</v>
      </c>
      <c r="RH18" t="s">
        <v>1765</v>
      </c>
      <c r="RM18" s="115">
        <v>38783</v>
      </c>
      <c r="RN18">
        <v>0.06</v>
      </c>
      <c r="RO18">
        <v>0</v>
      </c>
      <c r="RP18">
        <v>0</v>
      </c>
      <c r="RQ18" s="115">
        <v>38853</v>
      </c>
      <c r="RR18" s="58">
        <v>1970.4</v>
      </c>
      <c r="RS18" s="115">
        <v>38854</v>
      </c>
      <c r="RT18" t="s">
        <v>1765</v>
      </c>
      <c r="RY18" s="115">
        <v>38085</v>
      </c>
      <c r="RZ18">
        <v>0.05</v>
      </c>
      <c r="SA18">
        <v>0</v>
      </c>
      <c r="SB18">
        <v>0</v>
      </c>
      <c r="SC18" s="115">
        <v>38131</v>
      </c>
      <c r="SD18">
        <v>625</v>
      </c>
      <c r="SE18" s="115">
        <v>38132</v>
      </c>
      <c r="SF18" t="s">
        <v>1765</v>
      </c>
      <c r="SK18" s="115">
        <v>38734</v>
      </c>
      <c r="SL18">
        <v>1.5</v>
      </c>
      <c r="SM18">
        <v>0</v>
      </c>
      <c r="SN18">
        <v>0</v>
      </c>
      <c r="SO18" s="115">
        <v>38776</v>
      </c>
      <c r="SP18" s="58">
        <v>188352</v>
      </c>
      <c r="SQ18" s="115">
        <v>38778</v>
      </c>
      <c r="SR18" t="s">
        <v>1765</v>
      </c>
      <c r="SW18" s="115">
        <v>38783</v>
      </c>
      <c r="SX18">
        <v>0.06</v>
      </c>
      <c r="SY18">
        <v>0</v>
      </c>
      <c r="SZ18">
        <v>0</v>
      </c>
      <c r="TA18" s="115">
        <v>38853</v>
      </c>
      <c r="TB18" s="58">
        <v>1970.4</v>
      </c>
      <c r="TC18" s="115">
        <v>38854</v>
      </c>
      <c r="TD18" t="s">
        <v>1765</v>
      </c>
      <c r="VQ18" s="115">
        <v>38070</v>
      </c>
      <c r="VR18">
        <v>0.3</v>
      </c>
      <c r="VS18">
        <v>0.35</v>
      </c>
      <c r="VT18">
        <v>0.65</v>
      </c>
      <c r="VU18" s="115">
        <v>38146</v>
      </c>
      <c r="VV18" s="58">
        <v>15022.4</v>
      </c>
      <c r="VW18" s="115">
        <v>38147</v>
      </c>
      <c r="VX18" t="s">
        <v>1765</v>
      </c>
      <c r="XM18" s="115">
        <v>39127</v>
      </c>
      <c r="XN18">
        <v>0.3</v>
      </c>
      <c r="XO18">
        <v>0.2</v>
      </c>
      <c r="XP18">
        <v>0.8</v>
      </c>
      <c r="XQ18" s="115">
        <v>39160</v>
      </c>
      <c r="XR18" s="58">
        <v>19110</v>
      </c>
      <c r="XS18" s="115">
        <v>39161</v>
      </c>
      <c r="XT18" t="s">
        <v>1765</v>
      </c>
      <c r="ABQ18" s="115">
        <v>34495</v>
      </c>
      <c r="ABR18">
        <v>0.1</v>
      </c>
      <c r="ABS18">
        <v>0.2</v>
      </c>
      <c r="ABT18">
        <v>0</v>
      </c>
      <c r="ABU18" s="115">
        <v>34495</v>
      </c>
      <c r="ABV18" s="58">
        <v>1151.9000000000001</v>
      </c>
      <c r="ABW18" s="115">
        <v>34498</v>
      </c>
      <c r="ABX18" t="s">
        <v>1765</v>
      </c>
      <c r="ACO18" s="115">
        <v>38834</v>
      </c>
      <c r="ACP18">
        <v>0.1</v>
      </c>
      <c r="ACQ18">
        <v>0</v>
      </c>
      <c r="ACR18">
        <v>0</v>
      </c>
      <c r="ACS18" s="115">
        <v>38917</v>
      </c>
      <c r="ACT18" s="58">
        <v>11964.72</v>
      </c>
      <c r="ACU18" s="115">
        <v>38918</v>
      </c>
      <c r="ACV18" t="s">
        <v>1765</v>
      </c>
      <c r="ADY18" s="115">
        <v>38815</v>
      </c>
      <c r="ADZ18">
        <v>0.25</v>
      </c>
      <c r="AEA18">
        <v>0</v>
      </c>
      <c r="AEB18">
        <v>0.5</v>
      </c>
      <c r="AEC18" s="115">
        <v>38861</v>
      </c>
      <c r="AED18" s="58">
        <v>4013.1</v>
      </c>
      <c r="AEE18" s="115">
        <v>38862</v>
      </c>
      <c r="AEF18" t="s">
        <v>1765</v>
      </c>
      <c r="AFI18" s="115">
        <v>39184</v>
      </c>
      <c r="AFJ18">
        <v>0.2</v>
      </c>
      <c r="AFK18">
        <v>0</v>
      </c>
      <c r="AFL18">
        <v>0</v>
      </c>
      <c r="AFM18" s="115">
        <v>39232</v>
      </c>
      <c r="AFN18" s="58">
        <v>8174.23</v>
      </c>
      <c r="AFO18" s="115">
        <v>39233</v>
      </c>
      <c r="AFP18" t="s">
        <v>1765</v>
      </c>
      <c r="AFU18" s="115">
        <v>38821</v>
      </c>
      <c r="AFV18">
        <v>0.15</v>
      </c>
      <c r="AFW18">
        <v>0.4</v>
      </c>
      <c r="AFX18">
        <v>0</v>
      </c>
      <c r="AFY18" s="115">
        <v>38870</v>
      </c>
      <c r="AFZ18" s="58">
        <v>12729.6</v>
      </c>
      <c r="AGA18" s="115">
        <v>38873</v>
      </c>
      <c r="AGB18" t="s">
        <v>1765</v>
      </c>
      <c r="AGS18" s="115">
        <v>39141</v>
      </c>
      <c r="AGT18">
        <v>0.04</v>
      </c>
      <c r="AGU18">
        <v>0</v>
      </c>
      <c r="AGV18">
        <v>0.5</v>
      </c>
      <c r="AGW18" s="115">
        <v>39183</v>
      </c>
      <c r="AGX18" s="58">
        <v>2028</v>
      </c>
      <c r="AGY18" s="115">
        <v>39184</v>
      </c>
      <c r="AGZ18" t="s">
        <v>1765</v>
      </c>
      <c r="AHQ18" s="115">
        <v>39563</v>
      </c>
      <c r="AHR18">
        <v>0.05</v>
      </c>
      <c r="AHS18">
        <v>0.2</v>
      </c>
      <c r="AHT18">
        <v>0.3</v>
      </c>
      <c r="AHU18" s="115">
        <v>39638</v>
      </c>
      <c r="AHV18" s="58">
        <v>4960</v>
      </c>
      <c r="AHW18" s="115">
        <v>39639</v>
      </c>
      <c r="AHX18" t="s">
        <v>1765</v>
      </c>
      <c r="AIC18" s="115">
        <v>39172</v>
      </c>
      <c r="AID18">
        <v>0.3</v>
      </c>
      <c r="AIE18">
        <v>0</v>
      </c>
      <c r="AIF18">
        <v>0</v>
      </c>
      <c r="AIG18" s="115">
        <v>39258</v>
      </c>
      <c r="AIH18" s="58">
        <v>14173.69</v>
      </c>
      <c r="AII18" s="115">
        <v>39259</v>
      </c>
      <c r="AIJ18" t="s">
        <v>1765</v>
      </c>
      <c r="AIO18" s="115">
        <v>38821</v>
      </c>
      <c r="AIP18">
        <v>2.0659999999999998</v>
      </c>
      <c r="AIQ18">
        <v>0.12</v>
      </c>
      <c r="AIR18">
        <v>0</v>
      </c>
      <c r="AIS18" s="115">
        <v>38860</v>
      </c>
      <c r="AIT18" s="58">
        <v>97494.54</v>
      </c>
      <c r="AIU18" s="115">
        <v>38861</v>
      </c>
      <c r="AIV18" t="s">
        <v>1765</v>
      </c>
      <c r="AJA18" s="115">
        <v>38044</v>
      </c>
      <c r="AJB18">
        <v>0.2</v>
      </c>
      <c r="AJC18">
        <v>0.8</v>
      </c>
      <c r="AJD18">
        <v>0.2</v>
      </c>
      <c r="AJE18" s="115">
        <v>38089</v>
      </c>
      <c r="AJF18" s="58">
        <v>27114.05</v>
      </c>
      <c r="AJG18" s="115">
        <v>38090</v>
      </c>
      <c r="AJH18" t="s">
        <v>1765</v>
      </c>
      <c r="AMG18" s="115">
        <v>39169</v>
      </c>
      <c r="AMH18">
        <v>0.4</v>
      </c>
      <c r="AMI18">
        <v>0</v>
      </c>
      <c r="AMJ18">
        <v>0</v>
      </c>
      <c r="AMK18" s="115">
        <v>39227</v>
      </c>
      <c r="AML18" s="58">
        <v>5600</v>
      </c>
      <c r="AMM18" s="115">
        <v>39230</v>
      </c>
      <c r="AMN18" t="s">
        <v>1765</v>
      </c>
      <c r="ANE18" s="115">
        <v>38734</v>
      </c>
      <c r="ANF18">
        <v>1.5</v>
      </c>
      <c r="ANG18">
        <v>0</v>
      </c>
      <c r="ANH18">
        <v>0</v>
      </c>
      <c r="ANI18" s="115">
        <v>38776</v>
      </c>
      <c r="ANJ18" s="58">
        <v>188352</v>
      </c>
      <c r="ANK18" s="115">
        <v>38778</v>
      </c>
      <c r="ANL18" t="s">
        <v>1765</v>
      </c>
      <c r="AOC18" s="115">
        <v>41712</v>
      </c>
      <c r="AOD18">
        <v>0.45</v>
      </c>
      <c r="AOE18">
        <v>0</v>
      </c>
      <c r="AOF18">
        <v>0</v>
      </c>
      <c r="AOG18" s="115">
        <v>41816</v>
      </c>
      <c r="AOH18" s="58">
        <v>356226.39</v>
      </c>
      <c r="AOI18" s="115">
        <v>41817</v>
      </c>
      <c r="AOJ18" t="s">
        <v>1765</v>
      </c>
      <c r="AOO18" s="115">
        <v>37842</v>
      </c>
      <c r="AOP18">
        <v>7.0000000000000007E-2</v>
      </c>
      <c r="AOQ18">
        <v>0</v>
      </c>
      <c r="AOR18">
        <v>0</v>
      </c>
      <c r="AOS18" s="115">
        <v>37847</v>
      </c>
      <c r="AOT18" s="58">
        <v>2660</v>
      </c>
      <c r="AOU18" s="115">
        <v>37848</v>
      </c>
      <c r="AOV18" t="s">
        <v>1765</v>
      </c>
      <c r="APA18" s="115">
        <v>38056</v>
      </c>
      <c r="APB18">
        <v>0.08</v>
      </c>
      <c r="APC18">
        <v>0</v>
      </c>
      <c r="APD18">
        <v>0</v>
      </c>
      <c r="APE18" s="115">
        <v>38118</v>
      </c>
      <c r="APF18" s="58">
        <v>2074.65</v>
      </c>
      <c r="APG18" s="115">
        <v>38119</v>
      </c>
      <c r="APH18" t="s">
        <v>1765</v>
      </c>
      <c r="APM18" s="115">
        <v>38381</v>
      </c>
      <c r="APN18">
        <v>0.1</v>
      </c>
      <c r="APO18">
        <v>0</v>
      </c>
      <c r="APP18">
        <v>0</v>
      </c>
      <c r="APQ18" s="115">
        <v>38495</v>
      </c>
      <c r="APR18" s="58">
        <v>2366.59</v>
      </c>
      <c r="APS18" s="115">
        <v>38496</v>
      </c>
      <c r="APT18" t="s">
        <v>1765</v>
      </c>
      <c r="AQK18" s="115">
        <v>38734</v>
      </c>
      <c r="AQL18">
        <v>1.5</v>
      </c>
      <c r="AQM18">
        <v>0</v>
      </c>
      <c r="AQN18">
        <v>0</v>
      </c>
      <c r="AQO18" s="115">
        <v>38776</v>
      </c>
      <c r="AQP18" s="58">
        <v>188352</v>
      </c>
      <c r="AQQ18" s="115">
        <v>38778</v>
      </c>
      <c r="AQR18" t="s">
        <v>1765</v>
      </c>
      <c r="AQW18" s="115">
        <v>38798</v>
      </c>
      <c r="AQX18">
        <v>0.13</v>
      </c>
      <c r="AQY18">
        <v>0</v>
      </c>
      <c r="AQZ18">
        <v>0.3</v>
      </c>
      <c r="ARA18" s="115">
        <v>38867</v>
      </c>
      <c r="ARB18" s="58">
        <v>5460</v>
      </c>
      <c r="ARC18" s="115">
        <v>38868</v>
      </c>
      <c r="ARD18" t="s">
        <v>1765</v>
      </c>
      <c r="ARU18" s="115">
        <v>38818</v>
      </c>
      <c r="ARV18">
        <v>0.4</v>
      </c>
      <c r="ARW18">
        <v>0</v>
      </c>
      <c r="ARX18">
        <v>0.5</v>
      </c>
      <c r="ARY18" s="115">
        <v>38908</v>
      </c>
      <c r="ARZ18" s="58">
        <v>21477.599999999999</v>
      </c>
      <c r="ASA18" s="115">
        <v>38909</v>
      </c>
      <c r="ASB18" t="s">
        <v>1765</v>
      </c>
      <c r="ASG18" s="115">
        <v>38797</v>
      </c>
      <c r="ASH18">
        <v>0.15</v>
      </c>
      <c r="ASI18">
        <v>0</v>
      </c>
      <c r="ASJ18">
        <v>0</v>
      </c>
      <c r="ASK18" s="115">
        <v>38918</v>
      </c>
      <c r="ASL18" s="58">
        <v>59548.480000000003</v>
      </c>
      <c r="ASM18" s="115">
        <v>38919</v>
      </c>
      <c r="ASN18" t="s">
        <v>1765</v>
      </c>
      <c r="ATE18" s="115">
        <v>38412</v>
      </c>
      <c r="ATF18">
        <v>0.1</v>
      </c>
      <c r="ATG18">
        <v>0</v>
      </c>
      <c r="ATH18">
        <v>0.3</v>
      </c>
      <c r="ATI18" s="115">
        <v>38469</v>
      </c>
      <c r="ATJ18" s="58">
        <v>4540</v>
      </c>
      <c r="ATK18" s="115">
        <v>38470</v>
      </c>
      <c r="ATL18" t="s">
        <v>1765</v>
      </c>
      <c r="ATQ18" s="115">
        <v>38807</v>
      </c>
      <c r="ATR18">
        <v>7.0000000000000007E-2</v>
      </c>
      <c r="ATS18">
        <v>0</v>
      </c>
      <c r="ATT18">
        <v>0</v>
      </c>
      <c r="ATU18" s="115">
        <v>38890</v>
      </c>
      <c r="ATV18" s="58">
        <v>1946.63</v>
      </c>
      <c r="ATW18" s="115">
        <v>38891</v>
      </c>
      <c r="ATX18" t="s">
        <v>1765</v>
      </c>
      <c r="AUC18" s="115">
        <v>38828</v>
      </c>
      <c r="AUD18">
        <v>0.4</v>
      </c>
      <c r="AUE18">
        <v>0</v>
      </c>
      <c r="AUF18">
        <v>0</v>
      </c>
      <c r="AUG18" s="115">
        <v>38933</v>
      </c>
      <c r="AUH18" s="58">
        <v>22691.040000000001</v>
      </c>
      <c r="AUI18" s="115">
        <v>38936</v>
      </c>
      <c r="AUJ18" t="s">
        <v>1765</v>
      </c>
      <c r="AUO18" s="115">
        <v>38043</v>
      </c>
      <c r="AUP18">
        <v>0.25</v>
      </c>
      <c r="AUQ18">
        <v>0</v>
      </c>
      <c r="AUR18">
        <v>0</v>
      </c>
      <c r="AUS18" s="115">
        <v>38145</v>
      </c>
      <c r="AUT18" s="58">
        <v>31250</v>
      </c>
      <c r="AUU18" s="115">
        <v>38146</v>
      </c>
      <c r="AUV18" t="s">
        <v>1765</v>
      </c>
      <c r="AVA18" s="115">
        <v>38805</v>
      </c>
      <c r="AVB18">
        <v>0.32</v>
      </c>
      <c r="AVC18">
        <v>0</v>
      </c>
      <c r="AVD18">
        <v>0</v>
      </c>
      <c r="AVE18" s="115">
        <v>38861</v>
      </c>
      <c r="AVF18" s="58">
        <v>560384</v>
      </c>
      <c r="AVG18" s="115">
        <v>38862</v>
      </c>
      <c r="AVH18" t="s">
        <v>1765</v>
      </c>
      <c r="AVM18" s="115">
        <v>38085</v>
      </c>
      <c r="AVN18">
        <v>0.05</v>
      </c>
      <c r="AVO18">
        <v>0</v>
      </c>
      <c r="AVP18">
        <v>0</v>
      </c>
      <c r="AVQ18" s="115">
        <v>38131</v>
      </c>
      <c r="AVR18">
        <v>625</v>
      </c>
      <c r="AVS18" s="115">
        <v>38132</v>
      </c>
      <c r="AVT18" t="s">
        <v>1765</v>
      </c>
    </row>
    <row r="19" spans="1:1268" x14ac:dyDescent="0.25">
      <c r="A19" s="115">
        <v>39149</v>
      </c>
      <c r="B19">
        <v>0.2</v>
      </c>
      <c r="C19">
        <v>0</v>
      </c>
      <c r="D19">
        <v>1</v>
      </c>
      <c r="E19" s="115">
        <v>39192</v>
      </c>
      <c r="F19" s="58">
        <v>9600</v>
      </c>
      <c r="G19" s="115">
        <v>39195</v>
      </c>
      <c r="H19" t="s">
        <v>1765</v>
      </c>
      <c r="Y19" s="115">
        <v>38433</v>
      </c>
      <c r="Z19">
        <v>0.15</v>
      </c>
      <c r="AA19">
        <v>0</v>
      </c>
      <c r="AB19">
        <v>0.5</v>
      </c>
      <c r="AC19" s="115">
        <v>38531</v>
      </c>
      <c r="AD19" s="58">
        <v>34104.42</v>
      </c>
      <c r="AE19" s="115">
        <v>38532</v>
      </c>
      <c r="AF19" t="s">
        <v>1765</v>
      </c>
      <c r="AK19" s="115">
        <v>38433</v>
      </c>
      <c r="AL19">
        <v>0.15</v>
      </c>
      <c r="AM19">
        <v>0</v>
      </c>
      <c r="AN19">
        <v>0.5</v>
      </c>
      <c r="AO19" s="115">
        <v>38531</v>
      </c>
      <c r="AP19" s="58">
        <v>34104.42</v>
      </c>
      <c r="AQ19" s="115">
        <v>38532</v>
      </c>
      <c r="AR19" t="s">
        <v>1765</v>
      </c>
      <c r="BI19" s="115">
        <v>41355</v>
      </c>
      <c r="BJ19">
        <v>0.23</v>
      </c>
      <c r="BK19">
        <v>0</v>
      </c>
      <c r="BL19">
        <v>0</v>
      </c>
      <c r="BM19" s="115">
        <v>41505</v>
      </c>
      <c r="BN19" s="58">
        <v>45984.12</v>
      </c>
      <c r="BO19" s="115">
        <v>41506</v>
      </c>
      <c r="BP19" t="s">
        <v>1765</v>
      </c>
      <c r="CS19" s="115">
        <v>38087</v>
      </c>
      <c r="CT19">
        <v>0</v>
      </c>
      <c r="CU19">
        <v>0</v>
      </c>
      <c r="CV19">
        <v>0</v>
      </c>
      <c r="CW19" s="115">
        <v>38174</v>
      </c>
      <c r="CX19">
        <v>0</v>
      </c>
      <c r="CY19" s="115">
        <v>38175</v>
      </c>
      <c r="CZ19" t="s">
        <v>1765</v>
      </c>
      <c r="FM19" s="115">
        <v>38412</v>
      </c>
      <c r="FN19">
        <v>0.25</v>
      </c>
      <c r="FO19">
        <v>0</v>
      </c>
      <c r="FP19">
        <v>0.5</v>
      </c>
      <c r="FQ19" s="115">
        <v>38470</v>
      </c>
      <c r="FR19" s="58">
        <v>27119.37</v>
      </c>
      <c r="FS19" s="115">
        <v>38471</v>
      </c>
      <c r="FT19" t="s">
        <v>1765</v>
      </c>
      <c r="GK19" s="115">
        <v>38407</v>
      </c>
      <c r="GL19">
        <v>0.38</v>
      </c>
      <c r="GM19">
        <v>0</v>
      </c>
      <c r="GN19">
        <v>0</v>
      </c>
      <c r="GO19" s="115">
        <v>38449</v>
      </c>
      <c r="GP19" s="58">
        <v>20403.72</v>
      </c>
      <c r="GQ19" s="115">
        <v>38450</v>
      </c>
      <c r="GR19" t="s">
        <v>1765</v>
      </c>
      <c r="GW19" s="115">
        <v>38433</v>
      </c>
      <c r="GX19">
        <v>0.15</v>
      </c>
      <c r="GY19">
        <v>0</v>
      </c>
      <c r="GZ19">
        <v>0.5</v>
      </c>
      <c r="HA19" s="115">
        <v>38531</v>
      </c>
      <c r="HB19" s="58">
        <v>34104.42</v>
      </c>
      <c r="HC19" s="115">
        <v>38532</v>
      </c>
      <c r="HD19" t="s">
        <v>1765</v>
      </c>
      <c r="HU19" s="115">
        <v>38087</v>
      </c>
      <c r="HV19">
        <v>0</v>
      </c>
      <c r="HW19">
        <v>0</v>
      </c>
      <c r="HX19">
        <v>0</v>
      </c>
      <c r="HY19" s="115">
        <v>38174</v>
      </c>
      <c r="HZ19">
        <v>0</v>
      </c>
      <c r="IA19" s="115">
        <v>38175</v>
      </c>
      <c r="IB19" t="s">
        <v>1765</v>
      </c>
      <c r="JE19" s="115">
        <v>38048</v>
      </c>
      <c r="JF19">
        <v>0.2</v>
      </c>
      <c r="JG19">
        <v>0</v>
      </c>
      <c r="JH19">
        <v>1</v>
      </c>
      <c r="JI19" s="115">
        <v>38117</v>
      </c>
      <c r="JJ19" s="58">
        <v>4540</v>
      </c>
      <c r="JK19" s="115">
        <v>38118</v>
      </c>
      <c r="JL19" t="s">
        <v>1765</v>
      </c>
      <c r="KC19" s="115">
        <v>38426</v>
      </c>
      <c r="KD19">
        <v>0.32</v>
      </c>
      <c r="KE19">
        <v>0</v>
      </c>
      <c r="KF19">
        <v>0</v>
      </c>
      <c r="KG19" s="115">
        <v>38513</v>
      </c>
      <c r="KH19" s="58">
        <v>400384</v>
      </c>
      <c r="KI19" s="115">
        <v>38516</v>
      </c>
      <c r="KJ19" t="s">
        <v>1765</v>
      </c>
      <c r="LA19" s="115">
        <v>39149</v>
      </c>
      <c r="LB19">
        <v>0.2</v>
      </c>
      <c r="LC19">
        <v>0</v>
      </c>
      <c r="LD19">
        <v>1</v>
      </c>
      <c r="LE19" s="115">
        <v>39192</v>
      </c>
      <c r="LF19" s="58">
        <v>9600</v>
      </c>
      <c r="LG19" s="115">
        <v>39195</v>
      </c>
      <c r="LH19" t="s">
        <v>1765</v>
      </c>
      <c r="NU19" s="115">
        <v>38407</v>
      </c>
      <c r="NV19">
        <v>0.38</v>
      </c>
      <c r="NW19">
        <v>0</v>
      </c>
      <c r="NX19">
        <v>0</v>
      </c>
      <c r="NY19" s="115">
        <v>38449</v>
      </c>
      <c r="NZ19" s="58">
        <v>20403.72</v>
      </c>
      <c r="OA19" s="115">
        <v>38450</v>
      </c>
      <c r="OB19" t="s">
        <v>1765</v>
      </c>
      <c r="OG19" s="115">
        <v>38433</v>
      </c>
      <c r="OH19">
        <v>0.15</v>
      </c>
      <c r="OI19">
        <v>0</v>
      </c>
      <c r="OJ19">
        <v>0.5</v>
      </c>
      <c r="OK19" s="115">
        <v>38531</v>
      </c>
      <c r="OL19" s="58">
        <v>34104.42</v>
      </c>
      <c r="OM19" s="115">
        <v>38532</v>
      </c>
      <c r="ON19" t="s">
        <v>1765</v>
      </c>
      <c r="PQ19" s="115">
        <v>37441</v>
      </c>
      <c r="PR19">
        <v>0.05</v>
      </c>
      <c r="PS19">
        <v>0.2</v>
      </c>
      <c r="PT19">
        <v>0.8</v>
      </c>
      <c r="PU19" s="115">
        <v>37447</v>
      </c>
      <c r="PV19">
        <v>950</v>
      </c>
      <c r="PW19" s="115">
        <v>37448</v>
      </c>
      <c r="PX19" t="s">
        <v>1765</v>
      </c>
      <c r="QC19" s="115">
        <v>38761</v>
      </c>
      <c r="QD19">
        <v>0</v>
      </c>
      <c r="QE19">
        <v>0.17</v>
      </c>
      <c r="QF19">
        <v>0</v>
      </c>
      <c r="QG19" s="115">
        <v>38811</v>
      </c>
      <c r="QH19">
        <v>0</v>
      </c>
      <c r="QI19" s="115">
        <v>38812</v>
      </c>
      <c r="QJ19" t="s">
        <v>1765</v>
      </c>
      <c r="QO19" s="115">
        <v>41516</v>
      </c>
      <c r="QP19">
        <v>0.2</v>
      </c>
      <c r="QQ19">
        <v>0</v>
      </c>
      <c r="QR19">
        <v>0</v>
      </c>
      <c r="QS19" s="115">
        <v>41526</v>
      </c>
      <c r="QT19" s="58">
        <v>158322.84</v>
      </c>
      <c r="QU19" s="115">
        <v>41527</v>
      </c>
      <c r="QV19" t="s">
        <v>1765</v>
      </c>
      <c r="RA19" s="115">
        <v>38434</v>
      </c>
      <c r="RB19">
        <v>0.13</v>
      </c>
      <c r="RC19">
        <v>0</v>
      </c>
      <c r="RD19">
        <v>0</v>
      </c>
      <c r="RE19" s="115">
        <v>38509</v>
      </c>
      <c r="RF19" s="58">
        <v>16323.84</v>
      </c>
      <c r="RG19" s="115">
        <v>38510</v>
      </c>
      <c r="RH19" t="s">
        <v>1765</v>
      </c>
      <c r="RM19" s="115">
        <v>38435</v>
      </c>
      <c r="RN19">
        <v>0.06</v>
      </c>
      <c r="RO19">
        <v>0</v>
      </c>
      <c r="RP19">
        <v>0</v>
      </c>
      <c r="RQ19" s="115">
        <v>38518</v>
      </c>
      <c r="RR19" s="58">
        <v>1970.4</v>
      </c>
      <c r="RS19" s="115">
        <v>38519</v>
      </c>
      <c r="RT19" t="s">
        <v>1765</v>
      </c>
      <c r="SK19" s="115">
        <v>38434</v>
      </c>
      <c r="SL19">
        <v>0.13</v>
      </c>
      <c r="SM19">
        <v>0</v>
      </c>
      <c r="SN19">
        <v>0</v>
      </c>
      <c r="SO19" s="115">
        <v>38509</v>
      </c>
      <c r="SP19" s="58">
        <v>16323.84</v>
      </c>
      <c r="SQ19" s="115">
        <v>38510</v>
      </c>
      <c r="SR19" t="s">
        <v>1765</v>
      </c>
      <c r="SW19" s="115">
        <v>38435</v>
      </c>
      <c r="SX19">
        <v>0.06</v>
      </c>
      <c r="SY19">
        <v>0</v>
      </c>
      <c r="SZ19">
        <v>0</v>
      </c>
      <c r="TA19" s="115">
        <v>38518</v>
      </c>
      <c r="TB19" s="58">
        <v>1970.4</v>
      </c>
      <c r="TC19" s="115">
        <v>38519</v>
      </c>
      <c r="TD19" t="s">
        <v>1765</v>
      </c>
      <c r="VQ19" s="115">
        <v>37691</v>
      </c>
      <c r="VR19">
        <v>0.15</v>
      </c>
      <c r="VS19">
        <v>0</v>
      </c>
      <c r="VT19">
        <v>0</v>
      </c>
      <c r="VU19" s="115">
        <v>37694</v>
      </c>
      <c r="VV19" s="58">
        <v>6785.92</v>
      </c>
      <c r="VW19" s="115">
        <v>37697</v>
      </c>
      <c r="VX19" t="s">
        <v>1765</v>
      </c>
      <c r="XM19" s="115">
        <v>38785</v>
      </c>
      <c r="XN19">
        <v>0.05</v>
      </c>
      <c r="XO19">
        <v>0</v>
      </c>
      <c r="XP19">
        <v>0.4</v>
      </c>
      <c r="XQ19" s="115">
        <v>38873</v>
      </c>
      <c r="XR19" s="58">
        <v>1137.5</v>
      </c>
      <c r="XS19" s="115">
        <v>38874</v>
      </c>
      <c r="XT19" t="s">
        <v>1765</v>
      </c>
      <c r="ABQ19" s="115">
        <v>34151</v>
      </c>
      <c r="ABR19">
        <v>0</v>
      </c>
      <c r="ABS19">
        <v>0.1</v>
      </c>
      <c r="ABT19">
        <v>0</v>
      </c>
      <c r="ABU19" s="115">
        <v>34152</v>
      </c>
      <c r="ABV19">
        <v>0</v>
      </c>
      <c r="ABW19" s="115">
        <v>34155</v>
      </c>
      <c r="ABX19" t="s">
        <v>1765</v>
      </c>
      <c r="ACO19" s="115">
        <v>38784</v>
      </c>
      <c r="ACP19">
        <v>0</v>
      </c>
      <c r="ACQ19">
        <v>0.1</v>
      </c>
      <c r="ACR19">
        <v>0</v>
      </c>
      <c r="ACS19" s="115">
        <v>38852</v>
      </c>
      <c r="ACT19">
        <v>0</v>
      </c>
      <c r="ACU19" s="115">
        <v>38854</v>
      </c>
      <c r="ACV19" t="s">
        <v>1765</v>
      </c>
      <c r="ADY19" s="115">
        <v>38444</v>
      </c>
      <c r="ADZ19">
        <v>0.2</v>
      </c>
      <c r="AEA19">
        <v>0</v>
      </c>
      <c r="AEB19">
        <v>0.5</v>
      </c>
      <c r="AEC19" s="115">
        <v>38503</v>
      </c>
      <c r="AED19" s="58">
        <v>2140.3200000000002</v>
      </c>
      <c r="AEE19" s="115">
        <v>38504</v>
      </c>
      <c r="AEF19" t="s">
        <v>1765</v>
      </c>
      <c r="AFI19" s="115">
        <v>38836</v>
      </c>
      <c r="AFJ19">
        <v>0.2</v>
      </c>
      <c r="AFK19">
        <v>0</v>
      </c>
      <c r="AFL19">
        <v>0</v>
      </c>
      <c r="AFM19" s="115">
        <v>38923</v>
      </c>
      <c r="AFN19" s="58">
        <v>8174.23</v>
      </c>
      <c r="AFO19" s="115">
        <v>38924</v>
      </c>
      <c r="AFP19" t="s">
        <v>1765</v>
      </c>
      <c r="AFU19" s="115">
        <v>38386</v>
      </c>
      <c r="AFV19">
        <v>0.2</v>
      </c>
      <c r="AFW19">
        <v>0.3</v>
      </c>
      <c r="AFX19">
        <v>0</v>
      </c>
      <c r="AFY19" s="115">
        <v>38442</v>
      </c>
      <c r="AFZ19" s="58">
        <v>16972.8</v>
      </c>
      <c r="AGA19" s="115">
        <v>38443</v>
      </c>
      <c r="AGB19" t="s">
        <v>1765</v>
      </c>
      <c r="AGS19" s="115">
        <v>38855</v>
      </c>
      <c r="AGT19">
        <v>0</v>
      </c>
      <c r="AGU19">
        <v>0.32</v>
      </c>
      <c r="AGV19">
        <v>0</v>
      </c>
      <c r="AGW19" s="115">
        <v>38909</v>
      </c>
      <c r="AGX19">
        <v>0</v>
      </c>
      <c r="AGY19" s="115">
        <v>38912</v>
      </c>
      <c r="AGZ19" t="s">
        <v>1765</v>
      </c>
      <c r="AHQ19" s="115">
        <v>39149</v>
      </c>
      <c r="AHR19">
        <v>0.2</v>
      </c>
      <c r="AHS19">
        <v>0</v>
      </c>
      <c r="AHT19">
        <v>1</v>
      </c>
      <c r="AHU19" s="115">
        <v>39192</v>
      </c>
      <c r="AHV19" s="58">
        <v>9600</v>
      </c>
      <c r="AHW19" s="115">
        <v>39195</v>
      </c>
      <c r="AHX19" t="s">
        <v>1765</v>
      </c>
      <c r="AIC19" s="115">
        <v>38805</v>
      </c>
      <c r="AID19">
        <v>0.2</v>
      </c>
      <c r="AIE19">
        <v>0</v>
      </c>
      <c r="AIF19">
        <v>0</v>
      </c>
      <c r="AIG19" s="115">
        <v>38915</v>
      </c>
      <c r="AIH19" s="58">
        <v>9449.1200000000008</v>
      </c>
      <c r="AII19" s="115">
        <v>38916</v>
      </c>
      <c r="AIJ19" t="s">
        <v>1765</v>
      </c>
      <c r="AIO19" s="115">
        <v>38812</v>
      </c>
      <c r="AIP19">
        <v>0.3</v>
      </c>
      <c r="AIQ19">
        <v>0</v>
      </c>
      <c r="AIR19">
        <v>1</v>
      </c>
      <c r="AIS19" s="115">
        <v>38855</v>
      </c>
      <c r="AIT19" s="58">
        <v>14157</v>
      </c>
      <c r="AIU19" s="115">
        <v>38856</v>
      </c>
      <c r="AIV19" t="s">
        <v>1765</v>
      </c>
      <c r="AJA19" s="115">
        <v>37719</v>
      </c>
      <c r="AJB19">
        <v>0</v>
      </c>
      <c r="AJC19">
        <v>0</v>
      </c>
      <c r="AJD19">
        <v>0.2</v>
      </c>
      <c r="AJE19" s="115">
        <v>37726</v>
      </c>
      <c r="AJF19">
        <v>0</v>
      </c>
      <c r="AJG19" s="115">
        <v>37727</v>
      </c>
      <c r="AJH19" t="s">
        <v>1765</v>
      </c>
      <c r="AMG19" s="115">
        <v>38790</v>
      </c>
      <c r="AMH19">
        <v>0.5</v>
      </c>
      <c r="AMI19">
        <v>0</v>
      </c>
      <c r="AMJ19">
        <v>0</v>
      </c>
      <c r="AMK19" s="115">
        <v>38833</v>
      </c>
      <c r="AML19" s="58">
        <v>7000</v>
      </c>
      <c r="AMM19" s="115">
        <v>38834</v>
      </c>
      <c r="AMN19" t="s">
        <v>1765</v>
      </c>
      <c r="ANE19" s="115">
        <v>38434</v>
      </c>
      <c r="ANF19">
        <v>0.13</v>
      </c>
      <c r="ANG19">
        <v>0</v>
      </c>
      <c r="ANH19">
        <v>0</v>
      </c>
      <c r="ANI19" s="115">
        <v>38509</v>
      </c>
      <c r="ANJ19" s="58">
        <v>16323.84</v>
      </c>
      <c r="ANK19" s="115">
        <v>38510</v>
      </c>
      <c r="ANL19" t="s">
        <v>1765</v>
      </c>
      <c r="AOC19" s="115">
        <v>41516</v>
      </c>
      <c r="AOD19">
        <v>0.2</v>
      </c>
      <c r="AOE19">
        <v>0</v>
      </c>
      <c r="AOF19">
        <v>0</v>
      </c>
      <c r="AOG19" s="115">
        <v>41526</v>
      </c>
      <c r="AOH19" s="58">
        <v>158322.84</v>
      </c>
      <c r="AOI19" s="115">
        <v>41527</v>
      </c>
      <c r="AOJ19" t="s">
        <v>1765</v>
      </c>
      <c r="AOO19" s="115">
        <v>37441</v>
      </c>
      <c r="AOP19">
        <v>0.05</v>
      </c>
      <c r="AOQ19">
        <v>0.2</v>
      </c>
      <c r="AOR19">
        <v>0.8</v>
      </c>
      <c r="AOS19" s="115">
        <v>37447</v>
      </c>
      <c r="AOT19">
        <v>950</v>
      </c>
      <c r="AOU19" s="115">
        <v>37448</v>
      </c>
      <c r="AOV19" t="s">
        <v>1765</v>
      </c>
      <c r="APA19" s="115">
        <v>37805</v>
      </c>
      <c r="APB19">
        <v>0.05</v>
      </c>
      <c r="APC19">
        <v>0</v>
      </c>
      <c r="APD19">
        <v>0</v>
      </c>
      <c r="APE19" s="115">
        <v>37810</v>
      </c>
      <c r="APF19" s="58">
        <v>1296.6600000000001</v>
      </c>
      <c r="APG19" s="115">
        <v>37811</v>
      </c>
      <c r="APH19" t="s">
        <v>1765</v>
      </c>
      <c r="APM19" s="115">
        <v>38066</v>
      </c>
      <c r="APN19">
        <v>0.1</v>
      </c>
      <c r="APO19">
        <v>0</v>
      </c>
      <c r="APP19">
        <v>0</v>
      </c>
      <c r="APQ19" s="115">
        <v>38152</v>
      </c>
      <c r="APR19" s="58">
        <v>2366.59</v>
      </c>
      <c r="APS19" s="115">
        <v>38153</v>
      </c>
      <c r="APT19" t="s">
        <v>1765</v>
      </c>
      <c r="AQK19" s="115">
        <v>38434</v>
      </c>
      <c r="AQL19">
        <v>0.13</v>
      </c>
      <c r="AQM19">
        <v>0</v>
      </c>
      <c r="AQN19">
        <v>0</v>
      </c>
      <c r="AQO19" s="115">
        <v>38509</v>
      </c>
      <c r="AQP19" s="58">
        <v>16323.84</v>
      </c>
      <c r="AQQ19" s="115">
        <v>38510</v>
      </c>
      <c r="AQR19" t="s">
        <v>1765</v>
      </c>
      <c r="AQW19" s="115">
        <v>38433</v>
      </c>
      <c r="AQX19">
        <v>0.15</v>
      </c>
      <c r="AQY19">
        <v>0</v>
      </c>
      <c r="AQZ19">
        <v>0.2</v>
      </c>
      <c r="ARA19" s="115">
        <v>38533</v>
      </c>
      <c r="ARB19" s="58">
        <v>5250</v>
      </c>
      <c r="ARC19" s="115">
        <v>38534</v>
      </c>
      <c r="ARD19" t="s">
        <v>1765</v>
      </c>
      <c r="ARU19" s="115">
        <v>38407</v>
      </c>
      <c r="ARV19">
        <v>0.38</v>
      </c>
      <c r="ARW19">
        <v>0</v>
      </c>
      <c r="ARX19">
        <v>0</v>
      </c>
      <c r="ARY19" s="115">
        <v>38449</v>
      </c>
      <c r="ARZ19" s="58">
        <v>20403.72</v>
      </c>
      <c r="ASA19" s="115">
        <v>38450</v>
      </c>
      <c r="ASB19" t="s">
        <v>1765</v>
      </c>
      <c r="ASG19" s="115">
        <v>38433</v>
      </c>
      <c r="ASH19">
        <v>0.15</v>
      </c>
      <c r="ASI19">
        <v>0</v>
      </c>
      <c r="ASJ19">
        <v>0.5</v>
      </c>
      <c r="ASK19" s="115">
        <v>38531</v>
      </c>
      <c r="ASL19" s="58">
        <v>34104.42</v>
      </c>
      <c r="ASM19" s="115">
        <v>38532</v>
      </c>
      <c r="ASN19" t="s">
        <v>1765</v>
      </c>
      <c r="ATE19" s="115">
        <v>38048</v>
      </c>
      <c r="ATF19">
        <v>0.2</v>
      </c>
      <c r="ATG19">
        <v>0</v>
      </c>
      <c r="ATH19">
        <v>1</v>
      </c>
      <c r="ATI19" s="115">
        <v>38117</v>
      </c>
      <c r="ATJ19" s="58">
        <v>4540</v>
      </c>
      <c r="ATK19" s="115">
        <v>38118</v>
      </c>
      <c r="ATL19" t="s">
        <v>1765</v>
      </c>
      <c r="ATQ19" s="115">
        <v>38442</v>
      </c>
      <c r="ATR19">
        <v>0.06</v>
      </c>
      <c r="ATS19">
        <v>0</v>
      </c>
      <c r="ATT19">
        <v>0</v>
      </c>
      <c r="ATU19" s="115">
        <v>38582</v>
      </c>
      <c r="ATV19" s="58">
        <v>1668.54</v>
      </c>
      <c r="ATW19" s="115">
        <v>38583</v>
      </c>
      <c r="ATX19" t="s">
        <v>1765</v>
      </c>
      <c r="AUC19" s="115">
        <v>38761</v>
      </c>
      <c r="AUD19">
        <v>0</v>
      </c>
      <c r="AUE19">
        <v>0.17</v>
      </c>
      <c r="AUF19">
        <v>0</v>
      </c>
      <c r="AUG19" s="115">
        <v>38811</v>
      </c>
      <c r="AUH19">
        <v>0</v>
      </c>
      <c r="AUI19" s="115">
        <v>38812</v>
      </c>
      <c r="AUJ19" t="s">
        <v>1765</v>
      </c>
      <c r="AUO19" s="115">
        <v>37721</v>
      </c>
      <c r="AUP19">
        <v>0.15</v>
      </c>
      <c r="AUQ19">
        <v>0</v>
      </c>
      <c r="AUR19">
        <v>0</v>
      </c>
      <c r="AUS19" s="115">
        <v>37726</v>
      </c>
      <c r="AUT19" s="58">
        <v>18750</v>
      </c>
      <c r="AUU19" s="115">
        <v>37727</v>
      </c>
      <c r="AUV19" t="s">
        <v>1765</v>
      </c>
      <c r="AVA19" s="115">
        <v>38426</v>
      </c>
      <c r="AVB19">
        <v>0.32</v>
      </c>
      <c r="AVC19">
        <v>0</v>
      </c>
      <c r="AVD19">
        <v>0</v>
      </c>
      <c r="AVE19" s="115">
        <v>38513</v>
      </c>
      <c r="AVF19" s="58">
        <v>400384</v>
      </c>
      <c r="AVG19" s="115">
        <v>38516</v>
      </c>
      <c r="AVH19" t="s">
        <v>1765</v>
      </c>
    </row>
    <row r="20" spans="1:1268" x14ac:dyDescent="0.25">
      <c r="A20" s="115">
        <v>38482</v>
      </c>
      <c r="B20">
        <v>0.8</v>
      </c>
      <c r="C20">
        <v>0.35</v>
      </c>
      <c r="D20">
        <v>0</v>
      </c>
      <c r="E20" s="115">
        <v>38518</v>
      </c>
      <c r="F20" s="58">
        <v>19200</v>
      </c>
      <c r="G20" s="115">
        <v>38520</v>
      </c>
      <c r="H20" t="s">
        <v>1765</v>
      </c>
      <c r="Y20" s="115">
        <v>38055</v>
      </c>
      <c r="Z20">
        <v>0.05</v>
      </c>
      <c r="AA20">
        <v>0.1</v>
      </c>
      <c r="AB20">
        <v>0.4</v>
      </c>
      <c r="AC20" s="115">
        <v>38132</v>
      </c>
      <c r="AD20" s="58">
        <v>7506.42</v>
      </c>
      <c r="AE20" s="115">
        <v>38133</v>
      </c>
      <c r="AF20" t="s">
        <v>1765</v>
      </c>
      <c r="AK20" s="115">
        <v>38055</v>
      </c>
      <c r="AL20">
        <v>0.05</v>
      </c>
      <c r="AM20">
        <v>0.1</v>
      </c>
      <c r="AN20">
        <v>0.4</v>
      </c>
      <c r="AO20" s="115">
        <v>38132</v>
      </c>
      <c r="AP20" s="58">
        <v>7506.42</v>
      </c>
      <c r="AQ20" s="115">
        <v>38133</v>
      </c>
      <c r="AR20" t="s">
        <v>1765</v>
      </c>
      <c r="BI20" s="115">
        <v>41152</v>
      </c>
      <c r="BJ20">
        <v>0.1</v>
      </c>
      <c r="BK20">
        <v>0</v>
      </c>
      <c r="BL20">
        <v>0</v>
      </c>
      <c r="BM20" s="115">
        <v>41199</v>
      </c>
      <c r="BN20" s="58">
        <v>19993.099999999999</v>
      </c>
      <c r="BO20" s="115">
        <v>41200</v>
      </c>
      <c r="BP20" t="s">
        <v>1765</v>
      </c>
      <c r="CS20" s="115">
        <v>38072</v>
      </c>
      <c r="CT20">
        <v>3.5000000000000003E-2</v>
      </c>
      <c r="CU20">
        <v>0</v>
      </c>
      <c r="CV20">
        <v>0</v>
      </c>
      <c r="CW20" s="115">
        <v>38162</v>
      </c>
      <c r="CX20" s="58">
        <v>68938.09</v>
      </c>
      <c r="CY20" s="115">
        <v>38163</v>
      </c>
      <c r="CZ20" t="s">
        <v>1765</v>
      </c>
      <c r="FM20" s="115">
        <v>38048</v>
      </c>
      <c r="FN20">
        <v>0.5</v>
      </c>
      <c r="FO20">
        <v>0</v>
      </c>
      <c r="FP20">
        <v>0.7</v>
      </c>
      <c r="FQ20" s="115">
        <v>38092</v>
      </c>
      <c r="FR20" s="58">
        <v>30680.42</v>
      </c>
      <c r="FS20" s="115">
        <v>38093</v>
      </c>
      <c r="FT20" t="s">
        <v>1765</v>
      </c>
      <c r="GK20" s="115">
        <v>38100</v>
      </c>
      <c r="GL20">
        <v>0.33</v>
      </c>
      <c r="GM20">
        <v>0</v>
      </c>
      <c r="GN20">
        <v>0</v>
      </c>
      <c r="GO20" s="115">
        <v>38167</v>
      </c>
      <c r="GP20" s="58">
        <v>17719.02</v>
      </c>
      <c r="GQ20" s="115">
        <v>38168</v>
      </c>
      <c r="GR20" t="s">
        <v>1765</v>
      </c>
      <c r="GW20" s="115">
        <v>38055</v>
      </c>
      <c r="GX20">
        <v>0.05</v>
      </c>
      <c r="GY20">
        <v>0.1</v>
      </c>
      <c r="GZ20">
        <v>0.4</v>
      </c>
      <c r="HA20" s="115">
        <v>38132</v>
      </c>
      <c r="HB20" s="58">
        <v>7506.42</v>
      </c>
      <c r="HC20" s="115">
        <v>38133</v>
      </c>
      <c r="HD20" t="s">
        <v>1765</v>
      </c>
      <c r="HU20" s="115">
        <v>38072</v>
      </c>
      <c r="HV20">
        <v>3.5000000000000003E-2</v>
      </c>
      <c r="HW20">
        <v>0</v>
      </c>
      <c r="HX20">
        <v>0</v>
      </c>
      <c r="HY20" s="115">
        <v>38162</v>
      </c>
      <c r="HZ20" s="58">
        <v>68938.09</v>
      </c>
      <c r="IA20" s="115">
        <v>38163</v>
      </c>
      <c r="IB20" t="s">
        <v>1765</v>
      </c>
      <c r="KC20" s="115">
        <v>38045</v>
      </c>
      <c r="KD20">
        <v>0.25</v>
      </c>
      <c r="KE20">
        <v>0</v>
      </c>
      <c r="KF20">
        <v>0</v>
      </c>
      <c r="KG20" s="115">
        <v>38156</v>
      </c>
      <c r="KH20" s="58">
        <v>312800</v>
      </c>
      <c r="KI20" s="115">
        <v>38159</v>
      </c>
      <c r="KJ20" t="s">
        <v>1765</v>
      </c>
      <c r="LA20" s="115">
        <v>38482</v>
      </c>
      <c r="LB20">
        <v>0.8</v>
      </c>
      <c r="LC20">
        <v>0.35</v>
      </c>
      <c r="LD20">
        <v>0</v>
      </c>
      <c r="LE20" s="115">
        <v>38518</v>
      </c>
      <c r="LF20" s="58">
        <v>19200</v>
      </c>
      <c r="LG20" s="115">
        <v>38520</v>
      </c>
      <c r="LH20" t="s">
        <v>1765</v>
      </c>
      <c r="NU20" s="115">
        <v>38100</v>
      </c>
      <c r="NV20">
        <v>0.33</v>
      </c>
      <c r="NW20">
        <v>0</v>
      </c>
      <c r="NX20">
        <v>0</v>
      </c>
      <c r="NY20" s="115">
        <v>38167</v>
      </c>
      <c r="NZ20" s="58">
        <v>17719.02</v>
      </c>
      <c r="OA20" s="115">
        <v>38168</v>
      </c>
      <c r="OB20" t="s">
        <v>1765</v>
      </c>
      <c r="OG20" s="115">
        <v>38055</v>
      </c>
      <c r="OH20">
        <v>0.05</v>
      </c>
      <c r="OI20">
        <v>0.1</v>
      </c>
      <c r="OJ20">
        <v>0.4</v>
      </c>
      <c r="OK20" s="115">
        <v>38132</v>
      </c>
      <c r="OL20" s="58">
        <v>7506.42</v>
      </c>
      <c r="OM20" s="115">
        <v>38133</v>
      </c>
      <c r="ON20" t="s">
        <v>1765</v>
      </c>
      <c r="PQ20" s="115">
        <v>37070</v>
      </c>
      <c r="PR20">
        <v>0.15</v>
      </c>
      <c r="PS20">
        <v>0</v>
      </c>
      <c r="PT20">
        <v>0</v>
      </c>
      <c r="PU20" s="115">
        <v>37075</v>
      </c>
      <c r="PV20" s="58">
        <v>2850</v>
      </c>
      <c r="PW20" s="115">
        <v>37076</v>
      </c>
      <c r="PX20" t="s">
        <v>1765</v>
      </c>
      <c r="QC20" s="115">
        <v>38464</v>
      </c>
      <c r="QD20">
        <v>0.1</v>
      </c>
      <c r="QE20">
        <v>0.3</v>
      </c>
      <c r="QF20">
        <v>0</v>
      </c>
      <c r="QG20" s="115">
        <v>38554</v>
      </c>
      <c r="QH20" s="58">
        <v>4363.66</v>
      </c>
      <c r="QI20" s="115">
        <v>38555</v>
      </c>
      <c r="QJ20" t="s">
        <v>1765</v>
      </c>
      <c r="QO20" s="115">
        <v>41348</v>
      </c>
      <c r="QP20">
        <v>0.3</v>
      </c>
      <c r="QQ20">
        <v>0</v>
      </c>
      <c r="QR20">
        <v>0</v>
      </c>
      <c r="QS20" s="115">
        <v>41411</v>
      </c>
      <c r="QT20" s="58">
        <v>237484.26</v>
      </c>
      <c r="QU20" s="115">
        <v>41414</v>
      </c>
      <c r="QV20" t="s">
        <v>1765</v>
      </c>
      <c r="RA20" s="115">
        <v>38064</v>
      </c>
      <c r="RB20">
        <v>0.1</v>
      </c>
      <c r="RC20">
        <v>0</v>
      </c>
      <c r="RD20">
        <v>0</v>
      </c>
      <c r="RE20" s="115">
        <v>38147</v>
      </c>
      <c r="RF20" s="58">
        <v>12556.8</v>
      </c>
      <c r="RG20" s="115">
        <v>38148</v>
      </c>
      <c r="RH20" t="s">
        <v>1765</v>
      </c>
      <c r="RM20" s="115">
        <v>38065</v>
      </c>
      <c r="RN20">
        <v>0.06</v>
      </c>
      <c r="RO20">
        <v>0</v>
      </c>
      <c r="RP20">
        <v>0</v>
      </c>
      <c r="RQ20" s="115">
        <v>38159</v>
      </c>
      <c r="RR20" s="58">
        <v>1970.4</v>
      </c>
      <c r="RS20" s="115">
        <v>38160</v>
      </c>
      <c r="RT20" t="s">
        <v>1765</v>
      </c>
      <c r="SK20" s="115">
        <v>38064</v>
      </c>
      <c r="SL20">
        <v>0.1</v>
      </c>
      <c r="SM20">
        <v>0</v>
      </c>
      <c r="SN20">
        <v>0</v>
      </c>
      <c r="SO20" s="115">
        <v>38147</v>
      </c>
      <c r="SP20" s="58">
        <v>12556.8</v>
      </c>
      <c r="SQ20" s="115">
        <v>38148</v>
      </c>
      <c r="SR20" t="s">
        <v>1765</v>
      </c>
      <c r="SW20" s="115">
        <v>38065</v>
      </c>
      <c r="SX20">
        <v>0.06</v>
      </c>
      <c r="SY20">
        <v>0</v>
      </c>
      <c r="SZ20">
        <v>0</v>
      </c>
      <c r="TA20" s="115">
        <v>38159</v>
      </c>
      <c r="TB20" s="58">
        <v>1970.4</v>
      </c>
      <c r="TC20" s="115">
        <v>38160</v>
      </c>
      <c r="TD20" t="s">
        <v>1765</v>
      </c>
      <c r="VQ20" s="115">
        <v>37335</v>
      </c>
      <c r="VR20">
        <v>0.13500000000000001</v>
      </c>
      <c r="VS20">
        <v>0.11</v>
      </c>
      <c r="VT20">
        <v>0</v>
      </c>
      <c r="VU20" s="115">
        <v>37341</v>
      </c>
      <c r="VV20" s="58">
        <v>6107.33</v>
      </c>
      <c r="VW20" s="115">
        <v>37342</v>
      </c>
      <c r="VX20" t="s">
        <v>1765</v>
      </c>
      <c r="XM20" s="115">
        <v>38534</v>
      </c>
      <c r="XN20">
        <v>0.14449999999999999</v>
      </c>
      <c r="XO20">
        <v>0.3</v>
      </c>
      <c r="XP20">
        <v>0</v>
      </c>
      <c r="XQ20" s="115">
        <v>38569</v>
      </c>
      <c r="XR20" s="58">
        <v>3287.38</v>
      </c>
      <c r="XS20" s="115">
        <v>38573</v>
      </c>
      <c r="XT20" t="s">
        <v>1765</v>
      </c>
      <c r="ACO20" s="115">
        <v>38450</v>
      </c>
      <c r="ACP20">
        <v>0.3</v>
      </c>
      <c r="ACQ20">
        <v>0</v>
      </c>
      <c r="ACR20">
        <v>0</v>
      </c>
      <c r="ACS20" s="115">
        <v>38546</v>
      </c>
      <c r="ACT20" s="58">
        <v>35894.17</v>
      </c>
      <c r="ACU20" s="115">
        <v>38547</v>
      </c>
      <c r="ACV20" t="s">
        <v>1765</v>
      </c>
      <c r="AFI20" s="115">
        <v>38427</v>
      </c>
      <c r="AFJ20">
        <v>0.2</v>
      </c>
      <c r="AFK20">
        <v>0</v>
      </c>
      <c r="AFL20">
        <v>0</v>
      </c>
      <c r="AFM20" s="115">
        <v>38575</v>
      </c>
      <c r="AFN20" s="58">
        <v>8174.23</v>
      </c>
      <c r="AFO20" s="115">
        <v>38576</v>
      </c>
      <c r="AFP20" t="s">
        <v>1765</v>
      </c>
      <c r="AFU20" s="115">
        <v>38064</v>
      </c>
      <c r="AFV20">
        <v>0.2</v>
      </c>
      <c r="AFW20">
        <v>0.2</v>
      </c>
      <c r="AFX20">
        <v>0.5</v>
      </c>
      <c r="AFY20" s="115">
        <v>38121</v>
      </c>
      <c r="AFZ20" s="58">
        <v>7680</v>
      </c>
      <c r="AGA20" s="115">
        <v>38124</v>
      </c>
      <c r="AGB20" t="s">
        <v>1765</v>
      </c>
      <c r="AGS20" s="115">
        <v>38822</v>
      </c>
      <c r="AGT20">
        <v>0.04</v>
      </c>
      <c r="AGU20">
        <v>0</v>
      </c>
      <c r="AGV20">
        <v>0</v>
      </c>
      <c r="AGW20" s="115">
        <v>38860</v>
      </c>
      <c r="AGX20" s="58">
        <v>2028</v>
      </c>
      <c r="AGY20" s="115">
        <v>38861</v>
      </c>
      <c r="AGZ20" t="s">
        <v>1765</v>
      </c>
      <c r="AHQ20" s="115">
        <v>38482</v>
      </c>
      <c r="AHR20">
        <v>0.8</v>
      </c>
      <c r="AHS20">
        <v>0.35</v>
      </c>
      <c r="AHT20">
        <v>0</v>
      </c>
      <c r="AHU20" s="115">
        <v>38518</v>
      </c>
      <c r="AHV20" s="58">
        <v>19200</v>
      </c>
      <c r="AHW20" s="115">
        <v>38520</v>
      </c>
      <c r="AHX20" t="s">
        <v>1765</v>
      </c>
      <c r="AIC20" s="115">
        <v>38740</v>
      </c>
      <c r="AID20">
        <v>0</v>
      </c>
      <c r="AIE20">
        <v>0.3</v>
      </c>
      <c r="AIF20">
        <v>0</v>
      </c>
      <c r="AIG20" s="115">
        <v>38792</v>
      </c>
      <c r="AIH20">
        <v>0</v>
      </c>
      <c r="AII20" s="115">
        <v>38793</v>
      </c>
      <c r="AIJ20" t="s">
        <v>1765</v>
      </c>
      <c r="AIO20" s="115">
        <v>38465</v>
      </c>
      <c r="AIP20">
        <v>0.5</v>
      </c>
      <c r="AIQ20">
        <v>0</v>
      </c>
      <c r="AIR20">
        <v>0.2</v>
      </c>
      <c r="AIS20" s="115">
        <v>38568</v>
      </c>
      <c r="AIT20" s="58">
        <v>19662.5</v>
      </c>
      <c r="AIU20" s="115">
        <v>38569</v>
      </c>
      <c r="AIV20" t="s">
        <v>1765</v>
      </c>
      <c r="AJA20" s="115">
        <v>37356</v>
      </c>
      <c r="AJB20">
        <v>2.5000000000000001E-2</v>
      </c>
      <c r="AJC20">
        <v>0.1</v>
      </c>
      <c r="AJD20">
        <v>0.2</v>
      </c>
      <c r="AJE20" s="115">
        <v>37363</v>
      </c>
      <c r="AJF20" s="58">
        <v>2172.6</v>
      </c>
      <c r="AJG20" s="115">
        <v>37364</v>
      </c>
      <c r="AJH20" t="s">
        <v>1765</v>
      </c>
      <c r="AMG20" s="115">
        <v>38435</v>
      </c>
      <c r="AMH20">
        <v>0.26</v>
      </c>
      <c r="AMI20">
        <v>0</v>
      </c>
      <c r="AMJ20">
        <v>0</v>
      </c>
      <c r="AMK20" s="115">
        <v>38499</v>
      </c>
      <c r="AML20" s="58">
        <v>3640</v>
      </c>
      <c r="AMM20" s="115">
        <v>38502</v>
      </c>
      <c r="AMN20" t="s">
        <v>1765</v>
      </c>
      <c r="ANE20" s="115">
        <v>38064</v>
      </c>
      <c r="ANF20">
        <v>0.1</v>
      </c>
      <c r="ANG20">
        <v>0</v>
      </c>
      <c r="ANH20">
        <v>0</v>
      </c>
      <c r="ANI20" s="115">
        <v>38147</v>
      </c>
      <c r="ANJ20" s="58">
        <v>12556.8</v>
      </c>
      <c r="ANK20" s="115">
        <v>38148</v>
      </c>
      <c r="ANL20" t="s">
        <v>1765</v>
      </c>
      <c r="AOC20" s="115">
        <v>41348</v>
      </c>
      <c r="AOD20">
        <v>0.3</v>
      </c>
      <c r="AOE20">
        <v>0</v>
      </c>
      <c r="AOF20">
        <v>0</v>
      </c>
      <c r="AOG20" s="115">
        <v>41411</v>
      </c>
      <c r="AOH20" s="58">
        <v>237484.26</v>
      </c>
      <c r="AOI20" s="115">
        <v>41414</v>
      </c>
      <c r="AOJ20" t="s">
        <v>1765</v>
      </c>
      <c r="AOO20" s="115">
        <v>37070</v>
      </c>
      <c r="AOP20">
        <v>0.15</v>
      </c>
      <c r="AOQ20">
        <v>0</v>
      </c>
      <c r="AOR20">
        <v>0</v>
      </c>
      <c r="AOS20" s="115">
        <v>37075</v>
      </c>
      <c r="AOT20" s="58">
        <v>2850</v>
      </c>
      <c r="AOU20" s="115">
        <v>37076</v>
      </c>
      <c r="AOV20" t="s">
        <v>1765</v>
      </c>
      <c r="APA20" s="115">
        <v>37418</v>
      </c>
      <c r="APB20">
        <v>0.05</v>
      </c>
      <c r="APC20">
        <v>0</v>
      </c>
      <c r="APD20">
        <v>0</v>
      </c>
      <c r="APE20" s="115">
        <v>37424</v>
      </c>
      <c r="APF20" s="58">
        <v>1296.6600000000001</v>
      </c>
      <c r="APG20" s="115">
        <v>37425</v>
      </c>
      <c r="APH20" t="s">
        <v>1765</v>
      </c>
      <c r="APM20" s="115">
        <v>37974</v>
      </c>
      <c r="APN20">
        <v>0</v>
      </c>
      <c r="APO20">
        <v>0</v>
      </c>
      <c r="APP20">
        <v>0</v>
      </c>
      <c r="APQ20" s="115">
        <v>37981</v>
      </c>
      <c r="APR20">
        <v>0</v>
      </c>
      <c r="APS20" s="115">
        <v>37984</v>
      </c>
      <c r="APT20" t="s">
        <v>1765</v>
      </c>
      <c r="AQK20" s="115">
        <v>38064</v>
      </c>
      <c r="AQL20">
        <v>0.1</v>
      </c>
      <c r="AQM20">
        <v>0</v>
      </c>
      <c r="AQN20">
        <v>0</v>
      </c>
      <c r="AQO20" s="115">
        <v>38147</v>
      </c>
      <c r="AQP20" s="58">
        <v>12556.8</v>
      </c>
      <c r="AQQ20" s="115">
        <v>38148</v>
      </c>
      <c r="AQR20" t="s">
        <v>1765</v>
      </c>
      <c r="AQW20" s="115">
        <v>38069</v>
      </c>
      <c r="AQX20">
        <v>0.1</v>
      </c>
      <c r="AQY20">
        <v>0</v>
      </c>
      <c r="AQZ20">
        <v>0</v>
      </c>
      <c r="ARA20" s="115">
        <v>38148</v>
      </c>
      <c r="ARB20" s="58">
        <v>3500</v>
      </c>
      <c r="ARC20" s="115">
        <v>38149</v>
      </c>
      <c r="ARD20" t="s">
        <v>1765</v>
      </c>
      <c r="ARU20" s="115">
        <v>38100</v>
      </c>
      <c r="ARV20">
        <v>0.33</v>
      </c>
      <c r="ARW20">
        <v>0</v>
      </c>
      <c r="ARX20">
        <v>0</v>
      </c>
      <c r="ARY20" s="115">
        <v>38167</v>
      </c>
      <c r="ARZ20" s="58">
        <v>17719.02</v>
      </c>
      <c r="ASA20" s="115">
        <v>38168</v>
      </c>
      <c r="ASB20" t="s">
        <v>1765</v>
      </c>
      <c r="ASG20" s="115">
        <v>38055</v>
      </c>
      <c r="ASH20">
        <v>0.05</v>
      </c>
      <c r="ASI20">
        <v>0.1</v>
      </c>
      <c r="ASJ20">
        <v>0.4</v>
      </c>
      <c r="ASK20" s="115">
        <v>38132</v>
      </c>
      <c r="ASL20" s="58">
        <v>7506.42</v>
      </c>
      <c r="ASM20" s="115">
        <v>38133</v>
      </c>
      <c r="ASN20" t="s">
        <v>1765</v>
      </c>
      <c r="ATQ20" s="115">
        <v>37839</v>
      </c>
      <c r="ATR20">
        <v>0.1</v>
      </c>
      <c r="ATS20">
        <v>0</v>
      </c>
      <c r="ATT20">
        <v>0</v>
      </c>
      <c r="ATU20" s="115">
        <v>37844</v>
      </c>
      <c r="ATV20" s="58">
        <v>2780.9</v>
      </c>
      <c r="ATW20" s="115">
        <v>37845</v>
      </c>
      <c r="ATX20" t="s">
        <v>1765</v>
      </c>
      <c r="AUC20" s="115">
        <v>38464</v>
      </c>
      <c r="AUD20">
        <v>0.1</v>
      </c>
      <c r="AUE20">
        <v>0.3</v>
      </c>
      <c r="AUF20">
        <v>0</v>
      </c>
      <c r="AUG20" s="115">
        <v>38554</v>
      </c>
      <c r="AUH20" s="58">
        <v>4363.66</v>
      </c>
      <c r="AUI20" s="115">
        <v>38555</v>
      </c>
      <c r="AUJ20" t="s">
        <v>1765</v>
      </c>
      <c r="AUO20" s="115">
        <v>37420</v>
      </c>
      <c r="AUP20">
        <v>0.1</v>
      </c>
      <c r="AUQ20">
        <v>0</v>
      </c>
      <c r="AUR20">
        <v>0</v>
      </c>
      <c r="AUS20" s="115">
        <v>37426</v>
      </c>
      <c r="AUT20" s="58">
        <v>12500</v>
      </c>
      <c r="AUU20" s="115">
        <v>37427</v>
      </c>
      <c r="AUV20" t="s">
        <v>1765</v>
      </c>
      <c r="AVA20" s="115">
        <v>38045</v>
      </c>
      <c r="AVB20">
        <v>0.25</v>
      </c>
      <c r="AVC20">
        <v>0</v>
      </c>
      <c r="AVD20">
        <v>0</v>
      </c>
      <c r="AVE20" s="115">
        <v>38156</v>
      </c>
      <c r="AVF20" s="58">
        <v>312800</v>
      </c>
      <c r="AVG20" s="115">
        <v>38159</v>
      </c>
      <c r="AVH20" t="s">
        <v>1765</v>
      </c>
    </row>
    <row r="21" spans="1:1268" x14ac:dyDescent="0.25">
      <c r="A21" s="115">
        <v>38457</v>
      </c>
      <c r="B21">
        <v>0.2</v>
      </c>
      <c r="C21">
        <v>0</v>
      </c>
      <c r="D21">
        <v>1</v>
      </c>
      <c r="E21" s="115">
        <v>38532</v>
      </c>
      <c r="F21" s="58">
        <v>4800</v>
      </c>
      <c r="G21" s="115">
        <v>38533</v>
      </c>
      <c r="H21" t="s">
        <v>1765</v>
      </c>
      <c r="Y21" s="115">
        <v>37754</v>
      </c>
      <c r="Z21">
        <v>0.2</v>
      </c>
      <c r="AA21">
        <v>0</v>
      </c>
      <c r="AB21">
        <v>1</v>
      </c>
      <c r="AC21" s="115">
        <v>37763</v>
      </c>
      <c r="AD21" s="58">
        <v>12619.49</v>
      </c>
      <c r="AE21" s="115">
        <v>37764</v>
      </c>
      <c r="AF21" t="s">
        <v>1765</v>
      </c>
      <c r="AK21" s="115">
        <v>37754</v>
      </c>
      <c r="AL21">
        <v>0.2</v>
      </c>
      <c r="AM21">
        <v>0</v>
      </c>
      <c r="AN21">
        <v>1</v>
      </c>
      <c r="AO21" s="115">
        <v>37763</v>
      </c>
      <c r="AP21" s="58">
        <v>12619.49</v>
      </c>
      <c r="AQ21" s="115">
        <v>37764</v>
      </c>
      <c r="AR21" t="s">
        <v>1765</v>
      </c>
      <c r="BI21" s="115">
        <v>40998</v>
      </c>
      <c r="BJ21">
        <v>0.1</v>
      </c>
      <c r="BK21">
        <v>0.2</v>
      </c>
      <c r="BL21">
        <v>0</v>
      </c>
      <c r="BM21" s="115">
        <v>41137</v>
      </c>
      <c r="BN21" s="58">
        <v>16660.91</v>
      </c>
      <c r="BO21" s="115">
        <v>41138</v>
      </c>
      <c r="BP21" t="s">
        <v>1765</v>
      </c>
      <c r="CS21" s="115">
        <v>37782</v>
      </c>
      <c r="CT21">
        <v>3.5700000000000003E-2</v>
      </c>
      <c r="CU21">
        <v>0</v>
      </c>
      <c r="CV21">
        <v>0</v>
      </c>
      <c r="CW21" s="115">
        <v>37785</v>
      </c>
      <c r="CX21" s="58">
        <v>70316.850000000006</v>
      </c>
      <c r="CY21" s="115">
        <v>37788</v>
      </c>
      <c r="CZ21" t="s">
        <v>1765</v>
      </c>
      <c r="FM21" s="115">
        <v>37754</v>
      </c>
      <c r="FN21">
        <v>0.2</v>
      </c>
      <c r="FO21">
        <v>0</v>
      </c>
      <c r="FP21">
        <v>0</v>
      </c>
      <c r="FQ21" s="115">
        <v>37757</v>
      </c>
      <c r="FR21" s="58">
        <v>11361.9</v>
      </c>
      <c r="FS21" s="115">
        <v>37760</v>
      </c>
      <c r="FT21" t="s">
        <v>1765</v>
      </c>
      <c r="GK21" s="115">
        <v>37767</v>
      </c>
      <c r="GL21">
        <v>0.32</v>
      </c>
      <c r="GM21">
        <v>0</v>
      </c>
      <c r="GN21">
        <v>0</v>
      </c>
      <c r="GO21" s="115">
        <v>37798</v>
      </c>
      <c r="GP21" s="58">
        <v>17182.080000000002</v>
      </c>
      <c r="GQ21" s="115">
        <v>37799</v>
      </c>
      <c r="GR21" t="s">
        <v>1765</v>
      </c>
      <c r="GW21" s="115">
        <v>37754</v>
      </c>
      <c r="GX21">
        <v>0.2</v>
      </c>
      <c r="GY21">
        <v>0</v>
      </c>
      <c r="GZ21">
        <v>1</v>
      </c>
      <c r="HA21" s="115">
        <v>37763</v>
      </c>
      <c r="HB21" s="58">
        <v>12619.49</v>
      </c>
      <c r="HC21" s="115">
        <v>37764</v>
      </c>
      <c r="HD21" t="s">
        <v>1765</v>
      </c>
      <c r="HU21" s="115">
        <v>37782</v>
      </c>
      <c r="HV21">
        <v>3.5700000000000003E-2</v>
      </c>
      <c r="HW21">
        <v>0</v>
      </c>
      <c r="HX21">
        <v>0</v>
      </c>
      <c r="HY21" s="115">
        <v>37785</v>
      </c>
      <c r="HZ21" s="58">
        <v>70316.850000000006</v>
      </c>
      <c r="IA21" s="115">
        <v>37788</v>
      </c>
      <c r="IB21" t="s">
        <v>1765</v>
      </c>
      <c r="KC21" s="115">
        <v>37784</v>
      </c>
      <c r="KD21">
        <v>0.2</v>
      </c>
      <c r="KE21">
        <v>0</v>
      </c>
      <c r="KF21">
        <v>0</v>
      </c>
      <c r="KG21" s="115">
        <v>37789</v>
      </c>
      <c r="KH21" s="58">
        <v>250240</v>
      </c>
      <c r="KI21" s="115">
        <v>37790</v>
      </c>
      <c r="KJ21" t="s">
        <v>1765</v>
      </c>
      <c r="LA21" s="115">
        <v>38457</v>
      </c>
      <c r="LB21">
        <v>0.2</v>
      </c>
      <c r="LC21">
        <v>0</v>
      </c>
      <c r="LD21">
        <v>1</v>
      </c>
      <c r="LE21" s="115">
        <v>38532</v>
      </c>
      <c r="LF21" s="58">
        <v>4800</v>
      </c>
      <c r="LG21" s="115">
        <v>38533</v>
      </c>
      <c r="LH21" t="s">
        <v>1765</v>
      </c>
      <c r="NU21" s="115">
        <v>37767</v>
      </c>
      <c r="NV21">
        <v>0.32</v>
      </c>
      <c r="NW21">
        <v>0</v>
      </c>
      <c r="NX21">
        <v>0</v>
      </c>
      <c r="NY21" s="115">
        <v>37798</v>
      </c>
      <c r="NZ21" s="58">
        <v>17182.080000000002</v>
      </c>
      <c r="OA21" s="115">
        <v>37799</v>
      </c>
      <c r="OB21" t="s">
        <v>1765</v>
      </c>
      <c r="OG21" s="115">
        <v>37754</v>
      </c>
      <c r="OH21">
        <v>0.2</v>
      </c>
      <c r="OI21">
        <v>0</v>
      </c>
      <c r="OJ21">
        <v>1</v>
      </c>
      <c r="OK21" s="115">
        <v>37763</v>
      </c>
      <c r="OL21" s="58">
        <v>12619.49</v>
      </c>
      <c r="OM21" s="115">
        <v>37764</v>
      </c>
      <c r="ON21" t="s">
        <v>1765</v>
      </c>
      <c r="PQ21" s="115">
        <v>36713</v>
      </c>
      <c r="PR21">
        <v>0.09</v>
      </c>
      <c r="PS21">
        <v>0</v>
      </c>
      <c r="PT21">
        <v>0</v>
      </c>
      <c r="PU21" s="115">
        <v>36718</v>
      </c>
      <c r="PV21" s="58">
        <v>1710</v>
      </c>
      <c r="PW21" s="115">
        <v>36719</v>
      </c>
      <c r="PX21" t="s">
        <v>1765</v>
      </c>
      <c r="QC21" s="115">
        <v>38093</v>
      </c>
      <c r="QD21">
        <v>0.2</v>
      </c>
      <c r="QE21">
        <v>0</v>
      </c>
      <c r="QF21">
        <v>0</v>
      </c>
      <c r="QG21" s="115">
        <v>38204</v>
      </c>
      <c r="QH21" s="58">
        <v>8727.32</v>
      </c>
      <c r="QI21" s="115">
        <v>38205</v>
      </c>
      <c r="QJ21" t="s">
        <v>1765</v>
      </c>
      <c r="QO21" s="115">
        <v>41145</v>
      </c>
      <c r="QP21">
        <v>0.15</v>
      </c>
      <c r="QQ21">
        <v>0</v>
      </c>
      <c r="QR21">
        <v>0</v>
      </c>
      <c r="QS21" s="115">
        <v>41177</v>
      </c>
      <c r="QT21" s="58">
        <v>118742.13</v>
      </c>
      <c r="QU21" s="115">
        <v>41178</v>
      </c>
      <c r="QV21" t="s">
        <v>1765</v>
      </c>
      <c r="RA21" s="115">
        <v>37775</v>
      </c>
      <c r="RB21">
        <v>0.05</v>
      </c>
      <c r="RC21">
        <v>0</v>
      </c>
      <c r="RD21">
        <v>0</v>
      </c>
      <c r="RE21" s="115">
        <v>37778</v>
      </c>
      <c r="RF21" s="58">
        <v>5917.4</v>
      </c>
      <c r="RG21" s="115">
        <v>37781</v>
      </c>
      <c r="RH21" t="s">
        <v>1765</v>
      </c>
      <c r="RM21" s="115">
        <v>37760</v>
      </c>
      <c r="RN21">
        <v>0.04</v>
      </c>
      <c r="RO21">
        <v>0</v>
      </c>
      <c r="RP21">
        <v>0</v>
      </c>
      <c r="RQ21" s="115">
        <v>37763</v>
      </c>
      <c r="RR21" s="58">
        <v>1313.6</v>
      </c>
      <c r="RS21" s="115">
        <v>37764</v>
      </c>
      <c r="RT21" t="s">
        <v>1765</v>
      </c>
      <c r="SK21" s="115">
        <v>37775</v>
      </c>
      <c r="SL21">
        <v>0.05</v>
      </c>
      <c r="SM21">
        <v>0</v>
      </c>
      <c r="SN21">
        <v>0</v>
      </c>
      <c r="SO21" s="115">
        <v>37778</v>
      </c>
      <c r="SP21" s="58">
        <v>5917.4</v>
      </c>
      <c r="SQ21" s="115">
        <v>37781</v>
      </c>
      <c r="SR21" t="s">
        <v>1765</v>
      </c>
      <c r="SW21" s="115">
        <v>37760</v>
      </c>
      <c r="SX21">
        <v>0.04</v>
      </c>
      <c r="SY21">
        <v>0</v>
      </c>
      <c r="SZ21">
        <v>0</v>
      </c>
      <c r="TA21" s="115">
        <v>37763</v>
      </c>
      <c r="TB21" s="58">
        <v>1313.6</v>
      </c>
      <c r="TC21" s="115">
        <v>37764</v>
      </c>
      <c r="TD21" t="s">
        <v>1765</v>
      </c>
      <c r="VQ21" s="115">
        <v>36970</v>
      </c>
      <c r="VR21">
        <v>0.27</v>
      </c>
      <c r="VS21">
        <v>0.37</v>
      </c>
      <c r="VT21">
        <v>0.23</v>
      </c>
      <c r="VU21" s="115">
        <v>36976</v>
      </c>
      <c r="VV21" s="58">
        <v>11004.14</v>
      </c>
      <c r="VW21" s="115">
        <v>36977</v>
      </c>
      <c r="VX21" t="s">
        <v>1765</v>
      </c>
      <c r="XM21" s="115">
        <v>38427</v>
      </c>
      <c r="XN21">
        <v>0.2</v>
      </c>
      <c r="XO21">
        <v>0</v>
      </c>
      <c r="XP21">
        <v>0.3</v>
      </c>
      <c r="XQ21" s="115">
        <v>38517</v>
      </c>
      <c r="XR21" s="58">
        <v>3500</v>
      </c>
      <c r="XS21" s="115">
        <v>38518</v>
      </c>
      <c r="XT21" t="s">
        <v>1765</v>
      </c>
      <c r="ACO21" s="115">
        <v>38072</v>
      </c>
      <c r="ACP21">
        <v>0.05</v>
      </c>
      <c r="ACQ21">
        <v>0.2</v>
      </c>
      <c r="ACR21">
        <v>0.3</v>
      </c>
      <c r="ACS21" s="115">
        <v>38177</v>
      </c>
      <c r="ACT21" s="58">
        <v>3988.24</v>
      </c>
      <c r="ACU21" s="115">
        <v>38180</v>
      </c>
      <c r="ACV21" t="s">
        <v>1765</v>
      </c>
      <c r="AFI21" s="115">
        <v>38070</v>
      </c>
      <c r="AFJ21">
        <v>0.05</v>
      </c>
      <c r="AFK21">
        <v>0.2</v>
      </c>
      <c r="AFL21">
        <v>0.3</v>
      </c>
      <c r="AFM21" s="115">
        <v>38154</v>
      </c>
      <c r="AFN21" s="58">
        <v>1362.37</v>
      </c>
      <c r="AFO21" s="115">
        <v>38155</v>
      </c>
      <c r="AFP21" t="s">
        <v>1765</v>
      </c>
      <c r="AFU21" s="115">
        <v>37777</v>
      </c>
      <c r="AFV21">
        <v>0.2</v>
      </c>
      <c r="AFW21">
        <v>0</v>
      </c>
      <c r="AFX21">
        <v>0</v>
      </c>
      <c r="AFY21" s="115">
        <v>37782</v>
      </c>
      <c r="AFZ21" s="58">
        <v>7680</v>
      </c>
      <c r="AGA21" s="115">
        <v>37783</v>
      </c>
      <c r="AGB21" t="s">
        <v>1765</v>
      </c>
      <c r="AGS21" s="115">
        <v>38377</v>
      </c>
      <c r="AGT21">
        <v>0.4</v>
      </c>
      <c r="AGU21">
        <v>0</v>
      </c>
      <c r="AGV21">
        <v>0</v>
      </c>
      <c r="AGW21" s="115">
        <v>38496</v>
      </c>
      <c r="AGX21" s="58">
        <v>20280</v>
      </c>
      <c r="AGY21" s="115">
        <v>38497</v>
      </c>
      <c r="AGZ21" t="s">
        <v>1765</v>
      </c>
      <c r="AHQ21" s="115">
        <v>38457</v>
      </c>
      <c r="AHR21">
        <v>0.2</v>
      </c>
      <c r="AHS21">
        <v>0</v>
      </c>
      <c r="AHT21">
        <v>1</v>
      </c>
      <c r="AHU21" s="115">
        <v>38532</v>
      </c>
      <c r="AHV21" s="58">
        <v>4800</v>
      </c>
      <c r="AHW21" s="115">
        <v>38533</v>
      </c>
      <c r="AHX21" t="s">
        <v>1765</v>
      </c>
      <c r="AIC21" s="115">
        <v>38414</v>
      </c>
      <c r="AID21">
        <v>0.2</v>
      </c>
      <c r="AIE21">
        <v>0</v>
      </c>
      <c r="AIF21">
        <v>0</v>
      </c>
      <c r="AIG21" s="115">
        <v>38553</v>
      </c>
      <c r="AIH21" s="58">
        <v>9449.1200000000008</v>
      </c>
      <c r="AII21" s="115">
        <v>38554</v>
      </c>
      <c r="AIJ21" t="s">
        <v>1765</v>
      </c>
      <c r="AIO21" s="115">
        <v>38072</v>
      </c>
      <c r="AIP21">
        <v>0.3</v>
      </c>
      <c r="AIQ21">
        <v>0</v>
      </c>
      <c r="AIR21">
        <v>0.3</v>
      </c>
      <c r="AIS21" s="115">
        <v>38168</v>
      </c>
      <c r="AIT21" s="58">
        <v>9075</v>
      </c>
      <c r="AIU21" s="115">
        <v>38169</v>
      </c>
      <c r="AIV21" t="s">
        <v>1765</v>
      </c>
      <c r="AJA21" s="115">
        <v>37131</v>
      </c>
      <c r="AJB21">
        <v>0.1</v>
      </c>
      <c r="AJC21">
        <v>0.4</v>
      </c>
      <c r="AJD21">
        <v>0.3</v>
      </c>
      <c r="AJE21" s="115">
        <v>37137</v>
      </c>
      <c r="AJF21" s="58">
        <v>5112</v>
      </c>
      <c r="AJG21" s="115">
        <v>37138</v>
      </c>
      <c r="AJH21" t="s">
        <v>1765</v>
      </c>
      <c r="AMG21" s="115">
        <v>38057</v>
      </c>
      <c r="AMH21">
        <v>0.42</v>
      </c>
      <c r="AMI21">
        <v>0</v>
      </c>
      <c r="AMJ21">
        <v>0</v>
      </c>
      <c r="AMK21" s="115">
        <v>38134</v>
      </c>
      <c r="AML21" s="58">
        <v>5880</v>
      </c>
      <c r="AMM21" s="115">
        <v>38135</v>
      </c>
      <c r="AMN21" t="s">
        <v>1765</v>
      </c>
      <c r="ANE21" s="115">
        <v>37775</v>
      </c>
      <c r="ANF21">
        <v>0.05</v>
      </c>
      <c r="ANG21">
        <v>0</v>
      </c>
      <c r="ANH21">
        <v>0</v>
      </c>
      <c r="ANI21" s="115">
        <v>37778</v>
      </c>
      <c r="ANJ21" s="58">
        <v>5917.4</v>
      </c>
      <c r="ANK21" s="115">
        <v>37781</v>
      </c>
      <c r="ANL21" t="s">
        <v>1765</v>
      </c>
      <c r="AOC21" s="115">
        <v>41145</v>
      </c>
      <c r="AOD21">
        <v>0.15</v>
      </c>
      <c r="AOE21">
        <v>0</v>
      </c>
      <c r="AOF21">
        <v>0</v>
      </c>
      <c r="AOG21" s="115">
        <v>41177</v>
      </c>
      <c r="AOH21" s="58">
        <v>118742.13</v>
      </c>
      <c r="AOI21" s="115">
        <v>41178</v>
      </c>
      <c r="AOJ21" t="s">
        <v>1765</v>
      </c>
      <c r="AOO21" s="115">
        <v>36713</v>
      </c>
      <c r="AOP21">
        <v>0.09</v>
      </c>
      <c r="AOQ21">
        <v>0</v>
      </c>
      <c r="AOR21">
        <v>0</v>
      </c>
      <c r="AOS21" s="115">
        <v>36718</v>
      </c>
      <c r="AOT21" s="58">
        <v>1710</v>
      </c>
      <c r="AOU21" s="115">
        <v>36719</v>
      </c>
      <c r="AOV21" t="s">
        <v>1765</v>
      </c>
      <c r="APA21" s="115">
        <v>37040</v>
      </c>
      <c r="APB21">
        <v>0.05</v>
      </c>
      <c r="APC21">
        <v>0</v>
      </c>
      <c r="APD21">
        <v>0</v>
      </c>
      <c r="APE21" s="115">
        <v>37046</v>
      </c>
      <c r="APF21" s="58">
        <v>1296.6600000000001</v>
      </c>
      <c r="APG21" s="115">
        <v>37047</v>
      </c>
      <c r="APH21" t="s">
        <v>1765</v>
      </c>
      <c r="APM21" s="115">
        <v>37356</v>
      </c>
      <c r="APN21">
        <v>1.4999999999999999E-2</v>
      </c>
      <c r="APO21">
        <v>0.05</v>
      </c>
      <c r="APP21">
        <v>0.25</v>
      </c>
      <c r="APQ21" s="115">
        <v>37361</v>
      </c>
      <c r="APR21">
        <v>246.59</v>
      </c>
      <c r="APS21" s="115">
        <v>37362</v>
      </c>
      <c r="APT21" t="s">
        <v>1765</v>
      </c>
      <c r="AQK21" s="115">
        <v>37775</v>
      </c>
      <c r="AQL21">
        <v>0.05</v>
      </c>
      <c r="AQM21">
        <v>0</v>
      </c>
      <c r="AQN21">
        <v>0</v>
      </c>
      <c r="AQO21" s="115">
        <v>37778</v>
      </c>
      <c r="AQP21" s="58">
        <v>5917.4</v>
      </c>
      <c r="AQQ21" s="115">
        <v>37781</v>
      </c>
      <c r="AQR21" t="s">
        <v>1765</v>
      </c>
      <c r="ARU21" s="115">
        <v>37767</v>
      </c>
      <c r="ARV21">
        <v>0.32</v>
      </c>
      <c r="ARW21">
        <v>0</v>
      </c>
      <c r="ARX21">
        <v>0</v>
      </c>
      <c r="ARY21" s="115">
        <v>37798</v>
      </c>
      <c r="ARZ21" s="58">
        <v>17182.080000000002</v>
      </c>
      <c r="ASA21" s="115">
        <v>37799</v>
      </c>
      <c r="ASB21" t="s">
        <v>1765</v>
      </c>
      <c r="ASG21" s="115">
        <v>37754</v>
      </c>
      <c r="ASH21">
        <v>0.2</v>
      </c>
      <c r="ASI21">
        <v>0</v>
      </c>
      <c r="ASJ21">
        <v>1</v>
      </c>
      <c r="ASK21" s="115">
        <v>37763</v>
      </c>
      <c r="ASL21" s="58">
        <v>12619.49</v>
      </c>
      <c r="ASM21" s="115">
        <v>37764</v>
      </c>
      <c r="ASN21" t="s">
        <v>1765</v>
      </c>
      <c r="ATQ21" s="115">
        <v>37008</v>
      </c>
      <c r="ATR21">
        <v>0.1</v>
      </c>
      <c r="ATS21">
        <v>0</v>
      </c>
      <c r="ATT21">
        <v>0</v>
      </c>
      <c r="ATU21" s="115">
        <v>37021</v>
      </c>
      <c r="ATV21" s="58">
        <v>2443.12</v>
      </c>
      <c r="ATW21" s="115">
        <v>37022</v>
      </c>
      <c r="ATX21" t="s">
        <v>1765</v>
      </c>
      <c r="AUC21" s="115">
        <v>38093</v>
      </c>
      <c r="AUD21">
        <v>0.2</v>
      </c>
      <c r="AUE21">
        <v>0</v>
      </c>
      <c r="AUF21">
        <v>0</v>
      </c>
      <c r="AUG21" s="115">
        <v>38204</v>
      </c>
      <c r="AUH21" s="58">
        <v>8727.32</v>
      </c>
      <c r="AUI21" s="115">
        <v>38205</v>
      </c>
      <c r="AUJ21" t="s">
        <v>1765</v>
      </c>
      <c r="AUO21" s="115">
        <v>37057</v>
      </c>
      <c r="AUP21">
        <v>0.1</v>
      </c>
      <c r="AUQ21">
        <v>0</v>
      </c>
      <c r="AUR21">
        <v>0</v>
      </c>
      <c r="AUS21" s="115">
        <v>37063</v>
      </c>
      <c r="AUT21" s="58">
        <v>12500</v>
      </c>
      <c r="AUU21" s="115">
        <v>37064</v>
      </c>
      <c r="AUV21" t="s">
        <v>1765</v>
      </c>
      <c r="AVA21" s="115">
        <v>37784</v>
      </c>
      <c r="AVB21">
        <v>0.2</v>
      </c>
      <c r="AVC21">
        <v>0</v>
      </c>
      <c r="AVD21">
        <v>0</v>
      </c>
      <c r="AVE21" s="115">
        <v>37789</v>
      </c>
      <c r="AVF21" s="58">
        <v>250240</v>
      </c>
      <c r="AVG21" s="115">
        <v>37790</v>
      </c>
      <c r="AVH21" t="s">
        <v>1765</v>
      </c>
    </row>
    <row r="22" spans="1:1268" x14ac:dyDescent="0.25">
      <c r="A22" s="115">
        <v>38064</v>
      </c>
      <c r="B22">
        <v>0.5</v>
      </c>
      <c r="C22">
        <v>0</v>
      </c>
      <c r="D22">
        <v>0</v>
      </c>
      <c r="E22" s="115">
        <v>38117</v>
      </c>
      <c r="F22" s="58">
        <v>12000</v>
      </c>
      <c r="G22" s="115">
        <v>38118</v>
      </c>
      <c r="H22" t="s">
        <v>1765</v>
      </c>
      <c r="Y22" s="115">
        <v>37447</v>
      </c>
      <c r="Z22">
        <v>0.2</v>
      </c>
      <c r="AA22">
        <v>0</v>
      </c>
      <c r="AB22">
        <v>0</v>
      </c>
      <c r="AC22" s="115">
        <v>37453</v>
      </c>
      <c r="AD22" s="58">
        <v>12619.49</v>
      </c>
      <c r="AE22" s="115">
        <v>37454</v>
      </c>
      <c r="AF22" t="s">
        <v>1765</v>
      </c>
      <c r="AK22" s="115">
        <v>37447</v>
      </c>
      <c r="AL22">
        <v>0.2</v>
      </c>
      <c r="AM22">
        <v>0</v>
      </c>
      <c r="AN22">
        <v>0</v>
      </c>
      <c r="AO22" s="115">
        <v>37453</v>
      </c>
      <c r="AP22" s="58">
        <v>12619.49</v>
      </c>
      <c r="AQ22" s="115">
        <v>37454</v>
      </c>
      <c r="AR22" t="s">
        <v>1765</v>
      </c>
      <c r="BI22" s="115">
        <v>40633</v>
      </c>
      <c r="BJ22">
        <v>0.43</v>
      </c>
      <c r="BK22">
        <v>0</v>
      </c>
      <c r="BL22">
        <v>0</v>
      </c>
      <c r="BM22" s="115">
        <v>40731</v>
      </c>
      <c r="BN22" s="58">
        <v>71641.929999999993</v>
      </c>
      <c r="BO22" s="115">
        <v>40732</v>
      </c>
      <c r="BP22" t="s">
        <v>1765</v>
      </c>
      <c r="FM22" s="115">
        <v>37385</v>
      </c>
      <c r="FN22">
        <v>0.2</v>
      </c>
      <c r="FO22">
        <v>0</v>
      </c>
      <c r="FP22">
        <v>0</v>
      </c>
      <c r="FQ22" s="115">
        <v>37390</v>
      </c>
      <c r="FR22" s="58">
        <v>11361.9</v>
      </c>
      <c r="FS22" s="115">
        <v>37391</v>
      </c>
      <c r="FT22" t="s">
        <v>1765</v>
      </c>
      <c r="GK22" s="115">
        <v>37413</v>
      </c>
      <c r="GL22">
        <v>0.3</v>
      </c>
      <c r="GM22">
        <v>0</v>
      </c>
      <c r="GN22">
        <v>0</v>
      </c>
      <c r="GO22" s="115">
        <v>37419</v>
      </c>
      <c r="GP22" s="58">
        <v>16108.2</v>
      </c>
      <c r="GQ22" s="115">
        <v>37420</v>
      </c>
      <c r="GR22" t="s">
        <v>1765</v>
      </c>
      <c r="GW22" s="115">
        <v>37447</v>
      </c>
      <c r="GX22">
        <v>0.2</v>
      </c>
      <c r="GY22">
        <v>0</v>
      </c>
      <c r="GZ22">
        <v>0</v>
      </c>
      <c r="HA22" s="115">
        <v>37453</v>
      </c>
      <c r="HB22" s="58">
        <v>12619.49</v>
      </c>
      <c r="HC22" s="115">
        <v>37454</v>
      </c>
      <c r="HD22" t="s">
        <v>1765</v>
      </c>
      <c r="KC22" s="115">
        <v>37420</v>
      </c>
      <c r="KD22">
        <v>0.125</v>
      </c>
      <c r="KE22">
        <v>0</v>
      </c>
      <c r="KF22">
        <v>0</v>
      </c>
      <c r="KG22" s="115">
        <v>37425</v>
      </c>
      <c r="KH22" s="58">
        <v>156400</v>
      </c>
      <c r="KI22" s="115">
        <v>37426</v>
      </c>
      <c r="KJ22" t="s">
        <v>1765</v>
      </c>
      <c r="LA22" s="115">
        <v>38064</v>
      </c>
      <c r="LB22">
        <v>0.5</v>
      </c>
      <c r="LC22">
        <v>0</v>
      </c>
      <c r="LD22">
        <v>0</v>
      </c>
      <c r="LE22" s="115">
        <v>38117</v>
      </c>
      <c r="LF22" s="58">
        <v>12000</v>
      </c>
      <c r="LG22" s="115">
        <v>38118</v>
      </c>
      <c r="LH22" t="s">
        <v>1765</v>
      </c>
      <c r="NU22" s="115">
        <v>37413</v>
      </c>
      <c r="NV22">
        <v>0.3</v>
      </c>
      <c r="NW22">
        <v>0</v>
      </c>
      <c r="NX22">
        <v>0</v>
      </c>
      <c r="NY22" s="115">
        <v>37419</v>
      </c>
      <c r="NZ22" s="58">
        <v>16108.2</v>
      </c>
      <c r="OA22" s="115">
        <v>37420</v>
      </c>
      <c r="OB22" t="s">
        <v>1765</v>
      </c>
      <c r="OG22" s="115">
        <v>37447</v>
      </c>
      <c r="OH22">
        <v>0.2</v>
      </c>
      <c r="OI22">
        <v>0</v>
      </c>
      <c r="OJ22">
        <v>0</v>
      </c>
      <c r="OK22" s="115">
        <v>37453</v>
      </c>
      <c r="OL22" s="58">
        <v>12619.49</v>
      </c>
      <c r="OM22" s="115">
        <v>37454</v>
      </c>
      <c r="ON22" t="s">
        <v>1765</v>
      </c>
      <c r="QC22" s="115">
        <v>37826</v>
      </c>
      <c r="QD22">
        <v>0.2</v>
      </c>
      <c r="QE22">
        <v>0</v>
      </c>
      <c r="QF22">
        <v>0</v>
      </c>
      <c r="QG22" s="115">
        <v>37833</v>
      </c>
      <c r="QH22" s="58">
        <v>8727.32</v>
      </c>
      <c r="QI22" s="115">
        <v>37834</v>
      </c>
      <c r="QJ22" t="s">
        <v>1765</v>
      </c>
      <c r="QO22" s="115">
        <v>40984</v>
      </c>
      <c r="QP22">
        <v>0.25</v>
      </c>
      <c r="QQ22">
        <v>0</v>
      </c>
      <c r="QR22">
        <v>0</v>
      </c>
      <c r="QS22" s="115">
        <v>41103</v>
      </c>
      <c r="QT22" s="58">
        <v>197903.55</v>
      </c>
      <c r="QU22" s="115">
        <v>41106</v>
      </c>
      <c r="QV22" t="s">
        <v>1765</v>
      </c>
      <c r="RM22" s="115">
        <v>37417</v>
      </c>
      <c r="RN22">
        <v>3.5000000000000003E-2</v>
      </c>
      <c r="RO22">
        <v>0</v>
      </c>
      <c r="RP22">
        <v>0</v>
      </c>
      <c r="RQ22" s="115">
        <v>37420</v>
      </c>
      <c r="RR22" s="58">
        <v>1149.4000000000001</v>
      </c>
      <c r="RS22" s="115">
        <v>37421</v>
      </c>
      <c r="RT22" t="s">
        <v>1765</v>
      </c>
      <c r="SW22" s="115">
        <v>37417</v>
      </c>
      <c r="SX22">
        <v>3.5000000000000003E-2</v>
      </c>
      <c r="SY22">
        <v>0</v>
      </c>
      <c r="SZ22">
        <v>0</v>
      </c>
      <c r="TA22" s="115">
        <v>37420</v>
      </c>
      <c r="TB22" s="58">
        <v>1149.4000000000001</v>
      </c>
      <c r="TC22" s="115">
        <v>37421</v>
      </c>
      <c r="TD22" t="s">
        <v>1765</v>
      </c>
      <c r="VQ22" s="115">
        <v>35997</v>
      </c>
      <c r="VR22">
        <v>3.6999999999999998E-2</v>
      </c>
      <c r="VS22">
        <v>0</v>
      </c>
      <c r="VT22">
        <v>0</v>
      </c>
      <c r="VU22" s="115">
        <v>36000</v>
      </c>
      <c r="VV22">
        <v>942.48</v>
      </c>
      <c r="VW22" s="115">
        <v>36003</v>
      </c>
      <c r="VX22" t="s">
        <v>1765</v>
      </c>
      <c r="ACO22" s="115">
        <v>37806</v>
      </c>
      <c r="ACP22">
        <v>0.3</v>
      </c>
      <c r="ACQ22">
        <v>0</v>
      </c>
      <c r="ACR22">
        <v>0</v>
      </c>
      <c r="ACS22" s="115">
        <v>37811</v>
      </c>
      <c r="ACT22" s="58">
        <v>23929.45</v>
      </c>
      <c r="ACU22" s="115">
        <v>37812</v>
      </c>
      <c r="ACV22" t="s">
        <v>1765</v>
      </c>
      <c r="AFI22" s="115">
        <v>37804</v>
      </c>
      <c r="AFJ22">
        <v>0.25</v>
      </c>
      <c r="AFK22">
        <v>0</v>
      </c>
      <c r="AFL22">
        <v>0</v>
      </c>
      <c r="AFM22" s="115">
        <v>37811</v>
      </c>
      <c r="AFN22" s="58">
        <v>6811.86</v>
      </c>
      <c r="AFO22" s="115">
        <v>37812</v>
      </c>
      <c r="AFP22" t="s">
        <v>1765</v>
      </c>
      <c r="AFU22" s="115">
        <v>37355</v>
      </c>
      <c r="AFV22">
        <v>0.2</v>
      </c>
      <c r="AFW22">
        <v>0.1</v>
      </c>
      <c r="AFX22">
        <v>0.5</v>
      </c>
      <c r="AFY22" s="115">
        <v>37358</v>
      </c>
      <c r="AFZ22" s="58">
        <v>4800</v>
      </c>
      <c r="AGA22" s="115">
        <v>37361</v>
      </c>
      <c r="AGB22" t="s">
        <v>1765</v>
      </c>
      <c r="AGS22" s="115">
        <v>38024</v>
      </c>
      <c r="AGT22">
        <v>2.5000000000000001E-2</v>
      </c>
      <c r="AGU22">
        <v>0</v>
      </c>
      <c r="AGV22">
        <v>0.3</v>
      </c>
      <c r="AGW22" s="115">
        <v>38063</v>
      </c>
      <c r="AGX22" s="58">
        <v>1267.5</v>
      </c>
      <c r="AGY22" s="115">
        <v>38064</v>
      </c>
      <c r="AGZ22" t="s">
        <v>1765</v>
      </c>
      <c r="AHQ22" s="115">
        <v>38064</v>
      </c>
      <c r="AHR22">
        <v>0.5</v>
      </c>
      <c r="AHS22">
        <v>0</v>
      </c>
      <c r="AHT22">
        <v>0</v>
      </c>
      <c r="AHU22" s="115">
        <v>38117</v>
      </c>
      <c r="AHV22" s="58">
        <v>12000</v>
      </c>
      <c r="AHW22" s="115">
        <v>38118</v>
      </c>
      <c r="AHX22" t="s">
        <v>1765</v>
      </c>
      <c r="AIC22" s="115">
        <v>38206</v>
      </c>
      <c r="AID22">
        <v>0.2</v>
      </c>
      <c r="AIE22">
        <v>0</v>
      </c>
      <c r="AIF22">
        <v>0.3</v>
      </c>
      <c r="AIG22" s="115">
        <v>38280</v>
      </c>
      <c r="AIH22" s="58">
        <v>7268.56</v>
      </c>
      <c r="AII22" s="115">
        <v>38281</v>
      </c>
      <c r="AIJ22" t="s">
        <v>1765</v>
      </c>
      <c r="AIO22" s="115">
        <v>37810</v>
      </c>
      <c r="AIP22">
        <v>0.2</v>
      </c>
      <c r="AIQ22">
        <v>0.1</v>
      </c>
      <c r="AIR22">
        <v>0</v>
      </c>
      <c r="AIS22" s="115">
        <v>37813</v>
      </c>
      <c r="AIT22" s="58">
        <v>5500</v>
      </c>
      <c r="AIU22" s="115">
        <v>37816</v>
      </c>
      <c r="AIV22" t="s">
        <v>1765</v>
      </c>
      <c r="AJA22" s="115">
        <v>36910</v>
      </c>
      <c r="AJB22">
        <v>0</v>
      </c>
      <c r="AJC22">
        <v>0</v>
      </c>
      <c r="AJD22">
        <v>0</v>
      </c>
      <c r="AJE22" s="115">
        <v>36938</v>
      </c>
      <c r="AJF22">
        <v>0</v>
      </c>
      <c r="AJG22" s="115">
        <v>36941</v>
      </c>
      <c r="AJH22" t="s">
        <v>1765</v>
      </c>
      <c r="AOC22" s="115">
        <v>40984</v>
      </c>
      <c r="AOD22">
        <v>0.25</v>
      </c>
      <c r="AOE22">
        <v>0</v>
      </c>
      <c r="AOF22">
        <v>0</v>
      </c>
      <c r="AOG22" s="115">
        <v>41103</v>
      </c>
      <c r="AOH22" s="58">
        <v>197903.55</v>
      </c>
      <c r="AOI22" s="115">
        <v>41106</v>
      </c>
      <c r="AOJ22" t="s">
        <v>1765</v>
      </c>
      <c r="APM22" s="115">
        <v>37155</v>
      </c>
      <c r="APN22">
        <v>0</v>
      </c>
      <c r="APO22">
        <v>0</v>
      </c>
      <c r="APP22">
        <v>0.7</v>
      </c>
      <c r="APQ22" s="115">
        <v>37161</v>
      </c>
      <c r="APR22">
        <v>0</v>
      </c>
      <c r="APS22" s="115">
        <v>37162</v>
      </c>
      <c r="APT22" t="s">
        <v>1765</v>
      </c>
      <c r="ARU22" s="115">
        <v>37413</v>
      </c>
      <c r="ARV22">
        <v>0.3</v>
      </c>
      <c r="ARW22">
        <v>0</v>
      </c>
      <c r="ARX22">
        <v>0</v>
      </c>
      <c r="ARY22" s="115">
        <v>37419</v>
      </c>
      <c r="ARZ22" s="58">
        <v>16108.2</v>
      </c>
      <c r="ASA22" s="115">
        <v>37420</v>
      </c>
      <c r="ASB22" t="s">
        <v>1765</v>
      </c>
      <c r="ASG22" s="115">
        <v>37447</v>
      </c>
      <c r="ASH22">
        <v>0.2</v>
      </c>
      <c r="ASI22">
        <v>0</v>
      </c>
      <c r="ASJ22">
        <v>0</v>
      </c>
      <c r="ASK22" s="115">
        <v>37453</v>
      </c>
      <c r="ASL22" s="58">
        <v>12619.49</v>
      </c>
      <c r="ASM22" s="115">
        <v>37454</v>
      </c>
      <c r="ASN22" t="s">
        <v>1765</v>
      </c>
      <c r="ATQ22" s="115">
        <v>36691</v>
      </c>
      <c r="ATR22">
        <v>0</v>
      </c>
      <c r="ATS22">
        <v>0.15</v>
      </c>
      <c r="ATT22">
        <v>0.45</v>
      </c>
      <c r="ATU22" s="115">
        <v>36696</v>
      </c>
      <c r="ATV22">
        <v>0</v>
      </c>
      <c r="ATW22" s="115">
        <v>36697</v>
      </c>
      <c r="ATX22" t="s">
        <v>1765</v>
      </c>
      <c r="AUC22" s="115">
        <v>37826</v>
      </c>
      <c r="AUD22">
        <v>0.2</v>
      </c>
      <c r="AUE22">
        <v>0</v>
      </c>
      <c r="AUF22">
        <v>0</v>
      </c>
      <c r="AUG22" s="115">
        <v>37833</v>
      </c>
      <c r="AUH22" s="58">
        <v>8727.32</v>
      </c>
      <c r="AUI22" s="115">
        <v>37834</v>
      </c>
      <c r="AUJ22" t="s">
        <v>1765</v>
      </c>
      <c r="AVA22" s="115">
        <v>37420</v>
      </c>
      <c r="AVB22">
        <v>0.125</v>
      </c>
      <c r="AVC22">
        <v>0</v>
      </c>
      <c r="AVD22">
        <v>0</v>
      </c>
      <c r="AVE22" s="115">
        <v>37425</v>
      </c>
      <c r="AVF22" s="58">
        <v>156400</v>
      </c>
      <c r="AVG22" s="115">
        <v>37426</v>
      </c>
      <c r="AVH22" t="s">
        <v>1765</v>
      </c>
    </row>
    <row r="23" spans="1:1268" x14ac:dyDescent="0.25">
      <c r="Y23" s="115">
        <v>37116</v>
      </c>
      <c r="Z23">
        <v>0.18</v>
      </c>
      <c r="AA23">
        <v>0</v>
      </c>
      <c r="AB23">
        <v>0</v>
      </c>
      <c r="AC23" s="115">
        <v>37123</v>
      </c>
      <c r="AD23" s="58">
        <v>11357.54</v>
      </c>
      <c r="AE23" s="115">
        <v>37124</v>
      </c>
      <c r="AF23" t="s">
        <v>1765</v>
      </c>
      <c r="AK23" s="115">
        <v>37116</v>
      </c>
      <c r="AL23">
        <v>0.18</v>
      </c>
      <c r="AM23">
        <v>0</v>
      </c>
      <c r="AN23">
        <v>0</v>
      </c>
      <c r="AO23" s="115">
        <v>37123</v>
      </c>
      <c r="AP23" s="58">
        <v>11357.54</v>
      </c>
      <c r="AQ23" s="115">
        <v>37124</v>
      </c>
      <c r="AR23" t="s">
        <v>1765</v>
      </c>
      <c r="BI23" s="115">
        <v>40414</v>
      </c>
      <c r="BJ23">
        <v>0</v>
      </c>
      <c r="BK23">
        <v>0</v>
      </c>
      <c r="BL23">
        <v>1</v>
      </c>
      <c r="BM23" s="115">
        <v>40515</v>
      </c>
      <c r="BN23">
        <v>0</v>
      </c>
      <c r="BO23" s="115">
        <v>40518</v>
      </c>
      <c r="BP23" t="s">
        <v>1765</v>
      </c>
      <c r="FM23" s="115">
        <v>36998</v>
      </c>
      <c r="FN23">
        <v>0.2</v>
      </c>
      <c r="FO23">
        <v>0</v>
      </c>
      <c r="FP23">
        <v>0</v>
      </c>
      <c r="FQ23" s="115">
        <v>37004</v>
      </c>
      <c r="FR23" s="58">
        <v>11361.9</v>
      </c>
      <c r="FS23" s="115">
        <v>37005</v>
      </c>
      <c r="FT23" t="s">
        <v>1765</v>
      </c>
      <c r="GK23" s="115">
        <v>37040</v>
      </c>
      <c r="GL23">
        <v>0.4</v>
      </c>
      <c r="GM23">
        <v>0</v>
      </c>
      <c r="GN23">
        <v>0.5</v>
      </c>
      <c r="GO23" s="115">
        <v>37046</v>
      </c>
      <c r="GP23" s="58">
        <v>14318.4</v>
      </c>
      <c r="GQ23" s="115">
        <v>37047</v>
      </c>
      <c r="GR23" t="s">
        <v>1765</v>
      </c>
      <c r="GW23" s="115">
        <v>37116</v>
      </c>
      <c r="GX23">
        <v>0.18</v>
      </c>
      <c r="GY23">
        <v>0</v>
      </c>
      <c r="GZ23">
        <v>0</v>
      </c>
      <c r="HA23" s="115">
        <v>37123</v>
      </c>
      <c r="HB23" s="58">
        <v>11357.54</v>
      </c>
      <c r="HC23" s="115">
        <v>37124</v>
      </c>
      <c r="HD23" t="s">
        <v>1765</v>
      </c>
      <c r="KC23" s="115">
        <v>37047</v>
      </c>
      <c r="KD23">
        <v>0.05</v>
      </c>
      <c r="KE23">
        <v>0</v>
      </c>
      <c r="KF23">
        <v>0</v>
      </c>
      <c r="KG23" s="115">
        <v>37053</v>
      </c>
      <c r="KH23" s="58">
        <v>62560</v>
      </c>
      <c r="KI23" s="115">
        <v>37054</v>
      </c>
      <c r="KJ23" t="s">
        <v>1765</v>
      </c>
      <c r="NU23" s="115">
        <v>37040</v>
      </c>
      <c r="NV23">
        <v>0.4</v>
      </c>
      <c r="NW23">
        <v>0</v>
      </c>
      <c r="NX23">
        <v>0.5</v>
      </c>
      <c r="NY23" s="115">
        <v>37046</v>
      </c>
      <c r="NZ23" s="58">
        <v>14318.4</v>
      </c>
      <c r="OA23" s="115">
        <v>37047</v>
      </c>
      <c r="OB23" t="s">
        <v>1765</v>
      </c>
      <c r="OG23" s="115">
        <v>37116</v>
      </c>
      <c r="OH23">
        <v>0.18</v>
      </c>
      <c r="OI23">
        <v>0</v>
      </c>
      <c r="OJ23">
        <v>0</v>
      </c>
      <c r="OK23" s="115">
        <v>37123</v>
      </c>
      <c r="OL23" s="58">
        <v>11357.54</v>
      </c>
      <c r="OM23" s="115">
        <v>37124</v>
      </c>
      <c r="ON23" t="s">
        <v>1765</v>
      </c>
      <c r="QC23" s="115">
        <v>37454</v>
      </c>
      <c r="QD23">
        <v>0.2</v>
      </c>
      <c r="QE23">
        <v>0</v>
      </c>
      <c r="QF23">
        <v>0</v>
      </c>
      <c r="QG23" s="115">
        <v>37461</v>
      </c>
      <c r="QH23" s="58">
        <v>8727.32</v>
      </c>
      <c r="QI23" s="115">
        <v>37462</v>
      </c>
      <c r="QJ23" t="s">
        <v>1765</v>
      </c>
      <c r="QO23" s="115">
        <v>40773</v>
      </c>
      <c r="QP23">
        <v>0.15</v>
      </c>
      <c r="QQ23">
        <v>0</v>
      </c>
      <c r="QR23">
        <v>0</v>
      </c>
      <c r="QS23" s="115">
        <v>40787</v>
      </c>
      <c r="QT23" s="58">
        <v>118742.13</v>
      </c>
      <c r="QU23" s="115">
        <v>40788</v>
      </c>
      <c r="QV23" t="s">
        <v>1765</v>
      </c>
      <c r="RM23" s="115">
        <v>37048</v>
      </c>
      <c r="RN23">
        <v>0.04</v>
      </c>
      <c r="RO23">
        <v>0</v>
      </c>
      <c r="RP23">
        <v>0</v>
      </c>
      <c r="RQ23" s="115">
        <v>37053</v>
      </c>
      <c r="RR23" s="58">
        <v>1313.6</v>
      </c>
      <c r="RS23" s="115">
        <v>37054</v>
      </c>
      <c r="RT23" t="s">
        <v>1765</v>
      </c>
      <c r="SW23" s="115">
        <v>37048</v>
      </c>
      <c r="SX23">
        <v>0.04</v>
      </c>
      <c r="SY23">
        <v>0</v>
      </c>
      <c r="SZ23">
        <v>0</v>
      </c>
      <c r="TA23" s="115">
        <v>37053</v>
      </c>
      <c r="TB23" s="58">
        <v>1313.6</v>
      </c>
      <c r="TC23" s="115">
        <v>37054</v>
      </c>
      <c r="TD23" t="s">
        <v>1765</v>
      </c>
      <c r="VQ23" s="115">
        <v>35402</v>
      </c>
      <c r="VR23">
        <v>0</v>
      </c>
      <c r="VS23">
        <v>0</v>
      </c>
      <c r="VT23">
        <v>0.3</v>
      </c>
      <c r="VU23" s="115">
        <v>35405</v>
      </c>
      <c r="VV23">
        <v>0</v>
      </c>
      <c r="VW23" s="115">
        <v>35408</v>
      </c>
      <c r="VX23" t="s">
        <v>1765</v>
      </c>
      <c r="ACO23" s="115">
        <v>37421</v>
      </c>
      <c r="ACP23">
        <v>0.3</v>
      </c>
      <c r="ACQ23">
        <v>0</v>
      </c>
      <c r="ACR23">
        <v>0</v>
      </c>
      <c r="ACS23" s="115">
        <v>37426</v>
      </c>
      <c r="ACT23" s="58">
        <v>23929.45</v>
      </c>
      <c r="ACU23" s="115">
        <v>37427</v>
      </c>
      <c r="ACV23" t="s">
        <v>1765</v>
      </c>
      <c r="AFI23" s="115">
        <v>37403</v>
      </c>
      <c r="AFJ23">
        <v>0.2</v>
      </c>
      <c r="AFK23">
        <v>0</v>
      </c>
      <c r="AFL23">
        <v>0</v>
      </c>
      <c r="AFM23" s="115">
        <v>37406</v>
      </c>
      <c r="AFN23" s="58">
        <v>5449.49</v>
      </c>
      <c r="AFO23" s="115">
        <v>37407</v>
      </c>
      <c r="AFP23" t="s">
        <v>1765</v>
      </c>
      <c r="AFU23" s="115">
        <v>36993</v>
      </c>
      <c r="AFV23">
        <v>0.1</v>
      </c>
      <c r="AFW23">
        <v>0.2</v>
      </c>
      <c r="AFX23">
        <v>0.8</v>
      </c>
      <c r="AFY23" s="115">
        <v>36999</v>
      </c>
      <c r="AFZ23" s="58">
        <v>1200</v>
      </c>
      <c r="AGA23" s="115">
        <v>37000</v>
      </c>
      <c r="AGB23" t="s">
        <v>1765</v>
      </c>
      <c r="AGS23" s="115">
        <v>37559</v>
      </c>
      <c r="AGT23">
        <v>7.4999999999999997E-2</v>
      </c>
      <c r="AGU23">
        <v>0.3</v>
      </c>
      <c r="AGV23">
        <v>0</v>
      </c>
      <c r="AGW23" s="115">
        <v>37566</v>
      </c>
      <c r="AGX23" s="58">
        <v>2250</v>
      </c>
      <c r="AGY23" s="115">
        <v>37567</v>
      </c>
      <c r="AGZ23" t="s">
        <v>1765</v>
      </c>
      <c r="AIC23" s="115">
        <v>37842</v>
      </c>
      <c r="AID23">
        <v>0</v>
      </c>
      <c r="AIE23">
        <v>0</v>
      </c>
      <c r="AIF23">
        <v>0</v>
      </c>
      <c r="AIG23" s="115">
        <v>38135</v>
      </c>
      <c r="AIH23">
        <v>0</v>
      </c>
      <c r="AII23" s="115">
        <v>38138</v>
      </c>
      <c r="AIJ23" t="s">
        <v>1765</v>
      </c>
      <c r="AIO23" s="115">
        <v>37455</v>
      </c>
      <c r="AIP23">
        <v>0.6</v>
      </c>
      <c r="AIQ23">
        <v>0</v>
      </c>
      <c r="AIR23">
        <v>0.1</v>
      </c>
      <c r="AIS23" s="115">
        <v>37461</v>
      </c>
      <c r="AIT23" s="58">
        <v>15000</v>
      </c>
      <c r="AIU23" s="115">
        <v>37462</v>
      </c>
      <c r="AIV23" t="s">
        <v>1765</v>
      </c>
      <c r="AJA23" s="115">
        <v>36425</v>
      </c>
      <c r="AJB23">
        <v>0</v>
      </c>
      <c r="AJC23">
        <v>0</v>
      </c>
      <c r="AJD23">
        <v>0.5</v>
      </c>
      <c r="AJE23" s="115">
        <v>36430</v>
      </c>
      <c r="AJF23">
        <v>0</v>
      </c>
      <c r="AJG23" s="115">
        <v>36431</v>
      </c>
      <c r="AJH23" t="s">
        <v>1765</v>
      </c>
      <c r="AOC23" s="115">
        <v>40773</v>
      </c>
      <c r="AOD23">
        <v>0.15</v>
      </c>
      <c r="AOE23">
        <v>0</v>
      </c>
      <c r="AOF23">
        <v>0</v>
      </c>
      <c r="AOG23" s="115">
        <v>40787</v>
      </c>
      <c r="AOH23" s="58">
        <v>118742.13</v>
      </c>
      <c r="AOI23" s="115">
        <v>40788</v>
      </c>
      <c r="AOJ23" t="s">
        <v>1765</v>
      </c>
      <c r="APM23" s="115">
        <v>37047</v>
      </c>
      <c r="APN23">
        <v>0.2</v>
      </c>
      <c r="APO23">
        <v>0</v>
      </c>
      <c r="APP23">
        <v>0</v>
      </c>
      <c r="APQ23" s="115">
        <v>37054</v>
      </c>
      <c r="APR23" s="58">
        <v>1934.02</v>
      </c>
      <c r="APS23" s="115">
        <v>37055</v>
      </c>
      <c r="APT23" t="s">
        <v>1765</v>
      </c>
      <c r="ARU23" s="115">
        <v>37040</v>
      </c>
      <c r="ARV23">
        <v>0.4</v>
      </c>
      <c r="ARW23">
        <v>0</v>
      </c>
      <c r="ARX23">
        <v>0.5</v>
      </c>
      <c r="ARY23" s="115">
        <v>37046</v>
      </c>
      <c r="ARZ23" s="58">
        <v>14318.4</v>
      </c>
      <c r="ASA23" s="115">
        <v>37047</v>
      </c>
      <c r="ASB23" t="s">
        <v>1765</v>
      </c>
      <c r="ASG23" s="115">
        <v>37116</v>
      </c>
      <c r="ASH23">
        <v>0.18</v>
      </c>
      <c r="ASI23">
        <v>0</v>
      </c>
      <c r="ASJ23">
        <v>0</v>
      </c>
      <c r="ASK23" s="115">
        <v>37123</v>
      </c>
      <c r="ASL23" s="58">
        <v>11357.54</v>
      </c>
      <c r="ASM23" s="115">
        <v>37124</v>
      </c>
      <c r="ASN23" t="s">
        <v>1765</v>
      </c>
      <c r="ATQ23" s="115">
        <v>36306</v>
      </c>
      <c r="ATR23">
        <v>0</v>
      </c>
      <c r="ATS23">
        <v>0.2</v>
      </c>
      <c r="ATT23">
        <v>0.3</v>
      </c>
      <c r="ATU23" s="115">
        <v>36311</v>
      </c>
      <c r="ATV23">
        <v>0</v>
      </c>
      <c r="ATW23" s="115">
        <v>36312</v>
      </c>
      <c r="ATX23" t="s">
        <v>1765</v>
      </c>
      <c r="AUC23" s="115">
        <v>37454</v>
      </c>
      <c r="AUD23">
        <v>0.2</v>
      </c>
      <c r="AUE23">
        <v>0</v>
      </c>
      <c r="AUF23">
        <v>0</v>
      </c>
      <c r="AUG23" s="115">
        <v>37461</v>
      </c>
      <c r="AUH23" s="58">
        <v>8727.32</v>
      </c>
      <c r="AUI23" s="115">
        <v>37462</v>
      </c>
      <c r="AUJ23" t="s">
        <v>1765</v>
      </c>
      <c r="AVA23" s="115">
        <v>37047</v>
      </c>
      <c r="AVB23">
        <v>0.05</v>
      </c>
      <c r="AVC23">
        <v>0</v>
      </c>
      <c r="AVD23">
        <v>0</v>
      </c>
      <c r="AVE23" s="115">
        <v>37053</v>
      </c>
      <c r="AVF23" s="58">
        <v>62560</v>
      </c>
      <c r="AVG23" s="115">
        <v>37054</v>
      </c>
      <c r="AVH23" t="s">
        <v>1765</v>
      </c>
    </row>
    <row r="24" spans="1:1268" x14ac:dyDescent="0.25">
      <c r="Y24" s="115">
        <v>36748</v>
      </c>
      <c r="Z24">
        <v>0.15</v>
      </c>
      <c r="AA24">
        <v>0</v>
      </c>
      <c r="AB24">
        <v>0</v>
      </c>
      <c r="AC24" s="115">
        <v>36754</v>
      </c>
      <c r="AD24" s="58">
        <v>9464.6200000000008</v>
      </c>
      <c r="AE24" s="115">
        <v>36755</v>
      </c>
      <c r="AF24" t="s">
        <v>1765</v>
      </c>
      <c r="AK24" s="115">
        <v>36748</v>
      </c>
      <c r="AL24">
        <v>0.15</v>
      </c>
      <c r="AM24">
        <v>0</v>
      </c>
      <c r="AN24">
        <v>0</v>
      </c>
      <c r="AO24" s="115">
        <v>36754</v>
      </c>
      <c r="AP24" s="58">
        <v>9464.6200000000008</v>
      </c>
      <c r="AQ24" s="115">
        <v>36755</v>
      </c>
      <c r="AR24" t="s">
        <v>1765</v>
      </c>
      <c r="BI24" s="115">
        <v>40295</v>
      </c>
      <c r="BJ24">
        <v>0.48</v>
      </c>
      <c r="BK24">
        <v>0</v>
      </c>
      <c r="BL24">
        <v>0</v>
      </c>
      <c r="BM24" s="115">
        <v>40395</v>
      </c>
      <c r="BN24" s="58">
        <v>39986.19</v>
      </c>
      <c r="BO24" s="115">
        <v>40396</v>
      </c>
      <c r="BP24" t="s">
        <v>1765</v>
      </c>
      <c r="FM24" s="115">
        <v>36783</v>
      </c>
      <c r="FN24">
        <v>0</v>
      </c>
      <c r="FO24">
        <v>0</v>
      </c>
      <c r="FP24">
        <v>1</v>
      </c>
      <c r="FQ24" s="115">
        <v>36789</v>
      </c>
      <c r="FR24">
        <v>0</v>
      </c>
      <c r="FS24" s="115">
        <v>36790</v>
      </c>
      <c r="FT24" t="s">
        <v>1765</v>
      </c>
      <c r="GK24" s="115">
        <v>36727</v>
      </c>
      <c r="GL24">
        <v>0</v>
      </c>
      <c r="GM24">
        <v>0</v>
      </c>
      <c r="GN24">
        <v>0</v>
      </c>
      <c r="GO24" s="115">
        <v>36741</v>
      </c>
      <c r="GP24">
        <v>0</v>
      </c>
      <c r="GQ24" s="115">
        <v>36742</v>
      </c>
      <c r="GR24" t="s">
        <v>1765</v>
      </c>
      <c r="GW24" s="115">
        <v>36748</v>
      </c>
      <c r="GX24">
        <v>0.15</v>
      </c>
      <c r="GY24">
        <v>0</v>
      </c>
      <c r="GZ24">
        <v>0</v>
      </c>
      <c r="HA24" s="115">
        <v>36754</v>
      </c>
      <c r="HB24" s="58">
        <v>9464.6200000000008</v>
      </c>
      <c r="HC24" s="115">
        <v>36755</v>
      </c>
      <c r="HD24" t="s">
        <v>1765</v>
      </c>
      <c r="NU24" s="115">
        <v>36727</v>
      </c>
      <c r="NV24">
        <v>0</v>
      </c>
      <c r="NW24">
        <v>0</v>
      </c>
      <c r="NX24">
        <v>0</v>
      </c>
      <c r="NY24" s="115">
        <v>36741</v>
      </c>
      <c r="NZ24">
        <v>0</v>
      </c>
      <c r="OA24" s="115">
        <v>36742</v>
      </c>
      <c r="OB24" t="s">
        <v>1765</v>
      </c>
      <c r="OG24" s="115">
        <v>36748</v>
      </c>
      <c r="OH24">
        <v>0.15</v>
      </c>
      <c r="OI24">
        <v>0</v>
      </c>
      <c r="OJ24">
        <v>0</v>
      </c>
      <c r="OK24" s="115">
        <v>36754</v>
      </c>
      <c r="OL24" s="58">
        <v>9464.6200000000008</v>
      </c>
      <c r="OM24" s="115">
        <v>36755</v>
      </c>
      <c r="ON24" t="s">
        <v>1765</v>
      </c>
      <c r="QC24" s="115">
        <v>37055</v>
      </c>
      <c r="QD24">
        <v>0.2</v>
      </c>
      <c r="QE24">
        <v>0</v>
      </c>
      <c r="QF24">
        <v>0</v>
      </c>
      <c r="QG24" s="115">
        <v>37061</v>
      </c>
      <c r="QH24" s="58">
        <v>8727.32</v>
      </c>
      <c r="QI24" s="115">
        <v>37062</v>
      </c>
      <c r="QJ24" t="s">
        <v>1765</v>
      </c>
      <c r="QO24" s="115">
        <v>40632</v>
      </c>
      <c r="QP24">
        <v>0.4</v>
      </c>
      <c r="QQ24">
        <v>0</v>
      </c>
      <c r="QR24">
        <v>0</v>
      </c>
      <c r="QS24" s="115">
        <v>40744</v>
      </c>
      <c r="QT24" s="58">
        <v>316645.68</v>
      </c>
      <c r="QU24" s="115">
        <v>40745</v>
      </c>
      <c r="QV24" t="s">
        <v>1765</v>
      </c>
      <c r="RM24" s="115">
        <v>36028</v>
      </c>
      <c r="RN24">
        <v>0.03</v>
      </c>
      <c r="RO24">
        <v>0</v>
      </c>
      <c r="RP24">
        <v>0</v>
      </c>
      <c r="RQ24" s="115">
        <v>36031</v>
      </c>
      <c r="RR24">
        <v>754.2</v>
      </c>
      <c r="RS24" s="115">
        <v>36032</v>
      </c>
      <c r="RT24" t="s">
        <v>1765</v>
      </c>
      <c r="SW24" s="115">
        <v>36028</v>
      </c>
      <c r="SX24">
        <v>0.03</v>
      </c>
      <c r="SY24">
        <v>0</v>
      </c>
      <c r="SZ24">
        <v>0</v>
      </c>
      <c r="TA24" s="115">
        <v>36031</v>
      </c>
      <c r="TB24">
        <v>754.2</v>
      </c>
      <c r="TC24" s="115">
        <v>36032</v>
      </c>
      <c r="TD24" t="s">
        <v>1765</v>
      </c>
      <c r="VQ24" s="115">
        <v>35225</v>
      </c>
      <c r="VR24">
        <v>0.27</v>
      </c>
      <c r="VS24">
        <v>0</v>
      </c>
      <c r="VT24">
        <v>0</v>
      </c>
      <c r="VU24" s="115">
        <v>35230</v>
      </c>
      <c r="VV24" s="58">
        <v>5290.45</v>
      </c>
      <c r="VW24" s="115">
        <v>35233</v>
      </c>
      <c r="VX24" t="s">
        <v>1765</v>
      </c>
      <c r="ACO24" s="115">
        <v>37056</v>
      </c>
      <c r="ACP24">
        <v>0.2</v>
      </c>
      <c r="ACQ24">
        <v>0.2</v>
      </c>
      <c r="ACR24">
        <v>0</v>
      </c>
      <c r="ACS24" s="115">
        <v>37062</v>
      </c>
      <c r="ACT24" s="58">
        <v>15952.97</v>
      </c>
      <c r="ACU24" s="115">
        <v>37063</v>
      </c>
      <c r="ACV24" t="s">
        <v>1765</v>
      </c>
      <c r="AFI24" s="115">
        <v>37007</v>
      </c>
      <c r="AFJ24">
        <v>0.2</v>
      </c>
      <c r="AFK24">
        <v>0</v>
      </c>
      <c r="AFL24">
        <v>0.3</v>
      </c>
      <c r="AFM24" s="115">
        <v>37021</v>
      </c>
      <c r="AFN24" s="58">
        <v>4191.91</v>
      </c>
      <c r="AFO24" s="115">
        <v>37022</v>
      </c>
      <c r="AFP24" t="s">
        <v>1765</v>
      </c>
      <c r="AGS24" s="115">
        <v>37391</v>
      </c>
      <c r="AGT24">
        <v>0.1</v>
      </c>
      <c r="AGU24">
        <v>0</v>
      </c>
      <c r="AGV24">
        <v>0</v>
      </c>
      <c r="AGW24" s="115">
        <v>37396</v>
      </c>
      <c r="AGX24" s="58">
        <v>3000</v>
      </c>
      <c r="AGY24" s="115">
        <v>37397</v>
      </c>
      <c r="AGZ24" t="s">
        <v>1765</v>
      </c>
      <c r="AIC24" s="115">
        <v>37798</v>
      </c>
      <c r="AID24">
        <v>0.2</v>
      </c>
      <c r="AIE24">
        <v>0</v>
      </c>
      <c r="AIF24">
        <v>0</v>
      </c>
      <c r="AIG24" s="115">
        <v>37805</v>
      </c>
      <c r="AIH24" s="58">
        <v>6550.74</v>
      </c>
      <c r="AII24" s="115">
        <v>37806</v>
      </c>
      <c r="AIJ24" t="s">
        <v>1765</v>
      </c>
      <c r="AJA24" s="115">
        <v>36309</v>
      </c>
      <c r="AJB24">
        <v>1.25</v>
      </c>
      <c r="AJC24">
        <v>0</v>
      </c>
      <c r="AJD24">
        <v>0</v>
      </c>
      <c r="AJE24" s="115">
        <v>36318</v>
      </c>
      <c r="AJF24" s="58">
        <v>40000</v>
      </c>
      <c r="AJG24" s="115">
        <v>36319</v>
      </c>
      <c r="AJH24" t="s">
        <v>1765</v>
      </c>
      <c r="AOC24" s="115">
        <v>40632</v>
      </c>
      <c r="AOD24">
        <v>0.4</v>
      </c>
      <c r="AOE24">
        <v>0</v>
      </c>
      <c r="AOF24">
        <v>0</v>
      </c>
      <c r="AOG24" s="115">
        <v>40744</v>
      </c>
      <c r="AOH24" s="58">
        <v>316645.68</v>
      </c>
      <c r="AOI24" s="115">
        <v>40745</v>
      </c>
      <c r="AOJ24" t="s">
        <v>1765</v>
      </c>
      <c r="ARU24" s="115">
        <v>36727</v>
      </c>
      <c r="ARV24">
        <v>0</v>
      </c>
      <c r="ARW24">
        <v>0</v>
      </c>
      <c r="ARX24">
        <v>0</v>
      </c>
      <c r="ARY24" s="115">
        <v>36741</v>
      </c>
      <c r="ARZ24">
        <v>0</v>
      </c>
      <c r="ASA24" s="115">
        <v>36742</v>
      </c>
      <c r="ASB24" t="s">
        <v>1765</v>
      </c>
      <c r="ASG24" s="115">
        <v>36748</v>
      </c>
      <c r="ASH24">
        <v>0.15</v>
      </c>
      <c r="ASI24">
        <v>0</v>
      </c>
      <c r="ASJ24">
        <v>0</v>
      </c>
      <c r="ASK24" s="115">
        <v>36754</v>
      </c>
      <c r="ASL24" s="58">
        <v>9464.6200000000008</v>
      </c>
      <c r="ASM24" s="115">
        <v>36755</v>
      </c>
      <c r="ASN24" t="s">
        <v>1765</v>
      </c>
      <c r="ATQ24" s="115">
        <v>35957</v>
      </c>
      <c r="ATR24">
        <v>0.19</v>
      </c>
      <c r="ATS24">
        <v>0</v>
      </c>
      <c r="ATT24">
        <v>0</v>
      </c>
      <c r="ATU24" s="115">
        <v>35962</v>
      </c>
      <c r="ATV24" s="58">
        <v>1934.13</v>
      </c>
      <c r="ATW24" s="115">
        <v>35963</v>
      </c>
      <c r="ATX24" t="s">
        <v>1765</v>
      </c>
      <c r="AUC24" s="115">
        <v>37055</v>
      </c>
      <c r="AUD24">
        <v>0.2</v>
      </c>
      <c r="AUE24">
        <v>0</v>
      </c>
      <c r="AUF24">
        <v>0</v>
      </c>
      <c r="AUG24" s="115">
        <v>37061</v>
      </c>
      <c r="AUH24" s="58">
        <v>8727.32</v>
      </c>
      <c r="AUI24" s="115">
        <v>37062</v>
      </c>
      <c r="AUJ24" t="s">
        <v>1765</v>
      </c>
    </row>
    <row r="25" spans="1:1268" x14ac:dyDescent="0.25">
      <c r="Y25" s="115">
        <v>36516</v>
      </c>
      <c r="Z25">
        <v>0</v>
      </c>
      <c r="AA25">
        <v>0</v>
      </c>
      <c r="AB25">
        <v>0</v>
      </c>
      <c r="AC25" s="115">
        <v>36532</v>
      </c>
      <c r="AD25">
        <v>0</v>
      </c>
      <c r="AE25" s="115">
        <v>36535</v>
      </c>
      <c r="AF25" t="s">
        <v>1765</v>
      </c>
      <c r="AK25" s="115">
        <v>36516</v>
      </c>
      <c r="AL25">
        <v>0</v>
      </c>
      <c r="AM25">
        <v>0</v>
      </c>
      <c r="AN25">
        <v>0</v>
      </c>
      <c r="AO25" s="115">
        <v>36532</v>
      </c>
      <c r="AP25">
        <v>0</v>
      </c>
      <c r="AQ25" s="115">
        <v>36535</v>
      </c>
      <c r="AR25" t="s">
        <v>1765</v>
      </c>
      <c r="BI25" s="115">
        <v>39931</v>
      </c>
      <c r="BJ25">
        <v>0.13</v>
      </c>
      <c r="BK25">
        <v>0</v>
      </c>
      <c r="BL25">
        <v>0</v>
      </c>
      <c r="BM25" s="115">
        <v>40031</v>
      </c>
      <c r="BN25" s="58">
        <v>10829.59</v>
      </c>
      <c r="BO25" s="115">
        <v>40032</v>
      </c>
      <c r="BP25" t="s">
        <v>1765</v>
      </c>
      <c r="FM25" s="115">
        <v>36677</v>
      </c>
      <c r="FN25">
        <v>0</v>
      </c>
      <c r="FO25">
        <v>0</v>
      </c>
      <c r="FP25">
        <v>0</v>
      </c>
      <c r="FQ25" s="115">
        <v>36692</v>
      </c>
      <c r="FR25">
        <v>0</v>
      </c>
      <c r="FS25" s="115">
        <v>36693</v>
      </c>
      <c r="FT25" t="s">
        <v>1765</v>
      </c>
      <c r="GK25" s="115">
        <v>36685</v>
      </c>
      <c r="GL25">
        <v>0.4</v>
      </c>
      <c r="GM25">
        <v>0</v>
      </c>
      <c r="GN25">
        <v>0</v>
      </c>
      <c r="GO25" s="115">
        <v>36689</v>
      </c>
      <c r="GP25" s="58">
        <v>13008</v>
      </c>
      <c r="GQ25" s="115">
        <v>36690</v>
      </c>
      <c r="GR25" t="s">
        <v>1765</v>
      </c>
      <c r="GW25" s="115">
        <v>36516</v>
      </c>
      <c r="GX25">
        <v>0</v>
      </c>
      <c r="GY25">
        <v>0</v>
      </c>
      <c r="GZ25">
        <v>0</v>
      </c>
      <c r="HA25" s="115">
        <v>36532</v>
      </c>
      <c r="HB25">
        <v>0</v>
      </c>
      <c r="HC25" s="115">
        <v>36535</v>
      </c>
      <c r="HD25" t="s">
        <v>1765</v>
      </c>
      <c r="NU25" s="115">
        <v>36685</v>
      </c>
      <c r="NV25">
        <v>0.4</v>
      </c>
      <c r="NW25">
        <v>0</v>
      </c>
      <c r="NX25">
        <v>0</v>
      </c>
      <c r="NY25" s="115">
        <v>36689</v>
      </c>
      <c r="NZ25" s="58">
        <v>13008</v>
      </c>
      <c r="OA25" s="115">
        <v>36690</v>
      </c>
      <c r="OB25" t="s">
        <v>1765</v>
      </c>
      <c r="OG25" s="115">
        <v>36516</v>
      </c>
      <c r="OH25">
        <v>0</v>
      </c>
      <c r="OI25">
        <v>0</v>
      </c>
      <c r="OJ25">
        <v>0</v>
      </c>
      <c r="OK25" s="115">
        <v>36532</v>
      </c>
      <c r="OL25">
        <v>0</v>
      </c>
      <c r="OM25" s="115">
        <v>36535</v>
      </c>
      <c r="ON25" t="s">
        <v>1765</v>
      </c>
      <c r="QC25" s="115">
        <v>36811</v>
      </c>
      <c r="QD25">
        <v>0</v>
      </c>
      <c r="QE25">
        <v>0</v>
      </c>
      <c r="QF25">
        <v>0</v>
      </c>
      <c r="QG25" s="115">
        <v>36825</v>
      </c>
      <c r="QH25">
        <v>0</v>
      </c>
      <c r="QI25" s="115">
        <v>36826</v>
      </c>
      <c r="QJ25" t="s">
        <v>1765</v>
      </c>
      <c r="QO25" s="115">
        <v>40415</v>
      </c>
      <c r="QP25">
        <v>0.15</v>
      </c>
      <c r="QQ25">
        <v>0</v>
      </c>
      <c r="QR25">
        <v>0</v>
      </c>
      <c r="QS25" s="115">
        <v>40429</v>
      </c>
      <c r="QT25" s="58">
        <v>114662.13</v>
      </c>
      <c r="QU25" s="115">
        <v>40430</v>
      </c>
      <c r="QV25" t="s">
        <v>1765</v>
      </c>
      <c r="RM25" s="115">
        <v>35264</v>
      </c>
      <c r="RN25">
        <v>0.13</v>
      </c>
      <c r="RO25">
        <v>0</v>
      </c>
      <c r="RP25">
        <v>0</v>
      </c>
      <c r="RQ25" s="115">
        <v>35275</v>
      </c>
      <c r="RR25" s="58">
        <v>3268.2</v>
      </c>
      <c r="RS25" s="115">
        <v>35276</v>
      </c>
      <c r="RT25" t="s">
        <v>1765</v>
      </c>
      <c r="SW25" s="115">
        <v>35264</v>
      </c>
      <c r="SX25">
        <v>0.13</v>
      </c>
      <c r="SY25">
        <v>0</v>
      </c>
      <c r="SZ25">
        <v>0</v>
      </c>
      <c r="TA25" s="115">
        <v>35275</v>
      </c>
      <c r="TB25" s="58">
        <v>3268.2</v>
      </c>
      <c r="TC25" s="115">
        <v>35276</v>
      </c>
      <c r="TD25" t="s">
        <v>1765</v>
      </c>
      <c r="VQ25" s="115">
        <v>34948</v>
      </c>
      <c r="VR25">
        <v>0</v>
      </c>
      <c r="VS25">
        <v>0</v>
      </c>
      <c r="VT25">
        <v>0</v>
      </c>
      <c r="VU25" s="115">
        <v>34950</v>
      </c>
      <c r="VV25">
        <v>0</v>
      </c>
      <c r="VW25" s="115">
        <v>34953</v>
      </c>
      <c r="VX25" t="s">
        <v>1765</v>
      </c>
      <c r="ACO25" s="115">
        <v>36692</v>
      </c>
      <c r="ACP25">
        <v>0.2</v>
      </c>
      <c r="ACQ25">
        <v>0.2</v>
      </c>
      <c r="ACR25">
        <v>0</v>
      </c>
      <c r="ACS25" s="115">
        <v>36696</v>
      </c>
      <c r="ACT25" s="58">
        <v>9411.7800000000007</v>
      </c>
      <c r="ACU25" s="115">
        <v>36697</v>
      </c>
      <c r="ACV25" t="s">
        <v>1765</v>
      </c>
      <c r="AFI25" s="115">
        <v>36722</v>
      </c>
      <c r="AFJ25">
        <v>0</v>
      </c>
      <c r="AFK25">
        <v>0</v>
      </c>
      <c r="AFL25">
        <v>0</v>
      </c>
      <c r="AFM25" s="115">
        <v>36735</v>
      </c>
      <c r="AFN25">
        <v>0</v>
      </c>
      <c r="AFO25" s="115">
        <v>36738</v>
      </c>
      <c r="AFP25" t="s">
        <v>1765</v>
      </c>
      <c r="AGS25" s="115">
        <v>37153</v>
      </c>
      <c r="AGT25">
        <v>0.05</v>
      </c>
      <c r="AGU25">
        <v>0.2</v>
      </c>
      <c r="AGV25">
        <v>0.8</v>
      </c>
      <c r="AGW25" s="115">
        <v>37159</v>
      </c>
      <c r="AGX25" s="58">
        <v>1500</v>
      </c>
      <c r="AGY25" s="115">
        <v>37160</v>
      </c>
      <c r="AGZ25" t="s">
        <v>1765</v>
      </c>
      <c r="AIC25" s="115">
        <v>37425</v>
      </c>
      <c r="AID25">
        <v>0.05</v>
      </c>
      <c r="AIE25">
        <v>0</v>
      </c>
      <c r="AIF25">
        <v>0</v>
      </c>
      <c r="AIG25" s="115">
        <v>37431</v>
      </c>
      <c r="AIH25" s="58">
        <v>1637.68</v>
      </c>
      <c r="AII25" s="115">
        <v>37432</v>
      </c>
      <c r="AIJ25" t="s">
        <v>1765</v>
      </c>
      <c r="AOC25" s="115">
        <v>40415</v>
      </c>
      <c r="AOD25">
        <v>0.15</v>
      </c>
      <c r="AOE25">
        <v>0</v>
      </c>
      <c r="AOF25">
        <v>0</v>
      </c>
      <c r="AOG25" s="115">
        <v>40429</v>
      </c>
      <c r="AOH25" s="58">
        <v>114662.13</v>
      </c>
      <c r="AOI25" s="115">
        <v>40430</v>
      </c>
      <c r="AOJ25" t="s">
        <v>1765</v>
      </c>
      <c r="ARU25" s="115">
        <v>36685</v>
      </c>
      <c r="ARV25">
        <v>0.4</v>
      </c>
      <c r="ARW25">
        <v>0</v>
      </c>
      <c r="ARX25">
        <v>0</v>
      </c>
      <c r="ARY25" s="115">
        <v>36689</v>
      </c>
      <c r="ARZ25" s="58">
        <v>13008</v>
      </c>
      <c r="ASA25" s="115">
        <v>36690</v>
      </c>
      <c r="ASB25" t="s">
        <v>1765</v>
      </c>
      <c r="ASG25" s="115">
        <v>36516</v>
      </c>
      <c r="ASH25">
        <v>0</v>
      </c>
      <c r="ASI25">
        <v>0</v>
      </c>
      <c r="ASJ25">
        <v>0</v>
      </c>
      <c r="ASK25" s="115">
        <v>36532</v>
      </c>
      <c r="ASL25">
        <v>0</v>
      </c>
      <c r="ASM25" s="115">
        <v>36535</v>
      </c>
      <c r="ASN25" t="s">
        <v>1765</v>
      </c>
      <c r="ATQ25" s="115">
        <v>35657</v>
      </c>
      <c r="ATR25">
        <v>0</v>
      </c>
      <c r="ATS25">
        <v>0</v>
      </c>
      <c r="ATT25">
        <v>0</v>
      </c>
      <c r="ATU25" s="115">
        <v>35671</v>
      </c>
      <c r="ATV25">
        <v>0</v>
      </c>
      <c r="ATW25" s="115">
        <v>35674</v>
      </c>
      <c r="ATX25" t="s">
        <v>1765</v>
      </c>
      <c r="AUC25" s="115">
        <v>36811</v>
      </c>
      <c r="AUD25">
        <v>0</v>
      </c>
      <c r="AUE25">
        <v>0</v>
      </c>
      <c r="AUF25">
        <v>0</v>
      </c>
      <c r="AUG25" s="115">
        <v>36825</v>
      </c>
      <c r="AUH25">
        <v>0</v>
      </c>
      <c r="AUI25" s="115">
        <v>36826</v>
      </c>
      <c r="AUJ25" t="s">
        <v>1765</v>
      </c>
    </row>
    <row r="26" spans="1:1268" x14ac:dyDescent="0.25">
      <c r="Y26" s="115">
        <v>36369</v>
      </c>
      <c r="Z26">
        <v>0.1</v>
      </c>
      <c r="AA26">
        <v>0.1</v>
      </c>
      <c r="AB26">
        <v>0</v>
      </c>
      <c r="AC26" s="115">
        <v>36377</v>
      </c>
      <c r="AD26" s="58">
        <v>4959.43</v>
      </c>
      <c r="AE26" s="115">
        <v>36378</v>
      </c>
      <c r="AF26" t="s">
        <v>1765</v>
      </c>
      <c r="AK26" s="115">
        <v>36369</v>
      </c>
      <c r="AL26">
        <v>0.1</v>
      </c>
      <c r="AM26">
        <v>0.1</v>
      </c>
      <c r="AN26">
        <v>0</v>
      </c>
      <c r="AO26" s="115">
        <v>36377</v>
      </c>
      <c r="AP26" s="58">
        <v>4959.43</v>
      </c>
      <c r="AQ26" s="115">
        <v>36378</v>
      </c>
      <c r="AR26" t="s">
        <v>1765</v>
      </c>
      <c r="BI26" s="115">
        <v>39681</v>
      </c>
      <c r="BJ26">
        <v>0</v>
      </c>
      <c r="BK26">
        <v>0</v>
      </c>
      <c r="BL26">
        <v>0.6</v>
      </c>
      <c r="BM26" s="115">
        <v>39797</v>
      </c>
      <c r="BN26">
        <v>0</v>
      </c>
      <c r="BO26" s="115">
        <v>39798</v>
      </c>
      <c r="BP26" t="s">
        <v>1765</v>
      </c>
      <c r="FM26" s="115">
        <v>36627</v>
      </c>
      <c r="FN26">
        <v>0.3</v>
      </c>
      <c r="FO26">
        <v>0</v>
      </c>
      <c r="FP26">
        <v>0</v>
      </c>
      <c r="FQ26" s="115">
        <v>36634</v>
      </c>
      <c r="FR26" s="58">
        <v>7742.28</v>
      </c>
      <c r="FS26" s="115">
        <v>36635</v>
      </c>
      <c r="FT26" t="s">
        <v>1765</v>
      </c>
      <c r="GK26" s="115">
        <v>36326</v>
      </c>
      <c r="GL26">
        <v>0.4</v>
      </c>
      <c r="GM26">
        <v>0</v>
      </c>
      <c r="GN26">
        <v>0</v>
      </c>
      <c r="GO26" s="115">
        <v>36329</v>
      </c>
      <c r="GP26" s="58">
        <v>13008</v>
      </c>
      <c r="GQ26" s="115">
        <v>36332</v>
      </c>
      <c r="GR26" t="s">
        <v>1765</v>
      </c>
      <c r="GW26" s="115">
        <v>36369</v>
      </c>
      <c r="GX26">
        <v>0.1</v>
      </c>
      <c r="GY26">
        <v>0.1</v>
      </c>
      <c r="GZ26">
        <v>0</v>
      </c>
      <c r="HA26" s="115">
        <v>36377</v>
      </c>
      <c r="HB26" s="58">
        <v>4959.43</v>
      </c>
      <c r="HC26" s="115">
        <v>36378</v>
      </c>
      <c r="HD26" t="s">
        <v>1765</v>
      </c>
      <c r="NU26" s="115">
        <v>36326</v>
      </c>
      <c r="NV26">
        <v>0.4</v>
      </c>
      <c r="NW26">
        <v>0</v>
      </c>
      <c r="NX26">
        <v>0</v>
      </c>
      <c r="NY26" s="115">
        <v>36329</v>
      </c>
      <c r="NZ26" s="58">
        <v>13008</v>
      </c>
      <c r="OA26" s="115">
        <v>36332</v>
      </c>
      <c r="OB26" t="s">
        <v>1765</v>
      </c>
      <c r="OG26" s="115">
        <v>36369</v>
      </c>
      <c r="OH26">
        <v>0.1</v>
      </c>
      <c r="OI26">
        <v>0.1</v>
      </c>
      <c r="OJ26">
        <v>0</v>
      </c>
      <c r="OK26" s="115">
        <v>36377</v>
      </c>
      <c r="OL26" s="58">
        <v>4959.43</v>
      </c>
      <c r="OM26" s="115">
        <v>36378</v>
      </c>
      <c r="ON26" t="s">
        <v>1765</v>
      </c>
      <c r="QC26" s="115">
        <v>36403</v>
      </c>
      <c r="QD26">
        <v>0</v>
      </c>
      <c r="QE26">
        <v>0.3</v>
      </c>
      <c r="QF26">
        <v>0</v>
      </c>
      <c r="QG26" s="115">
        <v>36410</v>
      </c>
      <c r="QH26">
        <v>0</v>
      </c>
      <c r="QI26" s="115">
        <v>36411</v>
      </c>
      <c r="QJ26" t="s">
        <v>1765</v>
      </c>
      <c r="QO26" s="115">
        <v>40285</v>
      </c>
      <c r="QP26">
        <v>0.3</v>
      </c>
      <c r="QQ26">
        <v>0</v>
      </c>
      <c r="QR26">
        <v>0</v>
      </c>
      <c r="QS26" s="115">
        <v>40371</v>
      </c>
      <c r="QT26" s="58">
        <v>229324.26</v>
      </c>
      <c r="QU26" s="115">
        <v>40372</v>
      </c>
      <c r="QV26" t="s">
        <v>1765</v>
      </c>
      <c r="RM26" s="115">
        <v>34668</v>
      </c>
      <c r="RN26">
        <v>0.22</v>
      </c>
      <c r="RO26">
        <v>0</v>
      </c>
      <c r="RP26">
        <v>0</v>
      </c>
      <c r="RQ26" s="115">
        <v>34670</v>
      </c>
      <c r="RR26" s="58">
        <v>3616.8</v>
      </c>
      <c r="RS26" s="115">
        <v>34673</v>
      </c>
      <c r="RT26" t="s">
        <v>1765</v>
      </c>
      <c r="SW26" s="115">
        <v>34668</v>
      </c>
      <c r="SX26">
        <v>0.22</v>
      </c>
      <c r="SY26">
        <v>0</v>
      </c>
      <c r="SZ26">
        <v>0</v>
      </c>
      <c r="TA26" s="115">
        <v>34670</v>
      </c>
      <c r="TB26" s="58">
        <v>3616.8</v>
      </c>
      <c r="TC26" s="115">
        <v>34673</v>
      </c>
      <c r="TD26" t="s">
        <v>1765</v>
      </c>
      <c r="VQ26" s="115">
        <v>34831</v>
      </c>
      <c r="VR26">
        <v>0</v>
      </c>
      <c r="VS26">
        <v>0.3</v>
      </c>
      <c r="VT26">
        <v>0</v>
      </c>
      <c r="VU26" s="115">
        <v>34838</v>
      </c>
      <c r="VV26">
        <v>0</v>
      </c>
      <c r="VW26" s="115">
        <v>34841</v>
      </c>
      <c r="VX26" t="s">
        <v>1765</v>
      </c>
      <c r="ACO26" s="115">
        <v>36369</v>
      </c>
      <c r="ACP26">
        <v>0</v>
      </c>
      <c r="ACQ26">
        <v>0</v>
      </c>
      <c r="ACR26">
        <v>0</v>
      </c>
      <c r="ACS26" s="115">
        <v>36383</v>
      </c>
      <c r="ACT26">
        <v>0</v>
      </c>
      <c r="ACU26" s="115">
        <v>36384</v>
      </c>
      <c r="ACV26" t="s">
        <v>1765</v>
      </c>
      <c r="AFI26" s="115">
        <v>36623</v>
      </c>
      <c r="AFJ26">
        <v>0.2</v>
      </c>
      <c r="AFK26">
        <v>0</v>
      </c>
      <c r="AFL26">
        <v>0.2</v>
      </c>
      <c r="AFM26" s="115">
        <v>36628</v>
      </c>
      <c r="AFN26" s="58">
        <v>2794.61</v>
      </c>
      <c r="AFO26" s="115">
        <v>36629</v>
      </c>
      <c r="AFP26" t="s">
        <v>1765</v>
      </c>
      <c r="AGS26" s="115">
        <v>37043</v>
      </c>
      <c r="AGT26">
        <v>0.1</v>
      </c>
      <c r="AGU26">
        <v>0</v>
      </c>
      <c r="AGV26">
        <v>0</v>
      </c>
      <c r="AGW26" s="115">
        <v>37049</v>
      </c>
      <c r="AGX26" s="58">
        <v>1500</v>
      </c>
      <c r="AGY26" s="115">
        <v>37050</v>
      </c>
      <c r="AGZ26" t="s">
        <v>1765</v>
      </c>
      <c r="AIC26" s="115">
        <v>35692</v>
      </c>
      <c r="AID26">
        <v>0.1</v>
      </c>
      <c r="AIE26">
        <v>0.05</v>
      </c>
      <c r="AIF26">
        <v>0</v>
      </c>
      <c r="AIG26" s="115">
        <v>35702</v>
      </c>
      <c r="AIH26" s="58">
        <v>3119.4</v>
      </c>
      <c r="AII26" s="115">
        <v>35703</v>
      </c>
      <c r="AIJ26" t="s">
        <v>1765</v>
      </c>
      <c r="AOC26" s="115">
        <v>40285</v>
      </c>
      <c r="AOD26">
        <v>0.3</v>
      </c>
      <c r="AOE26">
        <v>0</v>
      </c>
      <c r="AOF26">
        <v>0</v>
      </c>
      <c r="AOG26" s="115">
        <v>40371</v>
      </c>
      <c r="AOH26" s="58">
        <v>229324.26</v>
      </c>
      <c r="AOI26" s="115">
        <v>40372</v>
      </c>
      <c r="AOJ26" t="s">
        <v>1765</v>
      </c>
      <c r="ARU26" s="115">
        <v>36326</v>
      </c>
      <c r="ARV26">
        <v>0.4</v>
      </c>
      <c r="ARW26">
        <v>0</v>
      </c>
      <c r="ARX26">
        <v>0</v>
      </c>
      <c r="ARY26" s="115">
        <v>36329</v>
      </c>
      <c r="ARZ26" s="58">
        <v>13008</v>
      </c>
      <c r="ASA26" s="115">
        <v>36332</v>
      </c>
      <c r="ASB26" t="s">
        <v>1765</v>
      </c>
      <c r="ASG26" s="115">
        <v>36369</v>
      </c>
      <c r="ASH26">
        <v>0.1</v>
      </c>
      <c r="ASI26">
        <v>0.1</v>
      </c>
      <c r="ASJ26">
        <v>0</v>
      </c>
      <c r="ASK26" s="115">
        <v>36377</v>
      </c>
      <c r="ASL26" s="58">
        <v>4959.43</v>
      </c>
      <c r="ASM26" s="115">
        <v>36378</v>
      </c>
      <c r="ASN26" t="s">
        <v>1765</v>
      </c>
      <c r="ATQ26" s="115">
        <v>35592</v>
      </c>
      <c r="ATR26">
        <v>0.21</v>
      </c>
      <c r="ATS26">
        <v>0.2</v>
      </c>
      <c r="ATT26">
        <v>0</v>
      </c>
      <c r="ATU26" s="115">
        <v>35597</v>
      </c>
      <c r="ATV26" s="58">
        <v>1526.95</v>
      </c>
      <c r="ATW26" s="115">
        <v>35598</v>
      </c>
      <c r="ATX26" t="s">
        <v>1765</v>
      </c>
      <c r="AUC26" s="115">
        <v>36403</v>
      </c>
      <c r="AUD26">
        <v>0</v>
      </c>
      <c r="AUE26">
        <v>0.3</v>
      </c>
      <c r="AUF26">
        <v>0</v>
      </c>
      <c r="AUG26" s="115">
        <v>36410</v>
      </c>
      <c r="AUH26">
        <v>0</v>
      </c>
      <c r="AUI26" s="115">
        <v>36411</v>
      </c>
      <c r="AUJ26" t="s">
        <v>1765</v>
      </c>
    </row>
    <row r="27" spans="1:1268" x14ac:dyDescent="0.25">
      <c r="Y27" s="115">
        <v>35980</v>
      </c>
      <c r="Z27">
        <v>0.15</v>
      </c>
      <c r="AA27">
        <v>0.1</v>
      </c>
      <c r="AB27">
        <v>0</v>
      </c>
      <c r="AC27" s="115">
        <v>35985</v>
      </c>
      <c r="AD27" s="58">
        <v>6762.86</v>
      </c>
      <c r="AE27" s="115">
        <v>35986</v>
      </c>
      <c r="AF27" t="s">
        <v>1765</v>
      </c>
      <c r="AK27" s="115">
        <v>35980</v>
      </c>
      <c r="AL27">
        <v>0.15</v>
      </c>
      <c r="AM27">
        <v>0.1</v>
      </c>
      <c r="AN27">
        <v>0</v>
      </c>
      <c r="AO27" s="115">
        <v>35985</v>
      </c>
      <c r="AP27" s="58">
        <v>6762.86</v>
      </c>
      <c r="AQ27" s="115">
        <v>35986</v>
      </c>
      <c r="AR27" t="s">
        <v>1765</v>
      </c>
      <c r="BI27" s="115">
        <v>39568</v>
      </c>
      <c r="BJ27">
        <v>0.44</v>
      </c>
      <c r="BK27">
        <v>0</v>
      </c>
      <c r="BL27">
        <v>0</v>
      </c>
      <c r="BM27" s="115">
        <v>39674</v>
      </c>
      <c r="BN27" s="58">
        <v>22908.76</v>
      </c>
      <c r="BO27" s="115">
        <v>39675</v>
      </c>
      <c r="BP27" t="s">
        <v>1765</v>
      </c>
      <c r="FM27" s="115">
        <v>36286</v>
      </c>
      <c r="FN27">
        <v>0.25</v>
      </c>
      <c r="FO27">
        <v>0</v>
      </c>
      <c r="FP27">
        <v>0.3</v>
      </c>
      <c r="FQ27" s="115">
        <v>36290</v>
      </c>
      <c r="FR27" s="58">
        <v>4963</v>
      </c>
      <c r="FS27" s="115">
        <v>36291</v>
      </c>
      <c r="FT27" t="s">
        <v>1765</v>
      </c>
      <c r="GK27" s="115">
        <v>36036</v>
      </c>
      <c r="GL27">
        <v>0</v>
      </c>
      <c r="GM27">
        <v>1</v>
      </c>
      <c r="GN27">
        <v>0</v>
      </c>
      <c r="GO27" s="115">
        <v>36048</v>
      </c>
      <c r="GP27">
        <v>0</v>
      </c>
      <c r="GQ27" s="115">
        <v>36049</v>
      </c>
      <c r="GR27" t="s">
        <v>1765</v>
      </c>
      <c r="GW27" s="115">
        <v>35980</v>
      </c>
      <c r="GX27">
        <v>0.15</v>
      </c>
      <c r="GY27">
        <v>0.1</v>
      </c>
      <c r="GZ27">
        <v>0</v>
      </c>
      <c r="HA27" s="115">
        <v>35985</v>
      </c>
      <c r="HB27" s="58">
        <v>6762.86</v>
      </c>
      <c r="HC27" s="115">
        <v>35986</v>
      </c>
      <c r="HD27" t="s">
        <v>1765</v>
      </c>
      <c r="NU27" s="115">
        <v>36036</v>
      </c>
      <c r="NV27">
        <v>0</v>
      </c>
      <c r="NW27">
        <v>1</v>
      </c>
      <c r="NX27">
        <v>0</v>
      </c>
      <c r="NY27" s="115">
        <v>36048</v>
      </c>
      <c r="NZ27">
        <v>0</v>
      </c>
      <c r="OA27" s="115">
        <v>36049</v>
      </c>
      <c r="OB27" t="s">
        <v>1765</v>
      </c>
      <c r="OG27" s="115">
        <v>35980</v>
      </c>
      <c r="OH27">
        <v>0.15</v>
      </c>
      <c r="OI27">
        <v>0.1</v>
      </c>
      <c r="OJ27">
        <v>0</v>
      </c>
      <c r="OK27" s="115">
        <v>35985</v>
      </c>
      <c r="OL27" s="58">
        <v>6762.86</v>
      </c>
      <c r="OM27" s="115">
        <v>35986</v>
      </c>
      <c r="ON27" t="s">
        <v>1765</v>
      </c>
      <c r="QC27" s="115">
        <v>36347</v>
      </c>
      <c r="QD27">
        <v>0.1</v>
      </c>
      <c r="QE27">
        <v>0</v>
      </c>
      <c r="QF27">
        <v>0</v>
      </c>
      <c r="QG27" s="115">
        <v>36353</v>
      </c>
      <c r="QH27" s="58">
        <v>3034.36</v>
      </c>
      <c r="QI27" s="115">
        <v>36354</v>
      </c>
      <c r="QJ27" t="s">
        <v>1765</v>
      </c>
      <c r="QO27" s="115">
        <v>40040</v>
      </c>
      <c r="QP27">
        <v>0.15</v>
      </c>
      <c r="QQ27">
        <v>0</v>
      </c>
      <c r="QR27">
        <v>0</v>
      </c>
      <c r="QS27" s="115">
        <v>40056</v>
      </c>
      <c r="QT27" s="58">
        <v>110175.8</v>
      </c>
      <c r="QU27" s="115">
        <v>40057</v>
      </c>
      <c r="QV27" t="s">
        <v>1765</v>
      </c>
      <c r="RM27" s="115">
        <v>34439</v>
      </c>
      <c r="RN27">
        <v>0</v>
      </c>
      <c r="RO27">
        <v>0.2</v>
      </c>
      <c r="RP27">
        <v>0</v>
      </c>
      <c r="RQ27" s="115">
        <v>34439</v>
      </c>
      <c r="RR27">
        <v>0</v>
      </c>
      <c r="RS27" s="115">
        <v>34442</v>
      </c>
      <c r="RT27" t="s">
        <v>1765</v>
      </c>
      <c r="SW27" s="115">
        <v>34439</v>
      </c>
      <c r="SX27">
        <v>0</v>
      </c>
      <c r="SY27">
        <v>0.2</v>
      </c>
      <c r="SZ27">
        <v>0</v>
      </c>
      <c r="TA27" s="115">
        <v>34439</v>
      </c>
      <c r="TB27">
        <v>0</v>
      </c>
      <c r="TC27" s="115">
        <v>34442</v>
      </c>
      <c r="TD27" t="s">
        <v>1765</v>
      </c>
      <c r="VQ27" s="115">
        <v>34446</v>
      </c>
      <c r="VR27">
        <v>0</v>
      </c>
      <c r="VS27">
        <v>0.5</v>
      </c>
      <c r="VT27">
        <v>0</v>
      </c>
      <c r="VU27" s="115">
        <v>34446</v>
      </c>
      <c r="VV27">
        <v>0</v>
      </c>
      <c r="VW27" s="115">
        <v>34449</v>
      </c>
      <c r="VX27" t="s">
        <v>1765</v>
      </c>
      <c r="ACO27" s="115">
        <v>35949</v>
      </c>
      <c r="ACP27">
        <v>0.47</v>
      </c>
      <c r="ACQ27">
        <v>0</v>
      </c>
      <c r="ACR27">
        <v>0</v>
      </c>
      <c r="ACS27" s="115">
        <v>35951</v>
      </c>
      <c r="ACT27" s="58">
        <v>19822.16</v>
      </c>
      <c r="ACU27" s="115">
        <v>35954</v>
      </c>
      <c r="ACV27" t="s">
        <v>1765</v>
      </c>
      <c r="AFI27" s="115">
        <v>35795</v>
      </c>
      <c r="AFJ27">
        <v>0</v>
      </c>
      <c r="AFK27">
        <v>0</v>
      </c>
      <c r="AFL27">
        <v>0</v>
      </c>
      <c r="AFM27" s="115">
        <v>35816</v>
      </c>
      <c r="AFN27">
        <v>0</v>
      </c>
      <c r="AFO27" s="115">
        <v>35817</v>
      </c>
      <c r="AFP27" t="s">
        <v>1765</v>
      </c>
      <c r="AIC27" s="115">
        <v>34915</v>
      </c>
      <c r="AID27">
        <v>0</v>
      </c>
      <c r="AIE27">
        <v>0.1</v>
      </c>
      <c r="AIF27">
        <v>0</v>
      </c>
      <c r="AIG27" s="115">
        <v>34925</v>
      </c>
      <c r="AIH27">
        <v>0</v>
      </c>
      <c r="AII27" s="115">
        <v>34926</v>
      </c>
      <c r="AIJ27" t="s">
        <v>1765</v>
      </c>
      <c r="AOC27" s="115">
        <v>40040</v>
      </c>
      <c r="AOD27">
        <v>0.15</v>
      </c>
      <c r="AOE27">
        <v>0</v>
      </c>
      <c r="AOF27">
        <v>0</v>
      </c>
      <c r="AOG27" s="115">
        <v>40056</v>
      </c>
      <c r="AOH27" s="58">
        <v>110175.8</v>
      </c>
      <c r="AOI27" s="115">
        <v>40057</v>
      </c>
      <c r="AOJ27" t="s">
        <v>1765</v>
      </c>
      <c r="ARU27" s="115">
        <v>36036</v>
      </c>
      <c r="ARV27">
        <v>0</v>
      </c>
      <c r="ARW27">
        <v>1</v>
      </c>
      <c r="ARX27">
        <v>0</v>
      </c>
      <c r="ARY27" s="115">
        <v>36048</v>
      </c>
      <c r="ARZ27">
        <v>0</v>
      </c>
      <c r="ASA27" s="115">
        <v>36049</v>
      </c>
      <c r="ASB27" t="s">
        <v>1765</v>
      </c>
      <c r="ASG27" s="115">
        <v>35980</v>
      </c>
      <c r="ASH27">
        <v>0.15</v>
      </c>
      <c r="ASI27">
        <v>0.1</v>
      </c>
      <c r="ASJ27">
        <v>0</v>
      </c>
      <c r="ASK27" s="115">
        <v>35985</v>
      </c>
      <c r="ASL27" s="58">
        <v>6762.86</v>
      </c>
      <c r="ASM27" s="115">
        <v>35986</v>
      </c>
      <c r="ASN27" t="s">
        <v>1765</v>
      </c>
      <c r="ATQ27" s="115">
        <v>35215</v>
      </c>
      <c r="ATR27">
        <v>0.15</v>
      </c>
      <c r="ATS27">
        <v>0.05</v>
      </c>
      <c r="ATT27">
        <v>0</v>
      </c>
      <c r="ATU27" s="115">
        <v>35275</v>
      </c>
      <c r="ATV27" s="58">
        <v>1038.74</v>
      </c>
      <c r="ATW27" s="115">
        <v>35276</v>
      </c>
      <c r="ATX27" t="s">
        <v>1765</v>
      </c>
      <c r="AUC27" s="115">
        <v>36347</v>
      </c>
      <c r="AUD27">
        <v>0.1</v>
      </c>
      <c r="AUE27">
        <v>0</v>
      </c>
      <c r="AUF27">
        <v>0</v>
      </c>
      <c r="AUG27" s="115">
        <v>36353</v>
      </c>
      <c r="AUH27" s="58">
        <v>3034.36</v>
      </c>
      <c r="AUI27" s="115">
        <v>36354</v>
      </c>
      <c r="AUJ27" t="s">
        <v>1765</v>
      </c>
    </row>
    <row r="28" spans="1:1268" x14ac:dyDescent="0.25">
      <c r="Y28" s="115">
        <v>35607</v>
      </c>
      <c r="Z28">
        <v>0</v>
      </c>
      <c r="AA28">
        <v>0</v>
      </c>
      <c r="AB28">
        <v>0</v>
      </c>
      <c r="AC28" s="115">
        <v>35622</v>
      </c>
      <c r="AD28">
        <v>0</v>
      </c>
      <c r="AE28" s="115">
        <v>35625</v>
      </c>
      <c r="AF28" t="s">
        <v>1765</v>
      </c>
      <c r="AK28" s="115">
        <v>35607</v>
      </c>
      <c r="AL28">
        <v>0</v>
      </c>
      <c r="AM28">
        <v>0</v>
      </c>
      <c r="AN28">
        <v>0</v>
      </c>
      <c r="AO28" s="115">
        <v>35622</v>
      </c>
      <c r="AP28">
        <v>0</v>
      </c>
      <c r="AQ28" s="115">
        <v>35625</v>
      </c>
      <c r="AR28" t="s">
        <v>1765</v>
      </c>
      <c r="BI28" s="115">
        <v>39198</v>
      </c>
      <c r="BJ28">
        <v>0.13</v>
      </c>
      <c r="BK28">
        <v>0</v>
      </c>
      <c r="BL28">
        <v>0</v>
      </c>
      <c r="BM28" s="115">
        <v>39323</v>
      </c>
      <c r="BN28" s="58">
        <v>6768.5</v>
      </c>
      <c r="BO28" s="115">
        <v>39324</v>
      </c>
      <c r="BP28" t="s">
        <v>1765</v>
      </c>
      <c r="GK28" s="115">
        <v>35889</v>
      </c>
      <c r="GL28">
        <v>0</v>
      </c>
      <c r="GM28">
        <v>0</v>
      </c>
      <c r="GN28">
        <v>0</v>
      </c>
      <c r="GO28" s="115">
        <v>35905</v>
      </c>
      <c r="GP28">
        <v>0</v>
      </c>
      <c r="GQ28" s="115">
        <v>35906</v>
      </c>
      <c r="GR28" t="s">
        <v>1765</v>
      </c>
      <c r="GW28" s="115">
        <v>35607</v>
      </c>
      <c r="GX28">
        <v>0</v>
      </c>
      <c r="GY28">
        <v>0</v>
      </c>
      <c r="GZ28">
        <v>0</v>
      </c>
      <c r="HA28" s="115">
        <v>35622</v>
      </c>
      <c r="HB28">
        <v>0</v>
      </c>
      <c r="HC28" s="115">
        <v>35625</v>
      </c>
      <c r="HD28" t="s">
        <v>1765</v>
      </c>
      <c r="NU28" s="115">
        <v>35889</v>
      </c>
      <c r="NV28">
        <v>0</v>
      </c>
      <c r="NW28">
        <v>0</v>
      </c>
      <c r="NX28">
        <v>0</v>
      </c>
      <c r="NY28" s="115">
        <v>35905</v>
      </c>
      <c r="NZ28">
        <v>0</v>
      </c>
      <c r="OA28" s="115">
        <v>35906</v>
      </c>
      <c r="OB28" t="s">
        <v>1765</v>
      </c>
      <c r="OG28" s="115">
        <v>35607</v>
      </c>
      <c r="OH28">
        <v>0</v>
      </c>
      <c r="OI28">
        <v>0</v>
      </c>
      <c r="OJ28">
        <v>0</v>
      </c>
      <c r="OK28" s="115">
        <v>35622</v>
      </c>
      <c r="OL28">
        <v>0</v>
      </c>
      <c r="OM28" s="115">
        <v>35625</v>
      </c>
      <c r="ON28" t="s">
        <v>1765</v>
      </c>
      <c r="QO28" s="115">
        <v>39676</v>
      </c>
      <c r="QP28">
        <v>0.2</v>
      </c>
      <c r="QQ28">
        <v>0</v>
      </c>
      <c r="QR28">
        <v>0</v>
      </c>
      <c r="QS28" s="115">
        <v>39717</v>
      </c>
      <c r="QT28" s="58">
        <v>146901.07</v>
      </c>
      <c r="QU28" s="115">
        <v>39727</v>
      </c>
      <c r="QV28" t="s">
        <v>1765</v>
      </c>
      <c r="VQ28" s="115">
        <v>34232</v>
      </c>
      <c r="VR28">
        <v>0</v>
      </c>
      <c r="VS28">
        <v>0</v>
      </c>
      <c r="VT28">
        <v>0</v>
      </c>
      <c r="VU28" s="115">
        <v>34265</v>
      </c>
      <c r="VV28">
        <v>0</v>
      </c>
      <c r="VW28" s="115">
        <v>34267</v>
      </c>
      <c r="VX28" t="s">
        <v>1765</v>
      </c>
      <c r="ACO28" s="115">
        <v>35709</v>
      </c>
      <c r="ACP28">
        <v>0</v>
      </c>
      <c r="ACQ28">
        <v>0</v>
      </c>
      <c r="ACR28">
        <v>0</v>
      </c>
      <c r="ACS28" s="115">
        <v>35723</v>
      </c>
      <c r="ACT28">
        <v>0</v>
      </c>
      <c r="ACU28" s="115">
        <v>35724</v>
      </c>
      <c r="ACV28" t="s">
        <v>1765</v>
      </c>
      <c r="AFI28" s="115">
        <v>35737</v>
      </c>
      <c r="AFJ28">
        <v>0</v>
      </c>
      <c r="AFK28">
        <v>0.2462</v>
      </c>
      <c r="AFL28">
        <v>0.2462</v>
      </c>
      <c r="AFM28" s="115">
        <v>35740</v>
      </c>
      <c r="AFN28">
        <v>0</v>
      </c>
      <c r="AFO28" s="115">
        <v>35741</v>
      </c>
      <c r="AFP28" t="s">
        <v>1765</v>
      </c>
      <c r="AIC28" s="115">
        <v>34603</v>
      </c>
      <c r="AID28">
        <v>0</v>
      </c>
      <c r="AIE28">
        <v>0</v>
      </c>
      <c r="AIF28">
        <v>0</v>
      </c>
      <c r="AIG28" s="115">
        <v>34625</v>
      </c>
      <c r="AIH28">
        <v>0</v>
      </c>
      <c r="AII28" s="115">
        <v>34626</v>
      </c>
      <c r="AIJ28" t="s">
        <v>1765</v>
      </c>
      <c r="AOC28" s="115">
        <v>39676</v>
      </c>
      <c r="AOD28">
        <v>0.2</v>
      </c>
      <c r="AOE28">
        <v>0</v>
      </c>
      <c r="AOF28">
        <v>0</v>
      </c>
      <c r="AOG28" s="115">
        <v>39717</v>
      </c>
      <c r="AOH28" s="58">
        <v>146901.07</v>
      </c>
      <c r="AOI28" s="115">
        <v>39727</v>
      </c>
      <c r="AOJ28" t="s">
        <v>1765</v>
      </c>
      <c r="ARU28" s="115">
        <v>35889</v>
      </c>
      <c r="ARV28">
        <v>0</v>
      </c>
      <c r="ARW28">
        <v>0</v>
      </c>
      <c r="ARX28">
        <v>0</v>
      </c>
      <c r="ARY28" s="115">
        <v>35905</v>
      </c>
      <c r="ARZ28">
        <v>0</v>
      </c>
      <c r="ASA28" s="115">
        <v>35906</v>
      </c>
      <c r="ASB28" t="s">
        <v>1765</v>
      </c>
      <c r="ASG28" s="115">
        <v>35607</v>
      </c>
      <c r="ASH28">
        <v>0</v>
      </c>
      <c r="ASI28">
        <v>0</v>
      </c>
      <c r="ASJ28">
        <v>0</v>
      </c>
      <c r="ASK28" s="115">
        <v>35622</v>
      </c>
      <c r="ASL28">
        <v>0</v>
      </c>
      <c r="ASM28" s="115">
        <v>35625</v>
      </c>
      <c r="ASN28" t="s">
        <v>1765</v>
      </c>
      <c r="ATQ28" s="115">
        <v>34944</v>
      </c>
      <c r="ATR28">
        <v>0</v>
      </c>
      <c r="ATS28">
        <v>0.4</v>
      </c>
      <c r="ATT28">
        <v>0</v>
      </c>
      <c r="ATU28" s="115">
        <v>34950</v>
      </c>
      <c r="ATV28">
        <v>0</v>
      </c>
      <c r="ATW28" s="115">
        <v>34953</v>
      </c>
      <c r="ATX28" t="s">
        <v>1765</v>
      </c>
    </row>
    <row r="29" spans="1:1268" x14ac:dyDescent="0.25">
      <c r="Y29" s="115">
        <v>35600</v>
      </c>
      <c r="Z29">
        <v>0.1</v>
      </c>
      <c r="AA29">
        <v>0.15</v>
      </c>
      <c r="AB29">
        <v>0</v>
      </c>
      <c r="AC29" s="115">
        <v>35607</v>
      </c>
      <c r="AD29" s="58">
        <v>3170.48</v>
      </c>
      <c r="AE29" s="115">
        <v>35608</v>
      </c>
      <c r="AF29" t="s">
        <v>1765</v>
      </c>
      <c r="AK29" s="115">
        <v>35600</v>
      </c>
      <c r="AL29">
        <v>0.1</v>
      </c>
      <c r="AM29">
        <v>0.15</v>
      </c>
      <c r="AN29">
        <v>0</v>
      </c>
      <c r="AO29" s="115">
        <v>35607</v>
      </c>
      <c r="AP29" s="58">
        <v>3170.48</v>
      </c>
      <c r="AQ29" s="115">
        <v>35608</v>
      </c>
      <c r="AR29" t="s">
        <v>1765</v>
      </c>
      <c r="GK29" s="115">
        <v>35741</v>
      </c>
      <c r="GL29">
        <v>1</v>
      </c>
      <c r="GM29">
        <v>0</v>
      </c>
      <c r="GN29">
        <v>0</v>
      </c>
      <c r="GO29" s="115">
        <v>35751</v>
      </c>
      <c r="GP29" s="58">
        <v>15000</v>
      </c>
      <c r="GQ29" s="115">
        <v>35752</v>
      </c>
      <c r="GR29" t="s">
        <v>1765</v>
      </c>
      <c r="GW29" s="115">
        <v>35600</v>
      </c>
      <c r="GX29">
        <v>0.1</v>
      </c>
      <c r="GY29">
        <v>0.15</v>
      </c>
      <c r="GZ29">
        <v>0</v>
      </c>
      <c r="HA29" s="115">
        <v>35607</v>
      </c>
      <c r="HB29" s="58">
        <v>3170.48</v>
      </c>
      <c r="HC29" s="115">
        <v>35608</v>
      </c>
      <c r="HD29" t="s">
        <v>1765</v>
      </c>
      <c r="NU29" s="115">
        <v>35741</v>
      </c>
      <c r="NV29">
        <v>1</v>
      </c>
      <c r="NW29">
        <v>0</v>
      </c>
      <c r="NX29">
        <v>0</v>
      </c>
      <c r="NY29" s="115">
        <v>35751</v>
      </c>
      <c r="NZ29" s="58">
        <v>15000</v>
      </c>
      <c r="OA29" s="115">
        <v>35752</v>
      </c>
      <c r="OB29" t="s">
        <v>1765</v>
      </c>
      <c r="OG29" s="115">
        <v>35600</v>
      </c>
      <c r="OH29">
        <v>0.1</v>
      </c>
      <c r="OI29">
        <v>0.15</v>
      </c>
      <c r="OJ29">
        <v>0</v>
      </c>
      <c r="OK29" s="115">
        <v>35607</v>
      </c>
      <c r="OL29" s="58">
        <v>3170.48</v>
      </c>
      <c r="OM29" s="115">
        <v>35608</v>
      </c>
      <c r="ON29" t="s">
        <v>1765</v>
      </c>
      <c r="QO29" s="115">
        <v>39527</v>
      </c>
      <c r="QP29">
        <v>0.5</v>
      </c>
      <c r="QQ29">
        <v>0</v>
      </c>
      <c r="QR29">
        <v>0</v>
      </c>
      <c r="QS29" s="115">
        <v>39590</v>
      </c>
      <c r="QT29" s="58">
        <v>367252.67</v>
      </c>
      <c r="QU29" s="115">
        <v>39591</v>
      </c>
      <c r="QV29" t="s">
        <v>1765</v>
      </c>
      <c r="VQ29" s="115">
        <v>34142</v>
      </c>
      <c r="VR29">
        <v>0</v>
      </c>
      <c r="VS29">
        <v>0.5</v>
      </c>
      <c r="VT29">
        <v>0</v>
      </c>
      <c r="VU29" s="115">
        <v>34145</v>
      </c>
      <c r="VV29">
        <v>0</v>
      </c>
      <c r="VW29" s="115">
        <v>34148</v>
      </c>
      <c r="VX29" t="s">
        <v>1765</v>
      </c>
      <c r="ACO29" s="115">
        <v>35591</v>
      </c>
      <c r="ACP29">
        <v>0.43</v>
      </c>
      <c r="ACQ29">
        <v>0</v>
      </c>
      <c r="ACR29">
        <v>0</v>
      </c>
      <c r="ACS29" s="115">
        <v>35594</v>
      </c>
      <c r="ACT29" s="58">
        <v>14040.88</v>
      </c>
      <c r="ACU29" s="115">
        <v>35597</v>
      </c>
      <c r="ACV29" t="s">
        <v>1765</v>
      </c>
      <c r="AFI29" s="115">
        <v>35301</v>
      </c>
      <c r="AFJ29">
        <v>0</v>
      </c>
      <c r="AFK29">
        <v>0</v>
      </c>
      <c r="AFL29">
        <v>0.3</v>
      </c>
      <c r="AFM29" s="115">
        <v>35359</v>
      </c>
      <c r="AFN29">
        <v>0</v>
      </c>
      <c r="AFO29" s="115">
        <v>35360</v>
      </c>
      <c r="AFP29" t="s">
        <v>1765</v>
      </c>
      <c r="AIC29" s="115">
        <v>34509</v>
      </c>
      <c r="AID29">
        <v>0</v>
      </c>
      <c r="AIE29">
        <v>0.5</v>
      </c>
      <c r="AIF29">
        <v>0</v>
      </c>
      <c r="AIG29" s="115">
        <v>34523</v>
      </c>
      <c r="AIH29">
        <v>0</v>
      </c>
      <c r="AII29" s="115">
        <v>34526</v>
      </c>
      <c r="AIJ29" t="s">
        <v>1765</v>
      </c>
      <c r="AOC29" s="115">
        <v>39527</v>
      </c>
      <c r="AOD29">
        <v>0.5</v>
      </c>
      <c r="AOE29">
        <v>0</v>
      </c>
      <c r="AOF29">
        <v>0</v>
      </c>
      <c r="AOG29" s="115">
        <v>39590</v>
      </c>
      <c r="AOH29" s="58">
        <v>367252.67</v>
      </c>
      <c r="AOI29" s="115">
        <v>39591</v>
      </c>
      <c r="AOJ29" t="s">
        <v>1765</v>
      </c>
      <c r="ARU29" s="115">
        <v>35741</v>
      </c>
      <c r="ARV29">
        <v>1</v>
      </c>
      <c r="ARW29">
        <v>0</v>
      </c>
      <c r="ARX29">
        <v>0</v>
      </c>
      <c r="ARY29" s="115">
        <v>35751</v>
      </c>
      <c r="ARZ29" s="58">
        <v>15000</v>
      </c>
      <c r="ASA29" s="115">
        <v>35752</v>
      </c>
      <c r="ASB29" t="s">
        <v>1765</v>
      </c>
      <c r="ASG29" s="115">
        <v>35600</v>
      </c>
      <c r="ASH29">
        <v>0.1</v>
      </c>
      <c r="ASI29">
        <v>0.15</v>
      </c>
      <c r="ASJ29">
        <v>0</v>
      </c>
      <c r="ASK29" s="115">
        <v>35607</v>
      </c>
      <c r="ASL29" s="58">
        <v>3170.48</v>
      </c>
      <c r="ASM29" s="115">
        <v>35608</v>
      </c>
      <c r="ASN29" t="s">
        <v>1765</v>
      </c>
      <c r="ATQ29" s="115">
        <v>34943</v>
      </c>
      <c r="ATR29">
        <v>0</v>
      </c>
      <c r="ATS29">
        <v>0.4</v>
      </c>
      <c r="ATT29">
        <v>0</v>
      </c>
      <c r="ATU29" s="115">
        <v>34950</v>
      </c>
      <c r="ATV29">
        <v>0</v>
      </c>
      <c r="ATW29" s="115">
        <v>34953</v>
      </c>
      <c r="ATX29" t="s">
        <v>1765</v>
      </c>
    </row>
    <row r="30" spans="1:1268" x14ac:dyDescent="0.25">
      <c r="Y30" s="115">
        <v>35235</v>
      </c>
      <c r="Z30">
        <v>0.14000000000000001</v>
      </c>
      <c r="AA30">
        <v>0.1</v>
      </c>
      <c r="AB30">
        <v>0</v>
      </c>
      <c r="AC30" s="115">
        <v>35282</v>
      </c>
      <c r="AD30" s="58">
        <v>4035.16</v>
      </c>
      <c r="AE30" s="115">
        <v>35283</v>
      </c>
      <c r="AF30" t="s">
        <v>1765</v>
      </c>
      <c r="AK30" s="115">
        <v>35235</v>
      </c>
      <c r="AL30">
        <v>0.14000000000000001</v>
      </c>
      <c r="AM30">
        <v>0.1</v>
      </c>
      <c r="AN30">
        <v>0</v>
      </c>
      <c r="AO30" s="115">
        <v>35282</v>
      </c>
      <c r="AP30" s="58">
        <v>4035.16</v>
      </c>
      <c r="AQ30" s="115">
        <v>35283</v>
      </c>
      <c r="AR30" t="s">
        <v>1765</v>
      </c>
      <c r="GK30" s="115">
        <v>35422</v>
      </c>
      <c r="GL30">
        <v>0</v>
      </c>
      <c r="GM30">
        <v>1</v>
      </c>
      <c r="GN30">
        <v>0</v>
      </c>
      <c r="GO30" s="115">
        <v>35425</v>
      </c>
      <c r="GP30">
        <v>0</v>
      </c>
      <c r="GQ30" s="115">
        <v>35426</v>
      </c>
      <c r="GR30" t="s">
        <v>1765</v>
      </c>
      <c r="GW30" s="115">
        <v>35235</v>
      </c>
      <c r="GX30">
        <v>0.14000000000000001</v>
      </c>
      <c r="GY30">
        <v>0.1</v>
      </c>
      <c r="GZ30">
        <v>0</v>
      </c>
      <c r="HA30" s="115">
        <v>35282</v>
      </c>
      <c r="HB30" s="58">
        <v>4035.16</v>
      </c>
      <c r="HC30" s="115">
        <v>35283</v>
      </c>
      <c r="HD30" t="s">
        <v>1765</v>
      </c>
      <c r="NU30" s="115">
        <v>35422</v>
      </c>
      <c r="NV30">
        <v>0</v>
      </c>
      <c r="NW30">
        <v>1</v>
      </c>
      <c r="NX30">
        <v>0</v>
      </c>
      <c r="NY30" s="115">
        <v>35425</v>
      </c>
      <c r="NZ30">
        <v>0</v>
      </c>
      <c r="OA30" s="115">
        <v>35426</v>
      </c>
      <c r="OB30" t="s">
        <v>1765</v>
      </c>
      <c r="OG30" s="115">
        <v>35235</v>
      </c>
      <c r="OH30">
        <v>0.14000000000000001</v>
      </c>
      <c r="OI30">
        <v>0.1</v>
      </c>
      <c r="OJ30">
        <v>0</v>
      </c>
      <c r="OK30" s="115">
        <v>35282</v>
      </c>
      <c r="OL30" s="58">
        <v>4035.16</v>
      </c>
      <c r="OM30" s="115">
        <v>35283</v>
      </c>
      <c r="ON30" t="s">
        <v>1765</v>
      </c>
      <c r="QO30" s="115">
        <v>39311</v>
      </c>
      <c r="QP30">
        <v>0.2</v>
      </c>
      <c r="QQ30">
        <v>0</v>
      </c>
      <c r="QR30">
        <v>0</v>
      </c>
      <c r="QS30" s="115">
        <v>39325</v>
      </c>
      <c r="QT30" s="58">
        <v>146901.07</v>
      </c>
      <c r="QU30" s="115">
        <v>39328</v>
      </c>
      <c r="QV30" t="s">
        <v>1765</v>
      </c>
      <c r="ACO30" s="115">
        <v>35213</v>
      </c>
      <c r="ACP30">
        <v>0.1</v>
      </c>
      <c r="ACQ30">
        <v>0.2</v>
      </c>
      <c r="ACR30">
        <v>0</v>
      </c>
      <c r="ACS30" s="115">
        <v>35271</v>
      </c>
      <c r="ACT30" s="58">
        <v>2721.1</v>
      </c>
      <c r="ACU30" s="115">
        <v>35272</v>
      </c>
      <c r="ACV30" t="s">
        <v>1765</v>
      </c>
      <c r="AFI30" s="115">
        <v>34151</v>
      </c>
      <c r="AFJ30">
        <v>0.08</v>
      </c>
      <c r="AFK30">
        <v>0.1</v>
      </c>
      <c r="AFL30">
        <v>0</v>
      </c>
      <c r="AFM30" s="115">
        <v>35247</v>
      </c>
      <c r="AFN30">
        <v>0</v>
      </c>
      <c r="AFO30" s="115">
        <v>35247</v>
      </c>
      <c r="AFP30" t="s">
        <v>1765</v>
      </c>
      <c r="AOC30" s="115">
        <v>39311</v>
      </c>
      <c r="AOD30">
        <v>0.2</v>
      </c>
      <c r="AOE30">
        <v>0</v>
      </c>
      <c r="AOF30">
        <v>0</v>
      </c>
      <c r="AOG30" s="115">
        <v>39325</v>
      </c>
      <c r="AOH30" s="58">
        <v>146901.07</v>
      </c>
      <c r="AOI30" s="115">
        <v>39328</v>
      </c>
      <c r="AOJ30" t="s">
        <v>1765</v>
      </c>
      <c r="ARU30" s="115">
        <v>35422</v>
      </c>
      <c r="ARV30">
        <v>0</v>
      </c>
      <c r="ARW30">
        <v>1</v>
      </c>
      <c r="ARX30">
        <v>0</v>
      </c>
      <c r="ARY30" s="115">
        <v>35425</v>
      </c>
      <c r="ARZ30">
        <v>0</v>
      </c>
      <c r="ASA30" s="115">
        <v>35426</v>
      </c>
      <c r="ASB30" t="s">
        <v>1765</v>
      </c>
      <c r="ASG30" s="115">
        <v>35235</v>
      </c>
      <c r="ASH30">
        <v>0.14000000000000001</v>
      </c>
      <c r="ASI30">
        <v>0.1</v>
      </c>
      <c r="ASJ30">
        <v>0</v>
      </c>
      <c r="ASK30" s="115">
        <v>35282</v>
      </c>
      <c r="ASL30" s="58">
        <v>4035.16</v>
      </c>
      <c r="ASM30" s="115">
        <v>35283</v>
      </c>
      <c r="ASN30" t="s">
        <v>1765</v>
      </c>
    </row>
    <row r="31" spans="1:1268" x14ac:dyDescent="0.25">
      <c r="Y31" s="115">
        <v>34872</v>
      </c>
      <c r="Z31">
        <v>0.15</v>
      </c>
      <c r="AA31">
        <v>0.15</v>
      </c>
      <c r="AB31">
        <v>0</v>
      </c>
      <c r="AC31" s="115">
        <v>34883</v>
      </c>
      <c r="AD31" s="58">
        <v>3644.33</v>
      </c>
      <c r="AE31" s="115">
        <v>34884</v>
      </c>
      <c r="AF31" t="s">
        <v>1765</v>
      </c>
      <c r="AK31" s="115">
        <v>34872</v>
      </c>
      <c r="AL31">
        <v>0.15</v>
      </c>
      <c r="AM31">
        <v>0.15</v>
      </c>
      <c r="AN31">
        <v>0</v>
      </c>
      <c r="AO31" s="115">
        <v>34883</v>
      </c>
      <c r="AP31" s="58">
        <v>3644.33</v>
      </c>
      <c r="AQ31" s="115">
        <v>34884</v>
      </c>
      <c r="AR31" t="s">
        <v>1765</v>
      </c>
      <c r="GW31" s="115">
        <v>34872</v>
      </c>
      <c r="GX31">
        <v>0.15</v>
      </c>
      <c r="GY31">
        <v>0.15</v>
      </c>
      <c r="GZ31">
        <v>0</v>
      </c>
      <c r="HA31" s="115">
        <v>34883</v>
      </c>
      <c r="HB31" s="58">
        <v>3644.33</v>
      </c>
      <c r="HC31" s="115">
        <v>34884</v>
      </c>
      <c r="HD31" t="s">
        <v>1765</v>
      </c>
      <c r="OG31" s="115">
        <v>34872</v>
      </c>
      <c r="OH31">
        <v>0.15</v>
      </c>
      <c r="OI31">
        <v>0.15</v>
      </c>
      <c r="OJ31">
        <v>0</v>
      </c>
      <c r="OK31" s="115">
        <v>34883</v>
      </c>
      <c r="OL31" s="58">
        <v>3644.33</v>
      </c>
      <c r="OM31" s="115">
        <v>34884</v>
      </c>
      <c r="ON31" t="s">
        <v>1765</v>
      </c>
      <c r="QO31" s="115">
        <v>39184</v>
      </c>
      <c r="QP31">
        <v>0.22</v>
      </c>
      <c r="QQ31">
        <v>0</v>
      </c>
      <c r="QR31">
        <v>0</v>
      </c>
      <c r="QS31" s="115">
        <v>39254</v>
      </c>
      <c r="QT31" s="58">
        <v>161591.17000000001</v>
      </c>
      <c r="QU31" s="115">
        <v>39255</v>
      </c>
      <c r="QV31" t="s">
        <v>1765</v>
      </c>
      <c r="ACO31" s="115">
        <v>35171</v>
      </c>
      <c r="ACP31">
        <v>0</v>
      </c>
      <c r="ACQ31">
        <v>0</v>
      </c>
      <c r="ACR31">
        <v>0</v>
      </c>
      <c r="ACS31" s="115">
        <v>35185</v>
      </c>
      <c r="ACT31">
        <v>0</v>
      </c>
      <c r="ACU31" s="115">
        <v>35187</v>
      </c>
      <c r="ACV31" t="s">
        <v>1765</v>
      </c>
      <c r="AOC31" s="115">
        <v>39184</v>
      </c>
      <c r="AOD31">
        <v>0.22</v>
      </c>
      <c r="AOE31">
        <v>0</v>
      </c>
      <c r="AOF31">
        <v>0</v>
      </c>
      <c r="AOG31" s="115">
        <v>39254</v>
      </c>
      <c r="AOH31" s="58">
        <v>161591.17000000001</v>
      </c>
      <c r="AOI31" s="115">
        <v>39255</v>
      </c>
      <c r="AOJ31" t="s">
        <v>1765</v>
      </c>
      <c r="ASG31" s="115">
        <v>34872</v>
      </c>
      <c r="ASH31">
        <v>0.15</v>
      </c>
      <c r="ASI31">
        <v>0.15</v>
      </c>
      <c r="ASJ31">
        <v>0</v>
      </c>
      <c r="ASK31" s="115">
        <v>34883</v>
      </c>
      <c r="ASL31" s="58">
        <v>3644.33</v>
      </c>
      <c r="ASM31" s="115">
        <v>34884</v>
      </c>
      <c r="ASN31" t="s">
        <v>1765</v>
      </c>
    </row>
    <row r="32" spans="1:1268" x14ac:dyDescent="0.25">
      <c r="Y32" s="115">
        <v>34505</v>
      </c>
      <c r="Z32">
        <v>0.15</v>
      </c>
      <c r="AA32">
        <v>0.35</v>
      </c>
      <c r="AB32">
        <v>0</v>
      </c>
      <c r="AC32" s="115">
        <v>34505</v>
      </c>
      <c r="AD32" s="58">
        <v>2753.2</v>
      </c>
      <c r="AE32" s="115">
        <v>34506</v>
      </c>
      <c r="AF32" t="s">
        <v>1765</v>
      </c>
      <c r="AK32" s="115">
        <v>34505</v>
      </c>
      <c r="AL32">
        <v>0.15</v>
      </c>
      <c r="AM32">
        <v>0.35</v>
      </c>
      <c r="AN32">
        <v>0</v>
      </c>
      <c r="AO32" s="115">
        <v>34505</v>
      </c>
      <c r="AP32" s="58">
        <v>2753.2</v>
      </c>
      <c r="AQ32" s="115">
        <v>34506</v>
      </c>
      <c r="AR32" t="s">
        <v>1765</v>
      </c>
      <c r="GW32" s="115">
        <v>34505</v>
      </c>
      <c r="GX32">
        <v>0.15</v>
      </c>
      <c r="GY32">
        <v>0.35</v>
      </c>
      <c r="GZ32">
        <v>0</v>
      </c>
      <c r="HA32" s="115">
        <v>34505</v>
      </c>
      <c r="HB32" s="58">
        <v>2753.2</v>
      </c>
      <c r="HC32" s="115">
        <v>34506</v>
      </c>
      <c r="HD32" t="s">
        <v>1765</v>
      </c>
      <c r="OG32" s="115">
        <v>34505</v>
      </c>
      <c r="OH32">
        <v>0.15</v>
      </c>
      <c r="OI32">
        <v>0.35</v>
      </c>
      <c r="OJ32">
        <v>0</v>
      </c>
      <c r="OK32" s="115">
        <v>34505</v>
      </c>
      <c r="OL32" s="58">
        <v>2753.2</v>
      </c>
      <c r="OM32" s="115">
        <v>34506</v>
      </c>
      <c r="ON32" t="s">
        <v>1765</v>
      </c>
      <c r="ACO32" s="115">
        <v>34881</v>
      </c>
      <c r="ACP32">
        <v>0.35</v>
      </c>
      <c r="ACQ32">
        <v>0</v>
      </c>
      <c r="ACR32">
        <v>0</v>
      </c>
      <c r="ACS32" s="115">
        <v>34887</v>
      </c>
      <c r="ACT32" s="58">
        <v>7735</v>
      </c>
      <c r="ACU32" s="115">
        <v>34890</v>
      </c>
      <c r="ACV32" t="s">
        <v>1765</v>
      </c>
      <c r="ASG32" s="115">
        <v>34505</v>
      </c>
      <c r="ASH32">
        <v>0.15</v>
      </c>
      <c r="ASI32">
        <v>0.35</v>
      </c>
      <c r="ASJ32">
        <v>0</v>
      </c>
      <c r="ASK32" s="115">
        <v>34505</v>
      </c>
      <c r="ASL32" s="58">
        <v>2753.2</v>
      </c>
      <c r="ASM32" s="115">
        <v>34506</v>
      </c>
      <c r="ASN32" t="s">
        <v>1765</v>
      </c>
    </row>
    <row r="33" spans="25:776 1177:1184" x14ac:dyDescent="0.25">
      <c r="Y33" s="115">
        <v>34020</v>
      </c>
      <c r="Z33">
        <v>0.06</v>
      </c>
      <c r="AA33">
        <v>0.25</v>
      </c>
      <c r="AB33">
        <v>0.25</v>
      </c>
      <c r="AC33" s="115">
        <v>34061</v>
      </c>
      <c r="AD33">
        <v>0</v>
      </c>
      <c r="AE33" s="115">
        <v>34064</v>
      </c>
      <c r="AF33" t="s">
        <v>1765</v>
      </c>
      <c r="AK33" s="115">
        <v>34020</v>
      </c>
      <c r="AL33">
        <v>0.06</v>
      </c>
      <c r="AM33">
        <v>0.25</v>
      </c>
      <c r="AN33">
        <v>0.25</v>
      </c>
      <c r="AO33" s="115">
        <v>34061</v>
      </c>
      <c r="AP33">
        <v>0</v>
      </c>
      <c r="AQ33" s="115">
        <v>34064</v>
      </c>
      <c r="AR33" t="s">
        <v>1765</v>
      </c>
      <c r="GW33" s="115">
        <v>34020</v>
      </c>
      <c r="GX33">
        <v>0.06</v>
      </c>
      <c r="GY33">
        <v>0.25</v>
      </c>
      <c r="GZ33">
        <v>0.25</v>
      </c>
      <c r="HA33" s="115">
        <v>34061</v>
      </c>
      <c r="HB33">
        <v>0</v>
      </c>
      <c r="HC33" s="115">
        <v>34064</v>
      </c>
      <c r="HD33" t="s">
        <v>1765</v>
      </c>
      <c r="OG33" s="115">
        <v>34020</v>
      </c>
      <c r="OH33">
        <v>0.06</v>
      </c>
      <c r="OI33">
        <v>0.25</v>
      </c>
      <c r="OJ33">
        <v>0.25</v>
      </c>
      <c r="OK33" s="115">
        <v>34061</v>
      </c>
      <c r="OL33">
        <v>0</v>
      </c>
      <c r="OM33" s="115">
        <v>34064</v>
      </c>
      <c r="ON33" t="s">
        <v>1765</v>
      </c>
      <c r="ACO33" s="115">
        <v>34419</v>
      </c>
      <c r="ACP33">
        <v>0</v>
      </c>
      <c r="ACQ33">
        <v>0.3</v>
      </c>
      <c r="ACR33">
        <v>0</v>
      </c>
      <c r="ACS33" s="115">
        <v>34425</v>
      </c>
      <c r="ACT33">
        <v>0</v>
      </c>
      <c r="ACU33" s="115">
        <v>34428</v>
      </c>
      <c r="ACV33" t="s">
        <v>1765</v>
      </c>
      <c r="ASG33" s="115">
        <v>34020</v>
      </c>
      <c r="ASH33">
        <v>0.06</v>
      </c>
      <c r="ASI33">
        <v>0.25</v>
      </c>
      <c r="ASJ33">
        <v>0.25</v>
      </c>
      <c r="ASK33" s="115">
        <v>34061</v>
      </c>
      <c r="ASL33">
        <v>0</v>
      </c>
      <c r="ASM33" s="115">
        <v>34064</v>
      </c>
      <c r="ASN33" t="s">
        <v>1765</v>
      </c>
    </row>
    <row r="34" spans="25:776 1177:1184" x14ac:dyDescent="0.25">
      <c r="Y34" s="115">
        <v>33385</v>
      </c>
      <c r="Z34">
        <v>0</v>
      </c>
      <c r="AA34">
        <v>0.2</v>
      </c>
      <c r="AB34">
        <v>0</v>
      </c>
      <c r="AC34" s="115">
        <v>33385</v>
      </c>
      <c r="AD34">
        <v>0</v>
      </c>
      <c r="AE34" s="115">
        <v>33397</v>
      </c>
      <c r="AF34" t="s">
        <v>1765</v>
      </c>
      <c r="AK34" s="115">
        <v>33385</v>
      </c>
      <c r="AL34">
        <v>0</v>
      </c>
      <c r="AM34">
        <v>0.2</v>
      </c>
      <c r="AN34">
        <v>0</v>
      </c>
      <c r="AO34" s="115">
        <v>33385</v>
      </c>
      <c r="AP34">
        <v>0</v>
      </c>
      <c r="AQ34" s="115">
        <v>33397</v>
      </c>
      <c r="AR34" t="s">
        <v>1765</v>
      </c>
      <c r="GW34" s="115">
        <v>33385</v>
      </c>
      <c r="GX34">
        <v>0</v>
      </c>
      <c r="GY34">
        <v>0.2</v>
      </c>
      <c r="GZ34">
        <v>0</v>
      </c>
      <c r="HA34" s="115">
        <v>33385</v>
      </c>
      <c r="HB34">
        <v>0</v>
      </c>
      <c r="HC34" s="115">
        <v>33397</v>
      </c>
      <c r="HD34" t="s">
        <v>1765</v>
      </c>
      <c r="OG34" s="115">
        <v>33385</v>
      </c>
      <c r="OH34">
        <v>0</v>
      </c>
      <c r="OI34">
        <v>0.2</v>
      </c>
      <c r="OJ34">
        <v>0</v>
      </c>
      <c r="OK34" s="115">
        <v>33385</v>
      </c>
      <c r="OL34">
        <v>0</v>
      </c>
      <c r="OM34" s="115">
        <v>33397</v>
      </c>
      <c r="ON34" t="s">
        <v>1765</v>
      </c>
      <c r="ASG34" s="115">
        <v>33385</v>
      </c>
      <c r="ASH34">
        <v>0</v>
      </c>
      <c r="ASI34">
        <v>0.2</v>
      </c>
      <c r="ASJ34">
        <v>0</v>
      </c>
      <c r="ASK34" s="115">
        <v>33385</v>
      </c>
      <c r="ASL34">
        <v>0</v>
      </c>
      <c r="ASM34" s="115">
        <v>33397</v>
      </c>
      <c r="ASN34" t="s">
        <v>1765</v>
      </c>
    </row>
    <row r="35" spans="25:776 1177:1184" x14ac:dyDescent="0.25">
      <c r="Y35" s="115">
        <v>33239</v>
      </c>
      <c r="Z35">
        <v>0</v>
      </c>
      <c r="AA35">
        <v>0</v>
      </c>
      <c r="AB35">
        <v>0</v>
      </c>
      <c r="AC35" s="115">
        <v>33385</v>
      </c>
      <c r="AD35">
        <v>0</v>
      </c>
      <c r="AE35" s="115">
        <v>33397</v>
      </c>
      <c r="AF35" t="s">
        <v>1765</v>
      </c>
      <c r="AK35" s="115">
        <v>33239</v>
      </c>
      <c r="AL35">
        <v>0</v>
      </c>
      <c r="AM35">
        <v>0</v>
      </c>
      <c r="AN35">
        <v>0</v>
      </c>
      <c r="AO35" s="115">
        <v>33385</v>
      </c>
      <c r="AP35">
        <v>0</v>
      </c>
      <c r="AQ35" s="115">
        <v>33397</v>
      </c>
      <c r="AR35" t="s">
        <v>1765</v>
      </c>
      <c r="GW35" s="115">
        <v>33239</v>
      </c>
      <c r="GX35">
        <v>0</v>
      </c>
      <c r="GY35">
        <v>0</v>
      </c>
      <c r="GZ35">
        <v>0</v>
      </c>
      <c r="HA35" s="115">
        <v>33385</v>
      </c>
      <c r="HB35">
        <v>0</v>
      </c>
      <c r="HC35" s="115">
        <v>33397</v>
      </c>
      <c r="HD35" t="s">
        <v>1765</v>
      </c>
      <c r="OG35" s="115">
        <v>33239</v>
      </c>
      <c r="OH35">
        <v>0</v>
      </c>
      <c r="OI35">
        <v>0</v>
      </c>
      <c r="OJ35">
        <v>0</v>
      </c>
      <c r="OK35" s="115">
        <v>33385</v>
      </c>
      <c r="OL35">
        <v>0</v>
      </c>
      <c r="OM35" s="115">
        <v>33397</v>
      </c>
      <c r="ON35" t="s">
        <v>1765</v>
      </c>
      <c r="ASG35" s="115">
        <v>33239</v>
      </c>
      <c r="ASH35">
        <v>0</v>
      </c>
      <c r="ASI35">
        <v>0</v>
      </c>
      <c r="ASJ35">
        <v>0</v>
      </c>
      <c r="ASK35" s="115">
        <v>33385</v>
      </c>
      <c r="ASL35">
        <v>0</v>
      </c>
      <c r="ASM35" s="115">
        <v>33397</v>
      </c>
      <c r="ASN35" t="s">
        <v>1765</v>
      </c>
    </row>
  </sheetData>
  <sortState xmlns:xlrd2="http://schemas.microsoft.com/office/spreadsheetml/2017/richdata2" ref="I4:I8">
    <sortCondition ref="I4:I8"/>
  </sortState>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rgb="FF92D050"/>
  </sheetPr>
  <dimension ref="A1:D73"/>
  <sheetViews>
    <sheetView topLeftCell="A37" workbookViewId="0">
      <selection activeCell="C3" sqref="C3"/>
    </sheetView>
  </sheetViews>
  <sheetFormatPr defaultRowHeight="14" x14ac:dyDescent="0.25"/>
  <cols>
    <col min="1" max="1" width="43.26953125" customWidth="1"/>
    <col min="2" max="2" width="16.453125" customWidth="1"/>
    <col min="3" max="3" width="15" customWidth="1"/>
    <col min="4" max="4" width="17" style="79" customWidth="1"/>
  </cols>
  <sheetData>
    <row r="1" spans="1:4" x14ac:dyDescent="0.25">
      <c r="A1" t="s">
        <v>200</v>
      </c>
      <c r="B1" s="62">
        <v>43830</v>
      </c>
      <c r="C1" s="62">
        <v>43465</v>
      </c>
      <c r="D1" s="77">
        <v>43100</v>
      </c>
    </row>
    <row r="2" spans="1:4" ht="17.5" x14ac:dyDescent="0.25">
      <c r="A2" s="86" t="s">
        <v>201</v>
      </c>
    </row>
    <row r="3" spans="1:4" x14ac:dyDescent="0.25">
      <c r="A3" t="s">
        <v>202</v>
      </c>
      <c r="B3" s="73">
        <f>BS数据!B28/BS数据!B90</f>
        <v>1.6252078657910027</v>
      </c>
      <c r="C3" s="73">
        <f>BS数据!C28/BS数据!C90</f>
        <v>1.5292585668753771</v>
      </c>
      <c r="D3" s="73">
        <f>BS数据!D28/BS数据!D90</f>
        <v>1.5754329155959264</v>
      </c>
    </row>
    <row r="4" spans="1:4" x14ac:dyDescent="0.25">
      <c r="A4" t="s">
        <v>203</v>
      </c>
      <c r="B4" s="73">
        <f>(BS数据!B28-BS数据!B23-BS数据!B27-BS数据!B11)/BS数据!B90</f>
        <v>1.1469631605707331</v>
      </c>
      <c r="C4" s="73">
        <f>(BS数据!C28-BS数据!C23-BS数据!C27-BS数据!C11)/BS数据!C90</f>
        <v>1.0855835918640615</v>
      </c>
      <c r="D4" s="73">
        <f>(BS数据!D28-BS数据!D23-BS数据!D27-BS数据!D11)/BS数据!D90</f>
        <v>1.1484796719596702</v>
      </c>
    </row>
    <row r="5" spans="1:4" x14ac:dyDescent="0.25">
      <c r="A5" t="s">
        <v>1669</v>
      </c>
      <c r="B5" s="73">
        <f>BS数据!B4/BS数据!B90</f>
        <v>0.32092983418899662</v>
      </c>
      <c r="C5" s="73">
        <f>BS数据!C4/BS数据!C90</f>
        <v>0.353172619945685</v>
      </c>
      <c r="D5" s="73">
        <f>BS数据!D4/BS数据!D90</f>
        <v>0.17855511183707284</v>
      </c>
    </row>
    <row r="6" spans="1:4" x14ac:dyDescent="0.25">
      <c r="A6" s="75" t="s">
        <v>156</v>
      </c>
      <c r="B6" s="76">
        <f>BS数据!B101/BS数据!B116</f>
        <v>0.49717145656181211</v>
      </c>
      <c r="C6" s="76">
        <f>BS数据!C101/BS数据!C116</f>
        <v>0.55944109310072609</v>
      </c>
      <c r="D6" s="76">
        <f>BS数据!D101/BS数据!D116</f>
        <v>0.5471458431816234</v>
      </c>
    </row>
    <row r="7" spans="1:4" x14ac:dyDescent="0.25">
      <c r="A7" t="s">
        <v>204</v>
      </c>
      <c r="B7">
        <v>0</v>
      </c>
      <c r="C7">
        <v>0</v>
      </c>
      <c r="D7" s="79">
        <v>0</v>
      </c>
    </row>
    <row r="8" spans="1:4" x14ac:dyDescent="0.25">
      <c r="A8" t="s">
        <v>205</v>
      </c>
      <c r="B8">
        <v>0</v>
      </c>
      <c r="C8">
        <v>0</v>
      </c>
      <c r="D8" s="79">
        <v>0</v>
      </c>
    </row>
    <row r="9" spans="1:4" x14ac:dyDescent="0.25">
      <c r="A9" t="s">
        <v>206</v>
      </c>
      <c r="B9">
        <v>0</v>
      </c>
      <c r="C9">
        <v>0</v>
      </c>
      <c r="D9" s="79">
        <v>0</v>
      </c>
    </row>
    <row r="10" spans="1:4" x14ac:dyDescent="0.25">
      <c r="A10" s="87" t="s">
        <v>308</v>
      </c>
      <c r="B10" s="107">
        <f>CF数据!B27/BS数据!B90</f>
        <v>0.31472891501234085</v>
      </c>
      <c r="C10" s="107">
        <f>CF数据!C27/BS数据!C90</f>
        <v>0.31020445930144841</v>
      </c>
      <c r="D10" s="107">
        <f>CF数据!D27/BS数据!D90</f>
        <v>0.37265245703912625</v>
      </c>
    </row>
    <row r="11" spans="1:4" x14ac:dyDescent="0.25">
      <c r="A11" s="80" t="s">
        <v>309</v>
      </c>
      <c r="B11" s="108">
        <f>(PL数据!B38+PL数据!B24)/PL数据!B24</f>
        <v>-289.02629877128692</v>
      </c>
      <c r="C11" s="108">
        <f>(PL数据!C38+PL数据!C24)/PL数据!C24</f>
        <v>56.659712495392554</v>
      </c>
      <c r="D11" s="108">
        <f>(PL数据!D38+PL数据!D24)/PL数据!D24</f>
        <v>3.1749694851519679</v>
      </c>
    </row>
    <row r="12" spans="1:4" x14ac:dyDescent="0.25">
      <c r="A12" t="s">
        <v>207</v>
      </c>
    </row>
    <row r="13" spans="1:4" x14ac:dyDescent="0.25">
      <c r="A13" t="s">
        <v>208</v>
      </c>
    </row>
    <row r="14" spans="1:4" x14ac:dyDescent="0.25">
      <c r="A14" t="s">
        <v>209</v>
      </c>
    </row>
    <row r="15" spans="1:4" x14ac:dyDescent="0.25">
      <c r="A15" t="s">
        <v>210</v>
      </c>
    </row>
    <row r="16" spans="1:4" x14ac:dyDescent="0.25">
      <c r="A16" s="80" t="s">
        <v>297</v>
      </c>
      <c r="B16" s="81">
        <f>B6/(1-B6)</f>
        <v>0.98874947146457859</v>
      </c>
      <c r="C16" s="81">
        <f t="shared" ref="C16:D16" si="0">C6/(1-C6)</f>
        <v>1.2698440193575125</v>
      </c>
      <c r="D16" s="81">
        <f t="shared" si="0"/>
        <v>1.2082164532301374</v>
      </c>
    </row>
    <row r="17" spans="1:4" x14ac:dyDescent="0.25">
      <c r="A17" t="s">
        <v>211</v>
      </c>
      <c r="B17" s="56">
        <f>BS数据!B101/BS数据!B115</f>
        <v>0.98874947146457848</v>
      </c>
      <c r="C17" s="56">
        <f>BS数据!C101/BS数据!C115</f>
        <v>1.2698440193575125</v>
      </c>
      <c r="D17" s="56">
        <f>BS数据!D101/BS数据!D115</f>
        <v>1.2082164532301376</v>
      </c>
    </row>
    <row r="18" spans="1:4" x14ac:dyDescent="0.25">
      <c r="A18" t="s">
        <v>212</v>
      </c>
    </row>
    <row r="19" spans="1:4" x14ac:dyDescent="0.25">
      <c r="A19" s="75" t="s">
        <v>298</v>
      </c>
      <c r="B19" s="76">
        <f>1/(1-B6)</f>
        <v>1.9887494714645786</v>
      </c>
      <c r="C19" s="76">
        <f t="shared" ref="C19:D19" si="1">1/(1-C6)</f>
        <v>2.2698440193575125</v>
      </c>
      <c r="D19" s="76">
        <f t="shared" si="1"/>
        <v>2.2082164532301372</v>
      </c>
    </row>
    <row r="20" spans="1:4" x14ac:dyDescent="0.25">
      <c r="A20" t="s">
        <v>213</v>
      </c>
    </row>
    <row r="21" spans="1:4" x14ac:dyDescent="0.25">
      <c r="A21" t="s">
        <v>214</v>
      </c>
    </row>
    <row r="22" spans="1:4" x14ac:dyDescent="0.25">
      <c r="A22" t="s">
        <v>215</v>
      </c>
    </row>
    <row r="23" spans="1:4" ht="17.5" x14ac:dyDescent="0.25">
      <c r="A23" s="86" t="s">
        <v>299</v>
      </c>
    </row>
    <row r="24" spans="1:4" x14ac:dyDescent="0.25">
      <c r="A24" s="84" t="s">
        <v>313</v>
      </c>
      <c r="B24" s="85">
        <f>PL数据!B10/((BS数据!B23+BS数据!C23)/2)</f>
        <v>3.9411545992725476</v>
      </c>
      <c r="C24" s="85">
        <f>PL数据!C10/((BS数据!C23+BS数据!D23)/2)</f>
        <v>4.026503754317309</v>
      </c>
      <c r="D24" s="85">
        <f>PL数据!D10/((BS数据!D23+BS数据!E23)/2)</f>
        <v>3.8674769282487111</v>
      </c>
    </row>
    <row r="25" spans="1:4" x14ac:dyDescent="0.25">
      <c r="A25" s="84" t="s">
        <v>1670</v>
      </c>
      <c r="B25" s="121">
        <f>365/B24</f>
        <v>92.61245424560893</v>
      </c>
      <c r="C25" s="121">
        <f t="shared" ref="C25:D25" si="2">365/C24</f>
        <v>90.649362889240749</v>
      </c>
      <c r="D25" s="121">
        <f t="shared" si="2"/>
        <v>94.376775032315706</v>
      </c>
    </row>
    <row r="26" spans="1:4" x14ac:dyDescent="0.25">
      <c r="A26" t="s">
        <v>314</v>
      </c>
      <c r="B26" s="85">
        <f>PL数据!B2/((BS数据!B10+BS数据!C10)/2)</f>
        <v>3.6094694851077787</v>
      </c>
      <c r="C26" s="85">
        <f>PL数据!C2/((BS数据!C10+BS数据!D10)/2)</f>
        <v>2.8998942569662218</v>
      </c>
      <c r="D26" s="85">
        <f>PL数据!D2/((BS数据!D10+BS数据!E10)/2)</f>
        <v>2.1034100567291132</v>
      </c>
    </row>
    <row r="27" spans="1:4" x14ac:dyDescent="0.25">
      <c r="A27" t="s">
        <v>1671</v>
      </c>
      <c r="B27" s="121">
        <f>365/B26</f>
        <v>101.12289396154878</v>
      </c>
      <c r="C27" s="121">
        <f t="shared" ref="C27:D27" si="3">365/C26</f>
        <v>125.86665845597126</v>
      </c>
      <c r="D27" s="121">
        <f t="shared" si="3"/>
        <v>173.52774311994571</v>
      </c>
    </row>
    <row r="28" spans="1:4" x14ac:dyDescent="0.25">
      <c r="A28" s="84" t="s">
        <v>312</v>
      </c>
      <c r="B28" s="85">
        <f>PL数据!B1/((BS数据!B116+BS数据!C116)/2)</f>
        <v>5.3348419709776324E-3</v>
      </c>
      <c r="C28" s="85">
        <f>PL数据!C1/((BS数据!C116+BS数据!D116)/2)</f>
        <v>6.5849869720581572E-3</v>
      </c>
      <c r="D28" s="85">
        <f>PL数据!D1/((BS数据!D116+BS数据!E116)/2)</f>
        <v>7.1957664184099423E-3</v>
      </c>
    </row>
    <row r="29" spans="1:4" x14ac:dyDescent="0.25">
      <c r="A29" t="s">
        <v>217</v>
      </c>
      <c r="B29" s="56">
        <f>365/B28</f>
        <v>68418.14658909422</v>
      </c>
      <c r="C29" s="56">
        <f t="shared" ref="C29:D29" si="4">365/C28</f>
        <v>55429.114977568162</v>
      </c>
      <c r="D29" s="56">
        <f t="shared" si="4"/>
        <v>50724.270185614849</v>
      </c>
    </row>
    <row r="30" spans="1:4" x14ac:dyDescent="0.25">
      <c r="A30" t="s">
        <v>218</v>
      </c>
    </row>
    <row r="31" spans="1:4" x14ac:dyDescent="0.25">
      <c r="A31" t="s">
        <v>219</v>
      </c>
    </row>
    <row r="32" spans="1:4" x14ac:dyDescent="0.25">
      <c r="A32" t="s">
        <v>220</v>
      </c>
    </row>
    <row r="33" spans="1:4" ht="17.5" x14ac:dyDescent="0.25">
      <c r="A33" s="86" t="s">
        <v>221</v>
      </c>
    </row>
    <row r="34" spans="1:4" x14ac:dyDescent="0.25">
      <c r="A34" s="84" t="s">
        <v>222</v>
      </c>
      <c r="B34" s="85">
        <f>PL数据!B41/BS数据!B116</f>
        <v>0.12695256198000249</v>
      </c>
      <c r="C34" s="85">
        <f>PL数据!C41/BS数据!C116</f>
        <v>8.5442411709593741E-2</v>
      </c>
      <c r="D34" s="85">
        <f>PL数据!D41/BS数据!D116</f>
        <v>3.8241386291248847E-2</v>
      </c>
    </row>
    <row r="35" spans="1:4" x14ac:dyDescent="0.25">
      <c r="A35" t="s">
        <v>223</v>
      </c>
      <c r="B35">
        <v>0</v>
      </c>
      <c r="C35">
        <v>0</v>
      </c>
      <c r="D35" s="79">
        <v>0</v>
      </c>
    </row>
    <row r="36" spans="1:4" x14ac:dyDescent="0.25">
      <c r="A36" s="75" t="s">
        <v>296</v>
      </c>
      <c r="B36" s="76">
        <f>PL数据!B41/BS数据!B115</f>
        <v>0.25247684053880409</v>
      </c>
      <c r="C36" s="76">
        <f>PL数据!C41/BS数据!C115</f>
        <v>0.19394094721850366</v>
      </c>
      <c r="D36" s="76">
        <f>PL数据!D41/BS数据!D115</f>
        <v>8.4445258402665133E-2</v>
      </c>
    </row>
    <row r="37" spans="1:4" x14ac:dyDescent="0.25">
      <c r="A37" t="s">
        <v>224</v>
      </c>
      <c r="B37" s="73"/>
      <c r="C37" s="73"/>
      <c r="D37" s="78"/>
    </row>
    <row r="38" spans="1:4" x14ac:dyDescent="0.25">
      <c r="A38" t="s">
        <v>225</v>
      </c>
      <c r="B38" s="73">
        <f>PL数据!B2/PL数据!B10-1</f>
        <v>0.48561530833006272</v>
      </c>
      <c r="C38" s="73">
        <f>PL数据!C2/PL数据!C10-1</f>
        <v>0.44137465541691334</v>
      </c>
      <c r="D38" s="73">
        <f>PL数据!D2/PL数据!D10-1</f>
        <v>0.43010163826179726</v>
      </c>
    </row>
    <row r="39" spans="1:4" x14ac:dyDescent="0.25">
      <c r="A39" s="82" t="s">
        <v>226</v>
      </c>
      <c r="B39" s="83">
        <f>PL数据!B41/PL数据!B2</f>
        <v>0.1519108510903743</v>
      </c>
      <c r="C39" s="83">
        <f>PL数据!C41/PL数据!C2</f>
        <v>0.11292226113594224</v>
      </c>
      <c r="D39" s="83">
        <f>PL数据!D41/PL数据!D2</f>
        <v>5.8095337718001967E-2</v>
      </c>
    </row>
    <row r="40" spans="1:4" x14ac:dyDescent="0.25">
      <c r="A40" t="s">
        <v>227</v>
      </c>
    </row>
    <row r="41" spans="1:4" x14ac:dyDescent="0.25">
      <c r="A41" t="s">
        <v>228</v>
      </c>
    </row>
    <row r="42" spans="1:4" x14ac:dyDescent="0.25">
      <c r="A42" t="s">
        <v>229</v>
      </c>
    </row>
    <row r="43" spans="1:4" x14ac:dyDescent="0.25">
      <c r="A43" t="s">
        <v>230</v>
      </c>
    </row>
    <row r="44" spans="1:4" x14ac:dyDescent="0.25">
      <c r="A44" t="s">
        <v>231</v>
      </c>
    </row>
    <row r="45" spans="1:4" x14ac:dyDescent="0.25">
      <c r="A45" t="s">
        <v>232</v>
      </c>
    </row>
    <row r="46" spans="1:4" x14ac:dyDescent="0.25">
      <c r="A46" t="s">
        <v>233</v>
      </c>
    </row>
    <row r="47" spans="1:4" ht="17.5" x14ac:dyDescent="0.25">
      <c r="A47" s="86" t="s">
        <v>234</v>
      </c>
    </row>
    <row r="48" spans="1:4" x14ac:dyDescent="0.25">
      <c r="A48" t="s">
        <v>235</v>
      </c>
    </row>
    <row r="49" spans="1:4" x14ac:dyDescent="0.25">
      <c r="A49" t="s">
        <v>236</v>
      </c>
    </row>
    <row r="50" spans="1:4" x14ac:dyDescent="0.25">
      <c r="A50" t="s">
        <v>237</v>
      </c>
    </row>
    <row r="51" spans="1:4" x14ac:dyDescent="0.25">
      <c r="A51" s="84" t="s">
        <v>238</v>
      </c>
      <c r="B51" s="110">
        <f>PL数据!B2/PL数据!C2-1</f>
        <v>0.355494925790242</v>
      </c>
      <c r="C51" s="110">
        <f>PL数据!C2/PL数据!D2-1</f>
        <v>0.45614631399065453</v>
      </c>
      <c r="D51" s="110">
        <f>PL数据!D2/PL数据!E2-1</f>
        <v>0.64669135445039472</v>
      </c>
    </row>
    <row r="52" spans="1:4" x14ac:dyDescent="0.25">
      <c r="A52" t="s">
        <v>239</v>
      </c>
      <c r="B52">
        <v>0</v>
      </c>
      <c r="C52">
        <v>0</v>
      </c>
      <c r="D52" s="79">
        <v>0</v>
      </c>
    </row>
    <row r="53" spans="1:4" x14ac:dyDescent="0.25">
      <c r="A53" s="84" t="s">
        <v>240</v>
      </c>
      <c r="B53" s="110">
        <f>PL数据!B41/PL数据!C41-1</f>
        <v>0.82350570874229989</v>
      </c>
      <c r="C53" s="110">
        <f>PL数据!C41/PL数据!D41-1</f>
        <v>1.8303705732592754</v>
      </c>
      <c r="D53" s="110">
        <f>PL数据!D41/PL数据!E41-1</f>
        <v>12.596398046398047</v>
      </c>
    </row>
    <row r="54" spans="1:4" x14ac:dyDescent="0.25">
      <c r="A54" t="s">
        <v>241</v>
      </c>
    </row>
    <row r="55" spans="1:4" x14ac:dyDescent="0.25">
      <c r="A55" t="s">
        <v>242</v>
      </c>
    </row>
    <row r="56" spans="1:4" x14ac:dyDescent="0.25">
      <c r="A56" t="s">
        <v>243</v>
      </c>
    </row>
    <row r="57" spans="1:4" x14ac:dyDescent="0.25">
      <c r="A57" t="s">
        <v>244</v>
      </c>
    </row>
    <row r="58" spans="1:4" x14ac:dyDescent="0.25">
      <c r="A58" t="s">
        <v>245</v>
      </c>
    </row>
    <row r="59" spans="1:4" ht="17.5" x14ac:dyDescent="0.25">
      <c r="A59" s="86" t="s">
        <v>246</v>
      </c>
    </row>
    <row r="60" spans="1:4" x14ac:dyDescent="0.25">
      <c r="A60" t="s">
        <v>247</v>
      </c>
    </row>
    <row r="61" spans="1:4" x14ac:dyDescent="0.25">
      <c r="A61" t="s">
        <v>248</v>
      </c>
    </row>
    <row r="62" spans="1:4" x14ac:dyDescent="0.25">
      <c r="A62" t="s">
        <v>249</v>
      </c>
    </row>
    <row r="63" spans="1:4" x14ac:dyDescent="0.25">
      <c r="A63" t="s">
        <v>250</v>
      </c>
    </row>
    <row r="64" spans="1:4" x14ac:dyDescent="0.25">
      <c r="A64" t="s">
        <v>251</v>
      </c>
    </row>
    <row r="65" spans="1:1" x14ac:dyDescent="0.25">
      <c r="A65" t="s">
        <v>252</v>
      </c>
    </row>
    <row r="66" spans="1:1" x14ac:dyDescent="0.25">
      <c r="A66" t="s">
        <v>253</v>
      </c>
    </row>
    <row r="67" spans="1:1" ht="17.5" x14ac:dyDescent="0.25">
      <c r="A67" s="86" t="s">
        <v>254</v>
      </c>
    </row>
    <row r="68" spans="1:1" x14ac:dyDescent="0.25">
      <c r="A68" t="s">
        <v>255</v>
      </c>
    </row>
    <row r="69" spans="1:1" x14ac:dyDescent="0.25">
      <c r="A69" t="s">
        <v>256</v>
      </c>
    </row>
    <row r="70" spans="1:1" x14ac:dyDescent="0.25">
      <c r="A70" t="s">
        <v>257</v>
      </c>
    </row>
    <row r="71" spans="1:1" x14ac:dyDescent="0.25">
      <c r="A71" t="s">
        <v>258</v>
      </c>
    </row>
    <row r="72" spans="1:1" x14ac:dyDescent="0.25">
      <c r="A72" t="s">
        <v>259</v>
      </c>
    </row>
    <row r="73" spans="1:1" x14ac:dyDescent="0.25">
      <c r="A73" t="s">
        <v>260</v>
      </c>
    </row>
  </sheetData>
  <phoneticPr fontId="3"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53CFF-F19C-4F7F-9A1D-54EAC9B8FE4F}">
  <sheetPr codeName="Sheet20">
    <tabColor rgb="FFFFFF00"/>
  </sheetPr>
  <dimension ref="A1:Q18"/>
  <sheetViews>
    <sheetView workbookViewId="0">
      <selection activeCell="M28" sqref="M28"/>
    </sheetView>
  </sheetViews>
  <sheetFormatPr defaultRowHeight="14" x14ac:dyDescent="0.25"/>
  <cols>
    <col min="1" max="1" width="4.08984375" style="89" customWidth="1"/>
    <col min="2" max="3" width="12.453125" style="89" customWidth="1"/>
    <col min="4" max="4" width="9" style="89"/>
    <col min="5" max="5" width="12.7265625" style="89" bestFit="1" customWidth="1"/>
    <col min="6" max="6" width="13.7265625" style="89" customWidth="1"/>
    <col min="7" max="7" width="8.453125" style="89" customWidth="1"/>
    <col min="8" max="8" width="15.26953125" style="89" customWidth="1"/>
    <col min="9" max="9" width="15.08984375" style="89" customWidth="1"/>
    <col min="10" max="10" width="8.36328125" style="89" customWidth="1"/>
    <col min="11" max="11" width="13.36328125" style="89" customWidth="1"/>
    <col min="12" max="12" width="12.7265625" style="89" bestFit="1" customWidth="1"/>
    <col min="13" max="13" width="12.453125" style="89" customWidth="1"/>
    <col min="14" max="14" width="6.6328125" style="89" customWidth="1"/>
    <col min="15" max="15" width="12.7265625" style="89" bestFit="1" customWidth="1"/>
    <col min="16" max="16" width="11.453125" style="89" customWidth="1"/>
    <col min="17" max="256" width="9" style="89"/>
    <col min="257" max="257" width="4.08984375" style="89" customWidth="1"/>
    <col min="258" max="258" width="8.36328125" style="89" customWidth="1"/>
    <col min="259" max="259" width="9.08984375" style="89" bestFit="1" customWidth="1"/>
    <col min="260" max="260" width="9" style="89"/>
    <col min="261" max="261" width="10.453125" style="89" bestFit="1" customWidth="1"/>
    <col min="262" max="262" width="9.7265625" style="89" customWidth="1"/>
    <col min="263" max="263" width="8.453125" style="89" customWidth="1"/>
    <col min="264" max="264" width="9.36328125" style="89" customWidth="1"/>
    <col min="265" max="265" width="9" style="89"/>
    <col min="266" max="266" width="8.36328125" style="89" customWidth="1"/>
    <col min="267" max="267" width="9.90625" style="89" customWidth="1"/>
    <col min="268" max="268" width="9.6328125" style="89" bestFit="1" customWidth="1"/>
    <col min="269" max="269" width="9.08984375" style="89" customWidth="1"/>
    <col min="270" max="270" width="6.6328125" style="89" customWidth="1"/>
    <col min="271" max="272" width="9.453125" style="89" bestFit="1" customWidth="1"/>
    <col min="273" max="512" width="9" style="89"/>
    <col min="513" max="513" width="4.08984375" style="89" customWidth="1"/>
    <col min="514" max="514" width="8.36328125" style="89" customWidth="1"/>
    <col min="515" max="515" width="9.08984375" style="89" bestFit="1" customWidth="1"/>
    <col min="516" max="516" width="9" style="89"/>
    <col min="517" max="517" width="10.453125" style="89" bestFit="1" customWidth="1"/>
    <col min="518" max="518" width="9.7265625" style="89" customWidth="1"/>
    <col min="519" max="519" width="8.453125" style="89" customWidth="1"/>
    <col min="520" max="520" width="9.36328125" style="89" customWidth="1"/>
    <col min="521" max="521" width="9" style="89"/>
    <col min="522" max="522" width="8.36328125" style="89" customWidth="1"/>
    <col min="523" max="523" width="9.90625" style="89" customWidth="1"/>
    <col min="524" max="524" width="9.6328125" style="89" bestFit="1" customWidth="1"/>
    <col min="525" max="525" width="9.08984375" style="89" customWidth="1"/>
    <col min="526" max="526" width="6.6328125" style="89" customWidth="1"/>
    <col min="527" max="528" width="9.453125" style="89" bestFit="1" customWidth="1"/>
    <col min="529" max="768" width="9" style="89"/>
    <col min="769" max="769" width="4.08984375" style="89" customWidth="1"/>
    <col min="770" max="770" width="8.36328125" style="89" customWidth="1"/>
    <col min="771" max="771" width="9.08984375" style="89" bestFit="1" customWidth="1"/>
    <col min="772" max="772" width="9" style="89"/>
    <col min="773" max="773" width="10.453125" style="89" bestFit="1" customWidth="1"/>
    <col min="774" max="774" width="9.7265625" style="89" customWidth="1"/>
    <col min="775" max="775" width="8.453125" style="89" customWidth="1"/>
    <col min="776" max="776" width="9.36328125" style="89" customWidth="1"/>
    <col min="777" max="777" width="9" style="89"/>
    <col min="778" max="778" width="8.36328125" style="89" customWidth="1"/>
    <col min="779" max="779" width="9.90625" style="89" customWidth="1"/>
    <col min="780" max="780" width="9.6328125" style="89" bestFit="1" customWidth="1"/>
    <col min="781" max="781" width="9.08984375" style="89" customWidth="1"/>
    <col min="782" max="782" width="6.6328125" style="89" customWidth="1"/>
    <col min="783" max="784" width="9.453125" style="89" bestFit="1" customWidth="1"/>
    <col min="785" max="1024" width="9" style="89"/>
    <col min="1025" max="1025" width="4.08984375" style="89" customWidth="1"/>
    <col min="1026" max="1026" width="8.36328125" style="89" customWidth="1"/>
    <col min="1027" max="1027" width="9.08984375" style="89" bestFit="1" customWidth="1"/>
    <col min="1028" max="1028" width="9" style="89"/>
    <col min="1029" max="1029" width="10.453125" style="89" bestFit="1" customWidth="1"/>
    <col min="1030" max="1030" width="9.7265625" style="89" customWidth="1"/>
    <col min="1031" max="1031" width="8.453125" style="89" customWidth="1"/>
    <col min="1032" max="1032" width="9.36328125" style="89" customWidth="1"/>
    <col min="1033" max="1033" width="9" style="89"/>
    <col min="1034" max="1034" width="8.36328125" style="89" customWidth="1"/>
    <col min="1035" max="1035" width="9.90625" style="89" customWidth="1"/>
    <col min="1036" max="1036" width="9.6328125" style="89" bestFit="1" customWidth="1"/>
    <col min="1037" max="1037" width="9.08984375" style="89" customWidth="1"/>
    <col min="1038" max="1038" width="6.6328125" style="89" customWidth="1"/>
    <col min="1039" max="1040" width="9.453125" style="89" bestFit="1" customWidth="1"/>
    <col min="1041" max="1280" width="9" style="89"/>
    <col min="1281" max="1281" width="4.08984375" style="89" customWidth="1"/>
    <col min="1282" max="1282" width="8.36328125" style="89" customWidth="1"/>
    <col min="1283" max="1283" width="9.08984375" style="89" bestFit="1" customWidth="1"/>
    <col min="1284" max="1284" width="9" style="89"/>
    <col min="1285" max="1285" width="10.453125" style="89" bestFit="1" customWidth="1"/>
    <col min="1286" max="1286" width="9.7265625" style="89" customWidth="1"/>
    <col min="1287" max="1287" width="8.453125" style="89" customWidth="1"/>
    <col min="1288" max="1288" width="9.36328125" style="89" customWidth="1"/>
    <col min="1289" max="1289" width="9" style="89"/>
    <col min="1290" max="1290" width="8.36328125" style="89" customWidth="1"/>
    <col min="1291" max="1291" width="9.90625" style="89" customWidth="1"/>
    <col min="1292" max="1292" width="9.6328125" style="89" bestFit="1" customWidth="1"/>
    <col min="1293" max="1293" width="9.08984375" style="89" customWidth="1"/>
    <col min="1294" max="1294" width="6.6328125" style="89" customWidth="1"/>
    <col min="1295" max="1296" width="9.453125" style="89" bestFit="1" customWidth="1"/>
    <col min="1297" max="1536" width="9" style="89"/>
    <col min="1537" max="1537" width="4.08984375" style="89" customWidth="1"/>
    <col min="1538" max="1538" width="8.36328125" style="89" customWidth="1"/>
    <col min="1539" max="1539" width="9.08984375" style="89" bestFit="1" customWidth="1"/>
    <col min="1540" max="1540" width="9" style="89"/>
    <col min="1541" max="1541" width="10.453125" style="89" bestFit="1" customWidth="1"/>
    <col min="1542" max="1542" width="9.7265625" style="89" customWidth="1"/>
    <col min="1543" max="1543" width="8.453125" style="89" customWidth="1"/>
    <col min="1544" max="1544" width="9.36328125" style="89" customWidth="1"/>
    <col min="1545" max="1545" width="9" style="89"/>
    <col min="1546" max="1546" width="8.36328125" style="89" customWidth="1"/>
    <col min="1547" max="1547" width="9.90625" style="89" customWidth="1"/>
    <col min="1548" max="1548" width="9.6328125" style="89" bestFit="1" customWidth="1"/>
    <col min="1549" max="1549" width="9.08984375" style="89" customWidth="1"/>
    <col min="1550" max="1550" width="6.6328125" style="89" customWidth="1"/>
    <col min="1551" max="1552" width="9.453125" style="89" bestFit="1" customWidth="1"/>
    <col min="1553" max="1792" width="9" style="89"/>
    <col min="1793" max="1793" width="4.08984375" style="89" customWidth="1"/>
    <col min="1794" max="1794" width="8.36328125" style="89" customWidth="1"/>
    <col min="1795" max="1795" width="9.08984375" style="89" bestFit="1" customWidth="1"/>
    <col min="1796" max="1796" width="9" style="89"/>
    <col min="1797" max="1797" width="10.453125" style="89" bestFit="1" customWidth="1"/>
    <col min="1798" max="1798" width="9.7265625" style="89" customWidth="1"/>
    <col min="1799" max="1799" width="8.453125" style="89" customWidth="1"/>
    <col min="1800" max="1800" width="9.36328125" style="89" customWidth="1"/>
    <col min="1801" max="1801" width="9" style="89"/>
    <col min="1802" max="1802" width="8.36328125" style="89" customWidth="1"/>
    <col min="1803" max="1803" width="9.90625" style="89" customWidth="1"/>
    <col min="1804" max="1804" width="9.6328125" style="89" bestFit="1" customWidth="1"/>
    <col min="1805" max="1805" width="9.08984375" style="89" customWidth="1"/>
    <col min="1806" max="1806" width="6.6328125" style="89" customWidth="1"/>
    <col min="1807" max="1808" width="9.453125" style="89" bestFit="1" customWidth="1"/>
    <col min="1809" max="2048" width="9" style="89"/>
    <col min="2049" max="2049" width="4.08984375" style="89" customWidth="1"/>
    <col min="2050" max="2050" width="8.36328125" style="89" customWidth="1"/>
    <col min="2051" max="2051" width="9.08984375" style="89" bestFit="1" customWidth="1"/>
    <col min="2052" max="2052" width="9" style="89"/>
    <col min="2053" max="2053" width="10.453125" style="89" bestFit="1" customWidth="1"/>
    <col min="2054" max="2054" width="9.7265625" style="89" customWidth="1"/>
    <col min="2055" max="2055" width="8.453125" style="89" customWidth="1"/>
    <col min="2056" max="2056" width="9.36328125" style="89" customWidth="1"/>
    <col min="2057" max="2057" width="9" style="89"/>
    <col min="2058" max="2058" width="8.36328125" style="89" customWidth="1"/>
    <col min="2059" max="2059" width="9.90625" style="89" customWidth="1"/>
    <col min="2060" max="2060" width="9.6328125" style="89" bestFit="1" customWidth="1"/>
    <col min="2061" max="2061" width="9.08984375" style="89" customWidth="1"/>
    <col min="2062" max="2062" width="6.6328125" style="89" customWidth="1"/>
    <col min="2063" max="2064" width="9.453125" style="89" bestFit="1" customWidth="1"/>
    <col min="2065" max="2304" width="9" style="89"/>
    <col min="2305" max="2305" width="4.08984375" style="89" customWidth="1"/>
    <col min="2306" max="2306" width="8.36328125" style="89" customWidth="1"/>
    <col min="2307" max="2307" width="9.08984375" style="89" bestFit="1" customWidth="1"/>
    <col min="2308" max="2308" width="9" style="89"/>
    <col min="2309" max="2309" width="10.453125" style="89" bestFit="1" customWidth="1"/>
    <col min="2310" max="2310" width="9.7265625" style="89" customWidth="1"/>
    <col min="2311" max="2311" width="8.453125" style="89" customWidth="1"/>
    <col min="2312" max="2312" width="9.36328125" style="89" customWidth="1"/>
    <col min="2313" max="2313" width="9" style="89"/>
    <col min="2314" max="2314" width="8.36328125" style="89" customWidth="1"/>
    <col min="2315" max="2315" width="9.90625" style="89" customWidth="1"/>
    <col min="2316" max="2316" width="9.6328125" style="89" bestFit="1" customWidth="1"/>
    <col min="2317" max="2317" width="9.08984375" style="89" customWidth="1"/>
    <col min="2318" max="2318" width="6.6328125" style="89" customWidth="1"/>
    <col min="2319" max="2320" width="9.453125" style="89" bestFit="1" customWidth="1"/>
    <col min="2321" max="2560" width="9" style="89"/>
    <col min="2561" max="2561" width="4.08984375" style="89" customWidth="1"/>
    <col min="2562" max="2562" width="8.36328125" style="89" customWidth="1"/>
    <col min="2563" max="2563" width="9.08984375" style="89" bestFit="1" customWidth="1"/>
    <col min="2564" max="2564" width="9" style="89"/>
    <col min="2565" max="2565" width="10.453125" style="89" bestFit="1" customWidth="1"/>
    <col min="2566" max="2566" width="9.7265625" style="89" customWidth="1"/>
    <col min="2567" max="2567" width="8.453125" style="89" customWidth="1"/>
    <col min="2568" max="2568" width="9.36328125" style="89" customWidth="1"/>
    <col min="2569" max="2569" width="9" style="89"/>
    <col min="2570" max="2570" width="8.36328125" style="89" customWidth="1"/>
    <col min="2571" max="2571" width="9.90625" style="89" customWidth="1"/>
    <col min="2572" max="2572" width="9.6328125" style="89" bestFit="1" customWidth="1"/>
    <col min="2573" max="2573" width="9.08984375" style="89" customWidth="1"/>
    <col min="2574" max="2574" width="6.6328125" style="89" customWidth="1"/>
    <col min="2575" max="2576" width="9.453125" style="89" bestFit="1" customWidth="1"/>
    <col min="2577" max="2816" width="9" style="89"/>
    <col min="2817" max="2817" width="4.08984375" style="89" customWidth="1"/>
    <col min="2818" max="2818" width="8.36328125" style="89" customWidth="1"/>
    <col min="2819" max="2819" width="9.08984375" style="89" bestFit="1" customWidth="1"/>
    <col min="2820" max="2820" width="9" style="89"/>
    <col min="2821" max="2821" width="10.453125" style="89" bestFit="1" customWidth="1"/>
    <col min="2822" max="2822" width="9.7265625" style="89" customWidth="1"/>
    <col min="2823" max="2823" width="8.453125" style="89" customWidth="1"/>
    <col min="2824" max="2824" width="9.36328125" style="89" customWidth="1"/>
    <col min="2825" max="2825" width="9" style="89"/>
    <col min="2826" max="2826" width="8.36328125" style="89" customWidth="1"/>
    <col min="2827" max="2827" width="9.90625" style="89" customWidth="1"/>
    <col min="2828" max="2828" width="9.6328125" style="89" bestFit="1" customWidth="1"/>
    <col min="2829" max="2829" width="9.08984375" style="89" customWidth="1"/>
    <col min="2830" max="2830" width="6.6328125" style="89" customWidth="1"/>
    <col min="2831" max="2832" width="9.453125" style="89" bestFit="1" customWidth="1"/>
    <col min="2833" max="3072" width="9" style="89"/>
    <col min="3073" max="3073" width="4.08984375" style="89" customWidth="1"/>
    <col min="3074" max="3074" width="8.36328125" style="89" customWidth="1"/>
    <col min="3075" max="3075" width="9.08984375" style="89" bestFit="1" customWidth="1"/>
    <col min="3076" max="3076" width="9" style="89"/>
    <col min="3077" max="3077" width="10.453125" style="89" bestFit="1" customWidth="1"/>
    <col min="3078" max="3078" width="9.7265625" style="89" customWidth="1"/>
    <col min="3079" max="3079" width="8.453125" style="89" customWidth="1"/>
    <col min="3080" max="3080" width="9.36328125" style="89" customWidth="1"/>
    <col min="3081" max="3081" width="9" style="89"/>
    <col min="3082" max="3082" width="8.36328125" style="89" customWidth="1"/>
    <col min="3083" max="3083" width="9.90625" style="89" customWidth="1"/>
    <col min="3084" max="3084" width="9.6328125" style="89" bestFit="1" customWidth="1"/>
    <col min="3085" max="3085" width="9.08984375" style="89" customWidth="1"/>
    <col min="3086" max="3086" width="6.6328125" style="89" customWidth="1"/>
    <col min="3087" max="3088" width="9.453125" style="89" bestFit="1" customWidth="1"/>
    <col min="3089" max="3328" width="9" style="89"/>
    <col min="3329" max="3329" width="4.08984375" style="89" customWidth="1"/>
    <col min="3330" max="3330" width="8.36328125" style="89" customWidth="1"/>
    <col min="3331" max="3331" width="9.08984375" style="89" bestFit="1" customWidth="1"/>
    <col min="3332" max="3332" width="9" style="89"/>
    <col min="3333" max="3333" width="10.453125" style="89" bestFit="1" customWidth="1"/>
    <col min="3334" max="3334" width="9.7265625" style="89" customWidth="1"/>
    <col min="3335" max="3335" width="8.453125" style="89" customWidth="1"/>
    <col min="3336" max="3336" width="9.36328125" style="89" customWidth="1"/>
    <col min="3337" max="3337" width="9" style="89"/>
    <col min="3338" max="3338" width="8.36328125" style="89" customWidth="1"/>
    <col min="3339" max="3339" width="9.90625" style="89" customWidth="1"/>
    <col min="3340" max="3340" width="9.6328125" style="89" bestFit="1" customWidth="1"/>
    <col min="3341" max="3341" width="9.08984375" style="89" customWidth="1"/>
    <col min="3342" max="3342" width="6.6328125" style="89" customWidth="1"/>
    <col min="3343" max="3344" width="9.453125" style="89" bestFit="1" customWidth="1"/>
    <col min="3345" max="3584" width="9" style="89"/>
    <col min="3585" max="3585" width="4.08984375" style="89" customWidth="1"/>
    <col min="3586" max="3586" width="8.36328125" style="89" customWidth="1"/>
    <col min="3587" max="3587" width="9.08984375" style="89" bestFit="1" customWidth="1"/>
    <col min="3588" max="3588" width="9" style="89"/>
    <col min="3589" max="3589" width="10.453125" style="89" bestFit="1" customWidth="1"/>
    <col min="3590" max="3590" width="9.7265625" style="89" customWidth="1"/>
    <col min="3591" max="3591" width="8.453125" style="89" customWidth="1"/>
    <col min="3592" max="3592" width="9.36328125" style="89" customWidth="1"/>
    <col min="3593" max="3593" width="9" style="89"/>
    <col min="3594" max="3594" width="8.36328125" style="89" customWidth="1"/>
    <col min="3595" max="3595" width="9.90625" style="89" customWidth="1"/>
    <col min="3596" max="3596" width="9.6328125" style="89" bestFit="1" customWidth="1"/>
    <col min="3597" max="3597" width="9.08984375" style="89" customWidth="1"/>
    <col min="3598" max="3598" width="6.6328125" style="89" customWidth="1"/>
    <col min="3599" max="3600" width="9.453125" style="89" bestFit="1" customWidth="1"/>
    <col min="3601" max="3840" width="9" style="89"/>
    <col min="3841" max="3841" width="4.08984375" style="89" customWidth="1"/>
    <col min="3842" max="3842" width="8.36328125" style="89" customWidth="1"/>
    <col min="3843" max="3843" width="9.08984375" style="89" bestFit="1" customWidth="1"/>
    <col min="3844" max="3844" width="9" style="89"/>
    <col min="3845" max="3845" width="10.453125" style="89" bestFit="1" customWidth="1"/>
    <col min="3846" max="3846" width="9.7265625" style="89" customWidth="1"/>
    <col min="3847" max="3847" width="8.453125" style="89" customWidth="1"/>
    <col min="3848" max="3848" width="9.36328125" style="89" customWidth="1"/>
    <col min="3849" max="3849" width="9" style="89"/>
    <col min="3850" max="3850" width="8.36328125" style="89" customWidth="1"/>
    <col min="3851" max="3851" width="9.90625" style="89" customWidth="1"/>
    <col min="3852" max="3852" width="9.6328125" style="89" bestFit="1" customWidth="1"/>
    <col min="3853" max="3853" width="9.08984375" style="89" customWidth="1"/>
    <col min="3854" max="3854" width="6.6328125" style="89" customWidth="1"/>
    <col min="3855" max="3856" width="9.453125" style="89" bestFit="1" customWidth="1"/>
    <col min="3857" max="4096" width="9" style="89"/>
    <col min="4097" max="4097" width="4.08984375" style="89" customWidth="1"/>
    <col min="4098" max="4098" width="8.36328125" style="89" customWidth="1"/>
    <col min="4099" max="4099" width="9.08984375" style="89" bestFit="1" customWidth="1"/>
    <col min="4100" max="4100" width="9" style="89"/>
    <col min="4101" max="4101" width="10.453125" style="89" bestFit="1" customWidth="1"/>
    <col min="4102" max="4102" width="9.7265625" style="89" customWidth="1"/>
    <col min="4103" max="4103" width="8.453125" style="89" customWidth="1"/>
    <col min="4104" max="4104" width="9.36328125" style="89" customWidth="1"/>
    <col min="4105" max="4105" width="9" style="89"/>
    <col min="4106" max="4106" width="8.36328125" style="89" customWidth="1"/>
    <col min="4107" max="4107" width="9.90625" style="89" customWidth="1"/>
    <col min="4108" max="4108" width="9.6328125" style="89" bestFit="1" customWidth="1"/>
    <col min="4109" max="4109" width="9.08984375" style="89" customWidth="1"/>
    <col min="4110" max="4110" width="6.6328125" style="89" customWidth="1"/>
    <col min="4111" max="4112" width="9.453125" style="89" bestFit="1" customWidth="1"/>
    <col min="4113" max="4352" width="9" style="89"/>
    <col min="4353" max="4353" width="4.08984375" style="89" customWidth="1"/>
    <col min="4354" max="4354" width="8.36328125" style="89" customWidth="1"/>
    <col min="4355" max="4355" width="9.08984375" style="89" bestFit="1" customWidth="1"/>
    <col min="4356" max="4356" width="9" style="89"/>
    <col min="4357" max="4357" width="10.453125" style="89" bestFit="1" customWidth="1"/>
    <col min="4358" max="4358" width="9.7265625" style="89" customWidth="1"/>
    <col min="4359" max="4359" width="8.453125" style="89" customWidth="1"/>
    <col min="4360" max="4360" width="9.36328125" style="89" customWidth="1"/>
    <col min="4361" max="4361" width="9" style="89"/>
    <col min="4362" max="4362" width="8.36328125" style="89" customWidth="1"/>
    <col min="4363" max="4363" width="9.90625" style="89" customWidth="1"/>
    <col min="4364" max="4364" width="9.6328125" style="89" bestFit="1" customWidth="1"/>
    <col min="4365" max="4365" width="9.08984375" style="89" customWidth="1"/>
    <col min="4366" max="4366" width="6.6328125" style="89" customWidth="1"/>
    <col min="4367" max="4368" width="9.453125" style="89" bestFit="1" customWidth="1"/>
    <col min="4369" max="4608" width="9" style="89"/>
    <col min="4609" max="4609" width="4.08984375" style="89" customWidth="1"/>
    <col min="4610" max="4610" width="8.36328125" style="89" customWidth="1"/>
    <col min="4611" max="4611" width="9.08984375" style="89" bestFit="1" customWidth="1"/>
    <col min="4612" max="4612" width="9" style="89"/>
    <col min="4613" max="4613" width="10.453125" style="89" bestFit="1" customWidth="1"/>
    <col min="4614" max="4614" width="9.7265625" style="89" customWidth="1"/>
    <col min="4615" max="4615" width="8.453125" style="89" customWidth="1"/>
    <col min="4616" max="4616" width="9.36328125" style="89" customWidth="1"/>
    <col min="4617" max="4617" width="9" style="89"/>
    <col min="4618" max="4618" width="8.36328125" style="89" customWidth="1"/>
    <col min="4619" max="4619" width="9.90625" style="89" customWidth="1"/>
    <col min="4620" max="4620" width="9.6328125" style="89" bestFit="1" customWidth="1"/>
    <col min="4621" max="4621" width="9.08984375" style="89" customWidth="1"/>
    <col min="4622" max="4622" width="6.6328125" style="89" customWidth="1"/>
    <col min="4623" max="4624" width="9.453125" style="89" bestFit="1" customWidth="1"/>
    <col min="4625" max="4864" width="9" style="89"/>
    <col min="4865" max="4865" width="4.08984375" style="89" customWidth="1"/>
    <col min="4866" max="4866" width="8.36328125" style="89" customWidth="1"/>
    <col min="4867" max="4867" width="9.08984375" style="89" bestFit="1" customWidth="1"/>
    <col min="4868" max="4868" width="9" style="89"/>
    <col min="4869" max="4869" width="10.453125" style="89" bestFit="1" customWidth="1"/>
    <col min="4870" max="4870" width="9.7265625" style="89" customWidth="1"/>
    <col min="4871" max="4871" width="8.453125" style="89" customWidth="1"/>
    <col min="4872" max="4872" width="9.36328125" style="89" customWidth="1"/>
    <col min="4873" max="4873" width="9" style="89"/>
    <col min="4874" max="4874" width="8.36328125" style="89" customWidth="1"/>
    <col min="4875" max="4875" width="9.90625" style="89" customWidth="1"/>
    <col min="4876" max="4876" width="9.6328125" style="89" bestFit="1" customWidth="1"/>
    <col min="4877" max="4877" width="9.08984375" style="89" customWidth="1"/>
    <col min="4878" max="4878" width="6.6328125" style="89" customWidth="1"/>
    <col min="4879" max="4880" width="9.453125" style="89" bestFit="1" customWidth="1"/>
    <col min="4881" max="5120" width="9" style="89"/>
    <col min="5121" max="5121" width="4.08984375" style="89" customWidth="1"/>
    <col min="5122" max="5122" width="8.36328125" style="89" customWidth="1"/>
    <col min="5123" max="5123" width="9.08984375" style="89" bestFit="1" customWidth="1"/>
    <col min="5124" max="5124" width="9" style="89"/>
    <col min="5125" max="5125" width="10.453125" style="89" bestFit="1" customWidth="1"/>
    <col min="5126" max="5126" width="9.7265625" style="89" customWidth="1"/>
    <col min="5127" max="5127" width="8.453125" style="89" customWidth="1"/>
    <col min="5128" max="5128" width="9.36328125" style="89" customWidth="1"/>
    <col min="5129" max="5129" width="9" style="89"/>
    <col min="5130" max="5130" width="8.36328125" style="89" customWidth="1"/>
    <col min="5131" max="5131" width="9.90625" style="89" customWidth="1"/>
    <col min="5132" max="5132" width="9.6328125" style="89" bestFit="1" customWidth="1"/>
    <col min="5133" max="5133" width="9.08984375" style="89" customWidth="1"/>
    <col min="5134" max="5134" width="6.6328125" style="89" customWidth="1"/>
    <col min="5135" max="5136" width="9.453125" style="89" bestFit="1" customWidth="1"/>
    <col min="5137" max="5376" width="9" style="89"/>
    <col min="5377" max="5377" width="4.08984375" style="89" customWidth="1"/>
    <col min="5378" max="5378" width="8.36328125" style="89" customWidth="1"/>
    <col min="5379" max="5379" width="9.08984375" style="89" bestFit="1" customWidth="1"/>
    <col min="5380" max="5380" width="9" style="89"/>
    <col min="5381" max="5381" width="10.453125" style="89" bestFit="1" customWidth="1"/>
    <col min="5382" max="5382" width="9.7265625" style="89" customWidth="1"/>
    <col min="5383" max="5383" width="8.453125" style="89" customWidth="1"/>
    <col min="5384" max="5384" width="9.36328125" style="89" customWidth="1"/>
    <col min="5385" max="5385" width="9" style="89"/>
    <col min="5386" max="5386" width="8.36328125" style="89" customWidth="1"/>
    <col min="5387" max="5387" width="9.90625" style="89" customWidth="1"/>
    <col min="5388" max="5388" width="9.6328125" style="89" bestFit="1" customWidth="1"/>
    <col min="5389" max="5389" width="9.08984375" style="89" customWidth="1"/>
    <col min="5390" max="5390" width="6.6328125" style="89" customWidth="1"/>
    <col min="5391" max="5392" width="9.453125" style="89" bestFit="1" customWidth="1"/>
    <col min="5393" max="5632" width="9" style="89"/>
    <col min="5633" max="5633" width="4.08984375" style="89" customWidth="1"/>
    <col min="5634" max="5634" width="8.36328125" style="89" customWidth="1"/>
    <col min="5635" max="5635" width="9.08984375" style="89" bestFit="1" customWidth="1"/>
    <col min="5636" max="5636" width="9" style="89"/>
    <col min="5637" max="5637" width="10.453125" style="89" bestFit="1" customWidth="1"/>
    <col min="5638" max="5638" width="9.7265625" style="89" customWidth="1"/>
    <col min="5639" max="5639" width="8.453125" style="89" customWidth="1"/>
    <col min="5640" max="5640" width="9.36328125" style="89" customWidth="1"/>
    <col min="5641" max="5641" width="9" style="89"/>
    <col min="5642" max="5642" width="8.36328125" style="89" customWidth="1"/>
    <col min="5643" max="5643" width="9.90625" style="89" customWidth="1"/>
    <col min="5644" max="5644" width="9.6328125" style="89" bestFit="1" customWidth="1"/>
    <col min="5645" max="5645" width="9.08984375" style="89" customWidth="1"/>
    <col min="5646" max="5646" width="6.6328125" style="89" customWidth="1"/>
    <col min="5647" max="5648" width="9.453125" style="89" bestFit="1" customWidth="1"/>
    <col min="5649" max="5888" width="9" style="89"/>
    <col min="5889" max="5889" width="4.08984375" style="89" customWidth="1"/>
    <col min="5890" max="5890" width="8.36328125" style="89" customWidth="1"/>
    <col min="5891" max="5891" width="9.08984375" style="89" bestFit="1" customWidth="1"/>
    <col min="5892" max="5892" width="9" style="89"/>
    <col min="5893" max="5893" width="10.453125" style="89" bestFit="1" customWidth="1"/>
    <col min="5894" max="5894" width="9.7265625" style="89" customWidth="1"/>
    <col min="5895" max="5895" width="8.453125" style="89" customWidth="1"/>
    <col min="5896" max="5896" width="9.36328125" style="89" customWidth="1"/>
    <col min="5897" max="5897" width="9" style="89"/>
    <col min="5898" max="5898" width="8.36328125" style="89" customWidth="1"/>
    <col min="5899" max="5899" width="9.90625" style="89" customWidth="1"/>
    <col min="5900" max="5900" width="9.6328125" style="89" bestFit="1" customWidth="1"/>
    <col min="5901" max="5901" width="9.08984375" style="89" customWidth="1"/>
    <col min="5902" max="5902" width="6.6328125" style="89" customWidth="1"/>
    <col min="5903" max="5904" width="9.453125" style="89" bestFit="1" customWidth="1"/>
    <col min="5905" max="6144" width="9" style="89"/>
    <col min="6145" max="6145" width="4.08984375" style="89" customWidth="1"/>
    <col min="6146" max="6146" width="8.36328125" style="89" customWidth="1"/>
    <col min="6147" max="6147" width="9.08984375" style="89" bestFit="1" customWidth="1"/>
    <col min="6148" max="6148" width="9" style="89"/>
    <col min="6149" max="6149" width="10.453125" style="89" bestFit="1" customWidth="1"/>
    <col min="6150" max="6150" width="9.7265625" style="89" customWidth="1"/>
    <col min="6151" max="6151" width="8.453125" style="89" customWidth="1"/>
    <col min="6152" max="6152" width="9.36328125" style="89" customWidth="1"/>
    <col min="6153" max="6153" width="9" style="89"/>
    <col min="6154" max="6154" width="8.36328125" style="89" customWidth="1"/>
    <col min="6155" max="6155" width="9.90625" style="89" customWidth="1"/>
    <col min="6156" max="6156" width="9.6328125" style="89" bestFit="1" customWidth="1"/>
    <col min="6157" max="6157" width="9.08984375" style="89" customWidth="1"/>
    <col min="6158" max="6158" width="6.6328125" style="89" customWidth="1"/>
    <col min="6159" max="6160" width="9.453125" style="89" bestFit="1" customWidth="1"/>
    <col min="6161" max="6400" width="9" style="89"/>
    <col min="6401" max="6401" width="4.08984375" style="89" customWidth="1"/>
    <col min="6402" max="6402" width="8.36328125" style="89" customWidth="1"/>
    <col min="6403" max="6403" width="9.08984375" style="89" bestFit="1" customWidth="1"/>
    <col min="6404" max="6404" width="9" style="89"/>
    <col min="6405" max="6405" width="10.453125" style="89" bestFit="1" customWidth="1"/>
    <col min="6406" max="6406" width="9.7265625" style="89" customWidth="1"/>
    <col min="6407" max="6407" width="8.453125" style="89" customWidth="1"/>
    <col min="6408" max="6408" width="9.36328125" style="89" customWidth="1"/>
    <col min="6409" max="6409" width="9" style="89"/>
    <col min="6410" max="6410" width="8.36328125" style="89" customWidth="1"/>
    <col min="6411" max="6411" width="9.90625" style="89" customWidth="1"/>
    <col min="6412" max="6412" width="9.6328125" style="89" bestFit="1" customWidth="1"/>
    <col min="6413" max="6413" width="9.08984375" style="89" customWidth="1"/>
    <col min="6414" max="6414" width="6.6328125" style="89" customWidth="1"/>
    <col min="6415" max="6416" width="9.453125" style="89" bestFit="1" customWidth="1"/>
    <col min="6417" max="6656" width="9" style="89"/>
    <col min="6657" max="6657" width="4.08984375" style="89" customWidth="1"/>
    <col min="6658" max="6658" width="8.36328125" style="89" customWidth="1"/>
    <col min="6659" max="6659" width="9.08984375" style="89" bestFit="1" customWidth="1"/>
    <col min="6660" max="6660" width="9" style="89"/>
    <col min="6661" max="6661" width="10.453125" style="89" bestFit="1" customWidth="1"/>
    <col min="6662" max="6662" width="9.7265625" style="89" customWidth="1"/>
    <col min="6663" max="6663" width="8.453125" style="89" customWidth="1"/>
    <col min="6664" max="6664" width="9.36328125" style="89" customWidth="1"/>
    <col min="6665" max="6665" width="9" style="89"/>
    <col min="6666" max="6666" width="8.36328125" style="89" customWidth="1"/>
    <col min="6667" max="6667" width="9.90625" style="89" customWidth="1"/>
    <col min="6668" max="6668" width="9.6328125" style="89" bestFit="1" customWidth="1"/>
    <col min="6669" max="6669" width="9.08984375" style="89" customWidth="1"/>
    <col min="6670" max="6670" width="6.6328125" style="89" customWidth="1"/>
    <col min="6671" max="6672" width="9.453125" style="89" bestFit="1" customWidth="1"/>
    <col min="6673" max="6912" width="9" style="89"/>
    <col min="6913" max="6913" width="4.08984375" style="89" customWidth="1"/>
    <col min="6914" max="6914" width="8.36328125" style="89" customWidth="1"/>
    <col min="6915" max="6915" width="9.08984375" style="89" bestFit="1" customWidth="1"/>
    <col min="6916" max="6916" width="9" style="89"/>
    <col min="6917" max="6917" width="10.453125" style="89" bestFit="1" customWidth="1"/>
    <col min="6918" max="6918" width="9.7265625" style="89" customWidth="1"/>
    <col min="6919" max="6919" width="8.453125" style="89" customWidth="1"/>
    <col min="6920" max="6920" width="9.36328125" style="89" customWidth="1"/>
    <col min="6921" max="6921" width="9" style="89"/>
    <col min="6922" max="6922" width="8.36328125" style="89" customWidth="1"/>
    <col min="6923" max="6923" width="9.90625" style="89" customWidth="1"/>
    <col min="6924" max="6924" width="9.6328125" style="89" bestFit="1" customWidth="1"/>
    <col min="6925" max="6925" width="9.08984375" style="89" customWidth="1"/>
    <col min="6926" max="6926" width="6.6328125" style="89" customWidth="1"/>
    <col min="6927" max="6928" width="9.453125" style="89" bestFit="1" customWidth="1"/>
    <col min="6929" max="7168" width="9" style="89"/>
    <col min="7169" max="7169" width="4.08984375" style="89" customWidth="1"/>
    <col min="7170" max="7170" width="8.36328125" style="89" customWidth="1"/>
    <col min="7171" max="7171" width="9.08984375" style="89" bestFit="1" customWidth="1"/>
    <col min="7172" max="7172" width="9" style="89"/>
    <col min="7173" max="7173" width="10.453125" style="89" bestFit="1" customWidth="1"/>
    <col min="7174" max="7174" width="9.7265625" style="89" customWidth="1"/>
    <col min="7175" max="7175" width="8.453125" style="89" customWidth="1"/>
    <col min="7176" max="7176" width="9.36328125" style="89" customWidth="1"/>
    <col min="7177" max="7177" width="9" style="89"/>
    <col min="7178" max="7178" width="8.36328125" style="89" customWidth="1"/>
    <col min="7179" max="7179" width="9.90625" style="89" customWidth="1"/>
    <col min="7180" max="7180" width="9.6328125" style="89" bestFit="1" customWidth="1"/>
    <col min="7181" max="7181" width="9.08984375" style="89" customWidth="1"/>
    <col min="7182" max="7182" width="6.6328125" style="89" customWidth="1"/>
    <col min="7183" max="7184" width="9.453125" style="89" bestFit="1" customWidth="1"/>
    <col min="7185" max="7424" width="9" style="89"/>
    <col min="7425" max="7425" width="4.08984375" style="89" customWidth="1"/>
    <col min="7426" max="7426" width="8.36328125" style="89" customWidth="1"/>
    <col min="7427" max="7427" width="9.08984375" style="89" bestFit="1" customWidth="1"/>
    <col min="7428" max="7428" width="9" style="89"/>
    <col min="7429" max="7429" width="10.453125" style="89" bestFit="1" customWidth="1"/>
    <col min="7430" max="7430" width="9.7265625" style="89" customWidth="1"/>
    <col min="7431" max="7431" width="8.453125" style="89" customWidth="1"/>
    <col min="7432" max="7432" width="9.36328125" style="89" customWidth="1"/>
    <col min="7433" max="7433" width="9" style="89"/>
    <col min="7434" max="7434" width="8.36328125" style="89" customWidth="1"/>
    <col min="7435" max="7435" width="9.90625" style="89" customWidth="1"/>
    <col min="7436" max="7436" width="9.6328125" style="89" bestFit="1" customWidth="1"/>
    <col min="7437" max="7437" width="9.08984375" style="89" customWidth="1"/>
    <col min="7438" max="7438" width="6.6328125" style="89" customWidth="1"/>
    <col min="7439" max="7440" width="9.453125" style="89" bestFit="1" customWidth="1"/>
    <col min="7441" max="7680" width="9" style="89"/>
    <col min="7681" max="7681" width="4.08984375" style="89" customWidth="1"/>
    <col min="7682" max="7682" width="8.36328125" style="89" customWidth="1"/>
    <col min="7683" max="7683" width="9.08984375" style="89" bestFit="1" customWidth="1"/>
    <col min="7684" max="7684" width="9" style="89"/>
    <col min="7685" max="7685" width="10.453125" style="89" bestFit="1" customWidth="1"/>
    <col min="7686" max="7686" width="9.7265625" style="89" customWidth="1"/>
    <col min="7687" max="7687" width="8.453125" style="89" customWidth="1"/>
    <col min="7688" max="7688" width="9.36328125" style="89" customWidth="1"/>
    <col min="7689" max="7689" width="9" style="89"/>
    <col min="7690" max="7690" width="8.36328125" style="89" customWidth="1"/>
    <col min="7691" max="7691" width="9.90625" style="89" customWidth="1"/>
    <col min="7692" max="7692" width="9.6328125" style="89" bestFit="1" customWidth="1"/>
    <col min="7693" max="7693" width="9.08984375" style="89" customWidth="1"/>
    <col min="7694" max="7694" width="6.6328125" style="89" customWidth="1"/>
    <col min="7695" max="7696" width="9.453125" style="89" bestFit="1" customWidth="1"/>
    <col min="7697" max="7936" width="9" style="89"/>
    <col min="7937" max="7937" width="4.08984375" style="89" customWidth="1"/>
    <col min="7938" max="7938" width="8.36328125" style="89" customWidth="1"/>
    <col min="7939" max="7939" width="9.08984375" style="89" bestFit="1" customWidth="1"/>
    <col min="7940" max="7940" width="9" style="89"/>
    <col min="7941" max="7941" width="10.453125" style="89" bestFit="1" customWidth="1"/>
    <col min="7942" max="7942" width="9.7265625" style="89" customWidth="1"/>
    <col min="7943" max="7943" width="8.453125" style="89" customWidth="1"/>
    <col min="7944" max="7944" width="9.36328125" style="89" customWidth="1"/>
    <col min="7945" max="7945" width="9" style="89"/>
    <col min="7946" max="7946" width="8.36328125" style="89" customWidth="1"/>
    <col min="7947" max="7947" width="9.90625" style="89" customWidth="1"/>
    <col min="7948" max="7948" width="9.6328125" style="89" bestFit="1" customWidth="1"/>
    <col min="7949" max="7949" width="9.08984375" style="89" customWidth="1"/>
    <col min="7950" max="7950" width="6.6328125" style="89" customWidth="1"/>
    <col min="7951" max="7952" width="9.453125" style="89" bestFit="1" customWidth="1"/>
    <col min="7953" max="8192" width="9" style="89"/>
    <col min="8193" max="8193" width="4.08984375" style="89" customWidth="1"/>
    <col min="8194" max="8194" width="8.36328125" style="89" customWidth="1"/>
    <col min="8195" max="8195" width="9.08984375" style="89" bestFit="1" customWidth="1"/>
    <col min="8196" max="8196" width="9" style="89"/>
    <col min="8197" max="8197" width="10.453125" style="89" bestFit="1" customWidth="1"/>
    <col min="8198" max="8198" width="9.7265625" style="89" customWidth="1"/>
    <col min="8199" max="8199" width="8.453125" style="89" customWidth="1"/>
    <col min="8200" max="8200" width="9.36328125" style="89" customWidth="1"/>
    <col min="8201" max="8201" width="9" style="89"/>
    <col min="8202" max="8202" width="8.36328125" style="89" customWidth="1"/>
    <col min="8203" max="8203" width="9.90625" style="89" customWidth="1"/>
    <col min="8204" max="8204" width="9.6328125" style="89" bestFit="1" customWidth="1"/>
    <col min="8205" max="8205" width="9.08984375" style="89" customWidth="1"/>
    <col min="8206" max="8206" width="6.6328125" style="89" customWidth="1"/>
    <col min="8207" max="8208" width="9.453125" style="89" bestFit="1" customWidth="1"/>
    <col min="8209" max="8448" width="9" style="89"/>
    <col min="8449" max="8449" width="4.08984375" style="89" customWidth="1"/>
    <col min="8450" max="8450" width="8.36328125" style="89" customWidth="1"/>
    <col min="8451" max="8451" width="9.08984375" style="89" bestFit="1" customWidth="1"/>
    <col min="8452" max="8452" width="9" style="89"/>
    <col min="8453" max="8453" width="10.453125" style="89" bestFit="1" customWidth="1"/>
    <col min="8454" max="8454" width="9.7265625" style="89" customWidth="1"/>
    <col min="8455" max="8455" width="8.453125" style="89" customWidth="1"/>
    <col min="8456" max="8456" width="9.36328125" style="89" customWidth="1"/>
    <col min="8457" max="8457" width="9" style="89"/>
    <col min="8458" max="8458" width="8.36328125" style="89" customWidth="1"/>
    <col min="8459" max="8459" width="9.90625" style="89" customWidth="1"/>
    <col min="8460" max="8460" width="9.6328125" style="89" bestFit="1" customWidth="1"/>
    <col min="8461" max="8461" width="9.08984375" style="89" customWidth="1"/>
    <col min="8462" max="8462" width="6.6328125" style="89" customWidth="1"/>
    <col min="8463" max="8464" width="9.453125" style="89" bestFit="1" customWidth="1"/>
    <col min="8465" max="8704" width="9" style="89"/>
    <col min="8705" max="8705" width="4.08984375" style="89" customWidth="1"/>
    <col min="8706" max="8706" width="8.36328125" style="89" customWidth="1"/>
    <col min="8707" max="8707" width="9.08984375" style="89" bestFit="1" customWidth="1"/>
    <col min="8708" max="8708" width="9" style="89"/>
    <col min="8709" max="8709" width="10.453125" style="89" bestFit="1" customWidth="1"/>
    <col min="8710" max="8710" width="9.7265625" style="89" customWidth="1"/>
    <col min="8711" max="8711" width="8.453125" style="89" customWidth="1"/>
    <col min="8712" max="8712" width="9.36328125" style="89" customWidth="1"/>
    <col min="8713" max="8713" width="9" style="89"/>
    <col min="8714" max="8714" width="8.36328125" style="89" customWidth="1"/>
    <col min="8715" max="8715" width="9.90625" style="89" customWidth="1"/>
    <col min="8716" max="8716" width="9.6328125" style="89" bestFit="1" customWidth="1"/>
    <col min="8717" max="8717" width="9.08984375" style="89" customWidth="1"/>
    <col min="8718" max="8718" width="6.6328125" style="89" customWidth="1"/>
    <col min="8719" max="8720" width="9.453125" style="89" bestFit="1" customWidth="1"/>
    <col min="8721" max="8960" width="9" style="89"/>
    <col min="8961" max="8961" width="4.08984375" style="89" customWidth="1"/>
    <col min="8962" max="8962" width="8.36328125" style="89" customWidth="1"/>
    <col min="8963" max="8963" width="9.08984375" style="89" bestFit="1" customWidth="1"/>
    <col min="8964" max="8964" width="9" style="89"/>
    <col min="8965" max="8965" width="10.453125" style="89" bestFit="1" customWidth="1"/>
    <col min="8966" max="8966" width="9.7265625" style="89" customWidth="1"/>
    <col min="8967" max="8967" width="8.453125" style="89" customWidth="1"/>
    <col min="8968" max="8968" width="9.36328125" style="89" customWidth="1"/>
    <col min="8969" max="8969" width="9" style="89"/>
    <col min="8970" max="8970" width="8.36328125" style="89" customWidth="1"/>
    <col min="8971" max="8971" width="9.90625" style="89" customWidth="1"/>
    <col min="8972" max="8972" width="9.6328125" style="89" bestFit="1" customWidth="1"/>
    <col min="8973" max="8973" width="9.08984375" style="89" customWidth="1"/>
    <col min="8974" max="8974" width="6.6328125" style="89" customWidth="1"/>
    <col min="8975" max="8976" width="9.453125" style="89" bestFit="1" customWidth="1"/>
    <col min="8977" max="9216" width="9" style="89"/>
    <col min="9217" max="9217" width="4.08984375" style="89" customWidth="1"/>
    <col min="9218" max="9218" width="8.36328125" style="89" customWidth="1"/>
    <col min="9219" max="9219" width="9.08984375" style="89" bestFit="1" customWidth="1"/>
    <col min="9220" max="9220" width="9" style="89"/>
    <col min="9221" max="9221" width="10.453125" style="89" bestFit="1" customWidth="1"/>
    <col min="9222" max="9222" width="9.7265625" style="89" customWidth="1"/>
    <col min="9223" max="9223" width="8.453125" style="89" customWidth="1"/>
    <col min="9224" max="9224" width="9.36328125" style="89" customWidth="1"/>
    <col min="9225" max="9225" width="9" style="89"/>
    <col min="9226" max="9226" width="8.36328125" style="89" customWidth="1"/>
    <col min="9227" max="9227" width="9.90625" style="89" customWidth="1"/>
    <col min="9228" max="9228" width="9.6328125" style="89" bestFit="1" customWidth="1"/>
    <col min="9229" max="9229" width="9.08984375" style="89" customWidth="1"/>
    <col min="9230" max="9230" width="6.6328125" style="89" customWidth="1"/>
    <col min="9231" max="9232" width="9.453125" style="89" bestFit="1" customWidth="1"/>
    <col min="9233" max="9472" width="9" style="89"/>
    <col min="9473" max="9473" width="4.08984375" style="89" customWidth="1"/>
    <col min="9474" max="9474" width="8.36328125" style="89" customWidth="1"/>
    <col min="9475" max="9475" width="9.08984375" style="89" bestFit="1" customWidth="1"/>
    <col min="9476" max="9476" width="9" style="89"/>
    <col min="9477" max="9477" width="10.453125" style="89" bestFit="1" customWidth="1"/>
    <col min="9478" max="9478" width="9.7265625" style="89" customWidth="1"/>
    <col min="9479" max="9479" width="8.453125" style="89" customWidth="1"/>
    <col min="9480" max="9480" width="9.36328125" style="89" customWidth="1"/>
    <col min="9481" max="9481" width="9" style="89"/>
    <col min="9482" max="9482" width="8.36328125" style="89" customWidth="1"/>
    <col min="9483" max="9483" width="9.90625" style="89" customWidth="1"/>
    <col min="9484" max="9484" width="9.6328125" style="89" bestFit="1" customWidth="1"/>
    <col min="9485" max="9485" width="9.08984375" style="89" customWidth="1"/>
    <col min="9486" max="9486" width="6.6328125" style="89" customWidth="1"/>
    <col min="9487" max="9488" width="9.453125" style="89" bestFit="1" customWidth="1"/>
    <col min="9489" max="9728" width="9" style="89"/>
    <col min="9729" max="9729" width="4.08984375" style="89" customWidth="1"/>
    <col min="9730" max="9730" width="8.36328125" style="89" customWidth="1"/>
    <col min="9731" max="9731" width="9.08984375" style="89" bestFit="1" customWidth="1"/>
    <col min="9732" max="9732" width="9" style="89"/>
    <col min="9733" max="9733" width="10.453125" style="89" bestFit="1" customWidth="1"/>
    <col min="9734" max="9734" width="9.7265625" style="89" customWidth="1"/>
    <col min="9735" max="9735" width="8.453125" style="89" customWidth="1"/>
    <col min="9736" max="9736" width="9.36328125" style="89" customWidth="1"/>
    <col min="9737" max="9737" width="9" style="89"/>
    <col min="9738" max="9738" width="8.36328125" style="89" customWidth="1"/>
    <col min="9739" max="9739" width="9.90625" style="89" customWidth="1"/>
    <col min="9740" max="9740" width="9.6328125" style="89" bestFit="1" customWidth="1"/>
    <col min="9741" max="9741" width="9.08984375" style="89" customWidth="1"/>
    <col min="9742" max="9742" width="6.6328125" style="89" customWidth="1"/>
    <col min="9743" max="9744" width="9.453125" style="89" bestFit="1" customWidth="1"/>
    <col min="9745" max="9984" width="9" style="89"/>
    <col min="9985" max="9985" width="4.08984375" style="89" customWidth="1"/>
    <col min="9986" max="9986" width="8.36328125" style="89" customWidth="1"/>
    <col min="9987" max="9987" width="9.08984375" style="89" bestFit="1" customWidth="1"/>
    <col min="9988" max="9988" width="9" style="89"/>
    <col min="9989" max="9989" width="10.453125" style="89" bestFit="1" customWidth="1"/>
    <col min="9990" max="9990" width="9.7265625" style="89" customWidth="1"/>
    <col min="9991" max="9991" width="8.453125" style="89" customWidth="1"/>
    <col min="9992" max="9992" width="9.36328125" style="89" customWidth="1"/>
    <col min="9993" max="9993" width="9" style="89"/>
    <col min="9994" max="9994" width="8.36328125" style="89" customWidth="1"/>
    <col min="9995" max="9995" width="9.90625" style="89" customWidth="1"/>
    <col min="9996" max="9996" width="9.6328125" style="89" bestFit="1" customWidth="1"/>
    <col min="9997" max="9997" width="9.08984375" style="89" customWidth="1"/>
    <col min="9998" max="9998" width="6.6328125" style="89" customWidth="1"/>
    <col min="9999" max="10000" width="9.453125" style="89" bestFit="1" customWidth="1"/>
    <col min="10001" max="10240" width="9" style="89"/>
    <col min="10241" max="10241" width="4.08984375" style="89" customWidth="1"/>
    <col min="10242" max="10242" width="8.36328125" style="89" customWidth="1"/>
    <col min="10243" max="10243" width="9.08984375" style="89" bestFit="1" customWidth="1"/>
    <col min="10244" max="10244" width="9" style="89"/>
    <col min="10245" max="10245" width="10.453125" style="89" bestFit="1" customWidth="1"/>
    <col min="10246" max="10246" width="9.7265625" style="89" customWidth="1"/>
    <col min="10247" max="10247" width="8.453125" style="89" customWidth="1"/>
    <col min="10248" max="10248" width="9.36328125" style="89" customWidth="1"/>
    <col min="10249" max="10249" width="9" style="89"/>
    <col min="10250" max="10250" width="8.36328125" style="89" customWidth="1"/>
    <col min="10251" max="10251" width="9.90625" style="89" customWidth="1"/>
    <col min="10252" max="10252" width="9.6328125" style="89" bestFit="1" customWidth="1"/>
    <col min="10253" max="10253" width="9.08984375" style="89" customWidth="1"/>
    <col min="10254" max="10254" width="6.6328125" style="89" customWidth="1"/>
    <col min="10255" max="10256" width="9.453125" style="89" bestFit="1" customWidth="1"/>
    <col min="10257" max="10496" width="9" style="89"/>
    <col min="10497" max="10497" width="4.08984375" style="89" customWidth="1"/>
    <col min="10498" max="10498" width="8.36328125" style="89" customWidth="1"/>
    <col min="10499" max="10499" width="9.08984375" style="89" bestFit="1" customWidth="1"/>
    <col min="10500" max="10500" width="9" style="89"/>
    <col min="10501" max="10501" width="10.453125" style="89" bestFit="1" customWidth="1"/>
    <col min="10502" max="10502" width="9.7265625" style="89" customWidth="1"/>
    <col min="10503" max="10503" width="8.453125" style="89" customWidth="1"/>
    <col min="10504" max="10504" width="9.36328125" style="89" customWidth="1"/>
    <col min="10505" max="10505" width="9" style="89"/>
    <col min="10506" max="10506" width="8.36328125" style="89" customWidth="1"/>
    <col min="10507" max="10507" width="9.90625" style="89" customWidth="1"/>
    <col min="10508" max="10508" width="9.6328125" style="89" bestFit="1" customWidth="1"/>
    <col min="10509" max="10509" width="9.08984375" style="89" customWidth="1"/>
    <col min="10510" max="10510" width="6.6328125" style="89" customWidth="1"/>
    <col min="10511" max="10512" width="9.453125" style="89" bestFit="1" customWidth="1"/>
    <col min="10513" max="10752" width="9" style="89"/>
    <col min="10753" max="10753" width="4.08984375" style="89" customWidth="1"/>
    <col min="10754" max="10754" width="8.36328125" style="89" customWidth="1"/>
    <col min="10755" max="10755" width="9.08984375" style="89" bestFit="1" customWidth="1"/>
    <col min="10756" max="10756" width="9" style="89"/>
    <col min="10757" max="10757" width="10.453125" style="89" bestFit="1" customWidth="1"/>
    <col min="10758" max="10758" width="9.7265625" style="89" customWidth="1"/>
    <col min="10759" max="10759" width="8.453125" style="89" customWidth="1"/>
    <col min="10760" max="10760" width="9.36328125" style="89" customWidth="1"/>
    <col min="10761" max="10761" width="9" style="89"/>
    <col min="10762" max="10762" width="8.36328125" style="89" customWidth="1"/>
    <col min="10763" max="10763" width="9.90625" style="89" customWidth="1"/>
    <col min="10764" max="10764" width="9.6328125" style="89" bestFit="1" customWidth="1"/>
    <col min="10765" max="10765" width="9.08984375" style="89" customWidth="1"/>
    <col min="10766" max="10766" width="6.6328125" style="89" customWidth="1"/>
    <col min="10767" max="10768" width="9.453125" style="89" bestFit="1" customWidth="1"/>
    <col min="10769" max="11008" width="9" style="89"/>
    <col min="11009" max="11009" width="4.08984375" style="89" customWidth="1"/>
    <col min="11010" max="11010" width="8.36328125" style="89" customWidth="1"/>
    <col min="11011" max="11011" width="9.08984375" style="89" bestFit="1" customWidth="1"/>
    <col min="11012" max="11012" width="9" style="89"/>
    <col min="11013" max="11013" width="10.453125" style="89" bestFit="1" customWidth="1"/>
    <col min="11014" max="11014" width="9.7265625" style="89" customWidth="1"/>
    <col min="11015" max="11015" width="8.453125" style="89" customWidth="1"/>
    <col min="11016" max="11016" width="9.36328125" style="89" customWidth="1"/>
    <col min="11017" max="11017" width="9" style="89"/>
    <col min="11018" max="11018" width="8.36328125" style="89" customWidth="1"/>
    <col min="11019" max="11019" width="9.90625" style="89" customWidth="1"/>
    <col min="11020" max="11020" width="9.6328125" style="89" bestFit="1" customWidth="1"/>
    <col min="11021" max="11021" width="9.08984375" style="89" customWidth="1"/>
    <col min="11022" max="11022" width="6.6328125" style="89" customWidth="1"/>
    <col min="11023" max="11024" width="9.453125" style="89" bestFit="1" customWidth="1"/>
    <col min="11025" max="11264" width="9" style="89"/>
    <col min="11265" max="11265" width="4.08984375" style="89" customWidth="1"/>
    <col min="11266" max="11266" width="8.36328125" style="89" customWidth="1"/>
    <col min="11267" max="11267" width="9.08984375" style="89" bestFit="1" customWidth="1"/>
    <col min="11268" max="11268" width="9" style="89"/>
    <col min="11269" max="11269" width="10.453125" style="89" bestFit="1" customWidth="1"/>
    <col min="11270" max="11270" width="9.7265625" style="89" customWidth="1"/>
    <col min="11271" max="11271" width="8.453125" style="89" customWidth="1"/>
    <col min="11272" max="11272" width="9.36328125" style="89" customWidth="1"/>
    <col min="11273" max="11273" width="9" style="89"/>
    <col min="11274" max="11274" width="8.36328125" style="89" customWidth="1"/>
    <col min="11275" max="11275" width="9.90625" style="89" customWidth="1"/>
    <col min="11276" max="11276" width="9.6328125" style="89" bestFit="1" customWidth="1"/>
    <col min="11277" max="11277" width="9.08984375" style="89" customWidth="1"/>
    <col min="11278" max="11278" width="6.6328125" style="89" customWidth="1"/>
    <col min="11279" max="11280" width="9.453125" style="89" bestFit="1" customWidth="1"/>
    <col min="11281" max="11520" width="9" style="89"/>
    <col min="11521" max="11521" width="4.08984375" style="89" customWidth="1"/>
    <col min="11522" max="11522" width="8.36328125" style="89" customWidth="1"/>
    <col min="11523" max="11523" width="9.08984375" style="89" bestFit="1" customWidth="1"/>
    <col min="11524" max="11524" width="9" style="89"/>
    <col min="11525" max="11525" width="10.453125" style="89" bestFit="1" customWidth="1"/>
    <col min="11526" max="11526" width="9.7265625" style="89" customWidth="1"/>
    <col min="11527" max="11527" width="8.453125" style="89" customWidth="1"/>
    <col min="11528" max="11528" width="9.36328125" style="89" customWidth="1"/>
    <col min="11529" max="11529" width="9" style="89"/>
    <col min="11530" max="11530" width="8.36328125" style="89" customWidth="1"/>
    <col min="11531" max="11531" width="9.90625" style="89" customWidth="1"/>
    <col min="11532" max="11532" width="9.6328125" style="89" bestFit="1" customWidth="1"/>
    <col min="11533" max="11533" width="9.08984375" style="89" customWidth="1"/>
    <col min="11534" max="11534" width="6.6328125" style="89" customWidth="1"/>
    <col min="11535" max="11536" width="9.453125" style="89" bestFit="1" customWidth="1"/>
    <col min="11537" max="11776" width="9" style="89"/>
    <col min="11777" max="11777" width="4.08984375" style="89" customWidth="1"/>
    <col min="11778" max="11778" width="8.36328125" style="89" customWidth="1"/>
    <col min="11779" max="11779" width="9.08984375" style="89" bestFit="1" customWidth="1"/>
    <col min="11780" max="11780" width="9" style="89"/>
    <col min="11781" max="11781" width="10.453125" style="89" bestFit="1" customWidth="1"/>
    <col min="11782" max="11782" width="9.7265625" style="89" customWidth="1"/>
    <col min="11783" max="11783" width="8.453125" style="89" customWidth="1"/>
    <col min="11784" max="11784" width="9.36328125" style="89" customWidth="1"/>
    <col min="11785" max="11785" width="9" style="89"/>
    <col min="11786" max="11786" width="8.36328125" style="89" customWidth="1"/>
    <col min="11787" max="11787" width="9.90625" style="89" customWidth="1"/>
    <col min="11788" max="11788" width="9.6328125" style="89" bestFit="1" customWidth="1"/>
    <col min="11789" max="11789" width="9.08984375" style="89" customWidth="1"/>
    <col min="11790" max="11790" width="6.6328125" style="89" customWidth="1"/>
    <col min="11791" max="11792" width="9.453125" style="89" bestFit="1" customWidth="1"/>
    <col min="11793" max="12032" width="9" style="89"/>
    <col min="12033" max="12033" width="4.08984375" style="89" customWidth="1"/>
    <col min="12034" max="12034" width="8.36328125" style="89" customWidth="1"/>
    <col min="12035" max="12035" width="9.08984375" style="89" bestFit="1" customWidth="1"/>
    <col min="12036" max="12036" width="9" style="89"/>
    <col min="12037" max="12037" width="10.453125" style="89" bestFit="1" customWidth="1"/>
    <col min="12038" max="12038" width="9.7265625" style="89" customWidth="1"/>
    <col min="12039" max="12039" width="8.453125" style="89" customWidth="1"/>
    <col min="12040" max="12040" width="9.36328125" style="89" customWidth="1"/>
    <col min="12041" max="12041" width="9" style="89"/>
    <col min="12042" max="12042" width="8.36328125" style="89" customWidth="1"/>
    <col min="12043" max="12043" width="9.90625" style="89" customWidth="1"/>
    <col min="12044" max="12044" width="9.6328125" style="89" bestFit="1" customWidth="1"/>
    <col min="12045" max="12045" width="9.08984375" style="89" customWidth="1"/>
    <col min="12046" max="12046" width="6.6328125" style="89" customWidth="1"/>
    <col min="12047" max="12048" width="9.453125" style="89" bestFit="1" customWidth="1"/>
    <col min="12049" max="12288" width="9" style="89"/>
    <col min="12289" max="12289" width="4.08984375" style="89" customWidth="1"/>
    <col min="12290" max="12290" width="8.36328125" style="89" customWidth="1"/>
    <col min="12291" max="12291" width="9.08984375" style="89" bestFit="1" customWidth="1"/>
    <col min="12292" max="12292" width="9" style="89"/>
    <col min="12293" max="12293" width="10.453125" style="89" bestFit="1" customWidth="1"/>
    <col min="12294" max="12294" width="9.7265625" style="89" customWidth="1"/>
    <col min="12295" max="12295" width="8.453125" style="89" customWidth="1"/>
    <col min="12296" max="12296" width="9.36328125" style="89" customWidth="1"/>
    <col min="12297" max="12297" width="9" style="89"/>
    <col min="12298" max="12298" width="8.36328125" style="89" customWidth="1"/>
    <col min="12299" max="12299" width="9.90625" style="89" customWidth="1"/>
    <col min="12300" max="12300" width="9.6328125" style="89" bestFit="1" customWidth="1"/>
    <col min="12301" max="12301" width="9.08984375" style="89" customWidth="1"/>
    <col min="12302" max="12302" width="6.6328125" style="89" customWidth="1"/>
    <col min="12303" max="12304" width="9.453125" style="89" bestFit="1" customWidth="1"/>
    <col min="12305" max="12544" width="9" style="89"/>
    <col min="12545" max="12545" width="4.08984375" style="89" customWidth="1"/>
    <col min="12546" max="12546" width="8.36328125" style="89" customWidth="1"/>
    <col min="12547" max="12547" width="9.08984375" style="89" bestFit="1" customWidth="1"/>
    <col min="12548" max="12548" width="9" style="89"/>
    <col min="12549" max="12549" width="10.453125" style="89" bestFit="1" customWidth="1"/>
    <col min="12550" max="12550" width="9.7265625" style="89" customWidth="1"/>
    <col min="12551" max="12551" width="8.453125" style="89" customWidth="1"/>
    <col min="12552" max="12552" width="9.36328125" style="89" customWidth="1"/>
    <col min="12553" max="12553" width="9" style="89"/>
    <col min="12554" max="12554" width="8.36328125" style="89" customWidth="1"/>
    <col min="12555" max="12555" width="9.90625" style="89" customWidth="1"/>
    <col min="12556" max="12556" width="9.6328125" style="89" bestFit="1" customWidth="1"/>
    <col min="12557" max="12557" width="9.08984375" style="89" customWidth="1"/>
    <col min="12558" max="12558" width="6.6328125" style="89" customWidth="1"/>
    <col min="12559" max="12560" width="9.453125" style="89" bestFit="1" customWidth="1"/>
    <col min="12561" max="12800" width="9" style="89"/>
    <col min="12801" max="12801" width="4.08984375" style="89" customWidth="1"/>
    <col min="12802" max="12802" width="8.36328125" style="89" customWidth="1"/>
    <col min="12803" max="12803" width="9.08984375" style="89" bestFit="1" customWidth="1"/>
    <col min="12804" max="12804" width="9" style="89"/>
    <col min="12805" max="12805" width="10.453125" style="89" bestFit="1" customWidth="1"/>
    <col min="12806" max="12806" width="9.7265625" style="89" customWidth="1"/>
    <col min="12807" max="12807" width="8.453125" style="89" customWidth="1"/>
    <col min="12808" max="12808" width="9.36328125" style="89" customWidth="1"/>
    <col min="12809" max="12809" width="9" style="89"/>
    <col min="12810" max="12810" width="8.36328125" style="89" customWidth="1"/>
    <col min="12811" max="12811" width="9.90625" style="89" customWidth="1"/>
    <col min="12812" max="12812" width="9.6328125" style="89" bestFit="1" customWidth="1"/>
    <col min="12813" max="12813" width="9.08984375" style="89" customWidth="1"/>
    <col min="12814" max="12814" width="6.6328125" style="89" customWidth="1"/>
    <col min="12815" max="12816" width="9.453125" style="89" bestFit="1" customWidth="1"/>
    <col min="12817" max="13056" width="9" style="89"/>
    <col min="13057" max="13057" width="4.08984375" style="89" customWidth="1"/>
    <col min="13058" max="13058" width="8.36328125" style="89" customWidth="1"/>
    <col min="13059" max="13059" width="9.08984375" style="89" bestFit="1" customWidth="1"/>
    <col min="13060" max="13060" width="9" style="89"/>
    <col min="13061" max="13061" width="10.453125" style="89" bestFit="1" customWidth="1"/>
    <col min="13062" max="13062" width="9.7265625" style="89" customWidth="1"/>
    <col min="13063" max="13063" width="8.453125" style="89" customWidth="1"/>
    <col min="13064" max="13064" width="9.36328125" style="89" customWidth="1"/>
    <col min="13065" max="13065" width="9" style="89"/>
    <col min="13066" max="13066" width="8.36328125" style="89" customWidth="1"/>
    <col min="13067" max="13067" width="9.90625" style="89" customWidth="1"/>
    <col min="13068" max="13068" width="9.6328125" style="89" bestFit="1" customWidth="1"/>
    <col min="13069" max="13069" width="9.08984375" style="89" customWidth="1"/>
    <col min="13070" max="13070" width="6.6328125" style="89" customWidth="1"/>
    <col min="13071" max="13072" width="9.453125" style="89" bestFit="1" customWidth="1"/>
    <col min="13073" max="13312" width="9" style="89"/>
    <col min="13313" max="13313" width="4.08984375" style="89" customWidth="1"/>
    <col min="13314" max="13314" width="8.36328125" style="89" customWidth="1"/>
    <col min="13315" max="13315" width="9.08984375" style="89" bestFit="1" customWidth="1"/>
    <col min="13316" max="13316" width="9" style="89"/>
    <col min="13317" max="13317" width="10.453125" style="89" bestFit="1" customWidth="1"/>
    <col min="13318" max="13318" width="9.7265625" style="89" customWidth="1"/>
    <col min="13319" max="13319" width="8.453125" style="89" customWidth="1"/>
    <col min="13320" max="13320" width="9.36328125" style="89" customWidth="1"/>
    <col min="13321" max="13321" width="9" style="89"/>
    <col min="13322" max="13322" width="8.36328125" style="89" customWidth="1"/>
    <col min="13323" max="13323" width="9.90625" style="89" customWidth="1"/>
    <col min="13324" max="13324" width="9.6328125" style="89" bestFit="1" customWidth="1"/>
    <col min="13325" max="13325" width="9.08984375" style="89" customWidth="1"/>
    <col min="13326" max="13326" width="6.6328125" style="89" customWidth="1"/>
    <col min="13327" max="13328" width="9.453125" style="89" bestFit="1" customWidth="1"/>
    <col min="13329" max="13568" width="9" style="89"/>
    <col min="13569" max="13569" width="4.08984375" style="89" customWidth="1"/>
    <col min="13570" max="13570" width="8.36328125" style="89" customWidth="1"/>
    <col min="13571" max="13571" width="9.08984375" style="89" bestFit="1" customWidth="1"/>
    <col min="13572" max="13572" width="9" style="89"/>
    <col min="13573" max="13573" width="10.453125" style="89" bestFit="1" customWidth="1"/>
    <col min="13574" max="13574" width="9.7265625" style="89" customWidth="1"/>
    <col min="13575" max="13575" width="8.453125" style="89" customWidth="1"/>
    <col min="13576" max="13576" width="9.36328125" style="89" customWidth="1"/>
    <col min="13577" max="13577" width="9" style="89"/>
    <col min="13578" max="13578" width="8.36328125" style="89" customWidth="1"/>
    <col min="13579" max="13579" width="9.90625" style="89" customWidth="1"/>
    <col min="13580" max="13580" width="9.6328125" style="89" bestFit="1" customWidth="1"/>
    <col min="13581" max="13581" width="9.08984375" style="89" customWidth="1"/>
    <col min="13582" max="13582" width="6.6328125" style="89" customWidth="1"/>
    <col min="13583" max="13584" width="9.453125" style="89" bestFit="1" customWidth="1"/>
    <col min="13585" max="13824" width="9" style="89"/>
    <col min="13825" max="13825" width="4.08984375" style="89" customWidth="1"/>
    <col min="13826" max="13826" width="8.36328125" style="89" customWidth="1"/>
    <col min="13827" max="13827" width="9.08984375" style="89" bestFit="1" customWidth="1"/>
    <col min="13828" max="13828" width="9" style="89"/>
    <col min="13829" max="13829" width="10.453125" style="89" bestFit="1" customWidth="1"/>
    <col min="13830" max="13830" width="9.7265625" style="89" customWidth="1"/>
    <col min="13831" max="13831" width="8.453125" style="89" customWidth="1"/>
    <col min="13832" max="13832" width="9.36328125" style="89" customWidth="1"/>
    <col min="13833" max="13833" width="9" style="89"/>
    <col min="13834" max="13834" width="8.36328125" style="89" customWidth="1"/>
    <col min="13835" max="13835" width="9.90625" style="89" customWidth="1"/>
    <col min="13836" max="13836" width="9.6328125" style="89" bestFit="1" customWidth="1"/>
    <col min="13837" max="13837" width="9.08984375" style="89" customWidth="1"/>
    <col min="13838" max="13838" width="6.6328125" style="89" customWidth="1"/>
    <col min="13839" max="13840" width="9.453125" style="89" bestFit="1" customWidth="1"/>
    <col min="13841" max="14080" width="9" style="89"/>
    <col min="14081" max="14081" width="4.08984375" style="89" customWidth="1"/>
    <col min="14082" max="14082" width="8.36328125" style="89" customWidth="1"/>
    <col min="14083" max="14083" width="9.08984375" style="89" bestFit="1" customWidth="1"/>
    <col min="14084" max="14084" width="9" style="89"/>
    <col min="14085" max="14085" width="10.453125" style="89" bestFit="1" customWidth="1"/>
    <col min="14086" max="14086" width="9.7265625" style="89" customWidth="1"/>
    <col min="14087" max="14087" width="8.453125" style="89" customWidth="1"/>
    <col min="14088" max="14088" width="9.36328125" style="89" customWidth="1"/>
    <col min="14089" max="14089" width="9" style="89"/>
    <col min="14090" max="14090" width="8.36328125" style="89" customWidth="1"/>
    <col min="14091" max="14091" width="9.90625" style="89" customWidth="1"/>
    <col min="14092" max="14092" width="9.6328125" style="89" bestFit="1" customWidth="1"/>
    <col min="14093" max="14093" width="9.08984375" style="89" customWidth="1"/>
    <col min="14094" max="14094" width="6.6328125" style="89" customWidth="1"/>
    <col min="14095" max="14096" width="9.453125" style="89" bestFit="1" customWidth="1"/>
    <col min="14097" max="14336" width="9" style="89"/>
    <col min="14337" max="14337" width="4.08984375" style="89" customWidth="1"/>
    <col min="14338" max="14338" width="8.36328125" style="89" customWidth="1"/>
    <col min="14339" max="14339" width="9.08984375" style="89" bestFit="1" customWidth="1"/>
    <col min="14340" max="14340" width="9" style="89"/>
    <col min="14341" max="14341" width="10.453125" style="89" bestFit="1" customWidth="1"/>
    <col min="14342" max="14342" width="9.7265625" style="89" customWidth="1"/>
    <col min="14343" max="14343" width="8.453125" style="89" customWidth="1"/>
    <col min="14344" max="14344" width="9.36328125" style="89" customWidth="1"/>
    <col min="14345" max="14345" width="9" style="89"/>
    <col min="14346" max="14346" width="8.36328125" style="89" customWidth="1"/>
    <col min="14347" max="14347" width="9.90625" style="89" customWidth="1"/>
    <col min="14348" max="14348" width="9.6328125" style="89" bestFit="1" customWidth="1"/>
    <col min="14349" max="14349" width="9.08984375" style="89" customWidth="1"/>
    <col min="14350" max="14350" width="6.6328125" style="89" customWidth="1"/>
    <col min="14351" max="14352" width="9.453125" style="89" bestFit="1" customWidth="1"/>
    <col min="14353" max="14592" width="9" style="89"/>
    <col min="14593" max="14593" width="4.08984375" style="89" customWidth="1"/>
    <col min="14594" max="14594" width="8.36328125" style="89" customWidth="1"/>
    <col min="14595" max="14595" width="9.08984375" style="89" bestFit="1" customWidth="1"/>
    <col min="14596" max="14596" width="9" style="89"/>
    <col min="14597" max="14597" width="10.453125" style="89" bestFit="1" customWidth="1"/>
    <col min="14598" max="14598" width="9.7265625" style="89" customWidth="1"/>
    <col min="14599" max="14599" width="8.453125" style="89" customWidth="1"/>
    <col min="14600" max="14600" width="9.36328125" style="89" customWidth="1"/>
    <col min="14601" max="14601" width="9" style="89"/>
    <col min="14602" max="14602" width="8.36328125" style="89" customWidth="1"/>
    <col min="14603" max="14603" width="9.90625" style="89" customWidth="1"/>
    <col min="14604" max="14604" width="9.6328125" style="89" bestFit="1" customWidth="1"/>
    <col min="14605" max="14605" width="9.08984375" style="89" customWidth="1"/>
    <col min="14606" max="14606" width="6.6328125" style="89" customWidth="1"/>
    <col min="14607" max="14608" width="9.453125" style="89" bestFit="1" customWidth="1"/>
    <col min="14609" max="14848" width="9" style="89"/>
    <col min="14849" max="14849" width="4.08984375" style="89" customWidth="1"/>
    <col min="14850" max="14850" width="8.36328125" style="89" customWidth="1"/>
    <col min="14851" max="14851" width="9.08984375" style="89" bestFit="1" customWidth="1"/>
    <col min="14852" max="14852" width="9" style="89"/>
    <col min="14853" max="14853" width="10.453125" style="89" bestFit="1" customWidth="1"/>
    <col min="14854" max="14854" width="9.7265625" style="89" customWidth="1"/>
    <col min="14855" max="14855" width="8.453125" style="89" customWidth="1"/>
    <col min="14856" max="14856" width="9.36328125" style="89" customWidth="1"/>
    <col min="14857" max="14857" width="9" style="89"/>
    <col min="14858" max="14858" width="8.36328125" style="89" customWidth="1"/>
    <col min="14859" max="14859" width="9.90625" style="89" customWidth="1"/>
    <col min="14860" max="14860" width="9.6328125" style="89" bestFit="1" customWidth="1"/>
    <col min="14861" max="14861" width="9.08984375" style="89" customWidth="1"/>
    <col min="14862" max="14862" width="6.6328125" style="89" customWidth="1"/>
    <col min="14863" max="14864" width="9.453125" style="89" bestFit="1" customWidth="1"/>
    <col min="14865" max="15104" width="9" style="89"/>
    <col min="15105" max="15105" width="4.08984375" style="89" customWidth="1"/>
    <col min="15106" max="15106" width="8.36328125" style="89" customWidth="1"/>
    <col min="15107" max="15107" width="9.08984375" style="89" bestFit="1" customWidth="1"/>
    <col min="15108" max="15108" width="9" style="89"/>
    <col min="15109" max="15109" width="10.453125" style="89" bestFit="1" customWidth="1"/>
    <col min="15110" max="15110" width="9.7265625" style="89" customWidth="1"/>
    <col min="15111" max="15111" width="8.453125" style="89" customWidth="1"/>
    <col min="15112" max="15112" width="9.36328125" style="89" customWidth="1"/>
    <col min="15113" max="15113" width="9" style="89"/>
    <col min="15114" max="15114" width="8.36328125" style="89" customWidth="1"/>
    <col min="15115" max="15115" width="9.90625" style="89" customWidth="1"/>
    <col min="15116" max="15116" width="9.6328125" style="89" bestFit="1" customWidth="1"/>
    <col min="15117" max="15117" width="9.08984375" style="89" customWidth="1"/>
    <col min="15118" max="15118" width="6.6328125" style="89" customWidth="1"/>
    <col min="15119" max="15120" width="9.453125" style="89" bestFit="1" customWidth="1"/>
    <col min="15121" max="15360" width="9" style="89"/>
    <col min="15361" max="15361" width="4.08984375" style="89" customWidth="1"/>
    <col min="15362" max="15362" width="8.36328125" style="89" customWidth="1"/>
    <col min="15363" max="15363" width="9.08984375" style="89" bestFit="1" customWidth="1"/>
    <col min="15364" max="15364" width="9" style="89"/>
    <col min="15365" max="15365" width="10.453125" style="89" bestFit="1" customWidth="1"/>
    <col min="15366" max="15366" width="9.7265625" style="89" customWidth="1"/>
    <col min="15367" max="15367" width="8.453125" style="89" customWidth="1"/>
    <col min="15368" max="15368" width="9.36328125" style="89" customWidth="1"/>
    <col min="15369" max="15369" width="9" style="89"/>
    <col min="15370" max="15370" width="8.36328125" style="89" customWidth="1"/>
    <col min="15371" max="15371" width="9.90625" style="89" customWidth="1"/>
    <col min="15372" max="15372" width="9.6328125" style="89" bestFit="1" customWidth="1"/>
    <col min="15373" max="15373" width="9.08984375" style="89" customWidth="1"/>
    <col min="15374" max="15374" width="6.6328125" style="89" customWidth="1"/>
    <col min="15375" max="15376" width="9.453125" style="89" bestFit="1" customWidth="1"/>
    <col min="15377" max="15616" width="9" style="89"/>
    <col min="15617" max="15617" width="4.08984375" style="89" customWidth="1"/>
    <col min="15618" max="15618" width="8.36328125" style="89" customWidth="1"/>
    <col min="15619" max="15619" width="9.08984375" style="89" bestFit="1" customWidth="1"/>
    <col min="15620" max="15620" width="9" style="89"/>
    <col min="15621" max="15621" width="10.453125" style="89" bestFit="1" customWidth="1"/>
    <col min="15622" max="15622" width="9.7265625" style="89" customWidth="1"/>
    <col min="15623" max="15623" width="8.453125" style="89" customWidth="1"/>
    <col min="15624" max="15624" width="9.36328125" style="89" customWidth="1"/>
    <col min="15625" max="15625" width="9" style="89"/>
    <col min="15626" max="15626" width="8.36328125" style="89" customWidth="1"/>
    <col min="15627" max="15627" width="9.90625" style="89" customWidth="1"/>
    <col min="15628" max="15628" width="9.6328125" style="89" bestFit="1" customWidth="1"/>
    <col min="15629" max="15629" width="9.08984375" style="89" customWidth="1"/>
    <col min="15630" max="15630" width="6.6328125" style="89" customWidth="1"/>
    <col min="15631" max="15632" width="9.453125" style="89" bestFit="1" customWidth="1"/>
    <col min="15633" max="15872" width="9" style="89"/>
    <col min="15873" max="15873" width="4.08984375" style="89" customWidth="1"/>
    <col min="15874" max="15874" width="8.36328125" style="89" customWidth="1"/>
    <col min="15875" max="15875" width="9.08984375" style="89" bestFit="1" customWidth="1"/>
    <col min="15876" max="15876" width="9" style="89"/>
    <col min="15877" max="15877" width="10.453125" style="89" bestFit="1" customWidth="1"/>
    <col min="15878" max="15878" width="9.7265625" style="89" customWidth="1"/>
    <col min="15879" max="15879" width="8.453125" style="89" customWidth="1"/>
    <col min="15880" max="15880" width="9.36328125" style="89" customWidth="1"/>
    <col min="15881" max="15881" width="9" style="89"/>
    <col min="15882" max="15882" width="8.36328125" style="89" customWidth="1"/>
    <col min="15883" max="15883" width="9.90625" style="89" customWidth="1"/>
    <col min="15884" max="15884" width="9.6328125" style="89" bestFit="1" customWidth="1"/>
    <col min="15885" max="15885" width="9.08984375" style="89" customWidth="1"/>
    <col min="15886" max="15886" width="6.6328125" style="89" customWidth="1"/>
    <col min="15887" max="15888" width="9.453125" style="89" bestFit="1" customWidth="1"/>
    <col min="15889" max="16128" width="9" style="89"/>
    <col min="16129" max="16129" width="4.08984375" style="89" customWidth="1"/>
    <col min="16130" max="16130" width="8.36328125" style="89" customWidth="1"/>
    <col min="16131" max="16131" width="9.08984375" style="89" bestFit="1" customWidth="1"/>
    <col min="16132" max="16132" width="9" style="89"/>
    <col min="16133" max="16133" width="10.453125" style="89" bestFit="1" customWidth="1"/>
    <col min="16134" max="16134" width="9.7265625" style="89" customWidth="1"/>
    <col min="16135" max="16135" width="8.453125" style="89" customWidth="1"/>
    <col min="16136" max="16136" width="9.36328125" style="89" customWidth="1"/>
    <col min="16137" max="16137" width="9" style="89"/>
    <col min="16138" max="16138" width="8.36328125" style="89" customWidth="1"/>
    <col min="16139" max="16139" width="9.90625" style="89" customWidth="1"/>
    <col min="16140" max="16140" width="9.6328125" style="89" bestFit="1" customWidth="1"/>
    <col min="16141" max="16141" width="9.08984375" style="89" customWidth="1"/>
    <col min="16142" max="16142" width="6.6328125" style="89" customWidth="1"/>
    <col min="16143" max="16144" width="9.453125" style="89" bestFit="1" customWidth="1"/>
    <col min="16145" max="16384" width="9" style="89"/>
  </cols>
  <sheetData>
    <row r="1" spans="1:17" x14ac:dyDescent="0.25">
      <c r="A1" s="88">
        <v>5</v>
      </c>
    </row>
    <row r="2" spans="1:17" ht="33.75" customHeight="1" thickBot="1" x14ac:dyDescent="0.3">
      <c r="A2" s="88">
        <v>1</v>
      </c>
      <c r="H2" s="207" t="s">
        <v>300</v>
      </c>
      <c r="I2" s="208"/>
      <c r="J2" s="208"/>
      <c r="K2" s="208"/>
    </row>
    <row r="3" spans="1:17" ht="16.5" customHeight="1" x14ac:dyDescent="0.25">
      <c r="B3" s="90"/>
      <c r="I3" s="209" t="s">
        <v>301</v>
      </c>
      <c r="J3" s="210"/>
      <c r="Q3" s="90"/>
    </row>
    <row r="4" spans="1:17" s="91" customFormat="1" ht="17.25" customHeight="1" thickBot="1" x14ac:dyDescent="0.3">
      <c r="I4" s="105">
        <f>F8*L8</f>
        <v>0.25266220227791536</v>
      </c>
      <c r="J4" s="106">
        <f>G8*M8</f>
        <v>0.17615701823417365</v>
      </c>
    </row>
    <row r="5" spans="1:17" s="91" customFormat="1" x14ac:dyDescent="0.25">
      <c r="G5" s="92"/>
      <c r="H5" s="92"/>
      <c r="I5" s="92"/>
      <c r="J5" s="93"/>
      <c r="K5" s="92"/>
      <c r="L5" s="92"/>
    </row>
    <row r="6" spans="1:17" s="91" customFormat="1" ht="14.5" thickBot="1" x14ac:dyDescent="0.3">
      <c r="G6" s="94"/>
      <c r="M6" s="94"/>
    </row>
    <row r="7" spans="1:17" s="91" customFormat="1" ht="15.75" customHeight="1" x14ac:dyDescent="0.25">
      <c r="F7" s="211" t="s">
        <v>302</v>
      </c>
      <c r="G7" s="212"/>
      <c r="L7" s="211" t="s">
        <v>303</v>
      </c>
      <c r="M7" s="212"/>
    </row>
    <row r="8" spans="1:17" s="91" customFormat="1" ht="15.75" customHeight="1" thickBot="1" x14ac:dyDescent="0.3">
      <c r="F8" s="95">
        <f>D12*H12</f>
        <v>6.5553289104750168E-2</v>
      </c>
      <c r="G8" s="96">
        <f>E12*I12</f>
        <v>4.4320601402722717E-2</v>
      </c>
      <c r="L8" s="97">
        <f>L12/O12</f>
        <v>3.8543024420052601</v>
      </c>
      <c r="M8" s="98">
        <f>M12/P12</f>
        <v>3.9746080301011419</v>
      </c>
    </row>
    <row r="9" spans="1:17" s="91" customFormat="1" x14ac:dyDescent="0.25">
      <c r="E9" s="92"/>
      <c r="F9" s="92"/>
      <c r="G9" s="93"/>
      <c r="H9" s="92"/>
      <c r="M9" s="93"/>
      <c r="N9" s="92"/>
      <c r="O9" s="92"/>
    </row>
    <row r="10" spans="1:17" s="91" customFormat="1" ht="14.5" thickBot="1" x14ac:dyDescent="0.3">
      <c r="E10" s="94"/>
      <c r="I10" s="94"/>
      <c r="M10" s="94"/>
      <c r="P10" s="94"/>
    </row>
    <row r="11" spans="1:17" s="91" customFormat="1" ht="18" customHeight="1" x14ac:dyDescent="0.25">
      <c r="D11" s="211" t="s">
        <v>226</v>
      </c>
      <c r="E11" s="212"/>
      <c r="H11" s="211" t="s">
        <v>216</v>
      </c>
      <c r="I11" s="212"/>
      <c r="L11" s="211" t="s">
        <v>304</v>
      </c>
      <c r="M11" s="212"/>
      <c r="O11" s="211" t="s">
        <v>305</v>
      </c>
      <c r="P11" s="212"/>
    </row>
    <row r="12" spans="1:17" s="91" customFormat="1" ht="18" customHeight="1" thickBot="1" x14ac:dyDescent="0.3">
      <c r="D12" s="95">
        <f>B16/E16</f>
        <v>0.1519108510903743</v>
      </c>
      <c r="E12" s="96">
        <f>C16/F16</f>
        <v>0.11292226113594224</v>
      </c>
      <c r="H12" s="99">
        <f>H16/K16</f>
        <v>0.4315247306839945</v>
      </c>
      <c r="I12" s="100">
        <f>I16/L16</f>
        <v>0.39248772524460041</v>
      </c>
      <c r="L12" s="104">
        <f>K16</f>
        <v>17534513</v>
      </c>
      <c r="M12" s="103">
        <f>L16</f>
        <v>14222483</v>
      </c>
      <c r="N12" s="89"/>
      <c r="O12" s="102">
        <f>(BS!C116+BS!D116)/2</f>
        <v>4549335</v>
      </c>
      <c r="P12" s="102">
        <f>(BS!D116+BS!E116)/2</f>
        <v>3578336</v>
      </c>
    </row>
    <row r="13" spans="1:17" s="91" customFormat="1" x14ac:dyDescent="0.25">
      <c r="C13" s="92"/>
      <c r="D13" s="92"/>
      <c r="E13" s="93"/>
      <c r="I13" s="93"/>
      <c r="J13" s="92"/>
      <c r="K13" s="92"/>
    </row>
    <row r="14" spans="1:17" s="91" customFormat="1" ht="14.5" thickBot="1" x14ac:dyDescent="0.3">
      <c r="C14" s="94"/>
      <c r="F14" s="94"/>
      <c r="I14" s="94"/>
      <c r="L14" s="94"/>
    </row>
    <row r="15" spans="1:17" s="91" customFormat="1" ht="15" customHeight="1" x14ac:dyDescent="0.25">
      <c r="B15" s="213" t="s">
        <v>307</v>
      </c>
      <c r="C15" s="214"/>
      <c r="E15" s="211" t="s">
        <v>306</v>
      </c>
      <c r="F15" s="212"/>
      <c r="H15" s="211" t="s">
        <v>306</v>
      </c>
      <c r="I15" s="212"/>
      <c r="K15" s="211" t="s">
        <v>304</v>
      </c>
      <c r="L15" s="212"/>
    </row>
    <row r="16" spans="1:17" s="91" customFormat="1" ht="18" customHeight="1" thickBot="1" x14ac:dyDescent="0.3">
      <c r="B16" s="102">
        <f>PL!B41</f>
        <v>1149445</v>
      </c>
      <c r="C16" s="102">
        <f>PL!C41</f>
        <v>630349</v>
      </c>
      <c r="D16" s="101"/>
      <c r="E16" s="102">
        <f>PL!B2</f>
        <v>7566576</v>
      </c>
      <c r="F16" s="102">
        <f>PL!C2</f>
        <v>5582150</v>
      </c>
      <c r="G16" s="101"/>
      <c r="H16" s="102">
        <f>E16</f>
        <v>7566576</v>
      </c>
      <c r="I16" s="103">
        <f>F16</f>
        <v>5582150</v>
      </c>
      <c r="J16" s="101"/>
      <c r="K16" s="102">
        <f>(BS!C117+BS!D117)</f>
        <v>17534513</v>
      </c>
      <c r="L16" s="102">
        <f>(BS!D117+BS!E117)</f>
        <v>14222483</v>
      </c>
    </row>
    <row r="17" s="91" customFormat="1" x14ac:dyDescent="0.25"/>
    <row r="18" s="91" customFormat="1" x14ac:dyDescent="0.25"/>
  </sheetData>
  <mergeCells count="12">
    <mergeCell ref="O11:P11"/>
    <mergeCell ref="B15:C15"/>
    <mergeCell ref="E15:F15"/>
    <mergeCell ref="H15:I15"/>
    <mergeCell ref="K15:L15"/>
    <mergeCell ref="H2:K2"/>
    <mergeCell ref="I3:J3"/>
    <mergeCell ref="F7:G7"/>
    <mergeCell ref="L7:M7"/>
    <mergeCell ref="D11:E11"/>
    <mergeCell ref="H11:I11"/>
    <mergeCell ref="L11:M11"/>
  </mergeCells>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Drop Down 1">
              <controlPr defaultSize="0" autoLine="0" autoPict="0" macro="[1]!杜邦">
                <anchor moveWithCells="1">
                  <from>
                    <xdr:col>4</xdr:col>
                    <xdr:colOff>323850</xdr:colOff>
                    <xdr:row>0</xdr:row>
                    <xdr:rowOff>107950</xdr:rowOff>
                  </from>
                  <to>
                    <xdr:col>5</xdr:col>
                    <xdr:colOff>171450</xdr:colOff>
                    <xdr:row>1</xdr:row>
                    <xdr:rowOff>127000</xdr:rowOff>
                  </to>
                </anchor>
              </controlPr>
            </control>
          </mc:Choice>
        </mc:AlternateContent>
        <mc:AlternateContent xmlns:mc="http://schemas.openxmlformats.org/markup-compatibility/2006">
          <mc:Choice Requires="x14">
            <control shapeId="31746" r:id="rId5" name="Drop Down 2">
              <controlPr defaultSize="0" autoLine="0" autoPict="0" macro="[1]!杜邦">
                <anchor moveWithCells="1">
                  <from>
                    <xdr:col>2</xdr:col>
                    <xdr:colOff>514350</xdr:colOff>
                    <xdr:row>0</xdr:row>
                    <xdr:rowOff>107950</xdr:rowOff>
                  </from>
                  <to>
                    <xdr:col>3</xdr:col>
                    <xdr:colOff>514350</xdr:colOff>
                    <xdr:row>1</xdr:row>
                    <xdr:rowOff>127000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sheetPr>
  <dimension ref="A1:J182"/>
  <sheetViews>
    <sheetView topLeftCell="A229" workbookViewId="0">
      <selection activeCell="C285" sqref="C285"/>
    </sheetView>
  </sheetViews>
  <sheetFormatPr defaultRowHeight="14" x14ac:dyDescent="0.25"/>
  <cols>
    <col min="1" max="1" width="22.453125" customWidth="1"/>
    <col min="2" max="2" width="18.36328125" customWidth="1"/>
    <col min="3" max="3" width="22" customWidth="1"/>
    <col min="4" max="4" width="17.26953125" customWidth="1"/>
    <col min="5" max="5" width="9.7265625" bestFit="1" customWidth="1"/>
    <col min="6" max="6" width="25.453125" bestFit="1" customWidth="1"/>
    <col min="7" max="7" width="27.453125" bestFit="1" customWidth="1"/>
    <col min="8" max="8" width="20.90625" customWidth="1"/>
    <col min="9" max="9" width="18.36328125" customWidth="1"/>
    <col min="10" max="10" width="21.6328125" customWidth="1"/>
    <col min="11" max="149" width="27.453125" bestFit="1" customWidth="1"/>
    <col min="150" max="150" width="5.7265625" bestFit="1" customWidth="1"/>
    <col min="151" max="152" width="25.26953125" bestFit="1" customWidth="1"/>
    <col min="153" max="153" width="15.36328125" bestFit="1" customWidth="1"/>
    <col min="154" max="154" width="10" bestFit="1" customWidth="1"/>
    <col min="155" max="155" width="13.36328125" bestFit="1" customWidth="1"/>
    <col min="156" max="156" width="5.7265625" bestFit="1" customWidth="1"/>
  </cols>
  <sheetData>
    <row r="1" spans="1:10" x14ac:dyDescent="0.25">
      <c r="A1" t="s">
        <v>1581</v>
      </c>
      <c r="B1" t="s">
        <v>176</v>
      </c>
      <c r="H1" t="s">
        <v>1331</v>
      </c>
    </row>
    <row r="2" spans="1:10" x14ac:dyDescent="0.25">
      <c r="A2" t="s">
        <v>1359</v>
      </c>
      <c r="B2" t="s">
        <v>132</v>
      </c>
      <c r="E2" s="117" t="s">
        <v>1672</v>
      </c>
    </row>
    <row r="3" spans="1:10" x14ac:dyDescent="0.25">
      <c r="A3" t="s">
        <v>1582</v>
      </c>
      <c r="B3" t="s">
        <v>132</v>
      </c>
      <c r="E3" s="51" t="s">
        <v>1579</v>
      </c>
      <c r="F3" s="124" t="s">
        <v>135</v>
      </c>
      <c r="G3" s="124" t="s">
        <v>134</v>
      </c>
      <c r="H3" s="124" t="s">
        <v>133</v>
      </c>
      <c r="I3" s="124" t="s">
        <v>132</v>
      </c>
      <c r="J3" s="124" t="s">
        <v>131</v>
      </c>
    </row>
    <row r="4" spans="1:10" x14ac:dyDescent="0.25">
      <c r="A4" t="s">
        <v>1583</v>
      </c>
      <c r="B4" t="s">
        <v>132</v>
      </c>
      <c r="F4" s="124" t="s">
        <v>265</v>
      </c>
      <c r="G4" s="124" t="s">
        <v>61</v>
      </c>
      <c r="H4" s="124" t="s">
        <v>81</v>
      </c>
      <c r="I4" s="124" t="s">
        <v>38</v>
      </c>
      <c r="J4" s="124" t="s">
        <v>76</v>
      </c>
    </row>
    <row r="5" spans="1:10" x14ac:dyDescent="0.25">
      <c r="A5" t="s">
        <v>1584</v>
      </c>
      <c r="B5" t="s">
        <v>132</v>
      </c>
      <c r="F5" s="124" t="s">
        <v>27</v>
      </c>
      <c r="G5" s="124" t="s">
        <v>72</v>
      </c>
      <c r="H5" s="124" t="s">
        <v>87</v>
      </c>
      <c r="I5" s="124" t="s">
        <v>7</v>
      </c>
      <c r="J5" s="124" t="s">
        <v>77</v>
      </c>
    </row>
    <row r="6" spans="1:10" x14ac:dyDescent="0.25">
      <c r="A6" t="s">
        <v>1379</v>
      </c>
      <c r="B6" t="s">
        <v>132</v>
      </c>
      <c r="F6" s="124" t="s">
        <v>24</v>
      </c>
      <c r="G6" s="124" t="s">
        <v>73</v>
      </c>
      <c r="H6" s="124" t="s">
        <v>111</v>
      </c>
      <c r="I6" s="124" t="s">
        <v>8</v>
      </c>
      <c r="J6" s="124" t="s">
        <v>275</v>
      </c>
    </row>
    <row r="7" spans="1:10" x14ac:dyDescent="0.25">
      <c r="A7" t="s">
        <v>1335</v>
      </c>
      <c r="B7" t="s">
        <v>132</v>
      </c>
      <c r="F7" s="124" t="s">
        <v>26</v>
      </c>
      <c r="G7" s="124" t="s">
        <v>68</v>
      </c>
      <c r="H7" s="124" t="s">
        <v>274</v>
      </c>
      <c r="I7" s="124" t="s">
        <v>9</v>
      </c>
      <c r="J7" s="124" t="s">
        <v>99</v>
      </c>
    </row>
    <row r="8" spans="1:10" x14ac:dyDescent="0.25">
      <c r="A8" t="s">
        <v>1358</v>
      </c>
      <c r="B8" t="s">
        <v>132</v>
      </c>
      <c r="F8" s="124" t="s">
        <v>31</v>
      </c>
      <c r="G8" s="124" t="s">
        <v>56</v>
      </c>
      <c r="H8" s="124" t="s">
        <v>177</v>
      </c>
      <c r="I8" s="124" t="s">
        <v>37</v>
      </c>
      <c r="J8" s="124" t="s">
        <v>86</v>
      </c>
    </row>
    <row r="9" spans="1:10" x14ac:dyDescent="0.25">
      <c r="A9" t="s">
        <v>1363</v>
      </c>
      <c r="B9" t="s">
        <v>132</v>
      </c>
      <c r="F9" s="124" t="s">
        <v>28</v>
      </c>
      <c r="G9" s="124" t="s">
        <v>49</v>
      </c>
      <c r="H9" s="124" t="s">
        <v>112</v>
      </c>
      <c r="I9" s="124" t="s">
        <v>5</v>
      </c>
      <c r="J9" s="124" t="s">
        <v>78</v>
      </c>
    </row>
    <row r="10" spans="1:10" x14ac:dyDescent="0.25">
      <c r="A10" t="s">
        <v>1343</v>
      </c>
      <c r="B10" t="s">
        <v>132</v>
      </c>
      <c r="F10" s="124" t="s">
        <v>29</v>
      </c>
      <c r="G10" s="124" t="s">
        <v>50</v>
      </c>
      <c r="H10" s="124" t="s">
        <v>95</v>
      </c>
      <c r="I10" s="124" t="s">
        <v>36</v>
      </c>
      <c r="J10" s="124" t="s">
        <v>105</v>
      </c>
    </row>
    <row r="11" spans="1:10" x14ac:dyDescent="0.25">
      <c r="A11" t="s">
        <v>1337</v>
      </c>
      <c r="B11" t="s">
        <v>132</v>
      </c>
      <c r="F11" s="124" t="s">
        <v>30</v>
      </c>
      <c r="G11" s="124" t="s">
        <v>62</v>
      </c>
      <c r="H11" s="124" t="s">
        <v>97</v>
      </c>
      <c r="I11" s="124" t="s">
        <v>39</v>
      </c>
      <c r="J11" s="124" t="s">
        <v>104</v>
      </c>
    </row>
    <row r="12" spans="1:10" x14ac:dyDescent="0.25">
      <c r="A12" t="s">
        <v>1392</v>
      </c>
      <c r="B12" t="s">
        <v>133</v>
      </c>
      <c r="F12" s="124" t="s">
        <v>13</v>
      </c>
      <c r="G12" s="124" t="s">
        <v>54</v>
      </c>
      <c r="H12" s="124" t="s">
        <v>96</v>
      </c>
      <c r="I12" s="124" t="s">
        <v>271</v>
      </c>
      <c r="J12" s="124" t="s">
        <v>106</v>
      </c>
    </row>
    <row r="13" spans="1:10" x14ac:dyDescent="0.25">
      <c r="A13" t="s">
        <v>1585</v>
      </c>
      <c r="B13" t="s">
        <v>133</v>
      </c>
      <c r="F13" s="124" t="s">
        <v>4</v>
      </c>
      <c r="G13" s="124" t="s">
        <v>55</v>
      </c>
      <c r="H13" s="124" t="s">
        <v>272</v>
      </c>
      <c r="I13" s="124" t="s">
        <v>12</v>
      </c>
      <c r="J13" s="124" t="s">
        <v>1580</v>
      </c>
    </row>
    <row r="14" spans="1:10" x14ac:dyDescent="0.25">
      <c r="A14" t="s">
        <v>1586</v>
      </c>
      <c r="B14" t="s">
        <v>133</v>
      </c>
      <c r="F14" s="124" t="s">
        <v>19</v>
      </c>
      <c r="G14" s="124" t="s">
        <v>53</v>
      </c>
      <c r="H14" s="124" t="s">
        <v>89</v>
      </c>
      <c r="I14" s="124" t="s">
        <v>10</v>
      </c>
      <c r="J14" s="124" t="s">
        <v>45</v>
      </c>
    </row>
    <row r="15" spans="1:10" x14ac:dyDescent="0.25">
      <c r="A15" t="s">
        <v>1587</v>
      </c>
      <c r="B15" t="s">
        <v>133</v>
      </c>
      <c r="F15" s="124" t="s">
        <v>22</v>
      </c>
      <c r="G15" s="124" t="s">
        <v>58</v>
      </c>
      <c r="H15" s="124" t="s">
        <v>113</v>
      </c>
      <c r="I15" s="124"/>
      <c r="J15" s="124"/>
    </row>
    <row r="16" spans="1:10" x14ac:dyDescent="0.25">
      <c r="A16" t="s">
        <v>1588</v>
      </c>
      <c r="B16" t="s">
        <v>133</v>
      </c>
      <c r="F16" s="124" t="s">
        <v>6</v>
      </c>
      <c r="G16" s="124" t="s">
        <v>51</v>
      </c>
      <c r="H16" s="124" t="s">
        <v>178</v>
      </c>
      <c r="I16" s="124"/>
      <c r="J16" s="124"/>
    </row>
    <row r="17" spans="1:10" x14ac:dyDescent="0.25">
      <c r="A17" t="s">
        <v>1422</v>
      </c>
      <c r="B17" t="s">
        <v>133</v>
      </c>
      <c r="F17" s="124" t="s">
        <v>34</v>
      </c>
      <c r="G17" s="124" t="s">
        <v>48</v>
      </c>
      <c r="H17" s="124" t="s">
        <v>101</v>
      </c>
      <c r="I17" s="124"/>
      <c r="J17" s="124"/>
    </row>
    <row r="18" spans="1:10" x14ac:dyDescent="0.25">
      <c r="A18" t="s">
        <v>1589</v>
      </c>
      <c r="B18" t="s">
        <v>133</v>
      </c>
      <c r="F18" s="124" t="s">
        <v>264</v>
      </c>
      <c r="G18" s="124" t="s">
        <v>67</v>
      </c>
      <c r="H18" s="124" t="s">
        <v>92</v>
      </c>
      <c r="I18" s="124"/>
      <c r="J18" s="124"/>
    </row>
    <row r="19" spans="1:10" x14ac:dyDescent="0.25">
      <c r="A19" t="s">
        <v>1409</v>
      </c>
      <c r="B19" t="s">
        <v>133</v>
      </c>
      <c r="F19" s="124" t="s">
        <v>15</v>
      </c>
      <c r="G19" s="124" t="s">
        <v>65</v>
      </c>
      <c r="H19" s="124" t="s">
        <v>88</v>
      </c>
      <c r="I19" s="124"/>
      <c r="J19" s="124"/>
    </row>
    <row r="20" spans="1:10" x14ac:dyDescent="0.25">
      <c r="A20" t="s">
        <v>1410</v>
      </c>
      <c r="B20" t="s">
        <v>133</v>
      </c>
      <c r="F20" s="124" t="s">
        <v>25</v>
      </c>
      <c r="G20" s="124" t="s">
        <v>52</v>
      </c>
      <c r="H20" s="124" t="s">
        <v>109</v>
      </c>
      <c r="I20" s="124"/>
      <c r="J20" s="124"/>
    </row>
    <row r="21" spans="1:10" x14ac:dyDescent="0.25">
      <c r="A21" t="s">
        <v>1401</v>
      </c>
      <c r="B21" t="s">
        <v>133</v>
      </c>
      <c r="F21" s="124" t="s">
        <v>33</v>
      </c>
      <c r="G21" s="124" t="s">
        <v>74</v>
      </c>
      <c r="H21" s="124" t="s">
        <v>100</v>
      </c>
      <c r="I21" s="124"/>
      <c r="J21" s="124"/>
    </row>
    <row r="22" spans="1:10" x14ac:dyDescent="0.25">
      <c r="A22" t="s">
        <v>1423</v>
      </c>
      <c r="B22" t="s">
        <v>133</v>
      </c>
      <c r="F22" s="124" t="s">
        <v>32</v>
      </c>
      <c r="G22" s="124" t="s">
        <v>41</v>
      </c>
      <c r="H22" s="124" t="s">
        <v>114</v>
      </c>
      <c r="I22" s="124"/>
      <c r="J22" s="124"/>
    </row>
    <row r="23" spans="1:10" x14ac:dyDescent="0.25">
      <c r="A23" t="s">
        <v>1414</v>
      </c>
      <c r="B23" t="s">
        <v>133</v>
      </c>
      <c r="F23" s="124" t="s">
        <v>35</v>
      </c>
      <c r="G23" s="124" t="s">
        <v>46</v>
      </c>
      <c r="H23" s="124" t="s">
        <v>103</v>
      </c>
      <c r="I23" s="124"/>
      <c r="J23" s="124"/>
    </row>
    <row r="24" spans="1:10" x14ac:dyDescent="0.25">
      <c r="A24" t="s">
        <v>1402</v>
      </c>
      <c r="B24" t="s">
        <v>133</v>
      </c>
      <c r="F24" s="124" t="s">
        <v>17</v>
      </c>
      <c r="G24" s="124" t="s">
        <v>70</v>
      </c>
      <c r="H24" s="124" t="s">
        <v>93</v>
      </c>
      <c r="I24" s="124"/>
      <c r="J24" s="124"/>
    </row>
    <row r="25" spans="1:10" x14ac:dyDescent="0.25">
      <c r="A25" t="s">
        <v>1399</v>
      </c>
      <c r="B25" t="s">
        <v>133</v>
      </c>
      <c r="F25" s="124" t="s">
        <v>11</v>
      </c>
      <c r="G25" s="124" t="s">
        <v>66</v>
      </c>
      <c r="H25" s="124" t="s">
        <v>83</v>
      </c>
      <c r="I25" s="124"/>
      <c r="J25" s="124"/>
    </row>
    <row r="26" spans="1:10" x14ac:dyDescent="0.25">
      <c r="A26" t="s">
        <v>1590</v>
      </c>
      <c r="B26" t="s">
        <v>133</v>
      </c>
      <c r="F26" s="124" t="s">
        <v>21</v>
      </c>
      <c r="G26" s="124" t="s">
        <v>59</v>
      </c>
      <c r="H26" s="124" t="s">
        <v>84</v>
      </c>
      <c r="I26" s="124"/>
      <c r="J26" s="124"/>
    </row>
    <row r="27" spans="1:10" x14ac:dyDescent="0.25">
      <c r="A27" t="s">
        <v>1591</v>
      </c>
      <c r="B27" t="s">
        <v>133</v>
      </c>
      <c r="F27" s="124" t="s">
        <v>20</v>
      </c>
      <c r="G27" s="124" t="s">
        <v>64</v>
      </c>
      <c r="H27" s="124" t="s">
        <v>91</v>
      </c>
      <c r="I27" s="124"/>
      <c r="J27" s="124"/>
    </row>
    <row r="28" spans="1:10" x14ac:dyDescent="0.25">
      <c r="A28" t="s">
        <v>1592</v>
      </c>
      <c r="B28" t="s">
        <v>133</v>
      </c>
      <c r="F28" s="124" t="s">
        <v>23</v>
      </c>
      <c r="G28" s="124" t="s">
        <v>63</v>
      </c>
      <c r="H28" s="124" t="s">
        <v>90</v>
      </c>
      <c r="I28" s="124"/>
      <c r="J28" s="124"/>
    </row>
    <row r="29" spans="1:10" x14ac:dyDescent="0.25">
      <c r="A29" t="s">
        <v>1593</v>
      </c>
      <c r="B29" t="s">
        <v>133</v>
      </c>
      <c r="F29" s="124" t="s">
        <v>262</v>
      </c>
      <c r="G29" s="124" t="s">
        <v>71</v>
      </c>
      <c r="H29" s="124" t="s">
        <v>79</v>
      </c>
      <c r="I29" s="124"/>
      <c r="J29" s="124"/>
    </row>
    <row r="30" spans="1:10" x14ac:dyDescent="0.25">
      <c r="A30" t="s">
        <v>1412</v>
      </c>
      <c r="B30" t="s">
        <v>133</v>
      </c>
      <c r="F30" s="124" t="s">
        <v>14</v>
      </c>
      <c r="G30" s="124" t="s">
        <v>75</v>
      </c>
      <c r="H30" s="124" t="s">
        <v>82</v>
      </c>
      <c r="I30" s="124"/>
      <c r="J30" s="124"/>
    </row>
    <row r="31" spans="1:10" x14ac:dyDescent="0.25">
      <c r="A31" t="s">
        <v>1594</v>
      </c>
      <c r="B31" t="s">
        <v>133</v>
      </c>
      <c r="F31" s="124" t="s">
        <v>263</v>
      </c>
      <c r="G31" s="124" t="s">
        <v>60</v>
      </c>
      <c r="H31" s="124" t="s">
        <v>85</v>
      </c>
      <c r="I31" s="124"/>
      <c r="J31" s="124"/>
    </row>
    <row r="32" spans="1:10" x14ac:dyDescent="0.25">
      <c r="A32" t="s">
        <v>1398</v>
      </c>
      <c r="B32" t="s">
        <v>133</v>
      </c>
      <c r="F32" s="124" t="s">
        <v>16</v>
      </c>
      <c r="G32" s="124" t="s">
        <v>57</v>
      </c>
      <c r="H32" s="124" t="s">
        <v>98</v>
      </c>
      <c r="I32" s="124"/>
      <c r="J32" s="124"/>
    </row>
    <row r="33" spans="1:10" x14ac:dyDescent="0.25">
      <c r="A33" t="s">
        <v>1595</v>
      </c>
      <c r="B33" t="s">
        <v>133</v>
      </c>
      <c r="F33" s="124" t="s">
        <v>18</v>
      </c>
      <c r="G33" s="124" t="s">
        <v>69</v>
      </c>
      <c r="H33" s="124" t="s">
        <v>267</v>
      </c>
      <c r="I33" s="124"/>
      <c r="J33" s="124"/>
    </row>
    <row r="34" spans="1:10" x14ac:dyDescent="0.25">
      <c r="A34" t="s">
        <v>1596</v>
      </c>
      <c r="B34" t="s">
        <v>133</v>
      </c>
      <c r="F34" s="124"/>
      <c r="G34" s="124" t="s">
        <v>266</v>
      </c>
      <c r="H34" s="124" t="s">
        <v>80</v>
      </c>
      <c r="I34" s="124"/>
      <c r="J34" s="124"/>
    </row>
    <row r="35" spans="1:10" x14ac:dyDescent="0.25">
      <c r="A35" t="s">
        <v>1391</v>
      </c>
      <c r="B35" t="s">
        <v>133</v>
      </c>
      <c r="F35" s="124"/>
      <c r="G35" s="124" t="s">
        <v>44</v>
      </c>
      <c r="H35" s="124" t="s">
        <v>94</v>
      </c>
      <c r="I35" s="124"/>
      <c r="J35" s="124"/>
    </row>
    <row r="36" spans="1:10" x14ac:dyDescent="0.25">
      <c r="A36" t="s">
        <v>1395</v>
      </c>
      <c r="B36" t="s">
        <v>133</v>
      </c>
      <c r="F36" s="124"/>
      <c r="G36" s="124" t="s">
        <v>42</v>
      </c>
      <c r="H36" s="124" t="s">
        <v>110</v>
      </c>
      <c r="I36" s="124"/>
      <c r="J36" s="124"/>
    </row>
    <row r="37" spans="1:10" x14ac:dyDescent="0.25">
      <c r="A37" t="s">
        <v>1396</v>
      </c>
      <c r="B37" t="s">
        <v>133</v>
      </c>
      <c r="F37" s="124"/>
      <c r="G37" s="124" t="s">
        <v>43</v>
      </c>
      <c r="H37" s="124" t="s">
        <v>276</v>
      </c>
      <c r="I37" s="124"/>
      <c r="J37" s="124"/>
    </row>
    <row r="38" spans="1:10" x14ac:dyDescent="0.25">
      <c r="A38" t="s">
        <v>1559</v>
      </c>
      <c r="B38" t="s">
        <v>133</v>
      </c>
      <c r="F38" s="124"/>
      <c r="G38" s="124" t="s">
        <v>47</v>
      </c>
      <c r="H38" s="124" t="s">
        <v>102</v>
      </c>
      <c r="I38" s="124"/>
      <c r="J38" s="124"/>
    </row>
    <row r="39" spans="1:10" x14ac:dyDescent="0.25">
      <c r="A39" t="s">
        <v>1597</v>
      </c>
      <c r="B39" t="s">
        <v>133</v>
      </c>
      <c r="F39" s="124"/>
      <c r="G39" s="124" t="s">
        <v>40</v>
      </c>
      <c r="H39" s="124" t="s">
        <v>108</v>
      </c>
      <c r="I39" s="124"/>
      <c r="J39" s="124"/>
    </row>
    <row r="40" spans="1:10" x14ac:dyDescent="0.25">
      <c r="A40" t="s">
        <v>1403</v>
      </c>
      <c r="B40" t="s">
        <v>133</v>
      </c>
      <c r="F40" s="124"/>
      <c r="G40" s="124"/>
      <c r="H40" s="124" t="s">
        <v>107</v>
      </c>
      <c r="I40" s="124"/>
      <c r="J40" s="124"/>
    </row>
    <row r="41" spans="1:10" x14ac:dyDescent="0.25">
      <c r="A41" t="s">
        <v>1598</v>
      </c>
      <c r="B41" t="s">
        <v>133</v>
      </c>
    </row>
    <row r="42" spans="1:10" x14ac:dyDescent="0.25">
      <c r="A42" t="s">
        <v>1599</v>
      </c>
      <c r="B42" t="s">
        <v>133</v>
      </c>
    </row>
    <row r="43" spans="1:10" x14ac:dyDescent="0.25">
      <c r="A43" t="s">
        <v>1600</v>
      </c>
      <c r="B43" t="s">
        <v>133</v>
      </c>
    </row>
    <row r="44" spans="1:10" x14ac:dyDescent="0.25">
      <c r="A44" t="s">
        <v>1419</v>
      </c>
      <c r="B44" t="s">
        <v>133</v>
      </c>
    </row>
    <row r="45" spans="1:10" x14ac:dyDescent="0.25">
      <c r="A45" t="s">
        <v>1601</v>
      </c>
      <c r="B45" t="s">
        <v>133</v>
      </c>
    </row>
    <row r="46" spans="1:10" x14ac:dyDescent="0.25">
      <c r="A46" t="s">
        <v>1602</v>
      </c>
      <c r="B46" t="s">
        <v>134</v>
      </c>
    </row>
    <row r="47" spans="1:10" x14ac:dyDescent="0.25">
      <c r="A47" t="s">
        <v>1603</v>
      </c>
      <c r="B47" t="s">
        <v>134</v>
      </c>
    </row>
    <row r="48" spans="1:10" x14ac:dyDescent="0.25">
      <c r="A48" t="s">
        <v>1380</v>
      </c>
      <c r="B48" t="s">
        <v>134</v>
      </c>
    </row>
    <row r="49" spans="1:2" x14ac:dyDescent="0.25">
      <c r="A49" t="s">
        <v>1604</v>
      </c>
      <c r="B49" t="s">
        <v>134</v>
      </c>
    </row>
    <row r="50" spans="1:2" x14ac:dyDescent="0.25">
      <c r="A50" t="s">
        <v>1370</v>
      </c>
      <c r="B50" t="s">
        <v>134</v>
      </c>
    </row>
    <row r="51" spans="1:2" x14ac:dyDescent="0.25">
      <c r="A51" t="s">
        <v>1605</v>
      </c>
      <c r="B51" t="s">
        <v>134</v>
      </c>
    </row>
    <row r="52" spans="1:2" x14ac:dyDescent="0.25">
      <c r="A52" t="s">
        <v>1368</v>
      </c>
      <c r="B52" t="s">
        <v>134</v>
      </c>
    </row>
    <row r="53" spans="1:2" x14ac:dyDescent="0.25">
      <c r="A53" t="s">
        <v>1606</v>
      </c>
      <c r="B53" t="s">
        <v>134</v>
      </c>
    </row>
    <row r="54" spans="1:2" x14ac:dyDescent="0.25">
      <c r="A54" t="s">
        <v>1367</v>
      </c>
      <c r="B54" t="s">
        <v>134</v>
      </c>
    </row>
    <row r="55" spans="1:2" x14ac:dyDescent="0.25">
      <c r="A55" t="s">
        <v>1607</v>
      </c>
      <c r="B55" t="s">
        <v>134</v>
      </c>
    </row>
    <row r="56" spans="1:2" x14ac:dyDescent="0.25">
      <c r="A56" t="s">
        <v>1366</v>
      </c>
      <c r="B56" t="s">
        <v>134</v>
      </c>
    </row>
    <row r="57" spans="1:2" x14ac:dyDescent="0.25">
      <c r="A57" t="s">
        <v>1371</v>
      </c>
      <c r="B57" t="s">
        <v>134</v>
      </c>
    </row>
    <row r="58" spans="1:2" x14ac:dyDescent="0.25">
      <c r="A58" t="s">
        <v>1364</v>
      </c>
      <c r="B58" t="s">
        <v>134</v>
      </c>
    </row>
    <row r="59" spans="1:2" x14ac:dyDescent="0.25">
      <c r="A59" t="s">
        <v>1608</v>
      </c>
      <c r="B59" t="s">
        <v>134</v>
      </c>
    </row>
    <row r="60" spans="1:2" x14ac:dyDescent="0.25">
      <c r="A60" t="s">
        <v>1609</v>
      </c>
      <c r="B60" t="s">
        <v>134</v>
      </c>
    </row>
    <row r="61" spans="1:2" x14ac:dyDescent="0.25">
      <c r="A61" t="s">
        <v>1376</v>
      </c>
      <c r="B61" t="s">
        <v>134</v>
      </c>
    </row>
    <row r="62" spans="1:2" x14ac:dyDescent="0.25">
      <c r="A62" t="s">
        <v>1365</v>
      </c>
      <c r="B62" t="s">
        <v>134</v>
      </c>
    </row>
    <row r="63" spans="1:2" x14ac:dyDescent="0.25">
      <c r="A63" t="s">
        <v>1381</v>
      </c>
      <c r="B63" t="s">
        <v>134</v>
      </c>
    </row>
    <row r="64" spans="1:2" x14ac:dyDescent="0.25">
      <c r="A64" t="s">
        <v>1610</v>
      </c>
      <c r="B64" t="s">
        <v>134</v>
      </c>
    </row>
    <row r="65" spans="1:2" x14ac:dyDescent="0.25">
      <c r="A65" t="s">
        <v>1611</v>
      </c>
      <c r="B65" t="s">
        <v>134</v>
      </c>
    </row>
    <row r="66" spans="1:2" x14ac:dyDescent="0.25">
      <c r="A66" t="s">
        <v>1612</v>
      </c>
      <c r="B66" t="s">
        <v>134</v>
      </c>
    </row>
    <row r="67" spans="1:2" x14ac:dyDescent="0.25">
      <c r="A67" t="s">
        <v>1377</v>
      </c>
      <c r="B67" t="s">
        <v>134</v>
      </c>
    </row>
    <row r="68" spans="1:2" x14ac:dyDescent="0.25">
      <c r="A68" t="s">
        <v>1372</v>
      </c>
      <c r="B68" t="s">
        <v>134</v>
      </c>
    </row>
    <row r="69" spans="1:2" x14ac:dyDescent="0.25">
      <c r="A69" t="s">
        <v>1375</v>
      </c>
      <c r="B69" t="s">
        <v>134</v>
      </c>
    </row>
    <row r="70" spans="1:2" x14ac:dyDescent="0.25">
      <c r="A70" t="s">
        <v>1613</v>
      </c>
      <c r="B70" t="s">
        <v>134</v>
      </c>
    </row>
    <row r="71" spans="1:2" x14ac:dyDescent="0.25">
      <c r="A71" t="s">
        <v>1614</v>
      </c>
      <c r="B71" t="s">
        <v>134</v>
      </c>
    </row>
    <row r="72" spans="1:2" x14ac:dyDescent="0.25">
      <c r="A72" t="s">
        <v>1615</v>
      </c>
      <c r="B72" t="s">
        <v>134</v>
      </c>
    </row>
    <row r="73" spans="1:2" x14ac:dyDescent="0.25">
      <c r="A73" t="s">
        <v>1374</v>
      </c>
      <c r="B73" t="s">
        <v>134</v>
      </c>
    </row>
    <row r="74" spans="1:2" x14ac:dyDescent="0.25">
      <c r="A74" t="s">
        <v>1369</v>
      </c>
      <c r="B74" t="s">
        <v>134</v>
      </c>
    </row>
    <row r="75" spans="1:2" x14ac:dyDescent="0.25">
      <c r="A75" t="s">
        <v>1378</v>
      </c>
      <c r="B75" t="s">
        <v>134</v>
      </c>
    </row>
    <row r="76" spans="1:2" x14ac:dyDescent="0.25">
      <c r="A76" t="s">
        <v>1361</v>
      </c>
      <c r="B76" t="s">
        <v>134</v>
      </c>
    </row>
    <row r="77" spans="1:2" x14ac:dyDescent="0.25">
      <c r="A77" t="s">
        <v>1616</v>
      </c>
      <c r="B77" t="s">
        <v>134</v>
      </c>
    </row>
    <row r="78" spans="1:2" x14ac:dyDescent="0.25">
      <c r="A78" t="s">
        <v>1617</v>
      </c>
      <c r="B78" t="s">
        <v>134</v>
      </c>
    </row>
    <row r="79" spans="1:2" x14ac:dyDescent="0.25">
      <c r="A79" t="s">
        <v>1618</v>
      </c>
      <c r="B79" t="s">
        <v>134</v>
      </c>
    </row>
    <row r="80" spans="1:2" x14ac:dyDescent="0.25">
      <c r="A80" t="s">
        <v>1619</v>
      </c>
      <c r="B80" t="s">
        <v>134</v>
      </c>
    </row>
    <row r="81" spans="1:2" x14ac:dyDescent="0.25">
      <c r="A81" t="s">
        <v>1360</v>
      </c>
      <c r="B81" t="s">
        <v>134</v>
      </c>
    </row>
    <row r="82" spans="1:2" x14ac:dyDescent="0.25">
      <c r="A82" t="s">
        <v>1620</v>
      </c>
      <c r="B82" t="s">
        <v>1673</v>
      </c>
    </row>
    <row r="83" spans="1:2" x14ac:dyDescent="0.25">
      <c r="A83" t="s">
        <v>1621</v>
      </c>
      <c r="B83" t="s">
        <v>1673</v>
      </c>
    </row>
    <row r="84" spans="1:2" x14ac:dyDescent="0.25">
      <c r="A84" t="s">
        <v>1351</v>
      </c>
      <c r="B84" t="s">
        <v>135</v>
      </c>
    </row>
    <row r="85" spans="1:2" x14ac:dyDescent="0.25">
      <c r="A85" t="s">
        <v>1622</v>
      </c>
      <c r="B85" t="s">
        <v>135</v>
      </c>
    </row>
    <row r="86" spans="1:2" x14ac:dyDescent="0.25">
      <c r="A86" t="s">
        <v>1623</v>
      </c>
      <c r="B86" t="s">
        <v>135</v>
      </c>
    </row>
    <row r="87" spans="1:2" x14ac:dyDescent="0.25">
      <c r="A87" t="s">
        <v>1624</v>
      </c>
      <c r="B87" t="s">
        <v>135</v>
      </c>
    </row>
    <row r="88" spans="1:2" x14ac:dyDescent="0.25">
      <c r="A88" t="s">
        <v>1352</v>
      </c>
      <c r="B88" t="s">
        <v>135</v>
      </c>
    </row>
    <row r="89" spans="1:2" x14ac:dyDescent="0.25">
      <c r="A89" t="s">
        <v>1625</v>
      </c>
      <c r="B89" t="s">
        <v>135</v>
      </c>
    </row>
    <row r="90" spans="1:2" x14ac:dyDescent="0.25">
      <c r="A90" t="s">
        <v>1626</v>
      </c>
      <c r="B90" t="s">
        <v>135</v>
      </c>
    </row>
    <row r="91" spans="1:2" x14ac:dyDescent="0.25">
      <c r="A91" t="s">
        <v>1627</v>
      </c>
      <c r="B91" t="s">
        <v>135</v>
      </c>
    </row>
    <row r="92" spans="1:2" x14ac:dyDescent="0.25">
      <c r="A92" t="s">
        <v>1332</v>
      </c>
      <c r="B92" t="s">
        <v>135</v>
      </c>
    </row>
    <row r="93" spans="1:2" x14ac:dyDescent="0.25">
      <c r="A93" t="s">
        <v>1349</v>
      </c>
      <c r="B93" t="s">
        <v>135</v>
      </c>
    </row>
    <row r="94" spans="1:2" x14ac:dyDescent="0.25">
      <c r="A94" t="s">
        <v>1628</v>
      </c>
      <c r="B94" t="s">
        <v>135</v>
      </c>
    </row>
    <row r="95" spans="1:2" x14ac:dyDescent="0.25">
      <c r="A95" t="s">
        <v>1629</v>
      </c>
      <c r="B95" t="s">
        <v>135</v>
      </c>
    </row>
    <row r="96" spans="1:2" x14ac:dyDescent="0.25">
      <c r="A96" t="s">
        <v>1355</v>
      </c>
      <c r="B96" t="s">
        <v>135</v>
      </c>
    </row>
    <row r="97" spans="1:2" x14ac:dyDescent="0.25">
      <c r="A97" t="s">
        <v>1345</v>
      </c>
      <c r="B97" t="s">
        <v>135</v>
      </c>
    </row>
    <row r="98" spans="1:2" x14ac:dyDescent="0.25">
      <c r="A98" t="s">
        <v>1630</v>
      </c>
      <c r="B98" t="s">
        <v>135</v>
      </c>
    </row>
    <row r="99" spans="1:2" x14ac:dyDescent="0.25">
      <c r="A99" t="s">
        <v>1631</v>
      </c>
      <c r="B99" t="s">
        <v>135</v>
      </c>
    </row>
    <row r="100" spans="1:2" x14ac:dyDescent="0.25">
      <c r="A100" t="s">
        <v>1354</v>
      </c>
      <c r="B100" t="s">
        <v>135</v>
      </c>
    </row>
    <row r="101" spans="1:2" x14ac:dyDescent="0.25">
      <c r="A101" t="s">
        <v>1632</v>
      </c>
      <c r="B101" t="s">
        <v>1673</v>
      </c>
    </row>
    <row r="102" spans="1:2" x14ac:dyDescent="0.25">
      <c r="A102" t="s">
        <v>1633</v>
      </c>
      <c r="B102" t="s">
        <v>135</v>
      </c>
    </row>
    <row r="103" spans="1:2" x14ac:dyDescent="0.25">
      <c r="A103" t="s">
        <v>1347</v>
      </c>
      <c r="B103" t="s">
        <v>135</v>
      </c>
    </row>
    <row r="104" spans="1:2" x14ac:dyDescent="0.25">
      <c r="A104" t="s">
        <v>1344</v>
      </c>
      <c r="B104" t="s">
        <v>135</v>
      </c>
    </row>
    <row r="105" spans="1:2" x14ac:dyDescent="0.25">
      <c r="A105" t="s">
        <v>1634</v>
      </c>
      <c r="B105" t="s">
        <v>135</v>
      </c>
    </row>
    <row r="106" spans="1:2" x14ac:dyDescent="0.25">
      <c r="A106" t="s">
        <v>1635</v>
      </c>
      <c r="B106" t="s">
        <v>135</v>
      </c>
    </row>
    <row r="107" spans="1:2" x14ac:dyDescent="0.25">
      <c r="A107" t="s">
        <v>1636</v>
      </c>
      <c r="B107" t="s">
        <v>135</v>
      </c>
    </row>
    <row r="108" spans="1:2" x14ac:dyDescent="0.25">
      <c r="A108" t="s">
        <v>1338</v>
      </c>
      <c r="B108" t="s">
        <v>135</v>
      </c>
    </row>
    <row r="109" spans="1:2" x14ac:dyDescent="0.25">
      <c r="A109" t="s">
        <v>1637</v>
      </c>
      <c r="B109" t="s">
        <v>135</v>
      </c>
    </row>
    <row r="110" spans="1:2" x14ac:dyDescent="0.25">
      <c r="A110" t="s">
        <v>1339</v>
      </c>
      <c r="B110" t="s">
        <v>135</v>
      </c>
    </row>
    <row r="111" spans="1:2" x14ac:dyDescent="0.25">
      <c r="A111" t="s">
        <v>1638</v>
      </c>
      <c r="B111" t="s">
        <v>135</v>
      </c>
    </row>
    <row r="112" spans="1:2" x14ac:dyDescent="0.25">
      <c r="A112" t="s">
        <v>1384</v>
      </c>
      <c r="B112" t="s">
        <v>131</v>
      </c>
    </row>
    <row r="113" spans="1:2" x14ac:dyDescent="0.25">
      <c r="A113" t="s">
        <v>1388</v>
      </c>
      <c r="B113" t="s">
        <v>131</v>
      </c>
    </row>
    <row r="114" spans="1:2" x14ac:dyDescent="0.25">
      <c r="A114" t="s">
        <v>1413</v>
      </c>
      <c r="B114" t="s">
        <v>131</v>
      </c>
    </row>
    <row r="115" spans="1:2" x14ac:dyDescent="0.25">
      <c r="A115" t="s">
        <v>1397</v>
      </c>
      <c r="B115" t="s">
        <v>131</v>
      </c>
    </row>
    <row r="116" spans="1:2" x14ac:dyDescent="0.25">
      <c r="A116" t="s">
        <v>1390</v>
      </c>
      <c r="B116" t="s">
        <v>131</v>
      </c>
    </row>
    <row r="117" spans="1:2" x14ac:dyDescent="0.25">
      <c r="A117" t="s">
        <v>1417</v>
      </c>
      <c r="B117" t="s">
        <v>131</v>
      </c>
    </row>
    <row r="118" spans="1:2" x14ac:dyDescent="0.25">
      <c r="A118" t="s">
        <v>1416</v>
      </c>
      <c r="B118" t="s">
        <v>131</v>
      </c>
    </row>
    <row r="119" spans="1:2" x14ac:dyDescent="0.25">
      <c r="A119" t="s">
        <v>1418</v>
      </c>
      <c r="B119" t="s">
        <v>131</v>
      </c>
    </row>
    <row r="120" spans="1:2" x14ac:dyDescent="0.25">
      <c r="A120" t="s">
        <v>1639</v>
      </c>
      <c r="B120" t="s">
        <v>115</v>
      </c>
    </row>
    <row r="121" spans="1:2" x14ac:dyDescent="0.25">
      <c r="A121" t="s">
        <v>1640</v>
      </c>
      <c r="B121" t="s">
        <v>115</v>
      </c>
    </row>
    <row r="122" spans="1:2" x14ac:dyDescent="0.25">
      <c r="A122" t="s">
        <v>1641</v>
      </c>
      <c r="B122" t="s">
        <v>115</v>
      </c>
    </row>
    <row r="123" spans="1:2" x14ac:dyDescent="0.25">
      <c r="A123" t="s">
        <v>1642</v>
      </c>
      <c r="B123" t="s">
        <v>115</v>
      </c>
    </row>
    <row r="124" spans="1:2" x14ac:dyDescent="0.25">
      <c r="A124" t="s">
        <v>1643</v>
      </c>
      <c r="B124" t="s">
        <v>115</v>
      </c>
    </row>
    <row r="125" spans="1:2" x14ac:dyDescent="0.25">
      <c r="A125" t="s">
        <v>1437</v>
      </c>
      <c r="B125" t="s">
        <v>115</v>
      </c>
    </row>
    <row r="126" spans="1:2" x14ac:dyDescent="0.25">
      <c r="A126" t="s">
        <v>1426</v>
      </c>
      <c r="B126" t="s">
        <v>115</v>
      </c>
    </row>
    <row r="127" spans="1:2" x14ac:dyDescent="0.25">
      <c r="A127" t="s">
        <v>1435</v>
      </c>
      <c r="B127" t="s">
        <v>115</v>
      </c>
    </row>
    <row r="128" spans="1:2" x14ac:dyDescent="0.25">
      <c r="A128" t="s">
        <v>1433</v>
      </c>
      <c r="B128" t="s">
        <v>115</v>
      </c>
    </row>
    <row r="129" spans="1:2" x14ac:dyDescent="0.25">
      <c r="A129" t="s">
        <v>1548</v>
      </c>
      <c r="B129" t="s">
        <v>115</v>
      </c>
    </row>
    <row r="130" spans="1:2" x14ac:dyDescent="0.25">
      <c r="A130" t="s">
        <v>1644</v>
      </c>
      <c r="B130" t="s">
        <v>115</v>
      </c>
    </row>
    <row r="131" spans="1:2" x14ac:dyDescent="0.25">
      <c r="A131" t="s">
        <v>1645</v>
      </c>
      <c r="B131" t="s">
        <v>115</v>
      </c>
    </row>
    <row r="132" spans="1:2" x14ac:dyDescent="0.25">
      <c r="A132" t="s">
        <v>1646</v>
      </c>
      <c r="B132" t="s">
        <v>115</v>
      </c>
    </row>
    <row r="133" spans="1:2" x14ac:dyDescent="0.25">
      <c r="A133" t="s">
        <v>1647</v>
      </c>
      <c r="B133" t="s">
        <v>135</v>
      </c>
    </row>
    <row r="134" spans="1:2" x14ac:dyDescent="0.25">
      <c r="A134" t="s">
        <v>1648</v>
      </c>
      <c r="B134" t="s">
        <v>135</v>
      </c>
    </row>
    <row r="135" spans="1:2" x14ac:dyDescent="0.25">
      <c r="A135" t="s">
        <v>1437</v>
      </c>
      <c r="B135" t="s">
        <v>115</v>
      </c>
    </row>
    <row r="136" spans="1:2" x14ac:dyDescent="0.25">
      <c r="A136" t="s">
        <v>1649</v>
      </c>
      <c r="B136" t="s">
        <v>115</v>
      </c>
    </row>
    <row r="137" spans="1:2" x14ac:dyDescent="0.25">
      <c r="A137" t="s">
        <v>1646</v>
      </c>
      <c r="B137" t="s">
        <v>115</v>
      </c>
    </row>
    <row r="138" spans="1:2" x14ac:dyDescent="0.25">
      <c r="A138" t="s">
        <v>1430</v>
      </c>
      <c r="B138" t="s">
        <v>115</v>
      </c>
    </row>
    <row r="139" spans="1:2" x14ac:dyDescent="0.25">
      <c r="A139" t="s">
        <v>1427</v>
      </c>
      <c r="B139" t="s">
        <v>115</v>
      </c>
    </row>
    <row r="140" spans="1:2" x14ac:dyDescent="0.25">
      <c r="A140" t="s">
        <v>1336</v>
      </c>
      <c r="B140" t="s">
        <v>132</v>
      </c>
    </row>
    <row r="141" spans="1:2" x14ac:dyDescent="0.25">
      <c r="A141" t="s">
        <v>1650</v>
      </c>
      <c r="B141" t="s">
        <v>133</v>
      </c>
    </row>
    <row r="142" spans="1:2" x14ac:dyDescent="0.25">
      <c r="A142" t="s">
        <v>1389</v>
      </c>
      <c r="B142" t="s">
        <v>273</v>
      </c>
    </row>
    <row r="143" spans="1:2" x14ac:dyDescent="0.25">
      <c r="A143" t="s">
        <v>1411</v>
      </c>
      <c r="B143" t="s">
        <v>133</v>
      </c>
    </row>
    <row r="144" spans="1:2" x14ac:dyDescent="0.25">
      <c r="A144" t="s">
        <v>1651</v>
      </c>
      <c r="B144" t="s">
        <v>115</v>
      </c>
    </row>
    <row r="145" spans="1:2" x14ac:dyDescent="0.25">
      <c r="A145" t="s">
        <v>1652</v>
      </c>
      <c r="B145" t="s">
        <v>133</v>
      </c>
    </row>
    <row r="146" spans="1:2" x14ac:dyDescent="0.25">
      <c r="A146" t="s">
        <v>1429</v>
      </c>
      <c r="B146" t="s">
        <v>115</v>
      </c>
    </row>
    <row r="147" spans="1:2" x14ac:dyDescent="0.25">
      <c r="A147" t="s">
        <v>1333</v>
      </c>
      <c r="B147" t="s">
        <v>132</v>
      </c>
    </row>
    <row r="148" spans="1:2" x14ac:dyDescent="0.25">
      <c r="A148" t="s">
        <v>1334</v>
      </c>
      <c r="B148" t="s">
        <v>132</v>
      </c>
    </row>
    <row r="149" spans="1:2" x14ac:dyDescent="0.25">
      <c r="A149" t="s">
        <v>1340</v>
      </c>
      <c r="B149" t="s">
        <v>132</v>
      </c>
    </row>
    <row r="150" spans="1:2" x14ac:dyDescent="0.25">
      <c r="A150" t="s">
        <v>1341</v>
      </c>
      <c r="B150" t="s">
        <v>132</v>
      </c>
    </row>
    <row r="151" spans="1:2" x14ac:dyDescent="0.25">
      <c r="A151" t="s">
        <v>1342</v>
      </c>
      <c r="B151" t="s">
        <v>132</v>
      </c>
    </row>
    <row r="152" spans="1:2" x14ac:dyDescent="0.25">
      <c r="A152" t="s">
        <v>1346</v>
      </c>
      <c r="B152" t="s">
        <v>135</v>
      </c>
    </row>
    <row r="153" spans="1:2" x14ac:dyDescent="0.25">
      <c r="A153" t="s">
        <v>1348</v>
      </c>
      <c r="B153" t="s">
        <v>132</v>
      </c>
    </row>
    <row r="154" spans="1:2" x14ac:dyDescent="0.25">
      <c r="A154" t="s">
        <v>1350</v>
      </c>
      <c r="B154" t="s">
        <v>132</v>
      </c>
    </row>
    <row r="155" spans="1:2" x14ac:dyDescent="0.25">
      <c r="A155" t="s">
        <v>1353</v>
      </c>
      <c r="B155" t="s">
        <v>135</v>
      </c>
    </row>
    <row r="156" spans="1:2" x14ac:dyDescent="0.25">
      <c r="A156" t="s">
        <v>1357</v>
      </c>
      <c r="B156" t="s">
        <v>132</v>
      </c>
    </row>
    <row r="157" spans="1:2" x14ac:dyDescent="0.25">
      <c r="A157" t="s">
        <v>1362</v>
      </c>
      <c r="B157" t="s">
        <v>132</v>
      </c>
    </row>
    <row r="158" spans="1:2" x14ac:dyDescent="0.25">
      <c r="A158" t="s">
        <v>1373</v>
      </c>
      <c r="B158" t="s">
        <v>132</v>
      </c>
    </row>
    <row r="159" spans="1:2" x14ac:dyDescent="0.25">
      <c r="A159" t="s">
        <v>1385</v>
      </c>
      <c r="B159" t="s">
        <v>273</v>
      </c>
    </row>
    <row r="160" spans="1:2" x14ac:dyDescent="0.25">
      <c r="A160" t="s">
        <v>1386</v>
      </c>
      <c r="B160" t="s">
        <v>273</v>
      </c>
    </row>
    <row r="161" spans="1:2" x14ac:dyDescent="0.25">
      <c r="A161" t="s">
        <v>1387</v>
      </c>
      <c r="B161" t="s">
        <v>273</v>
      </c>
    </row>
    <row r="162" spans="1:2" x14ac:dyDescent="0.25">
      <c r="A162" t="s">
        <v>1393</v>
      </c>
      <c r="B162" t="s">
        <v>273</v>
      </c>
    </row>
    <row r="163" spans="1:2" x14ac:dyDescent="0.25">
      <c r="A163" t="s">
        <v>1394</v>
      </c>
      <c r="B163" t="s">
        <v>273</v>
      </c>
    </row>
    <row r="165" spans="1:2" x14ac:dyDescent="0.25">
      <c r="A165" t="s">
        <v>1400</v>
      </c>
      <c r="B165" t="s">
        <v>273</v>
      </c>
    </row>
    <row r="166" spans="1:2" x14ac:dyDescent="0.25">
      <c r="A166" t="s">
        <v>1404</v>
      </c>
      <c r="B166" t="s">
        <v>133</v>
      </c>
    </row>
    <row r="167" spans="1:2" x14ac:dyDescent="0.25">
      <c r="A167" t="s">
        <v>1405</v>
      </c>
      <c r="B167" t="s">
        <v>273</v>
      </c>
    </row>
    <row r="168" spans="1:2" x14ac:dyDescent="0.25">
      <c r="A168" t="s">
        <v>1406</v>
      </c>
      <c r="B168" t="s">
        <v>273</v>
      </c>
    </row>
    <row r="169" spans="1:2" x14ac:dyDescent="0.25">
      <c r="A169" t="s">
        <v>1407</v>
      </c>
      <c r="B169" t="s">
        <v>273</v>
      </c>
    </row>
    <row r="170" spans="1:2" x14ac:dyDescent="0.25">
      <c r="A170" t="s">
        <v>1408</v>
      </c>
      <c r="B170" t="s">
        <v>273</v>
      </c>
    </row>
    <row r="171" spans="1:2" x14ac:dyDescent="0.25">
      <c r="A171" t="s">
        <v>1420</v>
      </c>
      <c r="B171" t="s">
        <v>273</v>
      </c>
    </row>
    <row r="172" spans="1:2" x14ac:dyDescent="0.25">
      <c r="A172" t="s">
        <v>1421</v>
      </c>
      <c r="B172" t="s">
        <v>273</v>
      </c>
    </row>
    <row r="173" spans="1:2" x14ac:dyDescent="0.25">
      <c r="A173" t="s">
        <v>1697</v>
      </c>
      <c r="B173" t="s">
        <v>132</v>
      </c>
    </row>
    <row r="174" spans="1:2" x14ac:dyDescent="0.25">
      <c r="A174" t="s">
        <v>1752</v>
      </c>
      <c r="B174" t="s">
        <v>135</v>
      </c>
    </row>
    <row r="175" spans="1:2" x14ac:dyDescent="0.25">
      <c r="A175" t="s">
        <v>1754</v>
      </c>
      <c r="B175" t="s">
        <v>135</v>
      </c>
    </row>
    <row r="176" spans="1:2" x14ac:dyDescent="0.25">
      <c r="A176" s="61" t="s">
        <v>1755</v>
      </c>
      <c r="B176" t="s">
        <v>132</v>
      </c>
    </row>
    <row r="177" spans="1:2" x14ac:dyDescent="0.25">
      <c r="A177" s="61" t="s">
        <v>1756</v>
      </c>
      <c r="B177" t="s">
        <v>1757</v>
      </c>
    </row>
    <row r="178" spans="1:2" x14ac:dyDescent="0.25">
      <c r="A178" s="61" t="s">
        <v>1682</v>
      </c>
      <c r="B178" t="s">
        <v>133</v>
      </c>
    </row>
    <row r="179" spans="1:2" x14ac:dyDescent="0.25">
      <c r="A179" s="61" t="s">
        <v>1758</v>
      </c>
      <c r="B179" t="s">
        <v>133</v>
      </c>
    </row>
    <row r="180" spans="1:2" x14ac:dyDescent="0.25">
      <c r="A180" s="61" t="s">
        <v>1759</v>
      </c>
      <c r="B180" t="s">
        <v>1760</v>
      </c>
    </row>
    <row r="181" spans="1:2" x14ac:dyDescent="0.25">
      <c r="A181" t="s">
        <v>1776</v>
      </c>
      <c r="B181" t="s">
        <v>132</v>
      </c>
    </row>
    <row r="182" spans="1:2" x14ac:dyDescent="0.25">
      <c r="A182" t="s">
        <v>1781</v>
      </c>
      <c r="B182" t="s">
        <v>133</v>
      </c>
    </row>
  </sheetData>
  <autoFilter ref="A1:B172" xr:uid="{E73138A7-B466-46EE-B3AD-6BB1E182D7D2}"/>
  <phoneticPr fontId="3" type="noConversion"/>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2EFD-9BEA-4168-9142-B75E74F32F6F}">
  <sheetPr codeName="Sheet2"/>
  <dimension ref="U3:AE98"/>
  <sheetViews>
    <sheetView topLeftCell="A13" zoomScale="55" zoomScaleNormal="55" workbookViewId="0">
      <selection activeCell="U84" sqref="U84:AE86"/>
    </sheetView>
  </sheetViews>
  <sheetFormatPr defaultRowHeight="14" x14ac:dyDescent="0.25"/>
  <sheetData>
    <row r="3" spans="21:31" x14ac:dyDescent="0.25">
      <c r="U3" s="205" t="s">
        <v>1831</v>
      </c>
      <c r="V3" s="205"/>
      <c r="W3" s="205"/>
      <c r="X3" s="205"/>
      <c r="Y3" s="205"/>
      <c r="Z3" s="205"/>
      <c r="AA3" s="205"/>
      <c r="AB3" s="205"/>
      <c r="AC3" s="205"/>
      <c r="AD3" s="205"/>
      <c r="AE3" s="205"/>
    </row>
    <row r="4" spans="21:31" x14ac:dyDescent="0.25">
      <c r="U4" s="205"/>
      <c r="V4" s="205"/>
      <c r="W4" s="205"/>
      <c r="X4" s="205"/>
      <c r="Y4" s="205"/>
      <c r="Z4" s="205"/>
      <c r="AA4" s="205"/>
      <c r="AB4" s="205"/>
      <c r="AC4" s="205"/>
      <c r="AD4" s="205"/>
      <c r="AE4" s="205"/>
    </row>
    <row r="5" spans="21:31" x14ac:dyDescent="0.25">
      <c r="U5" s="205"/>
      <c r="V5" s="205"/>
      <c r="W5" s="205"/>
      <c r="X5" s="205"/>
      <c r="Y5" s="205"/>
      <c r="Z5" s="205"/>
      <c r="AA5" s="205"/>
      <c r="AB5" s="205"/>
      <c r="AC5" s="205"/>
      <c r="AD5" s="205"/>
      <c r="AE5" s="205"/>
    </row>
    <row r="6" spans="21:31" x14ac:dyDescent="0.25">
      <c r="U6" s="205" t="s">
        <v>1832</v>
      </c>
      <c r="V6" s="205"/>
      <c r="W6" s="205"/>
      <c r="X6" s="205"/>
      <c r="Y6" s="205"/>
      <c r="Z6" s="205"/>
      <c r="AA6" s="205"/>
      <c r="AB6" s="205"/>
      <c r="AC6" s="205"/>
      <c r="AD6" s="205"/>
      <c r="AE6" s="205"/>
    </row>
    <row r="7" spans="21:31" x14ac:dyDescent="0.25">
      <c r="U7" s="205"/>
      <c r="V7" s="205"/>
      <c r="W7" s="205"/>
      <c r="X7" s="205"/>
      <c r="Y7" s="205"/>
      <c r="Z7" s="205"/>
      <c r="AA7" s="205"/>
      <c r="AB7" s="205"/>
      <c r="AC7" s="205"/>
      <c r="AD7" s="205"/>
      <c r="AE7" s="205"/>
    </row>
    <row r="8" spans="21:31" x14ac:dyDescent="0.25">
      <c r="U8" s="205"/>
      <c r="V8" s="205"/>
      <c r="W8" s="205"/>
      <c r="X8" s="205"/>
      <c r="Y8" s="205"/>
      <c r="Z8" s="205"/>
      <c r="AA8" s="205"/>
      <c r="AB8" s="205"/>
      <c r="AC8" s="205"/>
      <c r="AD8" s="205"/>
      <c r="AE8" s="205"/>
    </row>
    <row r="9" spans="21:31" x14ac:dyDescent="0.25">
      <c r="U9" s="205"/>
      <c r="V9" s="205"/>
      <c r="W9" s="205"/>
      <c r="X9" s="205"/>
      <c r="Y9" s="205"/>
      <c r="Z9" s="205"/>
      <c r="AA9" s="205"/>
      <c r="AB9" s="205"/>
      <c r="AC9" s="205"/>
      <c r="AD9" s="205"/>
      <c r="AE9" s="205"/>
    </row>
    <row r="10" spans="21:31" x14ac:dyDescent="0.25">
      <c r="U10" s="205"/>
      <c r="V10" s="205"/>
      <c r="W10" s="205"/>
      <c r="X10" s="205"/>
      <c r="Y10" s="205"/>
      <c r="Z10" s="205"/>
      <c r="AA10" s="205"/>
      <c r="AB10" s="205"/>
      <c r="AC10" s="205"/>
      <c r="AD10" s="205"/>
      <c r="AE10" s="205"/>
    </row>
    <row r="11" spans="21:31" x14ac:dyDescent="0.25">
      <c r="U11" s="205"/>
      <c r="V11" s="205"/>
      <c r="W11" s="205"/>
      <c r="X11" s="205"/>
      <c r="Y11" s="205"/>
      <c r="Z11" s="205"/>
      <c r="AA11" s="205"/>
      <c r="AB11" s="205"/>
      <c r="AC11" s="205"/>
      <c r="AD11" s="205"/>
      <c r="AE11" s="205"/>
    </row>
    <row r="12" spans="21:31" x14ac:dyDescent="0.25">
      <c r="U12" s="205"/>
      <c r="V12" s="205"/>
      <c r="W12" s="205"/>
      <c r="X12" s="205"/>
      <c r="Y12" s="205"/>
      <c r="Z12" s="205"/>
      <c r="AA12" s="205"/>
      <c r="AB12" s="205"/>
      <c r="AC12" s="205"/>
      <c r="AD12" s="205"/>
      <c r="AE12" s="205"/>
    </row>
    <row r="13" spans="21:31" x14ac:dyDescent="0.25">
      <c r="U13" s="205"/>
      <c r="V13" s="205"/>
      <c r="W13" s="205"/>
      <c r="X13" s="205"/>
      <c r="Y13" s="205"/>
      <c r="Z13" s="205"/>
      <c r="AA13" s="205"/>
      <c r="AB13" s="205"/>
      <c r="AC13" s="205"/>
      <c r="AD13" s="205"/>
      <c r="AE13" s="205"/>
    </row>
    <row r="14" spans="21:31" x14ac:dyDescent="0.25">
      <c r="U14" s="205"/>
      <c r="V14" s="205"/>
      <c r="W14" s="205"/>
      <c r="X14" s="205"/>
      <c r="Y14" s="205"/>
      <c r="Z14" s="205"/>
      <c r="AA14" s="205"/>
      <c r="AB14" s="205"/>
      <c r="AC14" s="205"/>
      <c r="AD14" s="205"/>
      <c r="AE14" s="205"/>
    </row>
    <row r="15" spans="21:31" x14ac:dyDescent="0.25">
      <c r="U15" s="205"/>
      <c r="V15" s="205"/>
      <c r="W15" s="205"/>
      <c r="X15" s="205"/>
      <c r="Y15" s="205"/>
      <c r="Z15" s="205"/>
      <c r="AA15" s="205"/>
      <c r="AB15" s="205"/>
      <c r="AC15" s="205"/>
      <c r="AD15" s="205"/>
      <c r="AE15" s="205"/>
    </row>
    <row r="16" spans="21:31" x14ac:dyDescent="0.25">
      <c r="U16" s="205"/>
      <c r="V16" s="205"/>
      <c r="W16" s="205"/>
      <c r="X16" s="205"/>
      <c r="Y16" s="205"/>
      <c r="Z16" s="205"/>
      <c r="AA16" s="205"/>
      <c r="AB16" s="205"/>
      <c r="AC16" s="205"/>
      <c r="AD16" s="205"/>
      <c r="AE16" s="205"/>
    </row>
    <row r="17" spans="21:31" x14ac:dyDescent="0.25">
      <c r="U17" s="205"/>
      <c r="V17" s="205"/>
      <c r="W17" s="205"/>
      <c r="X17" s="205"/>
      <c r="Y17" s="205"/>
      <c r="Z17" s="205"/>
      <c r="AA17" s="205"/>
      <c r="AB17" s="205"/>
      <c r="AC17" s="205"/>
      <c r="AD17" s="205"/>
      <c r="AE17" s="205"/>
    </row>
    <row r="18" spans="21:31" x14ac:dyDescent="0.25">
      <c r="U18" s="205"/>
      <c r="V18" s="205"/>
      <c r="W18" s="205"/>
      <c r="X18" s="205"/>
      <c r="Y18" s="205"/>
      <c r="Z18" s="205"/>
      <c r="AA18" s="205"/>
      <c r="AB18" s="205"/>
      <c r="AC18" s="205"/>
      <c r="AD18" s="205"/>
      <c r="AE18" s="205"/>
    </row>
    <row r="19" spans="21:31" x14ac:dyDescent="0.25">
      <c r="U19" s="205"/>
      <c r="V19" s="205"/>
      <c r="W19" s="205"/>
      <c r="X19" s="205"/>
      <c r="Y19" s="205"/>
      <c r="Z19" s="205"/>
      <c r="AA19" s="205"/>
      <c r="AB19" s="205"/>
      <c r="AC19" s="205"/>
      <c r="AD19" s="205"/>
      <c r="AE19" s="205"/>
    </row>
    <row r="20" spans="21:31" x14ac:dyDescent="0.25">
      <c r="U20" s="205"/>
      <c r="V20" s="205"/>
      <c r="W20" s="205"/>
      <c r="X20" s="205"/>
      <c r="Y20" s="205"/>
      <c r="Z20" s="205"/>
      <c r="AA20" s="205"/>
      <c r="AB20" s="205"/>
      <c r="AC20" s="205"/>
      <c r="AD20" s="205"/>
      <c r="AE20" s="205"/>
    </row>
    <row r="21" spans="21:31" x14ac:dyDescent="0.25">
      <c r="U21" s="205"/>
      <c r="V21" s="205"/>
      <c r="W21" s="205"/>
      <c r="X21" s="205"/>
      <c r="Y21" s="205"/>
      <c r="Z21" s="205"/>
      <c r="AA21" s="205"/>
      <c r="AB21" s="205"/>
      <c r="AC21" s="205"/>
      <c r="AD21" s="205"/>
      <c r="AE21" s="205"/>
    </row>
    <row r="22" spans="21:31" x14ac:dyDescent="0.25">
      <c r="U22" s="205"/>
      <c r="V22" s="205"/>
      <c r="W22" s="205"/>
      <c r="X22" s="205"/>
      <c r="Y22" s="205"/>
      <c r="Z22" s="205"/>
      <c r="AA22" s="205"/>
      <c r="AB22" s="205"/>
      <c r="AC22" s="205"/>
      <c r="AD22" s="205"/>
      <c r="AE22" s="205"/>
    </row>
    <row r="23" spans="21:31" x14ac:dyDescent="0.25">
      <c r="U23" s="205"/>
      <c r="V23" s="205"/>
      <c r="W23" s="205"/>
      <c r="X23" s="205"/>
      <c r="Y23" s="205"/>
      <c r="Z23" s="205"/>
      <c r="AA23" s="205"/>
      <c r="AB23" s="205"/>
      <c r="AC23" s="205"/>
      <c r="AD23" s="205"/>
      <c r="AE23" s="205"/>
    </row>
    <row r="24" spans="21:31" x14ac:dyDescent="0.25">
      <c r="U24" s="205"/>
      <c r="V24" s="205"/>
      <c r="W24" s="205"/>
      <c r="X24" s="205"/>
      <c r="Y24" s="205"/>
      <c r="Z24" s="205"/>
      <c r="AA24" s="205"/>
      <c r="AB24" s="205"/>
      <c r="AC24" s="205"/>
      <c r="AD24" s="205"/>
      <c r="AE24" s="205"/>
    </row>
    <row r="25" spans="21:31" x14ac:dyDescent="0.25">
      <c r="U25" s="205"/>
      <c r="V25" s="205"/>
      <c r="W25" s="205"/>
      <c r="X25" s="205"/>
      <c r="Y25" s="205"/>
      <c r="Z25" s="205"/>
      <c r="AA25" s="205"/>
      <c r="AB25" s="205"/>
      <c r="AC25" s="205"/>
      <c r="AD25" s="205"/>
      <c r="AE25" s="205"/>
    </row>
    <row r="26" spans="21:31" x14ac:dyDescent="0.25">
      <c r="U26" s="205"/>
      <c r="V26" s="205"/>
      <c r="W26" s="205"/>
      <c r="X26" s="205"/>
      <c r="Y26" s="205"/>
      <c r="Z26" s="205"/>
      <c r="AA26" s="205"/>
      <c r="AB26" s="205"/>
      <c r="AC26" s="205"/>
      <c r="AD26" s="205"/>
      <c r="AE26" s="205"/>
    </row>
    <row r="27" spans="21:31" x14ac:dyDescent="0.25">
      <c r="U27" s="205"/>
      <c r="V27" s="205"/>
      <c r="W27" s="205"/>
      <c r="X27" s="205"/>
      <c r="Y27" s="205"/>
      <c r="Z27" s="205"/>
      <c r="AA27" s="205"/>
      <c r="AB27" s="205"/>
      <c r="AC27" s="205"/>
      <c r="AD27" s="205"/>
      <c r="AE27" s="205"/>
    </row>
    <row r="28" spans="21:31" x14ac:dyDescent="0.25">
      <c r="U28" s="205"/>
      <c r="V28" s="205"/>
      <c r="W28" s="205"/>
      <c r="X28" s="205"/>
      <c r="Y28" s="205"/>
      <c r="Z28" s="205"/>
      <c r="AA28" s="205"/>
      <c r="AB28" s="205"/>
      <c r="AC28" s="205"/>
      <c r="AD28" s="205"/>
      <c r="AE28" s="205"/>
    </row>
    <row r="29" spans="21:31" x14ac:dyDescent="0.25">
      <c r="U29" s="205"/>
      <c r="V29" s="205"/>
      <c r="W29" s="205"/>
      <c r="X29" s="205"/>
      <c r="Y29" s="205"/>
      <c r="Z29" s="205"/>
      <c r="AA29" s="205"/>
      <c r="AB29" s="205"/>
      <c r="AC29" s="205"/>
      <c r="AD29" s="205"/>
      <c r="AE29" s="205"/>
    </row>
    <row r="30" spans="21:31" x14ac:dyDescent="0.25">
      <c r="U30" s="205"/>
      <c r="V30" s="205"/>
      <c r="W30" s="205"/>
      <c r="X30" s="205"/>
      <c r="Y30" s="205"/>
      <c r="Z30" s="205"/>
      <c r="AA30" s="205"/>
      <c r="AB30" s="205"/>
      <c r="AC30" s="205"/>
      <c r="AD30" s="205"/>
      <c r="AE30" s="205"/>
    </row>
    <row r="31" spans="21:31" x14ac:dyDescent="0.25">
      <c r="U31" s="205"/>
      <c r="V31" s="205"/>
      <c r="W31" s="205"/>
      <c r="X31" s="205"/>
      <c r="Y31" s="205"/>
      <c r="Z31" s="205"/>
      <c r="AA31" s="205"/>
      <c r="AB31" s="205"/>
      <c r="AC31" s="205"/>
      <c r="AD31" s="205"/>
      <c r="AE31" s="205"/>
    </row>
    <row r="32" spans="21:31" x14ac:dyDescent="0.25">
      <c r="U32" s="205"/>
      <c r="V32" s="205"/>
      <c r="W32" s="205"/>
      <c r="X32" s="205"/>
      <c r="Y32" s="205"/>
      <c r="Z32" s="205"/>
      <c r="AA32" s="205"/>
      <c r="AB32" s="205"/>
      <c r="AC32" s="205"/>
      <c r="AD32" s="205"/>
      <c r="AE32" s="205"/>
    </row>
    <row r="33" spans="21:31" x14ac:dyDescent="0.25">
      <c r="U33" s="205"/>
      <c r="V33" s="205"/>
      <c r="W33" s="205"/>
      <c r="X33" s="205"/>
      <c r="Y33" s="205"/>
      <c r="Z33" s="205"/>
      <c r="AA33" s="205"/>
      <c r="AB33" s="205"/>
      <c r="AC33" s="205"/>
      <c r="AD33" s="205"/>
      <c r="AE33" s="205"/>
    </row>
    <row r="34" spans="21:31" x14ac:dyDescent="0.25">
      <c r="U34" s="205"/>
      <c r="V34" s="205"/>
      <c r="W34" s="205"/>
      <c r="X34" s="205"/>
      <c r="Y34" s="205"/>
      <c r="Z34" s="205"/>
      <c r="AA34" s="205"/>
      <c r="AB34" s="205"/>
      <c r="AC34" s="205"/>
      <c r="AD34" s="205"/>
      <c r="AE34" s="205"/>
    </row>
    <row r="35" spans="21:31" x14ac:dyDescent="0.25">
      <c r="U35" s="205"/>
      <c r="V35" s="205"/>
      <c r="W35" s="205"/>
      <c r="X35" s="205"/>
      <c r="Y35" s="205"/>
      <c r="Z35" s="205"/>
      <c r="AA35" s="205"/>
      <c r="AB35" s="205"/>
      <c r="AC35" s="205"/>
      <c r="AD35" s="205"/>
      <c r="AE35" s="205"/>
    </row>
    <row r="36" spans="21:31" x14ac:dyDescent="0.25">
      <c r="U36" s="205"/>
      <c r="V36" s="205"/>
      <c r="W36" s="205"/>
      <c r="X36" s="205"/>
      <c r="Y36" s="205"/>
      <c r="Z36" s="205"/>
      <c r="AA36" s="205"/>
      <c r="AB36" s="205"/>
      <c r="AC36" s="205"/>
      <c r="AD36" s="205"/>
      <c r="AE36" s="205"/>
    </row>
    <row r="37" spans="21:31" x14ac:dyDescent="0.25">
      <c r="U37" s="205"/>
      <c r="V37" s="205"/>
      <c r="W37" s="205"/>
      <c r="X37" s="205"/>
      <c r="Y37" s="205"/>
      <c r="Z37" s="205"/>
      <c r="AA37" s="205"/>
      <c r="AB37" s="205"/>
      <c r="AC37" s="205"/>
      <c r="AD37" s="205"/>
      <c r="AE37" s="205"/>
    </row>
    <row r="38" spans="21:31" x14ac:dyDescent="0.25">
      <c r="U38" s="205"/>
      <c r="V38" s="205"/>
      <c r="W38" s="205"/>
      <c r="X38" s="205"/>
      <c r="Y38" s="205"/>
      <c r="Z38" s="205"/>
      <c r="AA38" s="205"/>
      <c r="AB38" s="205"/>
      <c r="AC38" s="205"/>
      <c r="AD38" s="205"/>
      <c r="AE38" s="205"/>
    </row>
    <row r="39" spans="21:31" x14ac:dyDescent="0.25">
      <c r="U39" s="205"/>
      <c r="V39" s="205"/>
      <c r="W39" s="205"/>
      <c r="X39" s="205"/>
      <c r="Y39" s="205"/>
      <c r="Z39" s="205"/>
      <c r="AA39" s="205"/>
      <c r="AB39" s="205"/>
      <c r="AC39" s="205"/>
      <c r="AD39" s="205"/>
      <c r="AE39" s="205"/>
    </row>
    <row r="40" spans="21:31" x14ac:dyDescent="0.25">
      <c r="U40" s="205"/>
      <c r="V40" s="205"/>
      <c r="W40" s="205"/>
      <c r="X40" s="205"/>
      <c r="Y40" s="205"/>
      <c r="Z40" s="205"/>
      <c r="AA40" s="205"/>
      <c r="AB40" s="205"/>
      <c r="AC40" s="205"/>
      <c r="AD40" s="205"/>
      <c r="AE40" s="205"/>
    </row>
    <row r="41" spans="21:31" x14ac:dyDescent="0.25">
      <c r="U41" s="205"/>
      <c r="V41" s="205"/>
      <c r="W41" s="205"/>
      <c r="X41" s="205"/>
      <c r="Y41" s="205"/>
      <c r="Z41" s="205"/>
      <c r="AA41" s="205"/>
      <c r="AB41" s="205"/>
      <c r="AC41" s="205"/>
      <c r="AD41" s="205"/>
      <c r="AE41" s="205"/>
    </row>
    <row r="42" spans="21:31" x14ac:dyDescent="0.25">
      <c r="U42" s="205"/>
      <c r="V42" s="205"/>
      <c r="W42" s="205"/>
      <c r="X42" s="205"/>
      <c r="Y42" s="205"/>
      <c r="Z42" s="205"/>
      <c r="AA42" s="205"/>
      <c r="AB42" s="205"/>
      <c r="AC42" s="205"/>
      <c r="AD42" s="205"/>
      <c r="AE42" s="205"/>
    </row>
    <row r="43" spans="21:31" x14ac:dyDescent="0.25">
      <c r="U43" s="205"/>
      <c r="V43" s="205"/>
      <c r="W43" s="205"/>
      <c r="X43" s="205"/>
      <c r="Y43" s="205"/>
      <c r="Z43" s="205"/>
      <c r="AA43" s="205"/>
      <c r="AB43" s="205"/>
      <c r="AC43" s="205"/>
      <c r="AD43" s="205"/>
      <c r="AE43" s="205"/>
    </row>
    <row r="44" spans="21:31" x14ac:dyDescent="0.25">
      <c r="U44" s="205"/>
      <c r="V44" s="205"/>
      <c r="W44" s="205"/>
      <c r="X44" s="205"/>
      <c r="Y44" s="205"/>
      <c r="Z44" s="205"/>
      <c r="AA44" s="205"/>
      <c r="AB44" s="205"/>
      <c r="AC44" s="205"/>
      <c r="AD44" s="205"/>
      <c r="AE44" s="205"/>
    </row>
    <row r="45" spans="21:31" x14ac:dyDescent="0.25">
      <c r="U45" s="205" t="s">
        <v>1833</v>
      </c>
      <c r="V45" s="205"/>
      <c r="W45" s="205"/>
      <c r="X45" s="205"/>
      <c r="Y45" s="205"/>
      <c r="Z45" s="205"/>
      <c r="AA45" s="205"/>
      <c r="AB45" s="205"/>
      <c r="AC45" s="205"/>
      <c r="AD45" s="205"/>
      <c r="AE45" s="205"/>
    </row>
    <row r="46" spans="21:31" x14ac:dyDescent="0.25">
      <c r="U46" s="205"/>
      <c r="V46" s="205"/>
      <c r="W46" s="205"/>
      <c r="X46" s="205"/>
      <c r="Y46" s="205"/>
      <c r="Z46" s="205"/>
      <c r="AA46" s="205"/>
      <c r="AB46" s="205"/>
      <c r="AC46" s="205"/>
      <c r="AD46" s="205"/>
      <c r="AE46" s="205"/>
    </row>
    <row r="47" spans="21:31" x14ac:dyDescent="0.25">
      <c r="U47" s="205"/>
      <c r="V47" s="205"/>
      <c r="W47" s="205"/>
      <c r="X47" s="205"/>
      <c r="Y47" s="205"/>
      <c r="Z47" s="205"/>
      <c r="AA47" s="205"/>
      <c r="AB47" s="205"/>
      <c r="AC47" s="205"/>
      <c r="AD47" s="205"/>
      <c r="AE47" s="205"/>
    </row>
    <row r="48" spans="21:31" x14ac:dyDescent="0.25">
      <c r="U48" s="205"/>
      <c r="V48" s="205"/>
      <c r="W48" s="205"/>
      <c r="X48" s="205"/>
      <c r="Y48" s="205"/>
      <c r="Z48" s="205"/>
      <c r="AA48" s="205"/>
      <c r="AB48" s="205"/>
      <c r="AC48" s="205"/>
      <c r="AD48" s="205"/>
      <c r="AE48" s="205"/>
    </row>
    <row r="49" spans="21:31" x14ac:dyDescent="0.25">
      <c r="U49" s="205"/>
      <c r="V49" s="205"/>
      <c r="W49" s="205"/>
      <c r="X49" s="205"/>
      <c r="Y49" s="205"/>
      <c r="Z49" s="205"/>
      <c r="AA49" s="205"/>
      <c r="AB49" s="205"/>
      <c r="AC49" s="205"/>
      <c r="AD49" s="205"/>
      <c r="AE49" s="205"/>
    </row>
    <row r="50" spans="21:31" x14ac:dyDescent="0.25">
      <c r="U50" s="205"/>
      <c r="V50" s="205"/>
      <c r="W50" s="205"/>
      <c r="X50" s="205"/>
      <c r="Y50" s="205"/>
      <c r="Z50" s="205"/>
      <c r="AA50" s="205"/>
      <c r="AB50" s="205"/>
      <c r="AC50" s="205"/>
      <c r="AD50" s="205"/>
      <c r="AE50" s="205"/>
    </row>
    <row r="51" spans="21:31" x14ac:dyDescent="0.25">
      <c r="U51" s="205"/>
      <c r="V51" s="205"/>
      <c r="W51" s="205"/>
      <c r="X51" s="205"/>
      <c r="Y51" s="205"/>
      <c r="Z51" s="205"/>
      <c r="AA51" s="205"/>
      <c r="AB51" s="205"/>
      <c r="AC51" s="205"/>
      <c r="AD51" s="205"/>
      <c r="AE51" s="205"/>
    </row>
    <row r="52" spans="21:31" x14ac:dyDescent="0.25">
      <c r="U52" s="205"/>
      <c r="V52" s="205"/>
      <c r="W52" s="205"/>
      <c r="X52" s="205"/>
      <c r="Y52" s="205"/>
      <c r="Z52" s="205"/>
      <c r="AA52" s="205"/>
      <c r="AB52" s="205"/>
      <c r="AC52" s="205"/>
      <c r="AD52" s="205"/>
      <c r="AE52" s="205"/>
    </row>
    <row r="53" spans="21:31" x14ac:dyDescent="0.25">
      <c r="U53" s="205"/>
      <c r="V53" s="205"/>
      <c r="W53" s="205"/>
      <c r="X53" s="205"/>
      <c r="Y53" s="205"/>
      <c r="Z53" s="205"/>
      <c r="AA53" s="205"/>
      <c r="AB53" s="205"/>
      <c r="AC53" s="205"/>
      <c r="AD53" s="205"/>
      <c r="AE53" s="205"/>
    </row>
    <row r="54" spans="21:31" x14ac:dyDescent="0.25">
      <c r="U54" s="205"/>
      <c r="V54" s="205"/>
      <c r="W54" s="205"/>
      <c r="X54" s="205"/>
      <c r="Y54" s="205"/>
      <c r="Z54" s="205"/>
      <c r="AA54" s="205"/>
      <c r="AB54" s="205"/>
      <c r="AC54" s="205"/>
      <c r="AD54" s="205"/>
      <c r="AE54" s="205"/>
    </row>
    <row r="55" spans="21:31" x14ac:dyDescent="0.25">
      <c r="U55" s="205"/>
      <c r="V55" s="205"/>
      <c r="W55" s="205"/>
      <c r="X55" s="205"/>
      <c r="Y55" s="205"/>
      <c r="Z55" s="205"/>
      <c r="AA55" s="205"/>
      <c r="AB55" s="205"/>
      <c r="AC55" s="205"/>
      <c r="AD55" s="205"/>
      <c r="AE55" s="205"/>
    </row>
    <row r="56" spans="21:31" x14ac:dyDescent="0.25">
      <c r="U56" s="205"/>
      <c r="V56" s="205"/>
      <c r="W56" s="205"/>
      <c r="X56" s="205"/>
      <c r="Y56" s="205"/>
      <c r="Z56" s="205"/>
      <c r="AA56" s="205"/>
      <c r="AB56" s="205"/>
      <c r="AC56" s="205"/>
      <c r="AD56" s="205"/>
      <c r="AE56" s="205"/>
    </row>
    <row r="57" spans="21:31" x14ac:dyDescent="0.25">
      <c r="U57" s="205"/>
      <c r="V57" s="205"/>
      <c r="W57" s="205"/>
      <c r="X57" s="205"/>
      <c r="Y57" s="205"/>
      <c r="Z57" s="205"/>
      <c r="AA57" s="205"/>
      <c r="AB57" s="205"/>
      <c r="AC57" s="205"/>
      <c r="AD57" s="205"/>
      <c r="AE57" s="205"/>
    </row>
    <row r="58" spans="21:31" x14ac:dyDescent="0.25">
      <c r="U58" s="205"/>
      <c r="V58" s="205"/>
      <c r="W58" s="205"/>
      <c r="X58" s="205"/>
      <c r="Y58" s="205"/>
      <c r="Z58" s="205"/>
      <c r="AA58" s="205"/>
      <c r="AB58" s="205"/>
      <c r="AC58" s="205"/>
      <c r="AD58" s="205"/>
      <c r="AE58" s="205"/>
    </row>
    <row r="59" spans="21:31" x14ac:dyDescent="0.25">
      <c r="U59" s="205"/>
      <c r="V59" s="205"/>
      <c r="W59" s="205"/>
      <c r="X59" s="205"/>
      <c r="Y59" s="205"/>
      <c r="Z59" s="205"/>
      <c r="AA59" s="205"/>
      <c r="AB59" s="205"/>
      <c r="AC59" s="205"/>
      <c r="AD59" s="205"/>
      <c r="AE59" s="205"/>
    </row>
    <row r="60" spans="21:31" x14ac:dyDescent="0.25">
      <c r="U60" s="205"/>
      <c r="V60" s="205"/>
      <c r="W60" s="205"/>
      <c r="X60" s="205"/>
      <c r="Y60" s="205"/>
      <c r="Z60" s="205"/>
      <c r="AA60" s="205"/>
      <c r="AB60" s="205"/>
      <c r="AC60" s="205"/>
      <c r="AD60" s="205"/>
      <c r="AE60" s="205"/>
    </row>
    <row r="61" spans="21:31" x14ac:dyDescent="0.25">
      <c r="U61" s="205"/>
      <c r="V61" s="205"/>
      <c r="W61" s="205"/>
      <c r="X61" s="205"/>
      <c r="Y61" s="205"/>
      <c r="Z61" s="205"/>
      <c r="AA61" s="205"/>
      <c r="AB61" s="205"/>
      <c r="AC61" s="205"/>
      <c r="AD61" s="205"/>
      <c r="AE61" s="205"/>
    </row>
    <row r="62" spans="21:31" x14ac:dyDescent="0.25">
      <c r="U62" s="205"/>
      <c r="V62" s="205"/>
      <c r="W62" s="205"/>
      <c r="X62" s="205"/>
      <c r="Y62" s="205"/>
      <c r="Z62" s="205"/>
      <c r="AA62" s="205"/>
      <c r="AB62" s="205"/>
      <c r="AC62" s="205"/>
      <c r="AD62" s="205"/>
      <c r="AE62" s="205"/>
    </row>
    <row r="63" spans="21:31" x14ac:dyDescent="0.25">
      <c r="U63" s="205"/>
      <c r="V63" s="205"/>
      <c r="W63" s="205"/>
      <c r="X63" s="205"/>
      <c r="Y63" s="205"/>
      <c r="Z63" s="205"/>
      <c r="AA63" s="205"/>
      <c r="AB63" s="205"/>
      <c r="AC63" s="205"/>
      <c r="AD63" s="205"/>
      <c r="AE63" s="205"/>
    </row>
    <row r="64" spans="21:31" x14ac:dyDescent="0.25">
      <c r="U64" s="205"/>
      <c r="V64" s="205"/>
      <c r="W64" s="205"/>
      <c r="X64" s="205"/>
      <c r="Y64" s="205"/>
      <c r="Z64" s="205"/>
      <c r="AA64" s="205"/>
      <c r="AB64" s="205"/>
      <c r="AC64" s="205"/>
      <c r="AD64" s="205"/>
      <c r="AE64" s="205"/>
    </row>
    <row r="65" spans="21:31" x14ac:dyDescent="0.25">
      <c r="U65" s="205"/>
      <c r="V65" s="205"/>
      <c r="W65" s="205"/>
      <c r="X65" s="205"/>
      <c r="Y65" s="205"/>
      <c r="Z65" s="205"/>
      <c r="AA65" s="205"/>
      <c r="AB65" s="205"/>
      <c r="AC65" s="205"/>
      <c r="AD65" s="205"/>
      <c r="AE65" s="205"/>
    </row>
    <row r="66" spans="21:31" x14ac:dyDescent="0.25">
      <c r="U66" s="205"/>
      <c r="V66" s="205"/>
      <c r="W66" s="205"/>
      <c r="X66" s="205"/>
      <c r="Y66" s="205"/>
      <c r="Z66" s="205"/>
      <c r="AA66" s="205"/>
      <c r="AB66" s="205"/>
      <c r="AC66" s="205"/>
      <c r="AD66" s="205"/>
      <c r="AE66" s="205"/>
    </row>
    <row r="67" spans="21:31" x14ac:dyDescent="0.25">
      <c r="U67" s="205"/>
      <c r="V67" s="205"/>
      <c r="W67" s="205"/>
      <c r="X67" s="205"/>
      <c r="Y67" s="205"/>
      <c r="Z67" s="205"/>
      <c r="AA67" s="205"/>
      <c r="AB67" s="205"/>
      <c r="AC67" s="205"/>
      <c r="AD67" s="205"/>
      <c r="AE67" s="205"/>
    </row>
    <row r="68" spans="21:31" x14ac:dyDescent="0.25">
      <c r="U68" s="205"/>
      <c r="V68" s="205"/>
      <c r="W68" s="205"/>
      <c r="X68" s="205"/>
      <c r="Y68" s="205"/>
      <c r="Z68" s="205"/>
      <c r="AA68" s="205"/>
      <c r="AB68" s="205"/>
      <c r="AC68" s="205"/>
      <c r="AD68" s="205"/>
      <c r="AE68" s="205"/>
    </row>
    <row r="69" spans="21:31" x14ac:dyDescent="0.25">
      <c r="U69" s="205"/>
      <c r="V69" s="205"/>
      <c r="W69" s="205"/>
      <c r="X69" s="205"/>
      <c r="Y69" s="205"/>
      <c r="Z69" s="205"/>
      <c r="AA69" s="205"/>
      <c r="AB69" s="205"/>
      <c r="AC69" s="205"/>
      <c r="AD69" s="205"/>
      <c r="AE69" s="205"/>
    </row>
    <row r="70" spans="21:31" x14ac:dyDescent="0.25">
      <c r="U70" s="205"/>
      <c r="V70" s="205"/>
      <c r="W70" s="205"/>
      <c r="X70" s="205"/>
      <c r="Y70" s="205"/>
      <c r="Z70" s="205"/>
      <c r="AA70" s="205"/>
      <c r="AB70" s="205"/>
      <c r="AC70" s="205"/>
      <c r="AD70" s="205"/>
      <c r="AE70" s="205"/>
    </row>
    <row r="71" spans="21:31" x14ac:dyDescent="0.25">
      <c r="U71" s="205"/>
      <c r="V71" s="205"/>
      <c r="W71" s="205"/>
      <c r="X71" s="205"/>
      <c r="Y71" s="205"/>
      <c r="Z71" s="205"/>
      <c r="AA71" s="205"/>
      <c r="AB71" s="205"/>
      <c r="AC71" s="205"/>
      <c r="AD71" s="205"/>
      <c r="AE71" s="205"/>
    </row>
    <row r="72" spans="21:31" x14ac:dyDescent="0.25">
      <c r="U72" s="205"/>
      <c r="V72" s="205"/>
      <c r="W72" s="205"/>
      <c r="X72" s="205"/>
      <c r="Y72" s="205"/>
      <c r="Z72" s="205"/>
      <c r="AA72" s="205"/>
      <c r="AB72" s="205"/>
      <c r="AC72" s="205"/>
      <c r="AD72" s="205"/>
      <c r="AE72" s="205"/>
    </row>
    <row r="73" spans="21:31" x14ac:dyDescent="0.25">
      <c r="U73" s="205"/>
      <c r="V73" s="205"/>
      <c r="W73" s="205"/>
      <c r="X73" s="205"/>
      <c r="Y73" s="205"/>
      <c r="Z73" s="205"/>
      <c r="AA73" s="205"/>
      <c r="AB73" s="205"/>
      <c r="AC73" s="205"/>
      <c r="AD73" s="205"/>
      <c r="AE73" s="205"/>
    </row>
    <row r="74" spans="21:31" x14ac:dyDescent="0.25">
      <c r="U74" s="205"/>
      <c r="V74" s="205"/>
      <c r="W74" s="205"/>
      <c r="X74" s="205"/>
      <c r="Y74" s="205"/>
      <c r="Z74" s="205"/>
      <c r="AA74" s="205"/>
      <c r="AB74" s="205"/>
      <c r="AC74" s="205"/>
      <c r="AD74" s="205"/>
      <c r="AE74" s="205"/>
    </row>
    <row r="75" spans="21:31" x14ac:dyDescent="0.25">
      <c r="U75" s="205"/>
      <c r="V75" s="205"/>
      <c r="W75" s="205"/>
      <c r="X75" s="205"/>
      <c r="Y75" s="205"/>
      <c r="Z75" s="205"/>
      <c r="AA75" s="205"/>
      <c r="AB75" s="205"/>
      <c r="AC75" s="205"/>
      <c r="AD75" s="205"/>
      <c r="AE75" s="205"/>
    </row>
    <row r="76" spans="21:31" x14ac:dyDescent="0.25">
      <c r="U76" s="205"/>
      <c r="V76" s="205"/>
      <c r="W76" s="205"/>
      <c r="X76" s="205"/>
      <c r="Y76" s="205"/>
      <c r="Z76" s="205"/>
      <c r="AA76" s="205"/>
      <c r="AB76" s="205"/>
      <c r="AC76" s="205"/>
      <c r="AD76" s="205"/>
      <c r="AE76" s="205"/>
    </row>
    <row r="77" spans="21:31" x14ac:dyDescent="0.25">
      <c r="U77" s="205"/>
      <c r="V77" s="205"/>
      <c r="W77" s="205"/>
      <c r="X77" s="205"/>
      <c r="Y77" s="205"/>
      <c r="Z77" s="205"/>
      <c r="AA77" s="205"/>
      <c r="AB77" s="205"/>
      <c r="AC77" s="205"/>
      <c r="AD77" s="205"/>
      <c r="AE77" s="205"/>
    </row>
    <row r="78" spans="21:31" x14ac:dyDescent="0.25">
      <c r="U78" s="205"/>
      <c r="V78" s="205"/>
      <c r="W78" s="205"/>
      <c r="X78" s="205"/>
      <c r="Y78" s="205"/>
      <c r="Z78" s="205"/>
      <c r="AA78" s="205"/>
      <c r="AB78" s="205"/>
      <c r="AC78" s="205"/>
      <c r="AD78" s="205"/>
      <c r="AE78" s="205"/>
    </row>
    <row r="79" spans="21:31" x14ac:dyDescent="0.25">
      <c r="U79" s="205"/>
      <c r="V79" s="205"/>
      <c r="W79" s="205"/>
      <c r="X79" s="205"/>
      <c r="Y79" s="205"/>
      <c r="Z79" s="205"/>
      <c r="AA79" s="205"/>
      <c r="AB79" s="205"/>
      <c r="AC79" s="205"/>
      <c r="AD79" s="205"/>
      <c r="AE79" s="205"/>
    </row>
    <row r="80" spans="21:31" x14ac:dyDescent="0.25">
      <c r="U80" s="205"/>
      <c r="V80" s="205"/>
      <c r="W80" s="205"/>
      <c r="X80" s="205"/>
      <c r="Y80" s="205"/>
      <c r="Z80" s="205"/>
      <c r="AA80" s="205"/>
      <c r="AB80" s="205"/>
      <c r="AC80" s="205"/>
      <c r="AD80" s="205"/>
      <c r="AE80" s="205"/>
    </row>
    <row r="81" spans="21:31" x14ac:dyDescent="0.25">
      <c r="U81" s="205"/>
      <c r="V81" s="205"/>
      <c r="W81" s="205"/>
      <c r="X81" s="205"/>
      <c r="Y81" s="205"/>
      <c r="Z81" s="205"/>
      <c r="AA81" s="205"/>
      <c r="AB81" s="205"/>
      <c r="AC81" s="205"/>
      <c r="AD81" s="205"/>
      <c r="AE81" s="205"/>
    </row>
    <row r="82" spans="21:31" x14ac:dyDescent="0.25">
      <c r="U82" s="205"/>
      <c r="V82" s="205"/>
      <c r="W82" s="205"/>
      <c r="X82" s="205"/>
      <c r="Y82" s="205"/>
      <c r="Z82" s="205"/>
      <c r="AA82" s="205"/>
      <c r="AB82" s="205"/>
      <c r="AC82" s="205"/>
      <c r="AD82" s="205"/>
      <c r="AE82" s="205"/>
    </row>
    <row r="83" spans="21:31" x14ac:dyDescent="0.25">
      <c r="U83" s="205"/>
      <c r="V83" s="205"/>
      <c r="W83" s="205"/>
      <c r="X83" s="205"/>
      <c r="Y83" s="205"/>
      <c r="Z83" s="205"/>
      <c r="AA83" s="205"/>
      <c r="AB83" s="205"/>
      <c r="AC83" s="205"/>
      <c r="AD83" s="205"/>
      <c r="AE83" s="205"/>
    </row>
    <row r="84" spans="21:31" x14ac:dyDescent="0.25">
      <c r="U84" s="205" t="s">
        <v>1834</v>
      </c>
      <c r="V84" s="205"/>
      <c r="W84" s="205"/>
      <c r="X84" s="205"/>
      <c r="Y84" s="205"/>
      <c r="Z84" s="205"/>
      <c r="AA84" s="205"/>
      <c r="AB84" s="205"/>
      <c r="AC84" s="205"/>
      <c r="AD84" s="205"/>
      <c r="AE84" s="205"/>
    </row>
    <row r="85" spans="21:31" x14ac:dyDescent="0.25">
      <c r="U85" s="205"/>
      <c r="V85" s="205"/>
      <c r="W85" s="205"/>
      <c r="X85" s="205"/>
      <c r="Y85" s="205"/>
      <c r="Z85" s="205"/>
      <c r="AA85" s="205"/>
      <c r="AB85" s="205"/>
      <c r="AC85" s="205"/>
      <c r="AD85" s="205"/>
      <c r="AE85" s="205"/>
    </row>
    <row r="86" spans="21:31" x14ac:dyDescent="0.25">
      <c r="U86" s="205"/>
      <c r="V86" s="205"/>
      <c r="W86" s="205"/>
      <c r="X86" s="205"/>
      <c r="Y86" s="205"/>
      <c r="Z86" s="205"/>
      <c r="AA86" s="205"/>
      <c r="AB86" s="205"/>
      <c r="AC86" s="205"/>
      <c r="AD86" s="205"/>
      <c r="AE86" s="205"/>
    </row>
    <row r="87" spans="21:31" x14ac:dyDescent="0.25">
      <c r="U87" s="205"/>
      <c r="V87" s="205"/>
      <c r="W87" s="205"/>
      <c r="X87" s="205"/>
      <c r="Y87" s="205"/>
      <c r="Z87" s="205"/>
      <c r="AA87" s="205"/>
      <c r="AB87" s="205"/>
      <c r="AC87" s="205"/>
      <c r="AD87" s="205"/>
      <c r="AE87" s="205"/>
    </row>
    <row r="88" spans="21:31" x14ac:dyDescent="0.25">
      <c r="U88" s="205"/>
      <c r="V88" s="205"/>
      <c r="W88" s="205"/>
      <c r="X88" s="205"/>
      <c r="Y88" s="205"/>
      <c r="Z88" s="205"/>
      <c r="AA88" s="205"/>
      <c r="AB88" s="205"/>
      <c r="AC88" s="205"/>
      <c r="AD88" s="205"/>
      <c r="AE88" s="205"/>
    </row>
    <row r="89" spans="21:31" x14ac:dyDescent="0.25">
      <c r="U89" s="205"/>
      <c r="V89" s="205"/>
      <c r="W89" s="205"/>
      <c r="X89" s="205"/>
      <c r="Y89" s="205"/>
      <c r="Z89" s="205"/>
      <c r="AA89" s="205"/>
      <c r="AB89" s="205"/>
      <c r="AC89" s="205"/>
      <c r="AD89" s="205"/>
      <c r="AE89" s="205"/>
    </row>
    <row r="90" spans="21:31" x14ac:dyDescent="0.25">
      <c r="U90" s="205"/>
      <c r="V90" s="205"/>
      <c r="W90" s="205"/>
      <c r="X90" s="205"/>
      <c r="Y90" s="205"/>
      <c r="Z90" s="205"/>
      <c r="AA90" s="205"/>
      <c r="AB90" s="205"/>
      <c r="AC90" s="205"/>
      <c r="AD90" s="205"/>
      <c r="AE90" s="205"/>
    </row>
    <row r="91" spans="21:31" x14ac:dyDescent="0.25">
      <c r="U91" s="205"/>
      <c r="V91" s="205"/>
      <c r="W91" s="205"/>
      <c r="X91" s="205"/>
      <c r="Y91" s="205"/>
      <c r="Z91" s="205"/>
      <c r="AA91" s="205"/>
      <c r="AB91" s="205"/>
      <c r="AC91" s="205"/>
      <c r="AD91" s="205"/>
      <c r="AE91" s="205"/>
    </row>
    <row r="92" spans="21:31" x14ac:dyDescent="0.25">
      <c r="U92" s="205"/>
      <c r="V92" s="205"/>
      <c r="W92" s="205"/>
      <c r="X92" s="205"/>
      <c r="Y92" s="205"/>
      <c r="Z92" s="205"/>
      <c r="AA92" s="205"/>
      <c r="AB92" s="205"/>
      <c r="AC92" s="205"/>
      <c r="AD92" s="205"/>
      <c r="AE92" s="205"/>
    </row>
    <row r="93" spans="21:31" x14ac:dyDescent="0.25">
      <c r="U93" s="205"/>
      <c r="V93" s="205"/>
      <c r="W93" s="205"/>
      <c r="X93" s="205"/>
      <c r="Y93" s="205"/>
      <c r="Z93" s="205"/>
      <c r="AA93" s="205"/>
      <c r="AB93" s="205"/>
      <c r="AC93" s="205"/>
      <c r="AD93" s="205"/>
      <c r="AE93" s="205"/>
    </row>
    <row r="94" spans="21:31" x14ac:dyDescent="0.25">
      <c r="U94" s="205"/>
      <c r="V94" s="205"/>
      <c r="W94" s="205"/>
      <c r="X94" s="205"/>
      <c r="Y94" s="205"/>
      <c r="Z94" s="205"/>
      <c r="AA94" s="205"/>
      <c r="AB94" s="205"/>
      <c r="AC94" s="205"/>
      <c r="AD94" s="205"/>
      <c r="AE94" s="205"/>
    </row>
    <row r="95" spans="21:31" x14ac:dyDescent="0.25">
      <c r="U95" s="205"/>
      <c r="V95" s="205"/>
      <c r="W95" s="205"/>
      <c r="X95" s="205"/>
      <c r="Y95" s="205"/>
      <c r="Z95" s="205"/>
      <c r="AA95" s="205"/>
      <c r="AB95" s="205"/>
      <c r="AC95" s="205"/>
      <c r="AD95" s="205"/>
      <c r="AE95" s="205"/>
    </row>
    <row r="96" spans="21:31" x14ac:dyDescent="0.25">
      <c r="U96" s="205"/>
      <c r="V96" s="205"/>
      <c r="W96" s="205"/>
      <c r="X96" s="205"/>
      <c r="Y96" s="205"/>
      <c r="Z96" s="205"/>
      <c r="AA96" s="205"/>
      <c r="AB96" s="205"/>
      <c r="AC96" s="205"/>
      <c r="AD96" s="205"/>
      <c r="AE96" s="205"/>
    </row>
    <row r="97" spans="21:31" x14ac:dyDescent="0.25">
      <c r="U97" s="205"/>
      <c r="V97" s="205"/>
      <c r="W97" s="205"/>
      <c r="X97" s="205"/>
      <c r="Y97" s="205"/>
      <c r="Z97" s="205"/>
      <c r="AA97" s="205"/>
      <c r="AB97" s="205"/>
      <c r="AC97" s="205"/>
      <c r="AD97" s="205"/>
      <c r="AE97" s="205"/>
    </row>
    <row r="98" spans="21:31" x14ac:dyDescent="0.25">
      <c r="U98" s="205"/>
      <c r="V98" s="205"/>
      <c r="W98" s="205"/>
      <c r="X98" s="205"/>
      <c r="Y98" s="205"/>
      <c r="Z98" s="205"/>
      <c r="AA98" s="205"/>
      <c r="AB98" s="205"/>
      <c r="AC98" s="205"/>
      <c r="AD98" s="205"/>
      <c r="AE98" s="205"/>
    </row>
  </sheetData>
  <mergeCells count="32">
    <mergeCell ref="U36:AE38"/>
    <mergeCell ref="U3:AE5"/>
    <mergeCell ref="U6:AE8"/>
    <mergeCell ref="U9:AE11"/>
    <mergeCell ref="U12:AE14"/>
    <mergeCell ref="U15:AE17"/>
    <mergeCell ref="U18:AE20"/>
    <mergeCell ref="U21:AE23"/>
    <mergeCell ref="U24:AE26"/>
    <mergeCell ref="U27:AE29"/>
    <mergeCell ref="U30:AE32"/>
    <mergeCell ref="U33:AE35"/>
    <mergeCell ref="U72:AE74"/>
    <mergeCell ref="U39:AE41"/>
    <mergeCell ref="U42:AE44"/>
    <mergeCell ref="U45:AE47"/>
    <mergeCell ref="U48:AE50"/>
    <mergeCell ref="U51:AE53"/>
    <mergeCell ref="U54:AE56"/>
    <mergeCell ref="U57:AE59"/>
    <mergeCell ref="U60:AE62"/>
    <mergeCell ref="U63:AE65"/>
    <mergeCell ref="U66:AE68"/>
    <mergeCell ref="U69:AE71"/>
    <mergeCell ref="U93:AE95"/>
    <mergeCell ref="U96:AE98"/>
    <mergeCell ref="U75:AE77"/>
    <mergeCell ref="U78:AE80"/>
    <mergeCell ref="U81:AE83"/>
    <mergeCell ref="U84:AE86"/>
    <mergeCell ref="U87:AE89"/>
    <mergeCell ref="U90:AE92"/>
  </mergeCells>
  <phoneticPr fontId="3" type="noConversion"/>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FF0000"/>
  </sheetPr>
  <dimension ref="A1:L139"/>
  <sheetViews>
    <sheetView tabSelected="1" zoomScale="85" zoomScaleNormal="85" workbookViewId="0">
      <pane xSplit="1" ySplit="1" topLeftCell="B19" activePane="bottomRight" state="frozen"/>
      <selection pane="topRight" activeCell="B1" sqref="B1"/>
      <selection pane="bottomLeft" activeCell="A2" sqref="A2"/>
      <selection pane="bottomRight" activeCell="H33" sqref="H33"/>
    </sheetView>
  </sheetViews>
  <sheetFormatPr defaultRowHeight="14" x14ac:dyDescent="0.25"/>
  <cols>
    <col min="1" max="1" width="19.453125" style="10" customWidth="1"/>
    <col min="2" max="2" width="13.6328125" style="10" customWidth="1"/>
    <col min="3" max="3" width="17.90625" style="10" customWidth="1"/>
    <col min="4" max="6" width="13.6328125" style="50" customWidth="1"/>
    <col min="7" max="7" width="17.08984375" customWidth="1"/>
    <col min="8" max="12" width="13.6328125" customWidth="1"/>
  </cols>
  <sheetData>
    <row r="1" spans="1:12" ht="18" thickTop="1" x14ac:dyDescent="0.25">
      <c r="A1" s="129" t="s">
        <v>118</v>
      </c>
      <c r="B1" s="129" t="s">
        <v>1653</v>
      </c>
      <c r="C1" s="129" t="s">
        <v>1654</v>
      </c>
      <c r="D1" s="129" t="s">
        <v>1655</v>
      </c>
      <c r="E1" s="129" t="s">
        <v>1656</v>
      </c>
      <c r="F1" s="129" t="s">
        <v>1657</v>
      </c>
      <c r="G1" s="130" t="s">
        <v>183</v>
      </c>
      <c r="H1" s="130" t="s">
        <v>184</v>
      </c>
      <c r="I1" s="130" t="s">
        <v>185</v>
      </c>
      <c r="J1" s="130" t="s">
        <v>186</v>
      </c>
      <c r="K1" s="130" t="s">
        <v>187</v>
      </c>
      <c r="L1" s="130" t="s">
        <v>1674</v>
      </c>
    </row>
    <row r="2" spans="1:12" x14ac:dyDescent="0.25">
      <c r="A2" s="3" t="s">
        <v>119</v>
      </c>
      <c r="B2" s="57"/>
      <c r="C2" s="57">
        <f>(C6-B6)/B6</f>
        <v>-3.7146609708531781E-3</v>
      </c>
      <c r="D2" s="57">
        <f t="shared" ref="D2:F2" si="0">(D6-C6)/C6</f>
        <v>0.64669135445039472</v>
      </c>
      <c r="E2" s="57">
        <f t="shared" si="0"/>
        <v>0.45614631399065453</v>
      </c>
      <c r="F2" s="57">
        <f t="shared" si="0"/>
        <v>0.35549492579024211</v>
      </c>
      <c r="G2" s="57">
        <f>(G6-F6)/F6</f>
        <v>0.4499999999999999</v>
      </c>
      <c r="H2" s="57">
        <f t="shared" ref="H2:L2" si="1">(H6-G6)/G6</f>
        <v>0.45</v>
      </c>
      <c r="I2" s="57">
        <f t="shared" si="1"/>
        <v>0.44999999999999996</v>
      </c>
      <c r="J2" s="57">
        <f t="shared" si="1"/>
        <v>0.44999999999999996</v>
      </c>
      <c r="K2" s="57">
        <f t="shared" si="1"/>
        <v>0.4499999999999999</v>
      </c>
      <c r="L2" s="57">
        <f t="shared" si="1"/>
        <v>5.0000000000000037E-2</v>
      </c>
    </row>
    <row r="3" spans="1:12" x14ac:dyDescent="0.25">
      <c r="A3" s="3" t="s">
        <v>120</v>
      </c>
      <c r="B3" s="122">
        <f t="shared" ref="B3:L3" si="2">B104/B6</f>
        <v>5.9122167410526096E-3</v>
      </c>
      <c r="C3" s="122">
        <f t="shared" si="2"/>
        <v>7.0360613176850412E-3</v>
      </c>
      <c r="D3" s="122">
        <f t="shared" si="2"/>
        <v>5.8095337718001967E-2</v>
      </c>
      <c r="E3" s="122">
        <f t="shared" si="2"/>
        <v>0.11292226113594224</v>
      </c>
      <c r="F3" s="122">
        <f t="shared" si="2"/>
        <v>0.1519108510903743</v>
      </c>
      <c r="G3" s="122">
        <f t="shared" si="2"/>
        <v>0.1519108510903743</v>
      </c>
      <c r="H3" s="122">
        <f t="shared" si="2"/>
        <v>0.1519108510903743</v>
      </c>
      <c r="I3" s="122">
        <f t="shared" si="2"/>
        <v>0.1519108510903743</v>
      </c>
      <c r="J3" s="122">
        <f t="shared" si="2"/>
        <v>0.1519108510903743</v>
      </c>
      <c r="K3" s="122">
        <f t="shared" si="2"/>
        <v>0.1519108510903743</v>
      </c>
      <c r="L3" s="122">
        <f t="shared" si="2"/>
        <v>0.1519108510903743</v>
      </c>
    </row>
    <row r="4" spans="1:12" x14ac:dyDescent="0.25">
      <c r="A4" s="3"/>
      <c r="B4" s="3"/>
      <c r="C4" s="3"/>
      <c r="D4" s="38"/>
      <c r="E4" s="38"/>
      <c r="F4" s="38"/>
      <c r="G4" s="38"/>
      <c r="H4" s="38"/>
      <c r="I4" s="38"/>
      <c r="J4" s="38"/>
      <c r="K4" s="38"/>
      <c r="L4" s="38"/>
    </row>
    <row r="5" spans="1:12" x14ac:dyDescent="0.25">
      <c r="A5" s="3" t="s">
        <v>121</v>
      </c>
      <c r="B5" s="3"/>
      <c r="C5" s="3"/>
      <c r="D5" s="39"/>
      <c r="E5" s="39"/>
      <c r="F5" s="40"/>
      <c r="G5" s="6"/>
      <c r="H5" s="5">
        <v>0</v>
      </c>
      <c r="I5" s="6"/>
      <c r="J5" s="6"/>
      <c r="K5" s="6"/>
      <c r="L5" s="6"/>
    </row>
    <row r="6" spans="1:12" s="9" customFormat="1" x14ac:dyDescent="0.25">
      <c r="A6" s="7" t="str">
        <f>PL!A2</f>
        <v>营业总收入(万元)</v>
      </c>
      <c r="B6" s="128">
        <f>IFERROR(SUMIFS(PL!F:F,PL!$A:$A,价值评估!$A6),"")</f>
        <v>2336687</v>
      </c>
      <c r="C6" s="128">
        <f>SUMIFS(PL!E:E,PL!$A:$A,价值评估!$A6)</f>
        <v>2328007</v>
      </c>
      <c r="D6" s="128">
        <f>SUMIFS(PL!D:D,PL!$A:$A,价值评估!$A6)</f>
        <v>3833509</v>
      </c>
      <c r="E6" s="128">
        <f>SUMIFS(PL!C:C,PL!$A:$A,价值评估!$A6)</f>
        <v>5582150</v>
      </c>
      <c r="F6" s="128">
        <f>SUMIFS(PL!B:B,PL!$A:$A,价值评估!$A6)</f>
        <v>7566576</v>
      </c>
      <c r="G6" s="128">
        <f>IFERROR(F6*(1+$F$125),0)</f>
        <v>10971535.199999999</v>
      </c>
      <c r="H6" s="128">
        <f t="shared" ref="H6:K6" si="3">IFERROR(G6*(1+$F$125),0)</f>
        <v>15908726.039999999</v>
      </c>
      <c r="I6" s="128">
        <f t="shared" si="3"/>
        <v>23067652.757999998</v>
      </c>
      <c r="J6" s="128">
        <f t="shared" si="3"/>
        <v>33448096.499099996</v>
      </c>
      <c r="K6" s="128">
        <f t="shared" si="3"/>
        <v>48499739.923694991</v>
      </c>
      <c r="L6" s="128">
        <f t="shared" ref="L6" si="4">K6*(1+$F$126)</f>
        <v>50924726.919879742</v>
      </c>
    </row>
    <row r="7" spans="1:12" x14ac:dyDescent="0.25">
      <c r="A7" s="7" t="str">
        <f>PL!A3</f>
        <v>营业收入(万元)</v>
      </c>
      <c r="B7" s="128">
        <f>IFERROR(SUMIFS(PL!F:F,PL!$A:$A,价值评估!$A7),"")</f>
        <v>0</v>
      </c>
      <c r="C7" s="128">
        <f>SUMIFS(PL!E:E,PL!$A:$A,价值评估!$A7)</f>
        <v>0</v>
      </c>
      <c r="D7" s="128">
        <f>SUMIFS(PL!D:D,PL!$A:$A,价值评估!$A7)</f>
        <v>0</v>
      </c>
      <c r="E7" s="128">
        <f>SUMIFS(PL!C:C,PL!$A:$A,价值评估!$A7)</f>
        <v>0</v>
      </c>
      <c r="F7" s="128">
        <f>SUMIFS(PL!B:B,PL!$A:$A,价值评估!$A7)</f>
        <v>0</v>
      </c>
      <c r="G7" s="128">
        <f t="shared" ref="G7:G45" si="5">IFERROR(F7*(1+$F$125),0)</f>
        <v>0</v>
      </c>
      <c r="H7" s="128">
        <f t="shared" ref="H7:H45" si="6">IFERROR(G7*(1+$F$125),0)</f>
        <v>0</v>
      </c>
      <c r="I7" s="128">
        <f t="shared" ref="I7:I45" si="7">IFERROR(H7*(1+$F$125),0)</f>
        <v>0</v>
      </c>
      <c r="J7" s="128">
        <f t="shared" ref="J7:J45" si="8">IFERROR(I7*(1+$F$125),0)</f>
        <v>0</v>
      </c>
      <c r="K7" s="128">
        <f t="shared" ref="K7:K45" si="9">IFERROR(J7*(1+$F$125),0)</f>
        <v>0</v>
      </c>
      <c r="L7" s="128">
        <f t="shared" ref="L7:L45" si="10">K7*(1+$F$126)</f>
        <v>0</v>
      </c>
    </row>
    <row r="8" spans="1:12" x14ac:dyDescent="0.25">
      <c r="A8" s="7" t="str">
        <f>PL!A4</f>
        <v>利息收入(万元)</v>
      </c>
      <c r="B8" s="128">
        <f>IFERROR(SUMIFS(PL!F:F,PL!$A:$A,价值评估!$A8),"")</f>
        <v>0</v>
      </c>
      <c r="C8" s="128">
        <f>SUMIFS(PL!E:E,PL!$A:$A,价值评估!$A8)</f>
        <v>0</v>
      </c>
      <c r="D8" s="128">
        <f>SUMIFS(PL!D:D,PL!$A:$A,价值评估!$A8)</f>
        <v>0</v>
      </c>
      <c r="E8" s="128">
        <f>SUMIFS(PL!C:C,PL!$A:$A,价值评估!$A8)</f>
        <v>0</v>
      </c>
      <c r="F8" s="128">
        <f>SUMIFS(PL!B:B,PL!$A:$A,价值评估!$A8)</f>
        <v>0</v>
      </c>
      <c r="G8" s="128">
        <f t="shared" si="5"/>
        <v>0</v>
      </c>
      <c r="H8" s="128">
        <f t="shared" si="6"/>
        <v>0</v>
      </c>
      <c r="I8" s="128">
        <f t="shared" si="7"/>
        <v>0</v>
      </c>
      <c r="J8" s="128">
        <f t="shared" si="8"/>
        <v>0</v>
      </c>
      <c r="K8" s="128">
        <f t="shared" si="9"/>
        <v>0</v>
      </c>
      <c r="L8" s="128">
        <f t="shared" si="10"/>
        <v>0</v>
      </c>
    </row>
    <row r="9" spans="1:12" x14ac:dyDescent="0.25">
      <c r="A9" s="7" t="str">
        <f>PL!A5</f>
        <v>已赚保费(万元)</v>
      </c>
      <c r="B9" s="128">
        <f>IFERROR(SUMIFS(PL!F:F,PL!$A:$A,价值评估!$A9),"")</f>
        <v>0</v>
      </c>
      <c r="C9" s="128">
        <f>SUMIFS(PL!E:E,PL!$A:$A,价值评估!$A9)</f>
        <v>0</v>
      </c>
      <c r="D9" s="128">
        <f>SUMIFS(PL!D:D,PL!$A:$A,价值评估!$A9)</f>
        <v>0</v>
      </c>
      <c r="E9" s="128">
        <f>SUMIFS(PL!C:C,PL!$A:$A,价值评估!$A9)</f>
        <v>0</v>
      </c>
      <c r="F9" s="128">
        <f>SUMIFS(PL!B:B,PL!$A:$A,价值评估!$A9)</f>
        <v>0</v>
      </c>
      <c r="G9" s="128">
        <f t="shared" si="5"/>
        <v>0</v>
      </c>
      <c r="H9" s="128">
        <f t="shared" si="6"/>
        <v>0</v>
      </c>
      <c r="I9" s="128">
        <f t="shared" si="7"/>
        <v>0</v>
      </c>
      <c r="J9" s="128">
        <f t="shared" si="8"/>
        <v>0</v>
      </c>
      <c r="K9" s="128">
        <f t="shared" si="9"/>
        <v>0</v>
      </c>
      <c r="L9" s="128">
        <f t="shared" si="10"/>
        <v>0</v>
      </c>
    </row>
    <row r="10" spans="1:12" ht="28" x14ac:dyDescent="0.25">
      <c r="A10" s="7" t="str">
        <f>PL!A6</f>
        <v>手续费及佣金收入(万元)</v>
      </c>
      <c r="B10" s="128">
        <f>IFERROR(SUMIFS(PL!F:F,PL!$A:$A,价值评估!$A10),"")</f>
        <v>0</v>
      </c>
      <c r="C10" s="128">
        <f>SUMIFS(PL!E:E,PL!$A:$A,价值评估!$A10)</f>
        <v>0</v>
      </c>
      <c r="D10" s="128">
        <f>SUMIFS(PL!D:D,PL!$A:$A,价值评估!$A10)</f>
        <v>0</v>
      </c>
      <c r="E10" s="128">
        <f>SUMIFS(PL!C:C,PL!$A:$A,价值评估!$A10)</f>
        <v>0</v>
      </c>
      <c r="F10" s="128">
        <f>SUMIFS(PL!B:B,PL!$A:$A,价值评估!$A10)</f>
        <v>0</v>
      </c>
      <c r="G10" s="128">
        <f t="shared" si="5"/>
        <v>0</v>
      </c>
      <c r="H10" s="128">
        <f t="shared" si="6"/>
        <v>0</v>
      </c>
      <c r="I10" s="128">
        <f t="shared" si="7"/>
        <v>0</v>
      </c>
      <c r="J10" s="128">
        <f t="shared" si="8"/>
        <v>0</v>
      </c>
      <c r="K10" s="128">
        <f t="shared" si="9"/>
        <v>0</v>
      </c>
      <c r="L10" s="128">
        <f t="shared" si="10"/>
        <v>0</v>
      </c>
    </row>
    <row r="11" spans="1:12" ht="28" x14ac:dyDescent="0.25">
      <c r="A11" s="7" t="str">
        <f>PL!A7</f>
        <v>房地产销售收入(万元)</v>
      </c>
      <c r="B11" s="128">
        <f>IFERROR(SUMIFS(PL!F:F,PL!$A:$A,价值评估!$A11),"")</f>
        <v>0</v>
      </c>
      <c r="C11" s="128">
        <f>SUMIFS(PL!E:E,PL!$A:$A,价值评估!$A11)</f>
        <v>0</v>
      </c>
      <c r="D11" s="128">
        <f>SUMIFS(PL!D:D,PL!$A:$A,价值评估!$A11)</f>
        <v>0</v>
      </c>
      <c r="E11" s="128">
        <f>SUMIFS(PL!C:C,PL!$A:$A,价值评估!$A11)</f>
        <v>0</v>
      </c>
      <c r="F11" s="128">
        <f>SUMIFS(PL!B:B,PL!$A:$A,价值评估!$A11)</f>
        <v>0</v>
      </c>
      <c r="G11" s="128">
        <f t="shared" si="5"/>
        <v>0</v>
      </c>
      <c r="H11" s="128">
        <f t="shared" si="6"/>
        <v>0</v>
      </c>
      <c r="I11" s="128">
        <f t="shared" si="7"/>
        <v>0</v>
      </c>
      <c r="J11" s="128">
        <f t="shared" si="8"/>
        <v>0</v>
      </c>
      <c r="K11" s="128">
        <f t="shared" si="9"/>
        <v>0</v>
      </c>
      <c r="L11" s="128">
        <f t="shared" si="10"/>
        <v>0</v>
      </c>
    </row>
    <row r="12" spans="1:12" x14ac:dyDescent="0.25">
      <c r="A12" s="7" t="str">
        <f>PL!A8</f>
        <v>其他业务收入(万元)</v>
      </c>
      <c r="B12" s="128">
        <f>IFERROR(SUMIFS(PL!F:F,PL!$A:$A,价值评估!$A12),"")</f>
        <v>0</v>
      </c>
      <c r="C12" s="128">
        <f>SUMIFS(PL!E:E,PL!$A:$A,价值评估!$A12)</f>
        <v>0</v>
      </c>
      <c r="D12" s="128">
        <f>SUMIFS(PL!D:D,PL!$A:$A,价值评估!$A12)</f>
        <v>0</v>
      </c>
      <c r="E12" s="128">
        <f>SUMIFS(PL!C:C,PL!$A:$A,价值评估!$A12)</f>
        <v>0</v>
      </c>
      <c r="F12" s="128">
        <f>SUMIFS(PL!B:B,PL!$A:$A,价值评估!$A12)</f>
        <v>0</v>
      </c>
      <c r="G12" s="128">
        <f t="shared" si="5"/>
        <v>0</v>
      </c>
      <c r="H12" s="128">
        <f t="shared" si="6"/>
        <v>0</v>
      </c>
      <c r="I12" s="128">
        <f t="shared" si="7"/>
        <v>0</v>
      </c>
      <c r="J12" s="128">
        <f t="shared" si="8"/>
        <v>0</v>
      </c>
      <c r="K12" s="128">
        <f t="shared" si="9"/>
        <v>0</v>
      </c>
      <c r="L12" s="128">
        <f t="shared" si="10"/>
        <v>0</v>
      </c>
    </row>
    <row r="13" spans="1:12" x14ac:dyDescent="0.25">
      <c r="A13" s="7" t="str">
        <f>PL!A9</f>
        <v>营业总成本(万元)</v>
      </c>
      <c r="B13" s="128">
        <f>IFERROR(SUMIFS(PL!F:F,PL!$A:$A,价值评估!$A13),"")</f>
        <v>0</v>
      </c>
      <c r="C13" s="128">
        <f>SUMIFS(PL!E:E,PL!$A:$A,价值评估!$A13)</f>
        <v>0</v>
      </c>
      <c r="D13" s="128">
        <f>SUMIFS(PL!D:D,PL!$A:$A,价值评估!$A13)</f>
        <v>0</v>
      </c>
      <c r="E13" s="128">
        <f>SUMIFS(PL!C:C,PL!$A:$A,价值评估!$A13)</f>
        <v>0</v>
      </c>
      <c r="F13" s="128">
        <f>SUMIFS(PL!B:B,PL!$A:$A,价值评估!$A13)</f>
        <v>0</v>
      </c>
      <c r="G13" s="128">
        <f t="shared" si="5"/>
        <v>0</v>
      </c>
      <c r="H13" s="128">
        <f t="shared" si="6"/>
        <v>0</v>
      </c>
      <c r="I13" s="128">
        <f t="shared" si="7"/>
        <v>0</v>
      </c>
      <c r="J13" s="128">
        <f t="shared" si="8"/>
        <v>0</v>
      </c>
      <c r="K13" s="128">
        <f t="shared" si="9"/>
        <v>0</v>
      </c>
      <c r="L13" s="128">
        <f t="shared" si="10"/>
        <v>0</v>
      </c>
    </row>
    <row r="14" spans="1:12" x14ac:dyDescent="0.25">
      <c r="A14" s="7" t="str">
        <f>PL!A10</f>
        <v>营业成本(万元)</v>
      </c>
      <c r="B14" s="128">
        <f>IFERROR(SUMIFS(PL!F:F,PL!$A:$A,价值评估!$A14),"")</f>
        <v>1757677</v>
      </c>
      <c r="C14" s="128">
        <f>SUMIFS(PL!E:E,PL!$A:$A,价值评估!$A14)</f>
        <v>1717940</v>
      </c>
      <c r="D14" s="128">
        <f>SUMIFS(PL!D:D,PL!$A:$A,价值评估!$A14)</f>
        <v>2680585</v>
      </c>
      <c r="E14" s="128">
        <f>SUMIFS(PL!C:C,PL!$A:$A,价值评估!$A14)</f>
        <v>3872796</v>
      </c>
      <c r="F14" s="128">
        <f>SUMIFS(PL!B:B,PL!$A:$A,价值评估!$A14)</f>
        <v>5093227</v>
      </c>
      <c r="G14" s="128">
        <f t="shared" si="5"/>
        <v>7385179.1499999994</v>
      </c>
      <c r="H14" s="128">
        <f t="shared" si="6"/>
        <v>10708509.767499998</v>
      </c>
      <c r="I14" s="128">
        <f t="shared" si="7"/>
        <v>15527339.162874997</v>
      </c>
      <c r="J14" s="128">
        <f t="shared" si="8"/>
        <v>22514641.786168743</v>
      </c>
      <c r="K14" s="128">
        <f t="shared" si="9"/>
        <v>32646230.589944676</v>
      </c>
      <c r="L14" s="128">
        <f t="shared" si="10"/>
        <v>34278542.119441912</v>
      </c>
    </row>
    <row r="15" spans="1:12" x14ac:dyDescent="0.25">
      <c r="A15" s="7" t="str">
        <f>PL!A11</f>
        <v>利息支出(万元)</v>
      </c>
      <c r="B15" s="128">
        <f>IFERROR(SUMIFS(PL!F:F,PL!$A:$A,价值评估!$A15),"")</f>
        <v>0</v>
      </c>
      <c r="C15" s="128">
        <f>SUMIFS(PL!E:E,PL!$A:$A,价值评估!$A15)</f>
        <v>0</v>
      </c>
      <c r="D15" s="128">
        <f>SUMIFS(PL!D:D,PL!$A:$A,价值评估!$A15)</f>
        <v>0</v>
      </c>
      <c r="E15" s="128">
        <f>SUMIFS(PL!C:C,PL!$A:$A,价值评估!$A15)</f>
        <v>0</v>
      </c>
      <c r="F15" s="128">
        <f>SUMIFS(PL!B:B,PL!$A:$A,价值评估!$A15)</f>
        <v>0</v>
      </c>
      <c r="G15" s="128">
        <f t="shared" si="5"/>
        <v>0</v>
      </c>
      <c r="H15" s="128">
        <f t="shared" si="6"/>
        <v>0</v>
      </c>
      <c r="I15" s="128">
        <f t="shared" si="7"/>
        <v>0</v>
      </c>
      <c r="J15" s="128">
        <f t="shared" si="8"/>
        <v>0</v>
      </c>
      <c r="K15" s="128">
        <f t="shared" si="9"/>
        <v>0</v>
      </c>
      <c r="L15" s="128">
        <f t="shared" si="10"/>
        <v>0</v>
      </c>
    </row>
    <row r="16" spans="1:12" ht="28" x14ac:dyDescent="0.25">
      <c r="A16" s="7" t="str">
        <f>PL!A12</f>
        <v>手续费及佣金支出(万元)</v>
      </c>
      <c r="B16" s="128">
        <f>IFERROR(SUMIFS(PL!F:F,PL!$A:$A,价值评估!$A16),"")</f>
        <v>0</v>
      </c>
      <c r="C16" s="128">
        <f>SUMIFS(PL!E:E,PL!$A:$A,价值评估!$A16)</f>
        <v>0</v>
      </c>
      <c r="D16" s="128">
        <f>SUMIFS(PL!D:D,PL!$A:$A,价值评估!$A16)</f>
        <v>0</v>
      </c>
      <c r="E16" s="128">
        <f>SUMIFS(PL!C:C,PL!$A:$A,价值评估!$A16)</f>
        <v>0</v>
      </c>
      <c r="F16" s="128">
        <f>SUMIFS(PL!B:B,PL!$A:$A,价值评估!$A16)</f>
        <v>0</v>
      </c>
      <c r="G16" s="128">
        <f t="shared" si="5"/>
        <v>0</v>
      </c>
      <c r="H16" s="128">
        <f t="shared" si="6"/>
        <v>0</v>
      </c>
      <c r="I16" s="128">
        <f t="shared" si="7"/>
        <v>0</v>
      </c>
      <c r="J16" s="128">
        <f t="shared" si="8"/>
        <v>0</v>
      </c>
      <c r="K16" s="128">
        <f t="shared" si="9"/>
        <v>0</v>
      </c>
      <c r="L16" s="128">
        <f t="shared" si="10"/>
        <v>0</v>
      </c>
    </row>
    <row r="17" spans="1:12" s="9" customFormat="1" ht="28" x14ac:dyDescent="0.25">
      <c r="A17" s="7" t="str">
        <f>PL!A13</f>
        <v>房地产销售成本(万元)</v>
      </c>
      <c r="B17" s="128">
        <f>IFERROR(SUMIFS(PL!F:F,PL!$A:$A,价值评估!$A17),"")</f>
        <v>0</v>
      </c>
      <c r="C17" s="128">
        <f>SUMIFS(PL!E:E,PL!$A:$A,价值评估!$A17)</f>
        <v>0</v>
      </c>
      <c r="D17" s="128">
        <f>SUMIFS(PL!D:D,PL!$A:$A,价值评估!$A17)</f>
        <v>0</v>
      </c>
      <c r="E17" s="128">
        <f>SUMIFS(PL!C:C,PL!$A:$A,价值评估!$A17)</f>
        <v>0</v>
      </c>
      <c r="F17" s="128">
        <f>SUMIFS(PL!B:B,PL!$A:$A,价值评估!$A17)</f>
        <v>0</v>
      </c>
      <c r="G17" s="128">
        <f t="shared" si="5"/>
        <v>0</v>
      </c>
      <c r="H17" s="128">
        <f t="shared" si="6"/>
        <v>0</v>
      </c>
      <c r="I17" s="128">
        <f t="shared" si="7"/>
        <v>0</v>
      </c>
      <c r="J17" s="128">
        <f t="shared" si="8"/>
        <v>0</v>
      </c>
      <c r="K17" s="128">
        <f t="shared" si="9"/>
        <v>0</v>
      </c>
      <c r="L17" s="128">
        <f t="shared" si="10"/>
        <v>0</v>
      </c>
    </row>
    <row r="18" spans="1:12" x14ac:dyDescent="0.25">
      <c r="A18" s="7" t="str">
        <f>PL!A14</f>
        <v>研发费用(万元)</v>
      </c>
      <c r="B18" s="128">
        <f>IFERROR(SUMIFS(PL!F:F,PL!$A:$A,价值评估!$A18),"")</f>
        <v>0</v>
      </c>
      <c r="C18" s="128">
        <f>SUMIFS(PL!E:E,PL!$A:$A,价值评估!$A18)</f>
        <v>0</v>
      </c>
      <c r="D18" s="128">
        <f>SUMIFS(PL!D:D,PL!$A:$A,价值评估!$A18)</f>
        <v>0</v>
      </c>
      <c r="E18" s="128">
        <f>SUMIFS(PL!C:C,PL!$A:$A,价值评估!$A18)</f>
        <v>175448</v>
      </c>
      <c r="F18" s="128">
        <f>SUMIFS(PL!B:B,PL!$A:$A,价值评估!$A18)</f>
        <v>364441</v>
      </c>
      <c r="G18" s="128">
        <f t="shared" si="5"/>
        <v>528439.44999999995</v>
      </c>
      <c r="H18" s="128">
        <f t="shared" si="6"/>
        <v>766237.2024999999</v>
      </c>
      <c r="I18" s="128">
        <f t="shared" si="7"/>
        <v>1111043.9436249998</v>
      </c>
      <c r="J18" s="128">
        <f t="shared" si="8"/>
        <v>1611013.7182562498</v>
      </c>
      <c r="K18" s="128">
        <f t="shared" si="9"/>
        <v>2335969.891471562</v>
      </c>
      <c r="L18" s="128">
        <f t="shared" si="10"/>
        <v>2452768.3860451402</v>
      </c>
    </row>
    <row r="19" spans="1:12" x14ac:dyDescent="0.25">
      <c r="A19" s="7" t="str">
        <f>PL!A15</f>
        <v>退保金(万元)</v>
      </c>
      <c r="B19" s="128">
        <f>IFERROR(SUMIFS(PL!F:F,PL!$A:$A,价值评估!$A19),"")</f>
        <v>0</v>
      </c>
      <c r="C19" s="128">
        <f>SUMIFS(PL!E:E,PL!$A:$A,价值评估!$A19)</f>
        <v>0</v>
      </c>
      <c r="D19" s="128">
        <f>SUMIFS(PL!D:D,PL!$A:$A,价值评估!$A19)</f>
        <v>0</v>
      </c>
      <c r="E19" s="128">
        <f>SUMIFS(PL!C:C,PL!$A:$A,价值评估!$A19)</f>
        <v>0</v>
      </c>
      <c r="F19" s="128">
        <f>SUMIFS(PL!B:B,PL!$A:$A,价值评估!$A19)</f>
        <v>0</v>
      </c>
      <c r="G19" s="128">
        <f t="shared" si="5"/>
        <v>0</v>
      </c>
      <c r="H19" s="128">
        <f t="shared" si="6"/>
        <v>0</v>
      </c>
      <c r="I19" s="128">
        <f t="shared" si="7"/>
        <v>0</v>
      </c>
      <c r="J19" s="128">
        <f t="shared" si="8"/>
        <v>0</v>
      </c>
      <c r="K19" s="128">
        <f t="shared" si="9"/>
        <v>0</v>
      </c>
      <c r="L19" s="128">
        <f t="shared" si="10"/>
        <v>0</v>
      </c>
    </row>
    <row r="20" spans="1:12" hidden="1" x14ac:dyDescent="0.25">
      <c r="A20" s="7" t="str">
        <f>PL!A16</f>
        <v>赔付支出净额(万元)</v>
      </c>
      <c r="B20" s="128">
        <f>IFERROR(SUMIFS(PL!F:F,PL!$A:$A,价值评估!$A20),"")</f>
        <v>0</v>
      </c>
      <c r="C20" s="128">
        <f>SUMIFS(PL!E:E,PL!$A:$A,价值评估!$A20)</f>
        <v>0</v>
      </c>
      <c r="D20" s="128">
        <f>SUMIFS(PL!D:D,PL!$A:$A,价值评估!$A20)</f>
        <v>0</v>
      </c>
      <c r="E20" s="128">
        <f>SUMIFS(PL!C:C,PL!$A:$A,价值评估!$A20)</f>
        <v>0</v>
      </c>
      <c r="F20" s="128">
        <f>SUMIFS(PL!B:B,PL!$A:$A,价值评估!$A20)</f>
        <v>0</v>
      </c>
      <c r="G20" s="128">
        <f t="shared" si="5"/>
        <v>0</v>
      </c>
      <c r="H20" s="128">
        <f t="shared" si="6"/>
        <v>0</v>
      </c>
      <c r="I20" s="128">
        <f t="shared" si="7"/>
        <v>0</v>
      </c>
      <c r="J20" s="128">
        <f t="shared" si="8"/>
        <v>0</v>
      </c>
      <c r="K20" s="128">
        <f t="shared" si="9"/>
        <v>0</v>
      </c>
      <c r="L20" s="128">
        <f t="shared" si="10"/>
        <v>0</v>
      </c>
    </row>
    <row r="21" spans="1:12" ht="28" hidden="1" x14ac:dyDescent="0.25">
      <c r="A21" s="7" t="str">
        <f>PL!A17</f>
        <v>提取保险合同准备金净额(万元)</v>
      </c>
      <c r="B21" s="128">
        <f>IFERROR(SUMIFS(PL!F:F,PL!$A:$A,价值评估!$A21),"")</f>
        <v>0</v>
      </c>
      <c r="C21" s="128">
        <f>SUMIFS(PL!E:E,PL!$A:$A,价值评估!$A21)</f>
        <v>0</v>
      </c>
      <c r="D21" s="128">
        <f>SUMIFS(PL!D:D,PL!$A:$A,价值评估!$A21)</f>
        <v>0</v>
      </c>
      <c r="E21" s="128">
        <f>SUMIFS(PL!C:C,PL!$A:$A,价值评估!$A21)</f>
        <v>0</v>
      </c>
      <c r="F21" s="128">
        <f>SUMIFS(PL!B:B,PL!$A:$A,价值评估!$A21)</f>
        <v>0</v>
      </c>
      <c r="G21" s="128">
        <f t="shared" si="5"/>
        <v>0</v>
      </c>
      <c r="H21" s="128">
        <f t="shared" si="6"/>
        <v>0</v>
      </c>
      <c r="I21" s="128">
        <f t="shared" si="7"/>
        <v>0</v>
      </c>
      <c r="J21" s="128">
        <f t="shared" si="8"/>
        <v>0</v>
      </c>
      <c r="K21" s="128">
        <f t="shared" si="9"/>
        <v>0</v>
      </c>
      <c r="L21" s="128">
        <f t="shared" si="10"/>
        <v>0</v>
      </c>
    </row>
    <row r="22" spans="1:12" hidden="1" x14ac:dyDescent="0.25">
      <c r="A22" s="7" t="str">
        <f>PL!A18</f>
        <v>保单红利支出(万元)</v>
      </c>
      <c r="B22" s="128">
        <f>IFERROR(SUMIFS(PL!F:F,PL!$A:$A,价值评估!$A22),"")</f>
        <v>0</v>
      </c>
      <c r="C22" s="128">
        <f>SUMIFS(PL!E:E,PL!$A:$A,价值评估!$A22)</f>
        <v>0</v>
      </c>
      <c r="D22" s="128">
        <f>SUMIFS(PL!D:D,PL!$A:$A,价值评估!$A22)</f>
        <v>0</v>
      </c>
      <c r="E22" s="128">
        <f>SUMIFS(PL!C:C,PL!$A:$A,价值评估!$A22)</f>
        <v>0</v>
      </c>
      <c r="F22" s="128">
        <f>SUMIFS(PL!B:B,PL!$A:$A,价值评估!$A22)</f>
        <v>0</v>
      </c>
      <c r="G22" s="128">
        <f t="shared" si="5"/>
        <v>0</v>
      </c>
      <c r="H22" s="128">
        <f t="shared" si="6"/>
        <v>0</v>
      </c>
      <c r="I22" s="128">
        <f t="shared" si="7"/>
        <v>0</v>
      </c>
      <c r="J22" s="128">
        <f t="shared" si="8"/>
        <v>0</v>
      </c>
      <c r="K22" s="128">
        <f t="shared" si="9"/>
        <v>0</v>
      </c>
      <c r="L22" s="128">
        <f t="shared" si="10"/>
        <v>0</v>
      </c>
    </row>
    <row r="23" spans="1:12" s="12" customFormat="1" hidden="1" x14ac:dyDescent="0.25">
      <c r="A23" s="7" t="str">
        <f>PL!A19</f>
        <v>分保费用(万元)</v>
      </c>
      <c r="B23" s="128">
        <f>IFERROR(SUMIFS(PL!F:F,PL!$A:$A,价值评估!$A23),"")</f>
        <v>0</v>
      </c>
      <c r="C23" s="128">
        <f>SUMIFS(PL!E:E,PL!$A:$A,价值评估!$A23)</f>
        <v>0</v>
      </c>
      <c r="D23" s="128">
        <f>SUMIFS(PL!D:D,PL!$A:$A,价值评估!$A23)</f>
        <v>0</v>
      </c>
      <c r="E23" s="128">
        <f>SUMIFS(PL!C:C,PL!$A:$A,价值评估!$A23)</f>
        <v>0</v>
      </c>
      <c r="F23" s="128">
        <f>SUMIFS(PL!B:B,PL!$A:$A,价值评估!$A23)</f>
        <v>0</v>
      </c>
      <c r="G23" s="128">
        <f t="shared" si="5"/>
        <v>0</v>
      </c>
      <c r="H23" s="128">
        <f t="shared" si="6"/>
        <v>0</v>
      </c>
      <c r="I23" s="128">
        <f t="shared" si="7"/>
        <v>0</v>
      </c>
      <c r="J23" s="128">
        <f t="shared" si="8"/>
        <v>0</v>
      </c>
      <c r="K23" s="128">
        <f t="shared" si="9"/>
        <v>0</v>
      </c>
      <c r="L23" s="128">
        <f t="shared" si="10"/>
        <v>0</v>
      </c>
    </row>
    <row r="24" spans="1:12" s="12" customFormat="1" x14ac:dyDescent="0.25">
      <c r="A24" s="7" t="str">
        <f>PL!A20</f>
        <v>其他业务成本(万元)</v>
      </c>
      <c r="B24" s="128">
        <f>IFERROR(SUMIFS(PL!F:F,PL!$A:$A,价值评估!$A24),"")</f>
        <v>0</v>
      </c>
      <c r="C24" s="128">
        <f>SUMIFS(PL!E:E,PL!$A:$A,价值评估!$A24)</f>
        <v>0</v>
      </c>
      <c r="D24" s="128">
        <f>SUMIFS(PL!D:D,PL!$A:$A,价值评估!$A24)</f>
        <v>0</v>
      </c>
      <c r="E24" s="128">
        <f>SUMIFS(PL!C:C,PL!$A:$A,价值评估!$A24)</f>
        <v>0</v>
      </c>
      <c r="F24" s="128">
        <f>SUMIFS(PL!B:B,PL!$A:$A,价值评估!$A24)</f>
        <v>0</v>
      </c>
      <c r="G24" s="128">
        <f t="shared" si="5"/>
        <v>0</v>
      </c>
      <c r="H24" s="128">
        <f t="shared" si="6"/>
        <v>0</v>
      </c>
      <c r="I24" s="128">
        <f t="shared" si="7"/>
        <v>0</v>
      </c>
      <c r="J24" s="128">
        <f t="shared" si="8"/>
        <v>0</v>
      </c>
      <c r="K24" s="128">
        <f t="shared" si="9"/>
        <v>0</v>
      </c>
      <c r="L24" s="128">
        <f t="shared" si="10"/>
        <v>0</v>
      </c>
    </row>
    <row r="25" spans="1:12" ht="28" x14ac:dyDescent="0.25">
      <c r="A25" s="7" t="str">
        <f>PL!A21</f>
        <v>营业税金及附加(万元)</v>
      </c>
      <c r="B25" s="128">
        <f>IFERROR(SUMIFS(PL!F:F,PL!$A:$A,价值评估!$A25),"")</f>
        <v>12113</v>
      </c>
      <c r="C25" s="128">
        <f>SUMIFS(PL!E:E,PL!$A:$A,价值评估!$A25)</f>
        <v>21956</v>
      </c>
      <c r="D25" s="128">
        <f>SUMIFS(PL!D:D,PL!$A:$A,价值评估!$A25)</f>
        <v>27922</v>
      </c>
      <c r="E25" s="128">
        <f>SUMIFS(PL!C:C,PL!$A:$A,价值评估!$A25)</f>
        <v>32636</v>
      </c>
      <c r="F25" s="128">
        <f>SUMIFS(PL!B:B,PL!$A:$A,价值评估!$A25)</f>
        <v>37091</v>
      </c>
      <c r="G25" s="128">
        <f t="shared" si="5"/>
        <v>53781.95</v>
      </c>
      <c r="H25" s="128">
        <f t="shared" si="6"/>
        <v>77983.827499999999</v>
      </c>
      <c r="I25" s="128">
        <f t="shared" si="7"/>
        <v>113076.549875</v>
      </c>
      <c r="J25" s="128">
        <f t="shared" si="8"/>
        <v>163960.99731874999</v>
      </c>
      <c r="K25" s="128">
        <f t="shared" si="9"/>
        <v>237743.44611218746</v>
      </c>
      <c r="L25" s="128">
        <f t="shared" si="10"/>
        <v>249630.61841779685</v>
      </c>
    </row>
    <row r="26" spans="1:12" s="15" customFormat="1" x14ac:dyDescent="0.25">
      <c r="A26" s="7" t="str">
        <f>PL!A22</f>
        <v>销售费用(万元)</v>
      </c>
      <c r="B26" s="128">
        <f>IFERROR(SUMIFS(PL!F:F,PL!$A:$A,价值评估!$A26),"")</f>
        <v>193928</v>
      </c>
      <c r="C26" s="128">
        <f>SUMIFS(PL!E:E,PL!$A:$A,价值评估!$A26)</f>
        <v>235907</v>
      </c>
      <c r="D26" s="128">
        <f>SUMIFS(PL!D:D,PL!$A:$A,价值评估!$A26)</f>
        <v>383226</v>
      </c>
      <c r="E26" s="128">
        <f>SUMIFS(PL!C:C,PL!$A:$A,价值评估!$A26)</f>
        <v>444663</v>
      </c>
      <c r="F26" s="128">
        <f>SUMIFS(PL!B:B,PL!$A:$A,价值评估!$A26)</f>
        <v>548759</v>
      </c>
      <c r="G26" s="128">
        <f t="shared" si="5"/>
        <v>795700.54999999993</v>
      </c>
      <c r="H26" s="128">
        <f t="shared" si="6"/>
        <v>1153765.7974999999</v>
      </c>
      <c r="I26" s="128">
        <f t="shared" si="7"/>
        <v>1672960.4063749998</v>
      </c>
      <c r="J26" s="128">
        <f t="shared" si="8"/>
        <v>2425792.5892437496</v>
      </c>
      <c r="K26" s="128">
        <f t="shared" si="9"/>
        <v>3517399.254403437</v>
      </c>
      <c r="L26" s="128">
        <f t="shared" si="10"/>
        <v>3693269.217123609</v>
      </c>
    </row>
    <row r="27" spans="1:12" x14ac:dyDescent="0.25">
      <c r="A27" s="7" t="str">
        <f>PL!A23</f>
        <v>管理费用(万元)</v>
      </c>
      <c r="B27" s="128">
        <f>IFERROR(SUMIFS(PL!F:F,PL!$A:$A,价值评估!$A27),"")</f>
        <v>200277</v>
      </c>
      <c r="C27" s="128">
        <f>SUMIFS(PL!E:E,PL!$A:$A,价值评估!$A27)</f>
        <v>212081</v>
      </c>
      <c r="D27" s="128">
        <f>SUMIFS(PL!D:D,PL!$A:$A,价值评估!$A27)</f>
        <v>253314</v>
      </c>
      <c r="E27" s="128">
        <f>SUMIFS(PL!C:C,PL!$A:$A,价值评估!$A27)</f>
        <v>204590</v>
      </c>
      <c r="F27" s="128">
        <f>SUMIFS(PL!B:B,PL!$A:$A,价值评估!$A27)</f>
        <v>205166</v>
      </c>
      <c r="G27" s="128">
        <f t="shared" si="5"/>
        <v>297490.7</v>
      </c>
      <c r="H27" s="128">
        <f t="shared" si="6"/>
        <v>431361.51500000001</v>
      </c>
      <c r="I27" s="128">
        <f t="shared" si="7"/>
        <v>625474.19675</v>
      </c>
      <c r="J27" s="128">
        <f t="shared" si="8"/>
        <v>906937.58528749994</v>
      </c>
      <c r="K27" s="128">
        <f t="shared" si="9"/>
        <v>1315059.4986668748</v>
      </c>
      <c r="L27" s="128">
        <f t="shared" si="10"/>
        <v>1380812.4736002185</v>
      </c>
    </row>
    <row r="28" spans="1:12" x14ac:dyDescent="0.25">
      <c r="A28" s="7" t="str">
        <f>PL!A24</f>
        <v>财务费用(万元)</v>
      </c>
      <c r="B28" s="128">
        <f>IFERROR(SUMIFS(PL!F:F,PL!$A:$A,价值评估!$A28),"")</f>
        <v>132122</v>
      </c>
      <c r="C28" s="128">
        <f>SUMIFS(PL!E:E,PL!$A:$A,价值评估!$A28)</f>
        <v>87539</v>
      </c>
      <c r="D28" s="128">
        <f>SUMIFS(PL!D:D,PL!$A:$A,价值评估!$A28)</f>
        <v>131903</v>
      </c>
      <c r="E28" s="128">
        <f>SUMIFS(PL!C:C,PL!$A:$A,价值评估!$A28)</f>
        <v>13565</v>
      </c>
      <c r="F28" s="128">
        <f>SUMIFS(PL!B:B,PL!$A:$A,价值评估!$A28)</f>
        <v>-4639</v>
      </c>
      <c r="G28" s="128">
        <f t="shared" si="5"/>
        <v>-6726.55</v>
      </c>
      <c r="H28" s="128">
        <f t="shared" si="6"/>
        <v>-9753.4974999999995</v>
      </c>
      <c r="I28" s="128">
        <f t="shared" si="7"/>
        <v>-14142.571375</v>
      </c>
      <c r="J28" s="128">
        <f t="shared" si="8"/>
        <v>-20506.728493749997</v>
      </c>
      <c r="K28" s="128">
        <f t="shared" si="9"/>
        <v>-29734.756315937495</v>
      </c>
      <c r="L28" s="128">
        <f t="shared" si="10"/>
        <v>-31221.494131734373</v>
      </c>
    </row>
    <row r="29" spans="1:12" x14ac:dyDescent="0.25">
      <c r="A29" s="7" t="str">
        <f>PL!A25</f>
        <v>资产减值损失(万元)</v>
      </c>
      <c r="B29" s="128">
        <f>IFERROR(SUMIFS(PL!F:F,PL!$A:$A,价值评估!$A29),"")</f>
        <v>49056</v>
      </c>
      <c r="C29" s="128">
        <f>SUMIFS(PL!E:E,PL!$A:$A,价值评估!$A29)</f>
        <v>94842</v>
      </c>
      <c r="D29" s="128">
        <f>SUMIFS(PL!D:D,PL!$A:$A,价值评估!$A29)</f>
        <v>118902</v>
      </c>
      <c r="E29" s="128">
        <f>SUMIFS(PL!C:C,PL!$A:$A,价值评估!$A29)</f>
        <v>109538</v>
      </c>
      <c r="F29" s="128">
        <f>SUMIFS(PL!B:B,PL!$A:$A,价值评估!$A29)</f>
        <v>0</v>
      </c>
      <c r="G29" s="128">
        <f t="shared" si="5"/>
        <v>0</v>
      </c>
      <c r="H29" s="128">
        <f t="shared" si="6"/>
        <v>0</v>
      </c>
      <c r="I29" s="128">
        <f t="shared" si="7"/>
        <v>0</v>
      </c>
      <c r="J29" s="128">
        <f t="shared" si="8"/>
        <v>0</v>
      </c>
      <c r="K29" s="128">
        <f t="shared" si="9"/>
        <v>0</v>
      </c>
      <c r="L29" s="128">
        <f t="shared" si="10"/>
        <v>0</v>
      </c>
    </row>
    <row r="30" spans="1:12" ht="28" x14ac:dyDescent="0.25">
      <c r="A30" s="7" t="str">
        <f>PL!A26</f>
        <v>公允价值变动收益(万元)</v>
      </c>
      <c r="B30" s="128">
        <f>IFERROR(SUMIFS(PL!F:F,PL!$A:$A,价值评估!$A30),"")</f>
        <v>28236</v>
      </c>
      <c r="C30" s="128">
        <f>SUMIFS(PL!E:E,PL!$A:$A,价值评估!$A30)</f>
        <v>-56337</v>
      </c>
      <c r="D30" s="128">
        <f>SUMIFS(PL!D:D,PL!$A:$A,价值评估!$A30)</f>
        <v>40268</v>
      </c>
      <c r="E30" s="128">
        <f>SUMIFS(PL!C:C,PL!$A:$A,价值评估!$A30)</f>
        <v>-36168</v>
      </c>
      <c r="F30" s="128">
        <f>SUMIFS(PL!B:B,PL!$A:$A,价值评估!$A30)</f>
        <v>28965</v>
      </c>
      <c r="G30" s="128">
        <f t="shared" si="5"/>
        <v>41999.25</v>
      </c>
      <c r="H30" s="128">
        <f t="shared" si="6"/>
        <v>60898.912499999999</v>
      </c>
      <c r="I30" s="128">
        <f t="shared" si="7"/>
        <v>88303.423125000001</v>
      </c>
      <c r="J30" s="128">
        <f t="shared" si="8"/>
        <v>128039.96353125</v>
      </c>
      <c r="K30" s="128">
        <f t="shared" si="9"/>
        <v>185657.94712031248</v>
      </c>
      <c r="L30" s="128">
        <f t="shared" si="10"/>
        <v>194940.84447632811</v>
      </c>
    </row>
    <row r="31" spans="1:12" x14ac:dyDescent="0.25">
      <c r="A31" s="7" t="str">
        <f>PL!A27</f>
        <v>投资收益(万元)</v>
      </c>
      <c r="B31" s="128">
        <f>IFERROR(SUMIFS(PL!F:F,PL!$A:$A,价值评估!$A31),"")</f>
        <v>-2697</v>
      </c>
      <c r="C31" s="128">
        <f>SUMIFS(PL!E:E,PL!$A:$A,价值评估!$A31)</f>
        <v>218147</v>
      </c>
      <c r="D31" s="128">
        <f>SUMIFS(PL!D:D,PL!$A:$A,价值评估!$A31)</f>
        <v>-1929</v>
      </c>
      <c r="E31" s="128">
        <f>SUMIFS(PL!C:C,PL!$A:$A,价值评估!$A31)</f>
        <v>63746</v>
      </c>
      <c r="F31" s="128">
        <f>SUMIFS(PL!B:B,PL!$A:$A,价值评估!$A31)</f>
        <v>38285</v>
      </c>
      <c r="G31" s="128">
        <f t="shared" si="5"/>
        <v>55513.25</v>
      </c>
      <c r="H31" s="128">
        <f t="shared" si="6"/>
        <v>80494.212499999994</v>
      </c>
      <c r="I31" s="128">
        <f t="shared" si="7"/>
        <v>116716.60812499998</v>
      </c>
      <c r="J31" s="128">
        <f t="shared" si="8"/>
        <v>169239.08178124996</v>
      </c>
      <c r="K31" s="128">
        <f t="shared" si="9"/>
        <v>245396.66858281245</v>
      </c>
      <c r="L31" s="128">
        <f t="shared" si="10"/>
        <v>257666.50201195307</v>
      </c>
    </row>
    <row r="32" spans="1:12" ht="28" x14ac:dyDescent="0.25">
      <c r="A32" s="7" t="str">
        <f>PL!A28</f>
        <v>对联营企业和合营企业的投资收益(万元)</v>
      </c>
      <c r="B32" s="128">
        <f>IFERROR(SUMIFS(PL!F:F,PL!$A:$A,价值评估!$A32),"")</f>
        <v>6248</v>
      </c>
      <c r="C32" s="128">
        <f>SUMIFS(PL!E:E,PL!$A:$A,价值评估!$A32)</f>
        <v>5347</v>
      </c>
      <c r="D32" s="128">
        <f>SUMIFS(PL!D:D,PL!$A:$A,价值评估!$A32)</f>
        <v>10224</v>
      </c>
      <c r="E32" s="128">
        <f>SUMIFS(PL!C:C,PL!$A:$A,价值评估!$A32)</f>
        <v>12827</v>
      </c>
      <c r="F32" s="128">
        <f>SUMIFS(PL!B:B,PL!$A:$A,价值评估!$A32)</f>
        <v>13953</v>
      </c>
      <c r="G32" s="128">
        <f t="shared" si="5"/>
        <v>20231.849999999999</v>
      </c>
      <c r="H32" s="128">
        <f t="shared" si="6"/>
        <v>29336.182499999995</v>
      </c>
      <c r="I32" s="128">
        <f t="shared" si="7"/>
        <v>42537.464624999993</v>
      </c>
      <c r="J32" s="128">
        <f t="shared" si="8"/>
        <v>61679.32370624999</v>
      </c>
      <c r="K32" s="128">
        <f t="shared" si="9"/>
        <v>89435.019374062482</v>
      </c>
      <c r="L32" s="128">
        <f t="shared" si="10"/>
        <v>93906.770342765609</v>
      </c>
    </row>
    <row r="33" spans="1:12" x14ac:dyDescent="0.25">
      <c r="A33" s="7" t="str">
        <f>PL!A29</f>
        <v>汇兑收益(万元)</v>
      </c>
      <c r="B33" s="128">
        <f>IFERROR(SUMIFS(PL!F:F,PL!$A:$A,价值评估!$A33),"")</f>
        <v>0</v>
      </c>
      <c r="C33" s="128">
        <f>SUMIFS(PL!E:E,PL!$A:$A,价值评估!$A33)</f>
        <v>0</v>
      </c>
      <c r="D33" s="128">
        <f>SUMIFS(PL!D:D,PL!$A:$A,价值评估!$A33)</f>
        <v>0</v>
      </c>
      <c r="E33" s="128">
        <f>SUMIFS(PL!C:C,PL!$A:$A,价值评估!$A33)</f>
        <v>0</v>
      </c>
      <c r="F33" s="128">
        <f>SUMIFS(PL!B:B,PL!$A:$A,价值评估!$A33)</f>
        <v>0</v>
      </c>
      <c r="G33" s="128">
        <f t="shared" si="5"/>
        <v>0</v>
      </c>
      <c r="H33" s="128">
        <f t="shared" si="6"/>
        <v>0</v>
      </c>
      <c r="I33" s="128">
        <f t="shared" si="7"/>
        <v>0</v>
      </c>
      <c r="J33" s="128">
        <f t="shared" si="8"/>
        <v>0</v>
      </c>
      <c r="K33" s="128">
        <f t="shared" si="9"/>
        <v>0</v>
      </c>
      <c r="L33" s="128">
        <f t="shared" si="10"/>
        <v>0</v>
      </c>
    </row>
    <row r="34" spans="1:12" x14ac:dyDescent="0.25">
      <c r="A34" s="7" t="str">
        <f>PL!A30</f>
        <v>期货损益(万元)</v>
      </c>
      <c r="B34" s="128">
        <f>IFERROR(SUMIFS(PL!F:F,PL!$A:$A,价值评估!$A34),"")</f>
        <v>0</v>
      </c>
      <c r="C34" s="128">
        <f>SUMIFS(PL!E:E,PL!$A:$A,价值评估!$A34)</f>
        <v>0</v>
      </c>
      <c r="D34" s="128">
        <f>SUMIFS(PL!D:D,PL!$A:$A,价值评估!$A34)</f>
        <v>0</v>
      </c>
      <c r="E34" s="128">
        <f>SUMIFS(PL!C:C,PL!$A:$A,价值评估!$A34)</f>
        <v>0</v>
      </c>
      <c r="F34" s="128">
        <f>SUMIFS(PL!B:B,PL!$A:$A,价值评估!$A34)</f>
        <v>0</v>
      </c>
      <c r="G34" s="128">
        <f t="shared" si="5"/>
        <v>0</v>
      </c>
      <c r="H34" s="128">
        <f t="shared" si="6"/>
        <v>0</v>
      </c>
      <c r="I34" s="128">
        <f t="shared" si="7"/>
        <v>0</v>
      </c>
      <c r="J34" s="128">
        <f t="shared" si="8"/>
        <v>0</v>
      </c>
      <c r="K34" s="128">
        <f t="shared" si="9"/>
        <v>0</v>
      </c>
      <c r="L34" s="128">
        <f t="shared" si="10"/>
        <v>0</v>
      </c>
    </row>
    <row r="35" spans="1:12" x14ac:dyDescent="0.25">
      <c r="A35" s="7" t="str">
        <f>PL!A31</f>
        <v>托管收益(万元)</v>
      </c>
      <c r="B35" s="128">
        <f>IFERROR(SUMIFS(PL!F:F,PL!$A:$A,价值评估!$A35),"")</f>
        <v>0</v>
      </c>
      <c r="C35" s="128">
        <f>SUMIFS(PL!E:E,PL!$A:$A,价值评估!$A35)</f>
        <v>0</v>
      </c>
      <c r="D35" s="128">
        <f>SUMIFS(PL!D:D,PL!$A:$A,价值评估!$A35)</f>
        <v>0</v>
      </c>
      <c r="E35" s="128">
        <f>SUMIFS(PL!C:C,PL!$A:$A,价值评估!$A35)</f>
        <v>0</v>
      </c>
      <c r="F35" s="128">
        <f>SUMIFS(PL!B:B,PL!$A:$A,价值评估!$A35)</f>
        <v>0</v>
      </c>
      <c r="G35" s="128">
        <f t="shared" si="5"/>
        <v>0</v>
      </c>
      <c r="H35" s="128">
        <f t="shared" si="6"/>
        <v>0</v>
      </c>
      <c r="I35" s="128">
        <f t="shared" si="7"/>
        <v>0</v>
      </c>
      <c r="J35" s="128">
        <f t="shared" si="8"/>
        <v>0</v>
      </c>
      <c r="K35" s="128">
        <f t="shared" si="9"/>
        <v>0</v>
      </c>
      <c r="L35" s="128">
        <f t="shared" si="10"/>
        <v>0</v>
      </c>
    </row>
    <row r="36" spans="1:12" x14ac:dyDescent="0.25">
      <c r="A36" s="7" t="str">
        <f>PL!A32</f>
        <v>补贴收入(万元)</v>
      </c>
      <c r="B36" s="128">
        <f>IFERROR(SUMIFS(PL!F:F,PL!$A:$A,价值评估!$A36),"")</f>
        <v>0</v>
      </c>
      <c r="C36" s="128">
        <f>SUMIFS(PL!E:E,PL!$A:$A,价值评估!$A36)</f>
        <v>0</v>
      </c>
      <c r="D36" s="128">
        <f>SUMIFS(PL!D:D,PL!$A:$A,价值评估!$A36)</f>
        <v>0</v>
      </c>
      <c r="E36" s="128">
        <f>SUMIFS(PL!C:C,PL!$A:$A,价值评估!$A36)</f>
        <v>0</v>
      </c>
      <c r="F36" s="128">
        <f>SUMIFS(PL!B:B,PL!$A:$A,价值评估!$A36)</f>
        <v>0</v>
      </c>
      <c r="G36" s="128">
        <f t="shared" si="5"/>
        <v>0</v>
      </c>
      <c r="H36" s="128">
        <f t="shared" si="6"/>
        <v>0</v>
      </c>
      <c r="I36" s="128">
        <f t="shared" si="7"/>
        <v>0</v>
      </c>
      <c r="J36" s="128">
        <f t="shared" si="8"/>
        <v>0</v>
      </c>
      <c r="K36" s="128">
        <f t="shared" si="9"/>
        <v>0</v>
      </c>
      <c r="L36" s="128">
        <f t="shared" si="10"/>
        <v>0</v>
      </c>
    </row>
    <row r="37" spans="1:12" x14ac:dyDescent="0.25">
      <c r="A37" s="7" t="str">
        <f>PL!A33</f>
        <v>其他业务利润(万元)</v>
      </c>
      <c r="B37" s="128">
        <f>IFERROR(SUMIFS(PL!F:F,PL!$A:$A,价值评估!$A37),"")</f>
        <v>0</v>
      </c>
      <c r="C37" s="128">
        <f>SUMIFS(PL!E:E,PL!$A:$A,价值评估!$A37)</f>
        <v>0</v>
      </c>
      <c r="D37" s="128">
        <f>SUMIFS(PL!D:D,PL!$A:$A,价值评估!$A37)</f>
        <v>0</v>
      </c>
      <c r="E37" s="128">
        <f>SUMIFS(PL!C:C,PL!$A:$A,价值评估!$A37)</f>
        <v>0</v>
      </c>
      <c r="F37" s="128">
        <f>SUMIFS(PL!B:B,PL!$A:$A,价值评估!$A37)</f>
        <v>0</v>
      </c>
      <c r="G37" s="128">
        <f t="shared" si="5"/>
        <v>0</v>
      </c>
      <c r="H37" s="128">
        <f t="shared" si="6"/>
        <v>0</v>
      </c>
      <c r="I37" s="128">
        <f t="shared" si="7"/>
        <v>0</v>
      </c>
      <c r="J37" s="128">
        <f t="shared" si="8"/>
        <v>0</v>
      </c>
      <c r="K37" s="128">
        <f t="shared" si="9"/>
        <v>0</v>
      </c>
      <c r="L37" s="128">
        <f t="shared" si="10"/>
        <v>0</v>
      </c>
    </row>
    <row r="38" spans="1:12" x14ac:dyDescent="0.25">
      <c r="A38" s="7" t="str">
        <f>PL!A34</f>
        <v>营业利润(万元)</v>
      </c>
      <c r="B38" s="128">
        <f>IFERROR(SUMIFS(PL!F:F,PL!$A:$A,价值评估!$A38),"")</f>
        <v>17054</v>
      </c>
      <c r="C38" s="128">
        <f>SUMIFS(PL!E:E,PL!$A:$A,价值评估!$A38)</f>
        <v>119552</v>
      </c>
      <c r="D38" s="128">
        <f>SUMIFS(PL!D:D,PL!$A:$A,价值评估!$A38)</f>
        <v>287603</v>
      </c>
      <c r="E38" s="128">
        <f>SUMIFS(PL!C:C,PL!$A:$A,价值评估!$A38)</f>
        <v>787844</v>
      </c>
      <c r="F38" s="128">
        <f>SUMIFS(PL!B:B,PL!$A:$A,价值评估!$A38)</f>
        <v>1377543</v>
      </c>
      <c r="G38" s="128">
        <f t="shared" si="5"/>
        <v>1997437.3499999999</v>
      </c>
      <c r="H38" s="128">
        <f t="shared" si="6"/>
        <v>2896284.1574999997</v>
      </c>
      <c r="I38" s="128">
        <f t="shared" si="7"/>
        <v>4199612.0283749998</v>
      </c>
      <c r="J38" s="128">
        <f t="shared" si="8"/>
        <v>6089437.4411437493</v>
      </c>
      <c r="K38" s="128">
        <f t="shared" si="9"/>
        <v>8829684.2896584366</v>
      </c>
      <c r="L38" s="128">
        <f t="shared" si="10"/>
        <v>9271168.5041413587</v>
      </c>
    </row>
    <row r="39" spans="1:12" x14ac:dyDescent="0.25">
      <c r="A39" s="7" t="str">
        <f>PL!A35</f>
        <v>营业外收入(万元)</v>
      </c>
      <c r="B39" s="128">
        <f>IFERROR(SUMIFS(PL!F:F,PL!$A:$A,价值评估!$A39),"")</f>
        <v>37011</v>
      </c>
      <c r="C39" s="128">
        <f>SUMIFS(PL!E:E,PL!$A:$A,价值评估!$A39)</f>
        <v>43761</v>
      </c>
      <c r="D39" s="128">
        <f>SUMIFS(PL!D:D,PL!$A:$A,价值评估!$A39)</f>
        <v>9837</v>
      </c>
      <c r="E39" s="128">
        <f>SUMIFS(PL!C:C,PL!$A:$A,价值评估!$A39)</f>
        <v>12318</v>
      </c>
      <c r="F39" s="128">
        <f>SUMIFS(PL!B:B,PL!$A:$A,价值评估!$A39)</f>
        <v>18269</v>
      </c>
      <c r="G39" s="128">
        <f t="shared" si="5"/>
        <v>26490.05</v>
      </c>
      <c r="H39" s="128">
        <f t="shared" si="6"/>
        <v>38410.572499999995</v>
      </c>
      <c r="I39" s="128">
        <f t="shared" si="7"/>
        <v>55695.330124999993</v>
      </c>
      <c r="J39" s="128">
        <f t="shared" si="8"/>
        <v>80758.228681249981</v>
      </c>
      <c r="K39" s="128">
        <f t="shared" si="9"/>
        <v>117099.43158781246</v>
      </c>
      <c r="L39" s="128">
        <f t="shared" si="10"/>
        <v>122954.40316720308</v>
      </c>
    </row>
    <row r="40" spans="1:12" x14ac:dyDescent="0.25">
      <c r="A40" s="7" t="str">
        <f>PL!A36</f>
        <v>营业外支出(万元)</v>
      </c>
      <c r="B40" s="128">
        <f>IFERROR(SUMIFS(PL!F:F,PL!$A:$A,价值评估!$A40),"")</f>
        <v>42076</v>
      </c>
      <c r="C40" s="128">
        <f>SUMIFS(PL!E:E,PL!$A:$A,价值评估!$A40)</f>
        <v>157016</v>
      </c>
      <c r="D40" s="128">
        <f>SUMIFS(PL!D:D,PL!$A:$A,价值评估!$A40)</f>
        <v>10556</v>
      </c>
      <c r="E40" s="128">
        <f>SUMIFS(PL!C:C,PL!$A:$A,价值评估!$A40)</f>
        <v>45138</v>
      </c>
      <c r="F40" s="128">
        <f>SUMIFS(PL!B:B,PL!$A:$A,价值评估!$A40)</f>
        <v>50380</v>
      </c>
      <c r="G40" s="128">
        <f t="shared" si="5"/>
        <v>73051</v>
      </c>
      <c r="H40" s="128">
        <f t="shared" si="6"/>
        <v>105923.95</v>
      </c>
      <c r="I40" s="128">
        <f t="shared" si="7"/>
        <v>153589.72749999998</v>
      </c>
      <c r="J40" s="128">
        <f t="shared" si="8"/>
        <v>222705.10487499996</v>
      </c>
      <c r="K40" s="128">
        <f t="shared" si="9"/>
        <v>322922.40206874994</v>
      </c>
      <c r="L40" s="128">
        <f t="shared" si="10"/>
        <v>339068.52217218745</v>
      </c>
    </row>
    <row r="41" spans="1:12" ht="28" x14ac:dyDescent="0.25">
      <c r="A41" s="7" t="str">
        <f>PL!A37</f>
        <v>非流动资产处置损失(万元)</v>
      </c>
      <c r="B41" s="128">
        <f>IFERROR(SUMIFS(PL!F:F,PL!$A:$A,价值评估!$A41),"")</f>
        <v>22190</v>
      </c>
      <c r="C41" s="128">
        <f>SUMIFS(PL!E:E,PL!$A:$A,价值评估!$A41)</f>
        <v>7396</v>
      </c>
      <c r="D41" s="128">
        <f>SUMIFS(PL!D:D,PL!$A:$A,价值评估!$A41)</f>
        <v>0</v>
      </c>
      <c r="E41" s="128">
        <f>SUMIFS(PL!C:C,PL!$A:$A,价值评估!$A41)</f>
        <v>0</v>
      </c>
      <c r="F41" s="128">
        <f>SUMIFS(PL!B:B,PL!$A:$A,价值评估!$A41)</f>
        <v>0</v>
      </c>
      <c r="G41" s="128">
        <f t="shared" si="5"/>
        <v>0</v>
      </c>
      <c r="H41" s="128">
        <f t="shared" si="6"/>
        <v>0</v>
      </c>
      <c r="I41" s="128">
        <f t="shared" si="7"/>
        <v>0</v>
      </c>
      <c r="J41" s="128">
        <f t="shared" si="8"/>
        <v>0</v>
      </c>
      <c r="K41" s="128">
        <f t="shared" si="9"/>
        <v>0</v>
      </c>
      <c r="L41" s="128">
        <f t="shared" si="10"/>
        <v>0</v>
      </c>
    </row>
    <row r="42" spans="1:12" x14ac:dyDescent="0.25">
      <c r="A42" s="7" t="str">
        <f>PL!A38</f>
        <v>利润总额(万元)</v>
      </c>
      <c r="B42" s="128">
        <f>IFERROR(SUMIFS(PL!F:F,PL!$A:$A,价值评估!$A42),"")</f>
        <v>11989</v>
      </c>
      <c r="C42" s="128">
        <f>SUMIFS(PL!E:E,PL!$A:$A,价值评估!$A42)</f>
        <v>6297</v>
      </c>
      <c r="D42" s="128">
        <f>SUMIFS(PL!D:D,PL!$A:$A,价值评估!$A42)</f>
        <v>286885</v>
      </c>
      <c r="E42" s="128">
        <f>SUMIFS(PL!C:C,PL!$A:$A,价值评估!$A42)</f>
        <v>755024</v>
      </c>
      <c r="F42" s="128">
        <f>SUMIFS(PL!B:B,PL!$A:$A,价值评估!$A42)</f>
        <v>1345432</v>
      </c>
      <c r="G42" s="128">
        <f t="shared" si="5"/>
        <v>1950876.4</v>
      </c>
      <c r="H42" s="128">
        <f t="shared" si="6"/>
        <v>2828770.78</v>
      </c>
      <c r="I42" s="128">
        <f t="shared" si="7"/>
        <v>4101717.6309999996</v>
      </c>
      <c r="J42" s="128">
        <f t="shared" si="8"/>
        <v>5947490.5649499996</v>
      </c>
      <c r="K42" s="128">
        <f t="shared" si="9"/>
        <v>8623861.319177499</v>
      </c>
      <c r="L42" s="128">
        <f t="shared" si="10"/>
        <v>9055054.3851363752</v>
      </c>
    </row>
    <row r="43" spans="1:12" x14ac:dyDescent="0.25">
      <c r="A43" s="7" t="str">
        <f>PL!A39</f>
        <v>所得税费用(万元)</v>
      </c>
      <c r="B43" s="128">
        <f>IFERROR(SUMIFS(PL!F:F,PL!$A:$A,价值评估!$A43),"")</f>
        <v>-1826</v>
      </c>
      <c r="C43" s="128">
        <f>SUMIFS(PL!E:E,PL!$A:$A,价值评估!$A43)</f>
        <v>-10083</v>
      </c>
      <c r="D43" s="128">
        <f>SUMIFS(PL!D:D,PL!$A:$A,价值评估!$A43)</f>
        <v>64176</v>
      </c>
      <c r="E43" s="128">
        <f>SUMIFS(PL!C:C,PL!$A:$A,价值评估!$A43)</f>
        <v>124676</v>
      </c>
      <c r="F43" s="128">
        <f>SUMIFS(PL!B:B,PL!$A:$A,价值评估!$A43)</f>
        <v>195987</v>
      </c>
      <c r="G43" s="128">
        <f t="shared" si="5"/>
        <v>284181.14999999997</v>
      </c>
      <c r="H43" s="128">
        <f t="shared" si="6"/>
        <v>412062.66749999992</v>
      </c>
      <c r="I43" s="128">
        <f t="shared" si="7"/>
        <v>597490.86787499988</v>
      </c>
      <c r="J43" s="128">
        <f t="shared" si="8"/>
        <v>866361.75841874979</v>
      </c>
      <c r="K43" s="128">
        <f t="shared" si="9"/>
        <v>1256224.5497071871</v>
      </c>
      <c r="L43" s="128">
        <f t="shared" si="10"/>
        <v>1319035.7771925465</v>
      </c>
    </row>
    <row r="44" spans="1:12" ht="28" x14ac:dyDescent="0.25">
      <c r="A44" s="7" t="str">
        <f>PL!A40</f>
        <v>未确认投资损失(万元)</v>
      </c>
      <c r="B44" s="128">
        <f>IFERROR(SUMIFS(PL!F:F,PL!$A:$A,价值评估!$A44),"")</f>
        <v>0</v>
      </c>
      <c r="C44" s="128">
        <f>SUMIFS(PL!E:E,PL!$A:$A,价值评估!$A44)</f>
        <v>0</v>
      </c>
      <c r="D44" s="128">
        <f>SUMIFS(PL!D:D,PL!$A:$A,价值评估!$A44)</f>
        <v>0</v>
      </c>
      <c r="E44" s="128">
        <f>SUMIFS(PL!C:C,PL!$A:$A,价值评估!$A44)</f>
        <v>0</v>
      </c>
      <c r="F44" s="128">
        <f>SUMIFS(PL!B:B,PL!$A:$A,价值评估!$A44)</f>
        <v>0</v>
      </c>
      <c r="G44" s="128">
        <f t="shared" si="5"/>
        <v>0</v>
      </c>
      <c r="H44" s="128">
        <f t="shared" si="6"/>
        <v>0</v>
      </c>
      <c r="I44" s="128">
        <f t="shared" si="7"/>
        <v>0</v>
      </c>
      <c r="J44" s="128">
        <f t="shared" si="8"/>
        <v>0</v>
      </c>
      <c r="K44" s="128">
        <f t="shared" si="9"/>
        <v>0</v>
      </c>
      <c r="L44" s="128">
        <f t="shared" si="10"/>
        <v>0</v>
      </c>
    </row>
    <row r="45" spans="1:12" x14ac:dyDescent="0.25">
      <c r="A45" s="148" t="str">
        <f>PL!A41</f>
        <v>净利润(万元)</v>
      </c>
      <c r="B45" s="149">
        <f>IFERROR(SUMIFS(PL!F:F,PL!$A:$A,价值评估!$A45),"")</f>
        <v>13815</v>
      </c>
      <c r="C45" s="149">
        <f>SUMIFS(PL!E:E,PL!$A:$A,价值评估!$A45)</f>
        <v>16380</v>
      </c>
      <c r="D45" s="149">
        <f>SUMIFS(PL!D:D,PL!$A:$A,价值评估!$A45)</f>
        <v>222709</v>
      </c>
      <c r="E45" s="149">
        <f>SUMIFS(PL!C:C,PL!$A:$A,价值评估!$A45)</f>
        <v>630349</v>
      </c>
      <c r="F45" s="149">
        <f>SUMIFS(PL!B:B,PL!$A:$A,价值评估!$A45)</f>
        <v>1149445</v>
      </c>
      <c r="G45" s="149">
        <f t="shared" si="5"/>
        <v>1666695.25</v>
      </c>
      <c r="H45" s="149">
        <f t="shared" si="6"/>
        <v>2416708.1124999998</v>
      </c>
      <c r="I45" s="149">
        <f t="shared" si="7"/>
        <v>3504226.7631249996</v>
      </c>
      <c r="J45" s="149">
        <f t="shared" si="8"/>
        <v>5081128.8065312495</v>
      </c>
      <c r="K45" s="149">
        <f t="shared" si="9"/>
        <v>7367636.7694703117</v>
      </c>
      <c r="L45" s="149">
        <f t="shared" si="10"/>
        <v>7736018.6079438273</v>
      </c>
    </row>
    <row r="46" spans="1:12" ht="28" x14ac:dyDescent="0.25">
      <c r="A46" s="7" t="str">
        <f>PL!A42</f>
        <v>归属于母公司所有者的净利润(万元)</v>
      </c>
      <c r="B46" s="128">
        <f>IFERROR(SUMIFS(PL!F:F,PL!$A:$A,价值评估!$A46),"")</f>
        <v>13859</v>
      </c>
      <c r="C46" s="128">
        <f>SUMIFS(PL!E:E,PL!$A:$A,价值评估!$A46)</f>
        <v>20346</v>
      </c>
      <c r="D46" s="128">
        <f>SUMIFS(PL!D:D,PL!$A:$A,价值评估!$A46)</f>
        <v>209225</v>
      </c>
      <c r="E46" s="128">
        <f>SUMIFS(PL!C:C,PL!$A:$A,价值评估!$A46)</f>
        <v>611629</v>
      </c>
      <c r="F46" s="128">
        <f>SUMIFS(PL!B:B,PL!$A:$A,价值评估!$A46)</f>
        <v>1120666</v>
      </c>
      <c r="G46" s="128">
        <f t="shared" ref="G46:G87" si="11">F46*(1+$F$125)</f>
        <v>1624965.7</v>
      </c>
      <c r="H46" s="128">
        <f t="shared" ref="H46:L53" si="12">G46*(1+$F$125)</f>
        <v>2356200.2649999997</v>
      </c>
      <c r="I46" s="128">
        <f t="shared" si="12"/>
        <v>3416490.3842499992</v>
      </c>
      <c r="J46" s="128">
        <f t="shared" si="12"/>
        <v>4953911.0571624991</v>
      </c>
      <c r="K46" s="128">
        <f t="shared" si="12"/>
        <v>7183171.0328856232</v>
      </c>
      <c r="L46" s="128">
        <f t="shared" si="12"/>
        <v>10415597.997684153</v>
      </c>
    </row>
    <row r="47" spans="1:12" ht="28" x14ac:dyDescent="0.25">
      <c r="A47" s="7" t="str">
        <f>PL!A43</f>
        <v>被合并方在合并前实现净利润(万元)</v>
      </c>
      <c r="B47" s="128">
        <f>IFERROR(SUMIFS(PL!F:F,PL!$A:$A,价值评估!$A47),"")</f>
        <v>0</v>
      </c>
      <c r="C47" s="128">
        <f>SUMIFS(PL!E:E,PL!$A:$A,价值评估!$A47)</f>
        <v>0</v>
      </c>
      <c r="D47" s="128">
        <f>SUMIFS(PL!D:D,PL!$A:$A,价值评估!$A47)</f>
        <v>0</v>
      </c>
      <c r="E47" s="128">
        <f>SUMIFS(PL!C:C,PL!$A:$A,价值评估!$A47)</f>
        <v>0</v>
      </c>
      <c r="F47" s="128">
        <f>SUMIFS(PL!B:B,PL!$A:$A,价值评估!$A47)</f>
        <v>0</v>
      </c>
      <c r="G47" s="128">
        <f t="shared" si="11"/>
        <v>0</v>
      </c>
      <c r="H47" s="128">
        <f t="shared" si="12"/>
        <v>0</v>
      </c>
      <c r="I47" s="128">
        <f t="shared" si="12"/>
        <v>0</v>
      </c>
      <c r="J47" s="128">
        <f t="shared" si="12"/>
        <v>0</v>
      </c>
      <c r="K47" s="128">
        <f t="shared" si="12"/>
        <v>0</v>
      </c>
      <c r="L47" s="128">
        <f t="shared" si="12"/>
        <v>0</v>
      </c>
    </row>
    <row r="48" spans="1:12" x14ac:dyDescent="0.25">
      <c r="A48" s="7" t="str">
        <f>PL!A44</f>
        <v>少数股东损益(万元)</v>
      </c>
      <c r="B48" s="128">
        <f>IFERROR(SUMIFS(PL!F:F,PL!$A:$A,价值评估!$A48),"")</f>
        <v>-44</v>
      </c>
      <c r="C48" s="128">
        <f>SUMIFS(PL!E:E,PL!$A:$A,价值评估!$A48)</f>
        <v>-3966</v>
      </c>
      <c r="D48" s="128">
        <f>SUMIFS(PL!D:D,PL!$A:$A,价值评估!$A48)</f>
        <v>13483</v>
      </c>
      <c r="E48" s="128">
        <f>SUMIFS(PL!C:C,PL!$A:$A,价值评估!$A48)</f>
        <v>18720</v>
      </c>
      <c r="F48" s="128">
        <f>SUMIFS(PL!B:B,PL!$A:$A,价值评估!$A48)</f>
        <v>28779</v>
      </c>
      <c r="G48" s="128">
        <f t="shared" si="11"/>
        <v>41729.549999999996</v>
      </c>
      <c r="H48" s="128">
        <f t="shared" si="12"/>
        <v>60507.847499999989</v>
      </c>
      <c r="I48" s="128">
        <f t="shared" si="12"/>
        <v>87736.37887499998</v>
      </c>
      <c r="J48" s="128">
        <f t="shared" si="12"/>
        <v>127217.74936874997</v>
      </c>
      <c r="K48" s="128">
        <f t="shared" si="12"/>
        <v>184465.73658468746</v>
      </c>
      <c r="L48" s="128">
        <f t="shared" si="12"/>
        <v>267475.31804779678</v>
      </c>
    </row>
    <row r="49" spans="1:12" x14ac:dyDescent="0.25">
      <c r="A49" s="7" t="str">
        <f>PL!A45</f>
        <v>每股权益</v>
      </c>
      <c r="B49" s="128">
        <f>IFERROR(SUMIFS(PL!F:F,PL!$A:$A,价值评估!$A49),"")</f>
        <v>0</v>
      </c>
      <c r="C49" s="128">
        <f>SUMIFS(PL!E:E,PL!$A:$A,价值评估!$A49)</f>
        <v>0</v>
      </c>
      <c r="D49" s="128">
        <f>SUMIFS(PL!D:D,PL!$A:$A,价值评估!$A49)</f>
        <v>0</v>
      </c>
      <c r="E49" s="128">
        <f>SUMIFS(PL!C:C,PL!$A:$A,价值评估!$A49)</f>
        <v>0</v>
      </c>
      <c r="F49" s="128">
        <f>SUMIFS(PL!B:B,PL!$A:$A,价值评估!$A49)</f>
        <v>0</v>
      </c>
      <c r="G49" s="128">
        <f t="shared" si="11"/>
        <v>0</v>
      </c>
      <c r="H49" s="128">
        <f t="shared" si="12"/>
        <v>0</v>
      </c>
      <c r="I49" s="128">
        <f t="shared" si="12"/>
        <v>0</v>
      </c>
      <c r="J49" s="128">
        <f t="shared" si="12"/>
        <v>0</v>
      </c>
      <c r="K49" s="128">
        <f t="shared" si="12"/>
        <v>0</v>
      </c>
      <c r="L49" s="128">
        <f t="shared" si="12"/>
        <v>0</v>
      </c>
    </row>
    <row r="50" spans="1:12" x14ac:dyDescent="0.25">
      <c r="A50" s="7" t="str">
        <f>PL!A46</f>
        <v>基本每股收益</v>
      </c>
      <c r="B50" s="128">
        <f>IFERROR(SUMIFS(PL!F:F,PL!$A:$A,价值评估!$A50),"")</f>
        <v>0.02</v>
      </c>
      <c r="C50" s="128">
        <f>SUMIFS(PL!E:E,PL!$A:$A,价值评估!$A50)</f>
        <v>0.03</v>
      </c>
      <c r="D50" s="128">
        <f>SUMIFS(PL!D:D,PL!$A:$A,价值评估!$A50)</f>
        <v>0.27</v>
      </c>
      <c r="E50" s="128">
        <f>SUMIFS(PL!C:C,PL!$A:$A,价值评估!$A50)</f>
        <v>0.79</v>
      </c>
      <c r="F50" s="128">
        <f>SUMIFS(PL!B:B,PL!$A:$A,价值评估!$A50)</f>
        <v>1.36</v>
      </c>
      <c r="G50" s="128">
        <f t="shared" si="11"/>
        <v>1.972</v>
      </c>
      <c r="H50" s="128">
        <f t="shared" si="12"/>
        <v>2.8593999999999999</v>
      </c>
      <c r="I50" s="128">
        <f t="shared" si="12"/>
        <v>4.1461299999999994</v>
      </c>
      <c r="J50" s="128">
        <f t="shared" si="12"/>
        <v>6.0118884999999986</v>
      </c>
      <c r="K50" s="128">
        <f t="shared" si="12"/>
        <v>8.7172383249999985</v>
      </c>
      <c r="L50" s="128">
        <f t="shared" si="12"/>
        <v>12.639995571249997</v>
      </c>
    </row>
    <row r="51" spans="1:12" x14ac:dyDescent="0.25">
      <c r="A51" s="7" t="str">
        <f>PL!A47</f>
        <v>稀释每股收益</v>
      </c>
      <c r="B51" s="128">
        <f>IFERROR(SUMIFS(PL!F:F,PL!$A:$A,价值评估!$A51),"")</f>
        <v>0.02</v>
      </c>
      <c r="C51" s="128">
        <f>SUMIFS(PL!E:E,PL!$A:$A,价值评估!$A51)</f>
        <v>0.03</v>
      </c>
      <c r="D51" s="128">
        <f>SUMIFS(PL!D:D,PL!$A:$A,价值评估!$A51)</f>
        <v>0.27</v>
      </c>
      <c r="E51" s="128">
        <f>SUMIFS(PL!C:C,PL!$A:$A,价值评估!$A51)</f>
        <v>0.75</v>
      </c>
      <c r="F51" s="128">
        <f>SUMIFS(PL!B:B,PL!$A:$A,价值评估!$A51)</f>
        <v>1.35</v>
      </c>
      <c r="G51" s="128">
        <f t="shared" si="11"/>
        <v>1.9575</v>
      </c>
      <c r="H51" s="128">
        <f t="shared" si="12"/>
        <v>2.8383750000000001</v>
      </c>
      <c r="I51" s="128">
        <f t="shared" si="12"/>
        <v>4.1156437500000003</v>
      </c>
      <c r="J51" s="128">
        <f t="shared" si="12"/>
        <v>5.9676834374999999</v>
      </c>
      <c r="K51" s="128">
        <f t="shared" si="12"/>
        <v>8.6531409843749998</v>
      </c>
      <c r="L51" s="128">
        <f t="shared" si="12"/>
        <v>12.547054427343749</v>
      </c>
    </row>
    <row r="52" spans="1:12" hidden="1" x14ac:dyDescent="0.25">
      <c r="A52" s="7">
        <f>PL!A48</f>
        <v>0</v>
      </c>
      <c r="B52" s="7">
        <f>IFERROR(SUMIFS(PL!F:F,PL!$A:$A,价值评估!$A52),"")</f>
        <v>0</v>
      </c>
      <c r="C52" s="7">
        <f>SUMIFS(PL!E:E,PL!$A:$A,价值评估!$A52)</f>
        <v>0</v>
      </c>
      <c r="D52" s="7">
        <f>SUMIFS(PL!D:D,PL!$A:$A,价值评估!$A52)</f>
        <v>0</v>
      </c>
      <c r="E52" s="7">
        <f>SUMIFS(PL!C:C,PL!$A:$A,价值评估!$A52)</f>
        <v>0</v>
      </c>
      <c r="F52" s="7">
        <f>SUMIFS(PL!B:B,PL!$A:$A,价值评估!$A52)</f>
        <v>0</v>
      </c>
      <c r="G52" s="8">
        <f t="shared" si="11"/>
        <v>0</v>
      </c>
      <c r="H52" s="8">
        <f t="shared" si="12"/>
        <v>0</v>
      </c>
      <c r="I52" s="8">
        <f t="shared" si="12"/>
        <v>0</v>
      </c>
      <c r="J52" s="8">
        <f t="shared" si="12"/>
        <v>0</v>
      </c>
      <c r="K52" s="8">
        <f t="shared" si="12"/>
        <v>0</v>
      </c>
      <c r="L52" s="8">
        <f t="shared" si="12"/>
        <v>0</v>
      </c>
    </row>
    <row r="53" spans="1:12" hidden="1" x14ac:dyDescent="0.25">
      <c r="A53" s="7">
        <f>PL!A49</f>
        <v>0</v>
      </c>
      <c r="B53" s="7">
        <f>IFERROR(SUMIFS(PL!F:F,PL!$A:$A,价值评估!$A53),"")</f>
        <v>0</v>
      </c>
      <c r="C53" s="7">
        <f>SUMIFS(PL!E:E,PL!$A:$A,价值评估!$A53)</f>
        <v>0</v>
      </c>
      <c r="D53" s="7">
        <f>SUMIFS(PL!D:D,PL!$A:$A,价值评估!$A53)</f>
        <v>0</v>
      </c>
      <c r="E53" s="7">
        <f>SUMIFS(PL!C:C,PL!$A:$A,价值评估!$A53)</f>
        <v>0</v>
      </c>
      <c r="F53" s="7">
        <f>SUMIFS(PL!B:B,PL!$A:$A,价值评估!$A53)</f>
        <v>0</v>
      </c>
      <c r="G53" s="8">
        <f t="shared" si="11"/>
        <v>0</v>
      </c>
      <c r="H53" s="8">
        <f t="shared" si="12"/>
        <v>0</v>
      </c>
      <c r="I53" s="8">
        <f t="shared" si="12"/>
        <v>0</v>
      </c>
      <c r="J53" s="8">
        <f t="shared" si="12"/>
        <v>0</v>
      </c>
      <c r="K53" s="8">
        <f t="shared" si="12"/>
        <v>0</v>
      </c>
      <c r="L53" s="8">
        <f t="shared" si="12"/>
        <v>0</v>
      </c>
    </row>
    <row r="54" spans="1:12" hidden="1" x14ac:dyDescent="0.25">
      <c r="A54" s="7">
        <f>PL!A50</f>
        <v>0</v>
      </c>
      <c r="B54" s="7">
        <f>IFERROR(SUMIFS(PL!F:F,PL!$A:$A,价值评估!$A54),"")</f>
        <v>0</v>
      </c>
      <c r="C54" s="7">
        <f>SUMIFS(PL!E:E,PL!$A:$A,价值评估!$A54)</f>
        <v>0</v>
      </c>
      <c r="D54" s="7">
        <f>SUMIFS(PL!D:D,PL!$A:$A,价值评估!$A54)</f>
        <v>0</v>
      </c>
      <c r="E54" s="7">
        <f>SUMIFS(PL!C:C,PL!$A:$A,价值评估!$A54)</f>
        <v>0</v>
      </c>
      <c r="F54" s="7">
        <f>SUMIFS(PL!B:B,PL!$A:$A,价值评估!$A54)</f>
        <v>0</v>
      </c>
      <c r="G54" s="8">
        <f t="shared" si="11"/>
        <v>0</v>
      </c>
      <c r="H54" s="8">
        <f t="shared" ref="H54:L63" si="13">G54*(1+$F$125)</f>
        <v>0</v>
      </c>
      <c r="I54" s="8">
        <f t="shared" si="13"/>
        <v>0</v>
      </c>
      <c r="J54" s="8">
        <f t="shared" si="13"/>
        <v>0</v>
      </c>
      <c r="K54" s="8">
        <f t="shared" si="13"/>
        <v>0</v>
      </c>
      <c r="L54" s="8">
        <f t="shared" si="13"/>
        <v>0</v>
      </c>
    </row>
    <row r="55" spans="1:12" hidden="1" x14ac:dyDescent="0.25">
      <c r="A55" s="7" t="str">
        <f>PL!A53</f>
        <v>差异</v>
      </c>
      <c r="B55" s="7">
        <f>IFERROR(SUMIFS(PL!F:F,PL!$A:$A,价值评估!$A55),"")</f>
        <v>0</v>
      </c>
      <c r="C55" s="7">
        <f>SUMIFS(PL!E:E,PL!$A:$A,价值评估!$A55)</f>
        <v>0</v>
      </c>
      <c r="D55" s="7">
        <f>SUMIFS(PL!D:D,PL!$A:$A,价值评估!$A55)</f>
        <v>0</v>
      </c>
      <c r="E55" s="7">
        <f>SUMIFS(PL!C:C,PL!$A:$A,价值评估!$A55)</f>
        <v>0</v>
      </c>
      <c r="F55" s="7">
        <f>SUMIFS(PL!B:B,PL!$A:$A,价值评估!$A55)</f>
        <v>0</v>
      </c>
      <c r="G55" s="8">
        <f t="shared" si="11"/>
        <v>0</v>
      </c>
      <c r="H55" s="8">
        <f t="shared" si="13"/>
        <v>0</v>
      </c>
      <c r="I55" s="8">
        <f t="shared" si="13"/>
        <v>0</v>
      </c>
      <c r="J55" s="8">
        <f t="shared" si="13"/>
        <v>0</v>
      </c>
      <c r="K55" s="8">
        <f t="shared" si="13"/>
        <v>0</v>
      </c>
      <c r="L55" s="8">
        <f t="shared" si="13"/>
        <v>0</v>
      </c>
    </row>
    <row r="56" spans="1:12" hidden="1" x14ac:dyDescent="0.25">
      <c r="A56" s="7">
        <f>PL!A54</f>
        <v>0</v>
      </c>
      <c r="B56" s="7">
        <f>IFERROR(SUMIFS(PL!F:F,PL!$A:$A,价值评估!$A56),"")</f>
        <v>0</v>
      </c>
      <c r="C56" s="7">
        <f>SUMIFS(PL!E:E,PL!$A:$A,价值评估!$A56)</f>
        <v>0</v>
      </c>
      <c r="D56" s="7">
        <f>SUMIFS(PL!D:D,PL!$A:$A,价值评估!$A56)</f>
        <v>0</v>
      </c>
      <c r="E56" s="7">
        <f>SUMIFS(PL!C:C,PL!$A:$A,价值评估!$A56)</f>
        <v>0</v>
      </c>
      <c r="F56" s="7">
        <f>SUMIFS(PL!B:B,PL!$A:$A,价值评估!$A56)</f>
        <v>0</v>
      </c>
      <c r="G56" s="8">
        <f t="shared" si="11"/>
        <v>0</v>
      </c>
      <c r="H56" s="8">
        <f t="shared" si="13"/>
        <v>0</v>
      </c>
      <c r="I56" s="8">
        <f t="shared" si="13"/>
        <v>0</v>
      </c>
      <c r="J56" s="8">
        <f t="shared" si="13"/>
        <v>0</v>
      </c>
      <c r="K56" s="8">
        <f t="shared" si="13"/>
        <v>0</v>
      </c>
      <c r="L56" s="8">
        <f t="shared" si="13"/>
        <v>0</v>
      </c>
    </row>
    <row r="57" spans="1:12" hidden="1" x14ac:dyDescent="0.25">
      <c r="A57" s="7">
        <f>PL!A55</f>
        <v>0</v>
      </c>
      <c r="B57" s="7">
        <f>IFERROR(SUMIFS(PL!F:F,PL!$A:$A,价值评估!$A57),"")</f>
        <v>0</v>
      </c>
      <c r="C57" s="7">
        <f>SUMIFS(PL!E:E,PL!$A:$A,价值评估!$A57)</f>
        <v>0</v>
      </c>
      <c r="D57" s="7">
        <f>SUMIFS(PL!D:D,PL!$A:$A,价值评估!$A57)</f>
        <v>0</v>
      </c>
      <c r="E57" s="7">
        <f>SUMIFS(PL!C:C,PL!$A:$A,价值评估!$A57)</f>
        <v>0</v>
      </c>
      <c r="F57" s="7">
        <f>SUMIFS(PL!B:B,PL!$A:$A,价值评估!$A57)</f>
        <v>0</v>
      </c>
      <c r="G57" s="8">
        <f t="shared" si="11"/>
        <v>0</v>
      </c>
      <c r="H57" s="8">
        <f t="shared" si="13"/>
        <v>0</v>
      </c>
      <c r="I57" s="8">
        <f t="shared" si="13"/>
        <v>0</v>
      </c>
      <c r="J57" s="8">
        <f t="shared" si="13"/>
        <v>0</v>
      </c>
      <c r="K57" s="8">
        <f t="shared" si="13"/>
        <v>0</v>
      </c>
      <c r="L57" s="8">
        <f t="shared" si="13"/>
        <v>0</v>
      </c>
    </row>
    <row r="58" spans="1:12" hidden="1" x14ac:dyDescent="0.25">
      <c r="A58" s="7">
        <f>PL!A56</f>
        <v>0</v>
      </c>
      <c r="B58" s="7">
        <f>IFERROR(SUMIFS(PL!F:F,PL!$A:$A,价值评估!$A58),"")</f>
        <v>0</v>
      </c>
      <c r="C58" s="7">
        <f>SUMIFS(PL!E:E,PL!$A:$A,价值评估!$A58)</f>
        <v>0</v>
      </c>
      <c r="D58" s="7">
        <f>SUMIFS(PL!D:D,PL!$A:$A,价值评估!$A58)</f>
        <v>0</v>
      </c>
      <c r="E58" s="7">
        <f>SUMIFS(PL!C:C,PL!$A:$A,价值评估!$A58)</f>
        <v>0</v>
      </c>
      <c r="F58" s="7">
        <f>SUMIFS(PL!B:B,PL!$A:$A,价值评估!$A58)</f>
        <v>0</v>
      </c>
      <c r="G58" s="8">
        <f t="shared" si="11"/>
        <v>0</v>
      </c>
      <c r="H58" s="8">
        <f t="shared" si="13"/>
        <v>0</v>
      </c>
      <c r="I58" s="8">
        <f t="shared" si="13"/>
        <v>0</v>
      </c>
      <c r="J58" s="8">
        <f t="shared" si="13"/>
        <v>0</v>
      </c>
      <c r="K58" s="8">
        <f t="shared" si="13"/>
        <v>0</v>
      </c>
      <c r="L58" s="8">
        <f t="shared" si="13"/>
        <v>0</v>
      </c>
    </row>
    <row r="59" spans="1:12" hidden="1" x14ac:dyDescent="0.25">
      <c r="A59" s="7">
        <f>PL!A57</f>
        <v>0</v>
      </c>
      <c r="B59" s="7">
        <f>IFERROR(SUMIFS(PL!F:F,PL!$A:$A,价值评估!$A59),"")</f>
        <v>0</v>
      </c>
      <c r="C59" s="7">
        <f>SUMIFS(PL!E:E,PL!$A:$A,价值评估!$A59)</f>
        <v>0</v>
      </c>
      <c r="D59" s="7">
        <f>SUMIFS(PL!D:D,PL!$A:$A,价值评估!$A59)</f>
        <v>0</v>
      </c>
      <c r="E59" s="7">
        <f>SUMIFS(PL!C:C,PL!$A:$A,价值评估!$A59)</f>
        <v>0</v>
      </c>
      <c r="F59" s="7">
        <f>SUMIFS(PL!B:B,PL!$A:$A,价值评估!$A59)</f>
        <v>0</v>
      </c>
      <c r="G59" s="8">
        <f t="shared" si="11"/>
        <v>0</v>
      </c>
      <c r="H59" s="8">
        <f t="shared" si="13"/>
        <v>0</v>
      </c>
      <c r="I59" s="8">
        <f t="shared" si="13"/>
        <v>0</v>
      </c>
      <c r="J59" s="8">
        <f t="shared" si="13"/>
        <v>0</v>
      </c>
      <c r="K59" s="8">
        <f t="shared" si="13"/>
        <v>0</v>
      </c>
      <c r="L59" s="8">
        <f t="shared" si="13"/>
        <v>0</v>
      </c>
    </row>
    <row r="60" spans="1:12" hidden="1" x14ac:dyDescent="0.25">
      <c r="A60" s="7">
        <f>PL!A58</f>
        <v>0</v>
      </c>
      <c r="B60" s="7">
        <f>IFERROR(SUMIFS(PL!F:F,PL!$A:$A,价值评估!$A60),"")</f>
        <v>0</v>
      </c>
      <c r="C60" s="7">
        <f>SUMIFS(PL!E:E,PL!$A:$A,价值评估!$A60)</f>
        <v>0</v>
      </c>
      <c r="D60" s="7">
        <f>SUMIFS(PL!D:D,PL!$A:$A,价值评估!$A60)</f>
        <v>0</v>
      </c>
      <c r="E60" s="7">
        <f>SUMIFS(PL!C:C,PL!$A:$A,价值评估!$A60)</f>
        <v>0</v>
      </c>
      <c r="F60" s="7">
        <f>SUMIFS(PL!B:B,PL!$A:$A,价值评估!$A60)</f>
        <v>0</v>
      </c>
      <c r="G60" s="8">
        <f t="shared" si="11"/>
        <v>0</v>
      </c>
      <c r="H60" s="8">
        <f t="shared" si="13"/>
        <v>0</v>
      </c>
      <c r="I60" s="8">
        <f t="shared" si="13"/>
        <v>0</v>
      </c>
      <c r="J60" s="8">
        <f t="shared" si="13"/>
        <v>0</v>
      </c>
      <c r="K60" s="8">
        <f t="shared" si="13"/>
        <v>0</v>
      </c>
      <c r="L60" s="8">
        <f t="shared" si="13"/>
        <v>0</v>
      </c>
    </row>
    <row r="61" spans="1:12" hidden="1" x14ac:dyDescent="0.25">
      <c r="A61" s="7">
        <f>PL!A59</f>
        <v>0</v>
      </c>
      <c r="B61" s="7">
        <f>IFERROR(SUMIFS(PL!F:F,PL!$A:$A,价值评估!$A61),"")</f>
        <v>0</v>
      </c>
      <c r="C61" s="7">
        <f>SUMIFS(PL!E:E,PL!$A:$A,价值评估!$A61)</f>
        <v>0</v>
      </c>
      <c r="D61" s="7">
        <f>SUMIFS(PL!D:D,PL!$A:$A,价值评估!$A61)</f>
        <v>0</v>
      </c>
      <c r="E61" s="7">
        <f>SUMIFS(PL!C:C,PL!$A:$A,价值评估!$A61)</f>
        <v>0</v>
      </c>
      <c r="F61" s="7">
        <f>SUMIFS(PL!B:B,PL!$A:$A,价值评估!$A61)</f>
        <v>0</v>
      </c>
      <c r="G61" s="8">
        <f t="shared" si="11"/>
        <v>0</v>
      </c>
      <c r="H61" s="8">
        <f t="shared" si="13"/>
        <v>0</v>
      </c>
      <c r="I61" s="8">
        <f t="shared" si="13"/>
        <v>0</v>
      </c>
      <c r="J61" s="8">
        <f t="shared" si="13"/>
        <v>0</v>
      </c>
      <c r="K61" s="8">
        <f t="shared" si="13"/>
        <v>0</v>
      </c>
      <c r="L61" s="8">
        <f t="shared" si="13"/>
        <v>0</v>
      </c>
    </row>
    <row r="62" spans="1:12" hidden="1" x14ac:dyDescent="0.25">
      <c r="A62" s="7">
        <f>PL!A60</f>
        <v>0</v>
      </c>
      <c r="B62" s="7">
        <f>IFERROR(SUMIFS(PL!F:F,PL!$A:$A,价值评估!$A62),"")</f>
        <v>0</v>
      </c>
      <c r="C62" s="7">
        <f>SUMIFS(PL!E:E,PL!$A:$A,价值评估!$A62)</f>
        <v>0</v>
      </c>
      <c r="D62" s="7">
        <f>SUMIFS(PL!D:D,PL!$A:$A,价值评估!$A62)</f>
        <v>0</v>
      </c>
      <c r="E62" s="7">
        <f>SUMIFS(PL!C:C,PL!$A:$A,价值评估!$A62)</f>
        <v>0</v>
      </c>
      <c r="F62" s="7">
        <f>SUMIFS(PL!B:B,PL!$A:$A,价值评估!$A62)</f>
        <v>0</v>
      </c>
      <c r="G62" s="8">
        <f t="shared" si="11"/>
        <v>0</v>
      </c>
      <c r="H62" s="8">
        <f t="shared" si="13"/>
        <v>0</v>
      </c>
      <c r="I62" s="8">
        <f t="shared" si="13"/>
        <v>0</v>
      </c>
      <c r="J62" s="8">
        <f t="shared" si="13"/>
        <v>0</v>
      </c>
      <c r="K62" s="8">
        <f t="shared" si="13"/>
        <v>0</v>
      </c>
      <c r="L62" s="8">
        <f t="shared" si="13"/>
        <v>0</v>
      </c>
    </row>
    <row r="63" spans="1:12" hidden="1" x14ac:dyDescent="0.25">
      <c r="A63" s="7">
        <f>PL!A61</f>
        <v>0</v>
      </c>
      <c r="B63" s="7">
        <f>IFERROR(SUMIFS(PL!F:F,PL!$A:$A,价值评估!$A63),"")</f>
        <v>0</v>
      </c>
      <c r="C63" s="7">
        <f>SUMIFS(PL!E:E,PL!$A:$A,价值评估!$A63)</f>
        <v>0</v>
      </c>
      <c r="D63" s="7">
        <f>SUMIFS(PL!D:D,PL!$A:$A,价值评估!$A63)</f>
        <v>0</v>
      </c>
      <c r="E63" s="7">
        <f>SUMIFS(PL!C:C,PL!$A:$A,价值评估!$A63)</f>
        <v>0</v>
      </c>
      <c r="F63" s="7">
        <f>SUMIFS(PL!B:B,PL!$A:$A,价值评估!$A63)</f>
        <v>0</v>
      </c>
      <c r="G63" s="8">
        <f t="shared" si="11"/>
        <v>0</v>
      </c>
      <c r="H63" s="8">
        <f t="shared" si="13"/>
        <v>0</v>
      </c>
      <c r="I63" s="8">
        <f t="shared" si="13"/>
        <v>0</v>
      </c>
      <c r="J63" s="8">
        <f t="shared" si="13"/>
        <v>0</v>
      </c>
      <c r="K63" s="8">
        <f t="shared" si="13"/>
        <v>0</v>
      </c>
      <c r="L63" s="8">
        <f t="shared" si="13"/>
        <v>0</v>
      </c>
    </row>
    <row r="64" spans="1:12" hidden="1" x14ac:dyDescent="0.25">
      <c r="A64" s="7">
        <f>PL!A62</f>
        <v>0</v>
      </c>
      <c r="B64" s="7">
        <f>IFERROR(SUMIFS(PL!F:F,PL!$A:$A,价值评估!$A64),"")</f>
        <v>0</v>
      </c>
      <c r="C64" s="7">
        <f>SUMIFS(PL!E:E,PL!$A:$A,价值评估!$A64)</f>
        <v>0</v>
      </c>
      <c r="D64" s="7">
        <f>SUMIFS(PL!D:D,PL!$A:$A,价值评估!$A64)</f>
        <v>0</v>
      </c>
      <c r="E64" s="7">
        <f>SUMIFS(PL!C:C,PL!$A:$A,价值评估!$A64)</f>
        <v>0</v>
      </c>
      <c r="F64" s="7">
        <f>SUMIFS(PL!B:B,PL!$A:$A,价值评估!$A64)</f>
        <v>0</v>
      </c>
      <c r="G64" s="8">
        <f t="shared" si="11"/>
        <v>0</v>
      </c>
      <c r="H64" s="8">
        <f t="shared" ref="H64:L73" si="14">G64*(1+$F$125)</f>
        <v>0</v>
      </c>
      <c r="I64" s="8">
        <f t="shared" si="14"/>
        <v>0</v>
      </c>
      <c r="J64" s="8">
        <f t="shared" si="14"/>
        <v>0</v>
      </c>
      <c r="K64" s="8">
        <f t="shared" si="14"/>
        <v>0</v>
      </c>
      <c r="L64" s="8">
        <f t="shared" si="14"/>
        <v>0</v>
      </c>
    </row>
    <row r="65" spans="1:12" hidden="1" x14ac:dyDescent="0.25">
      <c r="A65" s="7">
        <f>PL!A63</f>
        <v>0</v>
      </c>
      <c r="B65" s="7">
        <f>IFERROR(SUMIFS(PL!F:F,PL!$A:$A,价值评估!$A65),"")</f>
        <v>0</v>
      </c>
      <c r="C65" s="7">
        <f>SUMIFS(PL!E:E,PL!$A:$A,价值评估!$A65)</f>
        <v>0</v>
      </c>
      <c r="D65" s="7">
        <f>SUMIFS(PL!D:D,PL!$A:$A,价值评估!$A65)</f>
        <v>0</v>
      </c>
      <c r="E65" s="7">
        <f>SUMIFS(PL!C:C,PL!$A:$A,价值评估!$A65)</f>
        <v>0</v>
      </c>
      <c r="F65" s="7">
        <f>SUMIFS(PL!B:B,PL!$A:$A,价值评估!$A65)</f>
        <v>0</v>
      </c>
      <c r="G65" s="8">
        <f t="shared" si="11"/>
        <v>0</v>
      </c>
      <c r="H65" s="8">
        <f t="shared" si="14"/>
        <v>0</v>
      </c>
      <c r="I65" s="8">
        <f t="shared" si="14"/>
        <v>0</v>
      </c>
      <c r="J65" s="8">
        <f t="shared" si="14"/>
        <v>0</v>
      </c>
      <c r="K65" s="8">
        <f t="shared" si="14"/>
        <v>0</v>
      </c>
      <c r="L65" s="8">
        <f t="shared" si="14"/>
        <v>0</v>
      </c>
    </row>
    <row r="66" spans="1:12" hidden="1" x14ac:dyDescent="0.25">
      <c r="A66" s="7">
        <f>PL!A64</f>
        <v>0</v>
      </c>
      <c r="B66" s="7">
        <f>IFERROR(SUMIFS(PL!F:F,PL!$A:$A,价值评估!$A66),"")</f>
        <v>0</v>
      </c>
      <c r="C66" s="7">
        <f>SUMIFS(PL!E:E,PL!$A:$A,价值评估!$A66)</f>
        <v>0</v>
      </c>
      <c r="D66" s="7">
        <f>SUMIFS(PL!D:D,PL!$A:$A,价值评估!$A66)</f>
        <v>0</v>
      </c>
      <c r="E66" s="7">
        <f>SUMIFS(PL!C:C,PL!$A:$A,价值评估!$A66)</f>
        <v>0</v>
      </c>
      <c r="F66" s="7">
        <f>SUMIFS(PL!B:B,PL!$A:$A,价值评估!$A66)</f>
        <v>0</v>
      </c>
      <c r="G66" s="8">
        <f t="shared" si="11"/>
        <v>0</v>
      </c>
      <c r="H66" s="8">
        <f t="shared" si="14"/>
        <v>0</v>
      </c>
      <c r="I66" s="8">
        <f t="shared" si="14"/>
        <v>0</v>
      </c>
      <c r="J66" s="8">
        <f t="shared" si="14"/>
        <v>0</v>
      </c>
      <c r="K66" s="8">
        <f t="shared" si="14"/>
        <v>0</v>
      </c>
      <c r="L66" s="8">
        <f t="shared" si="14"/>
        <v>0</v>
      </c>
    </row>
    <row r="67" spans="1:12" hidden="1" x14ac:dyDescent="0.25">
      <c r="A67" s="7">
        <f>PL!A65</f>
        <v>0</v>
      </c>
      <c r="B67" s="7">
        <f>IFERROR(SUMIFS(PL!F:F,PL!$A:$A,价值评估!$A67),"")</f>
        <v>0</v>
      </c>
      <c r="C67" s="7">
        <f>SUMIFS(PL!E:E,PL!$A:$A,价值评估!$A67)</f>
        <v>0</v>
      </c>
      <c r="D67" s="7">
        <f>SUMIFS(PL!D:D,PL!$A:$A,价值评估!$A67)</f>
        <v>0</v>
      </c>
      <c r="E67" s="7">
        <f>SUMIFS(PL!C:C,PL!$A:$A,价值评估!$A67)</f>
        <v>0</v>
      </c>
      <c r="F67" s="7">
        <f>SUMIFS(PL!B:B,PL!$A:$A,价值评估!$A67)</f>
        <v>0</v>
      </c>
      <c r="G67" s="8">
        <f t="shared" si="11"/>
        <v>0</v>
      </c>
      <c r="H67" s="8">
        <f t="shared" si="14"/>
        <v>0</v>
      </c>
      <c r="I67" s="8">
        <f t="shared" si="14"/>
        <v>0</v>
      </c>
      <c r="J67" s="8">
        <f t="shared" si="14"/>
        <v>0</v>
      </c>
      <c r="K67" s="8">
        <f t="shared" si="14"/>
        <v>0</v>
      </c>
      <c r="L67" s="8">
        <f t="shared" si="14"/>
        <v>0</v>
      </c>
    </row>
    <row r="68" spans="1:12" hidden="1" x14ac:dyDescent="0.25">
      <c r="A68" s="7">
        <f>PL!A66</f>
        <v>0</v>
      </c>
      <c r="B68" s="7">
        <f>IFERROR(SUMIFS(PL!F:F,PL!$A:$A,价值评估!$A68),"")</f>
        <v>0</v>
      </c>
      <c r="C68" s="7">
        <f>SUMIFS(PL!E:E,PL!$A:$A,价值评估!$A68)</f>
        <v>0</v>
      </c>
      <c r="D68" s="7">
        <f>SUMIFS(PL!D:D,PL!$A:$A,价值评估!$A68)</f>
        <v>0</v>
      </c>
      <c r="E68" s="7">
        <f>SUMIFS(PL!C:C,PL!$A:$A,价值评估!$A68)</f>
        <v>0</v>
      </c>
      <c r="F68" s="7">
        <f>SUMIFS(PL!B:B,PL!$A:$A,价值评估!$A68)</f>
        <v>0</v>
      </c>
      <c r="G68" s="8">
        <f t="shared" si="11"/>
        <v>0</v>
      </c>
      <c r="H68" s="8">
        <f t="shared" si="14"/>
        <v>0</v>
      </c>
      <c r="I68" s="8">
        <f t="shared" si="14"/>
        <v>0</v>
      </c>
      <c r="J68" s="8">
        <f t="shared" si="14"/>
        <v>0</v>
      </c>
      <c r="K68" s="8">
        <f t="shared" si="14"/>
        <v>0</v>
      </c>
      <c r="L68" s="8">
        <f t="shared" si="14"/>
        <v>0</v>
      </c>
    </row>
    <row r="69" spans="1:12" hidden="1" x14ac:dyDescent="0.25">
      <c r="A69" s="7">
        <f>PL!A67</f>
        <v>0</v>
      </c>
      <c r="B69" s="7">
        <f>IFERROR(SUMIFS(PL!F:F,PL!$A:$A,价值评估!$A69),"")</f>
        <v>0</v>
      </c>
      <c r="C69" s="7">
        <f>SUMIFS(PL!E:E,PL!$A:$A,价值评估!$A69)</f>
        <v>0</v>
      </c>
      <c r="D69" s="7">
        <f>SUMIFS(PL!D:D,PL!$A:$A,价值评估!$A69)</f>
        <v>0</v>
      </c>
      <c r="E69" s="7">
        <f>SUMIFS(PL!C:C,PL!$A:$A,价值评估!$A69)</f>
        <v>0</v>
      </c>
      <c r="F69" s="7">
        <f>SUMIFS(PL!B:B,PL!$A:$A,价值评估!$A69)</f>
        <v>0</v>
      </c>
      <c r="G69" s="8">
        <f t="shared" si="11"/>
        <v>0</v>
      </c>
      <c r="H69" s="8">
        <f t="shared" si="14"/>
        <v>0</v>
      </c>
      <c r="I69" s="8">
        <f t="shared" si="14"/>
        <v>0</v>
      </c>
      <c r="J69" s="8">
        <f t="shared" si="14"/>
        <v>0</v>
      </c>
      <c r="K69" s="8">
        <f t="shared" si="14"/>
        <v>0</v>
      </c>
      <c r="L69" s="8">
        <f t="shared" si="14"/>
        <v>0</v>
      </c>
    </row>
    <row r="70" spans="1:12" hidden="1" x14ac:dyDescent="0.25">
      <c r="A70" s="7">
        <f>PL!A68</f>
        <v>0</v>
      </c>
      <c r="B70" s="7">
        <f>IFERROR(SUMIFS(PL!F:F,PL!$A:$A,价值评估!$A70),"")</f>
        <v>0</v>
      </c>
      <c r="C70" s="7">
        <f>SUMIFS(PL!E:E,PL!$A:$A,价值评估!$A70)</f>
        <v>0</v>
      </c>
      <c r="D70" s="7">
        <f>SUMIFS(PL!D:D,PL!$A:$A,价值评估!$A70)</f>
        <v>0</v>
      </c>
      <c r="E70" s="7">
        <f>SUMIFS(PL!C:C,PL!$A:$A,价值评估!$A70)</f>
        <v>0</v>
      </c>
      <c r="F70" s="7">
        <f>SUMIFS(PL!B:B,PL!$A:$A,价值评估!$A70)</f>
        <v>0</v>
      </c>
      <c r="G70" s="8">
        <f t="shared" si="11"/>
        <v>0</v>
      </c>
      <c r="H70" s="8">
        <f t="shared" si="14"/>
        <v>0</v>
      </c>
      <c r="I70" s="8">
        <f t="shared" si="14"/>
        <v>0</v>
      </c>
      <c r="J70" s="8">
        <f t="shared" si="14"/>
        <v>0</v>
      </c>
      <c r="K70" s="8">
        <f t="shared" si="14"/>
        <v>0</v>
      </c>
      <c r="L70" s="8">
        <f t="shared" si="14"/>
        <v>0</v>
      </c>
    </row>
    <row r="71" spans="1:12" hidden="1" x14ac:dyDescent="0.25">
      <c r="A71" s="7">
        <f>PL!A69</f>
        <v>0</v>
      </c>
      <c r="B71" s="7">
        <f>IFERROR(SUMIFS(PL!F:F,PL!$A:$A,价值评估!$A71),"")</f>
        <v>0</v>
      </c>
      <c r="C71" s="7">
        <f>SUMIFS(PL!E:E,PL!$A:$A,价值评估!$A71)</f>
        <v>0</v>
      </c>
      <c r="D71" s="7">
        <f>SUMIFS(PL!D:D,PL!$A:$A,价值评估!$A71)</f>
        <v>0</v>
      </c>
      <c r="E71" s="7">
        <f>SUMIFS(PL!C:C,PL!$A:$A,价值评估!$A71)</f>
        <v>0</v>
      </c>
      <c r="F71" s="7">
        <f>SUMIFS(PL!B:B,PL!$A:$A,价值评估!$A71)</f>
        <v>0</v>
      </c>
      <c r="G71" s="8">
        <f t="shared" si="11"/>
        <v>0</v>
      </c>
      <c r="H71" s="8">
        <f t="shared" si="14"/>
        <v>0</v>
      </c>
      <c r="I71" s="8">
        <f t="shared" si="14"/>
        <v>0</v>
      </c>
      <c r="J71" s="8">
        <f t="shared" si="14"/>
        <v>0</v>
      </c>
      <c r="K71" s="8">
        <f t="shared" si="14"/>
        <v>0</v>
      </c>
      <c r="L71" s="8">
        <f t="shared" si="14"/>
        <v>0</v>
      </c>
    </row>
    <row r="72" spans="1:12" hidden="1" x14ac:dyDescent="0.25">
      <c r="A72" s="7">
        <f>PL!A70</f>
        <v>0</v>
      </c>
      <c r="B72" s="7">
        <f>IFERROR(SUMIFS(PL!F:F,PL!$A:$A,价值评估!$A72),"")</f>
        <v>0</v>
      </c>
      <c r="C72" s="7">
        <f>SUMIFS(PL!E:E,PL!$A:$A,价值评估!$A72)</f>
        <v>0</v>
      </c>
      <c r="D72" s="7">
        <f>SUMIFS(PL!D:D,PL!$A:$A,价值评估!$A72)</f>
        <v>0</v>
      </c>
      <c r="E72" s="7">
        <f>SUMIFS(PL!C:C,PL!$A:$A,价值评估!$A72)</f>
        <v>0</v>
      </c>
      <c r="F72" s="7">
        <f>SUMIFS(PL!B:B,PL!$A:$A,价值评估!$A72)</f>
        <v>0</v>
      </c>
      <c r="G72" s="8">
        <f t="shared" si="11"/>
        <v>0</v>
      </c>
      <c r="H72" s="8">
        <f t="shared" si="14"/>
        <v>0</v>
      </c>
      <c r="I72" s="8">
        <f t="shared" si="14"/>
        <v>0</v>
      </c>
      <c r="J72" s="8">
        <f t="shared" si="14"/>
        <v>0</v>
      </c>
      <c r="K72" s="8">
        <f t="shared" si="14"/>
        <v>0</v>
      </c>
      <c r="L72" s="8">
        <f t="shared" si="14"/>
        <v>0</v>
      </c>
    </row>
    <row r="73" spans="1:12" hidden="1" x14ac:dyDescent="0.25">
      <c r="A73" s="7">
        <f>PL!A71</f>
        <v>0</v>
      </c>
      <c r="B73" s="7">
        <f>IFERROR(SUMIFS(PL!F:F,PL!$A:$A,价值评估!$A73),"")</f>
        <v>0</v>
      </c>
      <c r="C73" s="7">
        <f>SUMIFS(PL!E:E,PL!$A:$A,价值评估!$A73)</f>
        <v>0</v>
      </c>
      <c r="D73" s="7">
        <f>SUMIFS(PL!D:D,PL!$A:$A,价值评估!$A73)</f>
        <v>0</v>
      </c>
      <c r="E73" s="7">
        <f>SUMIFS(PL!C:C,PL!$A:$A,价值评估!$A73)</f>
        <v>0</v>
      </c>
      <c r="F73" s="7">
        <f>SUMIFS(PL!B:B,PL!$A:$A,价值评估!$A73)</f>
        <v>0</v>
      </c>
      <c r="G73" s="8">
        <f t="shared" si="11"/>
        <v>0</v>
      </c>
      <c r="H73" s="8">
        <f t="shared" si="14"/>
        <v>0</v>
      </c>
      <c r="I73" s="8">
        <f t="shared" si="14"/>
        <v>0</v>
      </c>
      <c r="J73" s="8">
        <f t="shared" si="14"/>
        <v>0</v>
      </c>
      <c r="K73" s="8">
        <f t="shared" si="14"/>
        <v>0</v>
      </c>
      <c r="L73" s="8">
        <f t="shared" si="14"/>
        <v>0</v>
      </c>
    </row>
    <row r="74" spans="1:12" hidden="1" x14ac:dyDescent="0.25">
      <c r="A74" s="7">
        <f>PL!A72</f>
        <v>0</v>
      </c>
      <c r="B74" s="7">
        <f>IFERROR(SUMIFS(PL!F:F,PL!$A:$A,价值评估!$A74),"")</f>
        <v>0</v>
      </c>
      <c r="C74" s="7">
        <f>SUMIFS(PL!E:E,PL!$A:$A,价值评估!$A74)</f>
        <v>0</v>
      </c>
      <c r="D74" s="7">
        <f>SUMIFS(PL!D:D,PL!$A:$A,价值评估!$A74)</f>
        <v>0</v>
      </c>
      <c r="E74" s="7">
        <f>SUMIFS(PL!C:C,PL!$A:$A,价值评估!$A74)</f>
        <v>0</v>
      </c>
      <c r="F74" s="7">
        <f>SUMIFS(PL!B:B,PL!$A:$A,价值评估!$A74)</f>
        <v>0</v>
      </c>
      <c r="G74" s="8">
        <f t="shared" si="11"/>
        <v>0</v>
      </c>
      <c r="H74" s="8">
        <f t="shared" ref="H74:L83" si="15">G74*(1+$F$125)</f>
        <v>0</v>
      </c>
      <c r="I74" s="8">
        <f t="shared" si="15"/>
        <v>0</v>
      </c>
      <c r="J74" s="8">
        <f t="shared" si="15"/>
        <v>0</v>
      </c>
      <c r="K74" s="8">
        <f t="shared" si="15"/>
        <v>0</v>
      </c>
      <c r="L74" s="8">
        <f t="shared" si="15"/>
        <v>0</v>
      </c>
    </row>
    <row r="75" spans="1:12" hidden="1" x14ac:dyDescent="0.25">
      <c r="A75" s="7">
        <f>PL!A73</f>
        <v>0</v>
      </c>
      <c r="B75" s="7">
        <f>IFERROR(SUMIFS(PL!F:F,PL!$A:$A,价值评估!$A75),"")</f>
        <v>0</v>
      </c>
      <c r="C75" s="7">
        <f>SUMIFS(PL!E:E,PL!$A:$A,价值评估!$A75)</f>
        <v>0</v>
      </c>
      <c r="D75" s="7">
        <f>SUMIFS(PL!D:D,PL!$A:$A,价值评估!$A75)</f>
        <v>0</v>
      </c>
      <c r="E75" s="7">
        <f>SUMIFS(PL!C:C,PL!$A:$A,价值评估!$A75)</f>
        <v>0</v>
      </c>
      <c r="F75" s="7">
        <f>SUMIFS(PL!B:B,PL!$A:$A,价值评估!$A75)</f>
        <v>0</v>
      </c>
      <c r="G75" s="8">
        <f t="shared" si="11"/>
        <v>0</v>
      </c>
      <c r="H75" s="8">
        <f t="shared" si="15"/>
        <v>0</v>
      </c>
      <c r="I75" s="8">
        <f t="shared" si="15"/>
        <v>0</v>
      </c>
      <c r="J75" s="8">
        <f t="shared" si="15"/>
        <v>0</v>
      </c>
      <c r="K75" s="8">
        <f t="shared" si="15"/>
        <v>0</v>
      </c>
      <c r="L75" s="8">
        <f t="shared" si="15"/>
        <v>0</v>
      </c>
    </row>
    <row r="76" spans="1:12" hidden="1" x14ac:dyDescent="0.25">
      <c r="A76" s="7">
        <f>PL!A74</f>
        <v>0</v>
      </c>
      <c r="B76" s="7">
        <f>IFERROR(SUMIFS(PL!F:F,PL!$A:$A,价值评估!$A76),"")</f>
        <v>0</v>
      </c>
      <c r="C76" s="7">
        <f>SUMIFS(PL!E:E,PL!$A:$A,价值评估!$A76)</f>
        <v>0</v>
      </c>
      <c r="D76" s="7">
        <f>SUMIFS(PL!D:D,PL!$A:$A,价值评估!$A76)</f>
        <v>0</v>
      </c>
      <c r="E76" s="7">
        <f>SUMIFS(PL!C:C,PL!$A:$A,价值评估!$A76)</f>
        <v>0</v>
      </c>
      <c r="F76" s="7">
        <f>SUMIFS(PL!B:B,PL!$A:$A,价值评估!$A76)</f>
        <v>0</v>
      </c>
      <c r="G76" s="8">
        <f t="shared" si="11"/>
        <v>0</v>
      </c>
      <c r="H76" s="8">
        <f t="shared" si="15"/>
        <v>0</v>
      </c>
      <c r="I76" s="8">
        <f t="shared" si="15"/>
        <v>0</v>
      </c>
      <c r="J76" s="8">
        <f t="shared" si="15"/>
        <v>0</v>
      </c>
      <c r="K76" s="8">
        <f t="shared" si="15"/>
        <v>0</v>
      </c>
      <c r="L76" s="8">
        <f t="shared" si="15"/>
        <v>0</v>
      </c>
    </row>
    <row r="77" spans="1:12" hidden="1" x14ac:dyDescent="0.25">
      <c r="A77" s="7">
        <f>PL!A75</f>
        <v>0</v>
      </c>
      <c r="B77" s="7">
        <f>IFERROR(SUMIFS(PL!F:F,PL!$A:$A,价值评估!$A77),"")</f>
        <v>0</v>
      </c>
      <c r="C77" s="7">
        <f>SUMIFS(PL!E:E,PL!$A:$A,价值评估!$A77)</f>
        <v>0</v>
      </c>
      <c r="D77" s="7">
        <f>SUMIFS(PL!D:D,PL!$A:$A,价值评估!$A77)</f>
        <v>0</v>
      </c>
      <c r="E77" s="7">
        <f>SUMIFS(PL!C:C,PL!$A:$A,价值评估!$A77)</f>
        <v>0</v>
      </c>
      <c r="F77" s="7">
        <f>SUMIFS(PL!B:B,PL!$A:$A,价值评估!$A77)</f>
        <v>0</v>
      </c>
      <c r="G77" s="8">
        <f t="shared" si="11"/>
        <v>0</v>
      </c>
      <c r="H77" s="8">
        <f t="shared" si="15"/>
        <v>0</v>
      </c>
      <c r="I77" s="8">
        <f t="shared" si="15"/>
        <v>0</v>
      </c>
      <c r="J77" s="8">
        <f t="shared" si="15"/>
        <v>0</v>
      </c>
      <c r="K77" s="8">
        <f t="shared" si="15"/>
        <v>0</v>
      </c>
      <c r="L77" s="8">
        <f t="shared" si="15"/>
        <v>0</v>
      </c>
    </row>
    <row r="78" spans="1:12" hidden="1" x14ac:dyDescent="0.25">
      <c r="A78" s="7">
        <f>PL!A76</f>
        <v>0</v>
      </c>
      <c r="B78" s="7">
        <f>IFERROR(SUMIFS(PL!F:F,PL!$A:$A,价值评估!$A78),"")</f>
        <v>0</v>
      </c>
      <c r="C78" s="7">
        <f>SUMIFS(PL!E:E,PL!$A:$A,价值评估!$A78)</f>
        <v>0</v>
      </c>
      <c r="D78" s="7">
        <f>SUMIFS(PL!D:D,PL!$A:$A,价值评估!$A78)</f>
        <v>0</v>
      </c>
      <c r="E78" s="7">
        <f>SUMIFS(PL!C:C,PL!$A:$A,价值评估!$A78)</f>
        <v>0</v>
      </c>
      <c r="F78" s="7">
        <f>SUMIFS(PL!B:B,PL!$A:$A,价值评估!$A78)</f>
        <v>0</v>
      </c>
      <c r="G78" s="8">
        <f t="shared" si="11"/>
        <v>0</v>
      </c>
      <c r="H78" s="8">
        <f t="shared" si="15"/>
        <v>0</v>
      </c>
      <c r="I78" s="8">
        <f t="shared" si="15"/>
        <v>0</v>
      </c>
      <c r="J78" s="8">
        <f t="shared" si="15"/>
        <v>0</v>
      </c>
      <c r="K78" s="8">
        <f t="shared" si="15"/>
        <v>0</v>
      </c>
      <c r="L78" s="8">
        <f t="shared" si="15"/>
        <v>0</v>
      </c>
    </row>
    <row r="79" spans="1:12" hidden="1" x14ac:dyDescent="0.25">
      <c r="A79" s="7">
        <f>PL!A77</f>
        <v>0</v>
      </c>
      <c r="B79" s="7">
        <f>IFERROR(SUMIFS(PL!F:F,PL!$A:$A,价值评估!$A79),"")</f>
        <v>0</v>
      </c>
      <c r="C79" s="7">
        <f>SUMIFS(PL!E:E,PL!$A:$A,价值评估!$A79)</f>
        <v>0</v>
      </c>
      <c r="D79" s="7">
        <f>SUMIFS(PL!D:D,PL!$A:$A,价值评估!$A79)</f>
        <v>0</v>
      </c>
      <c r="E79" s="7">
        <f>SUMIFS(PL!C:C,PL!$A:$A,价值评估!$A79)</f>
        <v>0</v>
      </c>
      <c r="F79" s="7">
        <f>SUMIFS(PL!B:B,PL!$A:$A,价值评估!$A79)</f>
        <v>0</v>
      </c>
      <c r="G79" s="8">
        <f t="shared" si="11"/>
        <v>0</v>
      </c>
      <c r="H79" s="8">
        <f t="shared" si="15"/>
        <v>0</v>
      </c>
      <c r="I79" s="8">
        <f t="shared" si="15"/>
        <v>0</v>
      </c>
      <c r="J79" s="8">
        <f t="shared" si="15"/>
        <v>0</v>
      </c>
      <c r="K79" s="8">
        <f t="shared" si="15"/>
        <v>0</v>
      </c>
      <c r="L79" s="8">
        <f t="shared" si="15"/>
        <v>0</v>
      </c>
    </row>
    <row r="80" spans="1:12" hidden="1" x14ac:dyDescent="0.25">
      <c r="A80" s="7">
        <f>PL!A78</f>
        <v>0</v>
      </c>
      <c r="B80" s="7">
        <f>IFERROR(SUMIFS(PL!F:F,PL!$A:$A,价值评估!$A80),"")</f>
        <v>0</v>
      </c>
      <c r="C80" s="7">
        <f>SUMIFS(PL!E:E,PL!$A:$A,价值评估!$A80)</f>
        <v>0</v>
      </c>
      <c r="D80" s="7">
        <f>SUMIFS(PL!D:D,PL!$A:$A,价值评估!$A80)</f>
        <v>0</v>
      </c>
      <c r="E80" s="7">
        <f>SUMIFS(PL!C:C,PL!$A:$A,价值评估!$A80)</f>
        <v>0</v>
      </c>
      <c r="F80" s="7">
        <f>SUMIFS(PL!B:B,PL!$A:$A,价值评估!$A80)</f>
        <v>0</v>
      </c>
      <c r="G80" s="8">
        <f t="shared" si="11"/>
        <v>0</v>
      </c>
      <c r="H80" s="8">
        <f t="shared" si="15"/>
        <v>0</v>
      </c>
      <c r="I80" s="8">
        <f t="shared" si="15"/>
        <v>0</v>
      </c>
      <c r="J80" s="8">
        <f t="shared" si="15"/>
        <v>0</v>
      </c>
      <c r="K80" s="8">
        <f t="shared" si="15"/>
        <v>0</v>
      </c>
      <c r="L80" s="8">
        <f t="shared" si="15"/>
        <v>0</v>
      </c>
    </row>
    <row r="81" spans="1:12" hidden="1" x14ac:dyDescent="0.25">
      <c r="A81" s="7">
        <f>PL!A79</f>
        <v>0</v>
      </c>
      <c r="B81" s="7">
        <f>IFERROR(SUMIFS(PL!F:F,PL!$A:$A,价值评估!$A81),"")</f>
        <v>0</v>
      </c>
      <c r="C81" s="7">
        <f>SUMIFS(PL!E:E,PL!$A:$A,价值评估!$A81)</f>
        <v>0</v>
      </c>
      <c r="D81" s="7">
        <f>SUMIFS(PL!D:D,PL!$A:$A,价值评估!$A81)</f>
        <v>0</v>
      </c>
      <c r="E81" s="7">
        <f>SUMIFS(PL!C:C,PL!$A:$A,价值评估!$A81)</f>
        <v>0</v>
      </c>
      <c r="F81" s="7">
        <f>SUMIFS(PL!B:B,PL!$A:$A,价值评估!$A81)</f>
        <v>0</v>
      </c>
      <c r="G81" s="8">
        <f t="shared" si="11"/>
        <v>0</v>
      </c>
      <c r="H81" s="8">
        <f t="shared" si="15"/>
        <v>0</v>
      </c>
      <c r="I81" s="8">
        <f t="shared" si="15"/>
        <v>0</v>
      </c>
      <c r="J81" s="8">
        <f t="shared" si="15"/>
        <v>0</v>
      </c>
      <c r="K81" s="8">
        <f t="shared" si="15"/>
        <v>0</v>
      </c>
      <c r="L81" s="8">
        <f t="shared" si="15"/>
        <v>0</v>
      </c>
    </row>
    <row r="82" spans="1:12" hidden="1" x14ac:dyDescent="0.25">
      <c r="A82" s="7">
        <f>PL!A80</f>
        <v>0</v>
      </c>
      <c r="B82" s="7">
        <f>IFERROR(SUMIFS(PL!F:F,PL!$A:$A,价值评估!$A82),"")</f>
        <v>0</v>
      </c>
      <c r="C82" s="7">
        <f>SUMIFS(PL!E:E,PL!$A:$A,价值评估!$A82)</f>
        <v>0</v>
      </c>
      <c r="D82" s="7">
        <f>SUMIFS(PL!D:D,PL!$A:$A,价值评估!$A82)</f>
        <v>0</v>
      </c>
      <c r="E82" s="7">
        <f>SUMIFS(PL!C:C,PL!$A:$A,价值评估!$A82)</f>
        <v>0</v>
      </c>
      <c r="F82" s="7">
        <f>SUMIFS(PL!B:B,PL!$A:$A,价值评估!$A82)</f>
        <v>0</v>
      </c>
      <c r="G82" s="8">
        <f t="shared" si="11"/>
        <v>0</v>
      </c>
      <c r="H82" s="8">
        <f t="shared" si="15"/>
        <v>0</v>
      </c>
      <c r="I82" s="8">
        <f t="shared" si="15"/>
        <v>0</v>
      </c>
      <c r="J82" s="8">
        <f t="shared" si="15"/>
        <v>0</v>
      </c>
      <c r="K82" s="8">
        <f t="shared" si="15"/>
        <v>0</v>
      </c>
      <c r="L82" s="8">
        <f t="shared" si="15"/>
        <v>0</v>
      </c>
    </row>
    <row r="83" spans="1:12" hidden="1" x14ac:dyDescent="0.25">
      <c r="A83" s="7">
        <f>PL!A81</f>
        <v>0</v>
      </c>
      <c r="B83" s="7">
        <f>IFERROR(SUMIFS(PL!F:F,PL!$A:$A,价值评估!$A83),"")</f>
        <v>0</v>
      </c>
      <c r="C83" s="7">
        <f>SUMIFS(PL!E:E,PL!$A:$A,价值评估!$A83)</f>
        <v>0</v>
      </c>
      <c r="D83" s="7">
        <f>SUMIFS(PL!D:D,PL!$A:$A,价值评估!$A83)</f>
        <v>0</v>
      </c>
      <c r="E83" s="7">
        <f>SUMIFS(PL!C:C,PL!$A:$A,价值评估!$A83)</f>
        <v>0</v>
      </c>
      <c r="F83" s="7">
        <f>SUMIFS(PL!B:B,PL!$A:$A,价值评估!$A83)</f>
        <v>0</v>
      </c>
      <c r="G83" s="8">
        <f t="shared" si="11"/>
        <v>0</v>
      </c>
      <c r="H83" s="8">
        <f t="shared" si="15"/>
        <v>0</v>
      </c>
      <c r="I83" s="8">
        <f t="shared" si="15"/>
        <v>0</v>
      </c>
      <c r="J83" s="8">
        <f t="shared" si="15"/>
        <v>0</v>
      </c>
      <c r="K83" s="8">
        <f t="shared" si="15"/>
        <v>0</v>
      </c>
      <c r="L83" s="8">
        <f t="shared" si="15"/>
        <v>0</v>
      </c>
    </row>
    <row r="84" spans="1:12" hidden="1" x14ac:dyDescent="0.25">
      <c r="A84" s="7">
        <f>PL!A82</f>
        <v>0</v>
      </c>
      <c r="B84" s="7">
        <f>IFERROR(SUMIFS(PL!F:F,PL!$A:$A,价值评估!$A84),"")</f>
        <v>0</v>
      </c>
      <c r="C84" s="7">
        <f>SUMIFS(PL!E:E,PL!$A:$A,价值评估!$A84)</f>
        <v>0</v>
      </c>
      <c r="D84" s="7">
        <f>SUMIFS(PL!D:D,PL!$A:$A,价值评估!$A84)</f>
        <v>0</v>
      </c>
      <c r="E84" s="7">
        <f>SUMIFS(PL!C:C,PL!$A:$A,价值评估!$A84)</f>
        <v>0</v>
      </c>
      <c r="F84" s="7">
        <f>SUMIFS(PL!B:B,PL!$A:$A,价值评估!$A84)</f>
        <v>0</v>
      </c>
      <c r="G84" s="8">
        <f t="shared" si="11"/>
        <v>0</v>
      </c>
      <c r="H84" s="8">
        <f t="shared" ref="H84:L87" si="16">G84*(1+$F$125)</f>
        <v>0</v>
      </c>
      <c r="I84" s="8">
        <f t="shared" si="16"/>
        <v>0</v>
      </c>
      <c r="J84" s="8">
        <f t="shared" si="16"/>
        <v>0</v>
      </c>
      <c r="K84" s="8">
        <f t="shared" si="16"/>
        <v>0</v>
      </c>
      <c r="L84" s="8">
        <f t="shared" si="16"/>
        <v>0</v>
      </c>
    </row>
    <row r="85" spans="1:12" hidden="1" x14ac:dyDescent="0.25">
      <c r="A85" s="7">
        <f>PL!A83</f>
        <v>0</v>
      </c>
      <c r="B85" s="7">
        <f>IFERROR(SUMIFS(PL!F:F,PL!$A:$A,价值评估!$A85),"")</f>
        <v>0</v>
      </c>
      <c r="C85" s="7">
        <f>SUMIFS(PL!E:E,PL!$A:$A,价值评估!$A85)</f>
        <v>0</v>
      </c>
      <c r="D85" s="7">
        <f>SUMIFS(PL!D:D,PL!$A:$A,价值评估!$A85)</f>
        <v>0</v>
      </c>
      <c r="E85" s="7">
        <f>SUMIFS(PL!C:C,PL!$A:$A,价值评估!$A85)</f>
        <v>0</v>
      </c>
      <c r="F85" s="7">
        <f>SUMIFS(PL!B:B,PL!$A:$A,价值评估!$A85)</f>
        <v>0</v>
      </c>
      <c r="G85" s="8">
        <f t="shared" si="11"/>
        <v>0</v>
      </c>
      <c r="H85" s="8">
        <f t="shared" si="16"/>
        <v>0</v>
      </c>
      <c r="I85" s="8">
        <f t="shared" si="16"/>
        <v>0</v>
      </c>
      <c r="J85" s="8">
        <f t="shared" si="16"/>
        <v>0</v>
      </c>
      <c r="K85" s="8">
        <f t="shared" si="16"/>
        <v>0</v>
      </c>
      <c r="L85" s="8">
        <f t="shared" si="16"/>
        <v>0</v>
      </c>
    </row>
    <row r="86" spans="1:12" hidden="1" x14ac:dyDescent="0.25">
      <c r="A86" s="7">
        <f>PL!A84</f>
        <v>0</v>
      </c>
      <c r="B86" s="7">
        <f>IFERROR(SUMIFS(PL!F:F,PL!$A:$A,价值评估!$A86),"")</f>
        <v>0</v>
      </c>
      <c r="C86" s="7">
        <f>SUMIFS(PL!E:E,PL!$A:$A,价值评估!$A86)</f>
        <v>0</v>
      </c>
      <c r="D86" s="7">
        <f>SUMIFS(PL!D:D,PL!$A:$A,价值评估!$A86)</f>
        <v>0</v>
      </c>
      <c r="E86" s="7">
        <f>SUMIFS(PL!C:C,PL!$A:$A,价值评估!$A86)</f>
        <v>0</v>
      </c>
      <c r="F86" s="7">
        <f>SUMIFS(PL!B:B,PL!$A:$A,价值评估!$A86)</f>
        <v>0</v>
      </c>
      <c r="G86" s="8">
        <f t="shared" si="11"/>
        <v>0</v>
      </c>
      <c r="H86" s="8">
        <f t="shared" si="16"/>
        <v>0</v>
      </c>
      <c r="I86" s="8">
        <f t="shared" si="16"/>
        <v>0</v>
      </c>
      <c r="J86" s="8">
        <f t="shared" si="16"/>
        <v>0</v>
      </c>
      <c r="K86" s="8">
        <f t="shared" si="16"/>
        <v>0</v>
      </c>
      <c r="L86" s="8">
        <f t="shared" si="16"/>
        <v>0</v>
      </c>
    </row>
    <row r="87" spans="1:12" hidden="1" x14ac:dyDescent="0.25">
      <c r="A87" s="7">
        <f>PL!A85</f>
        <v>0</v>
      </c>
      <c r="B87" s="7">
        <f>IFERROR(SUMIFS(PL!F:F,PL!$A:$A,价值评估!$A87),"")</f>
        <v>0</v>
      </c>
      <c r="C87" s="7">
        <f>SUMIFS(PL!E:E,PL!$A:$A,价值评估!$A87)</f>
        <v>0</v>
      </c>
      <c r="D87" s="7">
        <f>SUMIFS(PL!D:D,PL!$A:$A,价值评估!$A87)</f>
        <v>0</v>
      </c>
      <c r="E87" s="7">
        <f>SUMIFS(PL!C:C,PL!$A:$A,价值评估!$A87)</f>
        <v>0</v>
      </c>
      <c r="F87" s="7">
        <f>SUMIFS(PL!B:B,PL!$A:$A,价值评估!$A87)</f>
        <v>0</v>
      </c>
      <c r="G87" s="8">
        <f t="shared" si="11"/>
        <v>0</v>
      </c>
      <c r="H87" s="8">
        <f t="shared" si="16"/>
        <v>0</v>
      </c>
      <c r="I87" s="8">
        <f t="shared" si="16"/>
        <v>0</v>
      </c>
      <c r="J87" s="8">
        <f t="shared" si="16"/>
        <v>0</v>
      </c>
      <c r="K87" s="8">
        <f t="shared" si="16"/>
        <v>0</v>
      </c>
      <c r="L87" s="8">
        <f t="shared" si="16"/>
        <v>0</v>
      </c>
    </row>
    <row r="88" spans="1:12" s="15" customFormat="1" x14ac:dyDescent="0.25">
      <c r="A88" s="13" t="s">
        <v>1811</v>
      </c>
      <c r="B88" s="202">
        <f>B45-PL数据!F41</f>
        <v>0</v>
      </c>
      <c r="C88" s="202">
        <f>C45-PL数据!E41</f>
        <v>0</v>
      </c>
      <c r="D88" s="202">
        <f>D45-PL数据!D41</f>
        <v>0</v>
      </c>
      <c r="E88" s="202">
        <f>E45-PL数据!C41</f>
        <v>0</v>
      </c>
      <c r="F88" s="202">
        <f>F45-PL数据!B41</f>
        <v>0</v>
      </c>
      <c r="G88" s="14"/>
      <c r="H88" s="14"/>
      <c r="I88" s="14"/>
      <c r="J88" s="14"/>
      <c r="K88" s="14"/>
      <c r="L88" s="14"/>
    </row>
    <row r="89" spans="1:12" x14ac:dyDescent="0.25">
      <c r="A89" s="16" t="s">
        <v>122</v>
      </c>
      <c r="B89" s="123">
        <f>B43/B42</f>
        <v>-0.15230628075736091</v>
      </c>
      <c r="C89" s="123">
        <f t="shared" ref="C89:F89" si="17">C43/C42</f>
        <v>-1.6012386850881373</v>
      </c>
      <c r="D89" s="123">
        <f t="shared" si="17"/>
        <v>0.22369939174233577</v>
      </c>
      <c r="E89" s="123">
        <f t="shared" si="17"/>
        <v>0.16512852571573883</v>
      </c>
      <c r="F89" s="123">
        <f t="shared" si="17"/>
        <v>0.14566845444437176</v>
      </c>
      <c r="G89" s="123">
        <f>IFERROR(G43/G42,0.25)</f>
        <v>0.14566845444437176</v>
      </c>
      <c r="H89" s="123">
        <f t="shared" ref="H89:L89" si="18">IFERROR(H43/H42,0.25)</f>
        <v>0.14566845444437176</v>
      </c>
      <c r="I89" s="123">
        <f t="shared" si="18"/>
        <v>0.14566845444437176</v>
      </c>
      <c r="J89" s="123">
        <f t="shared" si="18"/>
        <v>0.14566845444437174</v>
      </c>
      <c r="K89" s="123">
        <f t="shared" si="18"/>
        <v>0.14566845444437174</v>
      </c>
      <c r="L89" s="123">
        <f t="shared" si="18"/>
        <v>0.14566845444437174</v>
      </c>
    </row>
    <row r="90" spans="1:12" x14ac:dyDescent="0.25">
      <c r="A90" s="22" t="s">
        <v>1675</v>
      </c>
      <c r="B90" s="22"/>
      <c r="C90" s="22"/>
      <c r="D90" s="39"/>
      <c r="E90" s="39"/>
      <c r="F90" s="40"/>
      <c r="G90" s="6"/>
      <c r="H90" s="6"/>
      <c r="I90" s="6"/>
      <c r="J90" s="6"/>
      <c r="K90" s="6"/>
      <c r="L90" s="6"/>
    </row>
    <row r="91" spans="1:12" x14ac:dyDescent="0.25">
      <c r="A91" s="23" t="s">
        <v>135</v>
      </c>
      <c r="B91" s="175">
        <f>SUM(SUMIFS(BS!$G$3:$G$149,BS!$A$3:$A$149,价值评估!$A91))</f>
        <v>3641493</v>
      </c>
      <c r="C91" s="175">
        <f>SUM(SUMIFS(BS!$F$3:$F$149,BS!$A$3:$A$149,价值评估!$A91))</f>
        <v>3762420</v>
      </c>
      <c r="D91" s="175">
        <f>SUM(SUMIFS(BS!$E$3:$E$149,BS!$A$3:$A$149,价值评估!$A91))</f>
        <v>3427577</v>
      </c>
      <c r="E91" s="175">
        <f>SUM(SUMIFS(BS!$D$3:$D$149,BS!$A$3:$A$149,价值评估!$A91))</f>
        <v>4896892</v>
      </c>
      <c r="F91" s="175">
        <f>SUM(SUMIFS(BS!$C$3:$C$149,BS!$A$3:$A$149,价值评估!$A91))</f>
        <v>6022343</v>
      </c>
      <c r="G91" s="176">
        <f>SUM($B91:$F91)/SUM($B$6:$F$6)*G$6</f>
        <v>11024143.191998273</v>
      </c>
      <c r="H91" s="176">
        <f t="shared" ref="H91:K91" si="19">SUM($B91:$F91)/SUM($B$6:$F$6)*H$6</f>
        <v>15985007.628397496</v>
      </c>
      <c r="I91" s="176">
        <f t="shared" si="19"/>
        <v>23178261.061176367</v>
      </c>
      <c r="J91" s="176">
        <f t="shared" si="19"/>
        <v>33608478.538705736</v>
      </c>
      <c r="K91" s="176">
        <f t="shared" si="19"/>
        <v>48732293.881123312</v>
      </c>
      <c r="L91" s="176">
        <f>SUM($B91:$F91)/SUM($B$6:$F$6)*L$6</f>
        <v>51168908.57517948</v>
      </c>
    </row>
    <row r="92" spans="1:12" x14ac:dyDescent="0.25">
      <c r="A92" s="23" t="s">
        <v>134</v>
      </c>
      <c r="B92" s="175">
        <f>SUM(SUMIFS(BS!$G$3:$G$149,BS!$A$3:$A$149,价值评估!$A92))</f>
        <v>2350287</v>
      </c>
      <c r="C92" s="175">
        <f>SUM(SUMIFS(BS!$F$3:$F$149,BS!$A$3:$A$149,价值评估!$A92))</f>
        <v>2291019</v>
      </c>
      <c r="D92" s="175">
        <f>SUM(SUMIFS(BS!$E$3:$E$149,BS!$A$3:$A$149,价值评估!$A92))</f>
        <v>2131130</v>
      </c>
      <c r="E92" s="175">
        <f>SUM(SUMIFS(BS!$D$3:$D$149,BS!$A$3:$A$149,价值评估!$A92))</f>
        <v>2070815</v>
      </c>
      <c r="F92" s="175">
        <f>SUM(SUMIFS(BS!$C$3:$C$149,BS!$A$3:$A$149,价值评估!$A92))</f>
        <v>2076928</v>
      </c>
      <c r="G92" s="176">
        <f t="shared" ref="G92:L96" si="20">SUM($B92:$F92)/SUM($B$6:$F$6)*G$6</f>
        <v>5534786.4026717497</v>
      </c>
      <c r="H92" s="176">
        <f t="shared" si="20"/>
        <v>8025440.2838740377</v>
      </c>
      <c r="I92" s="176">
        <f t="shared" si="20"/>
        <v>11636888.411617354</v>
      </c>
      <c r="J92" s="176">
        <f t="shared" si="20"/>
        <v>16873488.196845163</v>
      </c>
      <c r="K92" s="176">
        <f t="shared" si="20"/>
        <v>24466557.885425486</v>
      </c>
      <c r="L92" s="176">
        <f t="shared" si="20"/>
        <v>25689885.779696759</v>
      </c>
    </row>
    <row r="93" spans="1:12" x14ac:dyDescent="0.25">
      <c r="A93" s="23" t="s">
        <v>133</v>
      </c>
      <c r="B93" s="175">
        <f>SUM(SUMIFS(BS!$G$3:$G$149,BS!$A$3:$A$149,价值评估!$A93))</f>
        <v>752853</v>
      </c>
      <c r="C93" s="175">
        <f>SUM(SUMIFS(BS!$F$3:$F$149,BS!$A$3:$A$149,价值评估!$A93))</f>
        <v>953383</v>
      </c>
      <c r="D93" s="175">
        <f>SUM(SUMIFS(BS!$E$3:$E$149,BS!$A$3:$A$149,价值评估!$A93))</f>
        <v>1268249</v>
      </c>
      <c r="E93" s="175">
        <f>SUM(SUMIFS(BS!$D$3:$D$149,BS!$A$3:$A$149,价值评估!$A93))</f>
        <v>1689427</v>
      </c>
      <c r="F93" s="175">
        <f>SUM(SUMIFS(BS!$C$3:$C$149,BS!$A$3:$A$149,价值评估!$A93))</f>
        <v>2357757</v>
      </c>
      <c r="G93" s="176">
        <f t="shared" si="20"/>
        <v>3558864.5667128484</v>
      </c>
      <c r="H93" s="176">
        <f t="shared" si="20"/>
        <v>5160353.6217336301</v>
      </c>
      <c r="I93" s="176">
        <f t="shared" si="20"/>
        <v>7482512.7515137633</v>
      </c>
      <c r="J93" s="176">
        <f t="shared" si="20"/>
        <v>10849643.489694957</v>
      </c>
      <c r="K93" s="176">
        <f t="shared" si="20"/>
        <v>15731983.060057687</v>
      </c>
      <c r="L93" s="176">
        <f t="shared" si="20"/>
        <v>16518582.213060571</v>
      </c>
    </row>
    <row r="94" spans="1:12" x14ac:dyDescent="0.25">
      <c r="A94" s="23" t="s">
        <v>132</v>
      </c>
      <c r="B94" s="175">
        <f>SUM(SUMIFS(BS!$G$3:$G$149,BS!$A$3:$A$149,价值评估!$A94))</f>
        <v>130996</v>
      </c>
      <c r="C94" s="175">
        <f>SUM(SUMIFS(BS!$F$3:$F$149,BS!$A$3:$A$149,价值评估!$A94))</f>
        <v>102058</v>
      </c>
      <c r="D94" s="175">
        <f>SUM(SUMIFS(BS!$E$3:$E$149,BS!$A$3:$A$149,价值评估!$A94))</f>
        <v>265064</v>
      </c>
      <c r="E94" s="175">
        <f>SUM(SUMIFS(BS!$D$3:$D$149,BS!$A$3:$A$149,价值评估!$A94))</f>
        <v>409764</v>
      </c>
      <c r="F94" s="175">
        <f>SUM(SUMIFS(BS!$C$3:$C$149,BS!$A$3:$A$149,价值评估!$A94))</f>
        <v>881745</v>
      </c>
      <c r="G94" s="176">
        <f t="shared" si="20"/>
        <v>907055.02038512717</v>
      </c>
      <c r="H94" s="176">
        <f t="shared" si="20"/>
        <v>1315229.7795584344</v>
      </c>
      <c r="I94" s="176">
        <f t="shared" si="20"/>
        <v>1907083.1803597298</v>
      </c>
      <c r="J94" s="176">
        <f t="shared" si="20"/>
        <v>2765270.6115216082</v>
      </c>
      <c r="K94" s="176">
        <f t="shared" si="20"/>
        <v>4009642.3867063313</v>
      </c>
      <c r="L94" s="176">
        <f t="shared" si="20"/>
        <v>4210124.5060416479</v>
      </c>
    </row>
    <row r="95" spans="1:12" x14ac:dyDescent="0.25">
      <c r="A95" s="23" t="s">
        <v>131</v>
      </c>
      <c r="B95" s="175">
        <f>SUM(SUMIFS(BS!$G$3:$G$149,BS!$A$3:$A$149,价值评估!$A95))</f>
        <v>2983763</v>
      </c>
      <c r="C95" s="175">
        <f>SUM(SUMIFS(BS!$F$3:$F$149,BS!$A$3:$A$149,价值评估!$A95))</f>
        <v>2792728</v>
      </c>
      <c r="D95" s="175">
        <f>SUM(SUMIFS(BS!$E$3:$E$149,BS!$A$3:$A$149,价值评估!$A95))</f>
        <v>1792326</v>
      </c>
      <c r="E95" s="175">
        <f>SUM(SUMIFS(BS!$D$3:$D$149,BS!$A$3:$A$149,价值评估!$A95))</f>
        <v>2315809</v>
      </c>
      <c r="F95" s="175">
        <f>SUM(SUMIFS(BS!$C$3:$C$149,BS!$A$3:$A$149,价值评估!$A95))</f>
        <v>2072850</v>
      </c>
      <c r="G95" s="176">
        <f t="shared" si="20"/>
        <v>6060530.2875597365</v>
      </c>
      <c r="H95" s="176">
        <f t="shared" si="20"/>
        <v>8787768.9169616178</v>
      </c>
      <c r="I95" s="176">
        <f t="shared" si="20"/>
        <v>12742264.929594345</v>
      </c>
      <c r="J95" s="176">
        <f t="shared" si="20"/>
        <v>18476284.147911802</v>
      </c>
      <c r="K95" s="176">
        <f t="shared" si="20"/>
        <v>26790612.014472108</v>
      </c>
      <c r="L95" s="176">
        <f t="shared" si="20"/>
        <v>28130142.615195714</v>
      </c>
    </row>
    <row r="96" spans="1:12" x14ac:dyDescent="0.25">
      <c r="A96" s="23" t="s">
        <v>115</v>
      </c>
      <c r="B96" s="175">
        <f>SUM(SUMIFS(BS!$G$3:$G$149,BS!$A$3:$A$149,价值评估!$A96))</f>
        <v>3076463</v>
      </c>
      <c r="C96" s="175">
        <f>SUM(SUMIFS(BS!$F$3:$F$149,BS!$A$3:$A$149,价值评估!$A96))</f>
        <v>3048583</v>
      </c>
      <c r="D96" s="175">
        <f>SUM(SUMIFS(BS!$E$3:$E$149,BS!$A$3:$A$149,价值评估!$A96))</f>
        <v>3291221</v>
      </c>
      <c r="E96" s="175">
        <f>SUM(SUMIFS(BS!$D$3:$D$149,BS!$A$3:$A$149,价值评估!$A96))</f>
        <v>3894144</v>
      </c>
      <c r="F96" s="175">
        <f>SUM(SUMIFS(BS!$C$3:$C$149,BS!$A$3:$A$149,价值评估!$A96))</f>
        <v>5299592</v>
      </c>
      <c r="G96" s="176">
        <f t="shared" si="20"/>
        <v>9432298.8256951179</v>
      </c>
      <c r="H96" s="176">
        <f t="shared" si="20"/>
        <v>13676833.297257921</v>
      </c>
      <c r="I96" s="176">
        <f t="shared" si="20"/>
        <v>19831408.281023983</v>
      </c>
      <c r="J96" s="176">
        <f t="shared" si="20"/>
        <v>28755542.007484775</v>
      </c>
      <c r="K96" s="176">
        <f t="shared" si="20"/>
        <v>41695535.910852924</v>
      </c>
      <c r="L96" s="176">
        <f t="shared" si="20"/>
        <v>43780312.706395574</v>
      </c>
    </row>
    <row r="97" spans="1:12" x14ac:dyDescent="0.25">
      <c r="A97" s="23" t="s">
        <v>137</v>
      </c>
      <c r="B97" s="177">
        <f>B91+B92-B93</f>
        <v>5238927</v>
      </c>
      <c r="C97" s="177">
        <f t="shared" ref="C97:E97" si="21">C91+C92-C93</f>
        <v>5100056</v>
      </c>
      <c r="D97" s="177">
        <f t="shared" si="21"/>
        <v>4290458</v>
      </c>
      <c r="E97" s="177">
        <f t="shared" si="21"/>
        <v>5278280</v>
      </c>
      <c r="F97" s="177">
        <f>F91+F92-F93</f>
        <v>5741514</v>
      </c>
      <c r="G97" s="177">
        <f t="shared" ref="G97:L97" si="22">G91+G92-G93</f>
        <v>13000065.027957175</v>
      </c>
      <c r="H97" s="177">
        <f t="shared" si="22"/>
        <v>18850094.290537901</v>
      </c>
      <c r="I97" s="177">
        <f t="shared" si="22"/>
        <v>27332636.721279956</v>
      </c>
      <c r="J97" s="177">
        <f t="shared" si="22"/>
        <v>39632323.245855942</v>
      </c>
      <c r="K97" s="177">
        <f t="shared" si="22"/>
        <v>57466868.706491113</v>
      </c>
      <c r="L97" s="177">
        <f t="shared" si="22"/>
        <v>60340212.141815662</v>
      </c>
    </row>
    <row r="98" spans="1:12" x14ac:dyDescent="0.25">
      <c r="A98" s="23" t="s">
        <v>138</v>
      </c>
      <c r="B98" s="177">
        <f>B95-B94</f>
        <v>2852767</v>
      </c>
      <c r="C98" s="177">
        <f t="shared" ref="C98:E98" si="23">C95-C94</f>
        <v>2690670</v>
      </c>
      <c r="D98" s="177">
        <f t="shared" si="23"/>
        <v>1527262</v>
      </c>
      <c r="E98" s="177">
        <f t="shared" si="23"/>
        <v>1906045</v>
      </c>
      <c r="F98" s="177">
        <f>F95-F94</f>
        <v>1191105</v>
      </c>
      <c r="G98" s="177">
        <f t="shared" ref="G98:L98" si="24">G95-G94</f>
        <v>5153475.267174609</v>
      </c>
      <c r="H98" s="177">
        <f t="shared" si="24"/>
        <v>7472539.1374031836</v>
      </c>
      <c r="I98" s="177">
        <f t="shared" si="24"/>
        <v>10835181.749234615</v>
      </c>
      <c r="J98" s="177">
        <f t="shared" si="24"/>
        <v>15711013.536390193</v>
      </c>
      <c r="K98" s="177">
        <f t="shared" si="24"/>
        <v>22780969.627765778</v>
      </c>
      <c r="L98" s="177">
        <f t="shared" si="24"/>
        <v>23920018.109154068</v>
      </c>
    </row>
    <row r="99" spans="1:12" x14ac:dyDescent="0.25">
      <c r="A99" s="23" t="s">
        <v>136</v>
      </c>
      <c r="B99" s="177">
        <f>B98+B96</f>
        <v>5929230</v>
      </c>
      <c r="C99" s="177">
        <f t="shared" ref="C99:E99" si="25">C98+C96</f>
        <v>5739253</v>
      </c>
      <c r="D99" s="177">
        <f t="shared" si="25"/>
        <v>4818483</v>
      </c>
      <c r="E99" s="177">
        <f t="shared" si="25"/>
        <v>5800189</v>
      </c>
      <c r="F99" s="177">
        <f>F98+F96</f>
        <v>6490697</v>
      </c>
      <c r="G99" s="177">
        <f t="shared" ref="G99:L99" si="26">G98+G96</f>
        <v>14585774.092869727</v>
      </c>
      <c r="H99" s="177">
        <f t="shared" si="26"/>
        <v>21149372.434661105</v>
      </c>
      <c r="I99" s="177">
        <f t="shared" si="26"/>
        <v>30666590.030258596</v>
      </c>
      <c r="J99" s="177">
        <f t="shared" si="26"/>
        <v>44466555.543874964</v>
      </c>
      <c r="K99" s="177">
        <f t="shared" si="26"/>
        <v>64476505.538618699</v>
      </c>
      <c r="L99" s="177">
        <f t="shared" si="26"/>
        <v>67700330.815549642</v>
      </c>
    </row>
    <row r="100" spans="1:12" x14ac:dyDescent="0.25">
      <c r="A100" s="3" t="s">
        <v>139</v>
      </c>
      <c r="B100" s="177"/>
      <c r="C100" s="177">
        <f>C98-B98</f>
        <v>-162097</v>
      </c>
      <c r="D100" s="177">
        <f t="shared" ref="D100:E100" si="27">D98-C98</f>
        <v>-1163408</v>
      </c>
      <c r="E100" s="177">
        <f t="shared" si="27"/>
        <v>378783</v>
      </c>
      <c r="F100" s="177">
        <f>F98-E98</f>
        <v>-714940</v>
      </c>
      <c r="G100" s="177">
        <f t="shared" ref="G100:L100" si="28">G98-F98</f>
        <v>3962370.267174609</v>
      </c>
      <c r="H100" s="177">
        <f t="shared" si="28"/>
        <v>2319063.8702285746</v>
      </c>
      <c r="I100" s="177">
        <f t="shared" si="28"/>
        <v>3362642.6118314313</v>
      </c>
      <c r="J100" s="177">
        <f t="shared" si="28"/>
        <v>4875831.7871555779</v>
      </c>
      <c r="K100" s="177">
        <f t="shared" si="28"/>
        <v>7069956.0913755856</v>
      </c>
      <c r="L100" s="177">
        <f t="shared" si="28"/>
        <v>1139048.4813882895</v>
      </c>
    </row>
    <row r="101" spans="1:12" x14ac:dyDescent="0.25">
      <c r="A101" s="3" t="s">
        <v>140</v>
      </c>
      <c r="B101" s="177"/>
      <c r="C101" s="177">
        <f>C96-B96</f>
        <v>-27880</v>
      </c>
      <c r="D101" s="177">
        <f t="shared" ref="D101:E101" si="29">D96-C96</f>
        <v>242638</v>
      </c>
      <c r="E101" s="177">
        <f t="shared" si="29"/>
        <v>602923</v>
      </c>
      <c r="F101" s="177">
        <f>F96-E96</f>
        <v>1405448</v>
      </c>
      <c r="G101" s="177">
        <f t="shared" ref="G101:L101" si="30">G96-F96</f>
        <v>4132706.8256951179</v>
      </c>
      <c r="H101" s="177">
        <f t="shared" si="30"/>
        <v>4244534.4715628028</v>
      </c>
      <c r="I101" s="177">
        <f t="shared" si="30"/>
        <v>6154574.9837660622</v>
      </c>
      <c r="J101" s="177">
        <f t="shared" si="30"/>
        <v>8924133.7264607921</v>
      </c>
      <c r="K101" s="177">
        <f t="shared" si="30"/>
        <v>12939993.903368149</v>
      </c>
      <c r="L101" s="177">
        <f t="shared" si="30"/>
        <v>2084776.7955426499</v>
      </c>
    </row>
    <row r="102" spans="1:12" x14ac:dyDescent="0.25">
      <c r="A102" s="151" t="s">
        <v>192</v>
      </c>
      <c r="B102" s="178">
        <f>B97-B99</f>
        <v>-690303</v>
      </c>
      <c r="C102" s="178">
        <f t="shared" ref="C102:F102" si="31">C97-C99</f>
        <v>-639197</v>
      </c>
      <c r="D102" s="178">
        <f t="shared" si="31"/>
        <v>-528025</v>
      </c>
      <c r="E102" s="178">
        <f t="shared" si="31"/>
        <v>-521909</v>
      </c>
      <c r="F102" s="178">
        <f t="shared" si="31"/>
        <v>-749183</v>
      </c>
      <c r="G102" s="177">
        <f t="shared" ref="G102:L102" si="32">G97-G99</f>
        <v>-1585709.064912552</v>
      </c>
      <c r="H102" s="177">
        <f t="shared" si="32"/>
        <v>-2299278.1441232041</v>
      </c>
      <c r="I102" s="177">
        <f t="shared" si="32"/>
        <v>-3333953.3089786395</v>
      </c>
      <c r="J102" s="177">
        <f t="shared" si="32"/>
        <v>-4834232.2980190217</v>
      </c>
      <c r="K102" s="177">
        <f t="shared" si="32"/>
        <v>-7009636.832127586</v>
      </c>
      <c r="L102" s="177">
        <f t="shared" si="32"/>
        <v>-7360118.6737339795</v>
      </c>
    </row>
    <row r="103" spans="1:12" ht="17.5" x14ac:dyDescent="0.25">
      <c r="A103" s="26" t="s">
        <v>142</v>
      </c>
      <c r="B103" s="179"/>
      <c r="C103" s="179"/>
      <c r="D103" s="175"/>
      <c r="E103" s="175"/>
      <c r="F103" s="118"/>
      <c r="G103" s="119"/>
      <c r="H103" s="180">
        <f>G103*(1+$F$125)</f>
        <v>0</v>
      </c>
      <c r="I103" s="119"/>
      <c r="J103" s="119"/>
      <c r="K103" s="119"/>
      <c r="L103" s="119"/>
    </row>
    <row r="104" spans="1:12" x14ac:dyDescent="0.25">
      <c r="A104" s="16" t="s">
        <v>1745</v>
      </c>
      <c r="B104" s="177">
        <f>B45+B15*(1-B89)</f>
        <v>13815</v>
      </c>
      <c r="C104" s="177">
        <f t="shared" ref="C104:L104" si="33">C45+C15*(1-C89)</f>
        <v>16380</v>
      </c>
      <c r="D104" s="177">
        <f t="shared" si="33"/>
        <v>222709</v>
      </c>
      <c r="E104" s="177">
        <f t="shared" si="33"/>
        <v>630349</v>
      </c>
      <c r="F104" s="177">
        <f>F45+F15*(1-F89)</f>
        <v>1149445</v>
      </c>
      <c r="G104" s="177">
        <f>G45+G15*(1-G89)</f>
        <v>1666695.25</v>
      </c>
      <c r="H104" s="177">
        <f t="shared" si="33"/>
        <v>2416708.1124999998</v>
      </c>
      <c r="I104" s="177">
        <f t="shared" si="33"/>
        <v>3504226.7631249996</v>
      </c>
      <c r="J104" s="177">
        <f t="shared" si="33"/>
        <v>5081128.8065312495</v>
      </c>
      <c r="K104" s="177">
        <f t="shared" si="33"/>
        <v>7367636.7694703117</v>
      </c>
      <c r="L104" s="177">
        <f t="shared" si="33"/>
        <v>7736018.6079438273</v>
      </c>
    </row>
    <row r="105" spans="1:12" ht="16.5" customHeight="1" x14ac:dyDescent="0.25">
      <c r="A105" s="53" t="s">
        <v>180</v>
      </c>
      <c r="B105" s="187">
        <f>SUM(CF!F70:F72)</f>
        <v>177785</v>
      </c>
      <c r="C105" s="187">
        <f>SUM(CF!E70:E72)</f>
        <v>209775</v>
      </c>
      <c r="D105" s="187">
        <f>SUM(CF!D70:D72)</f>
        <v>191346</v>
      </c>
      <c r="E105" s="187">
        <f>SUM(CF!C70:C72)</f>
        <v>193218</v>
      </c>
      <c r="F105" s="187">
        <f>SUM(CF!B70:B72)</f>
        <v>202029</v>
      </c>
      <c r="G105" s="175">
        <f t="shared" ref="G105" si="34">SUM(D105:F105)/3*(1+$F$125)</f>
        <v>283519.95</v>
      </c>
      <c r="H105" s="175">
        <f t="shared" ref="H105" si="35">SUM(E105:G105)/3*(1+$F$125)</f>
        <v>328070.6925</v>
      </c>
      <c r="I105" s="175">
        <f t="shared" ref="I105" si="36">SUM(F105:H105)/3*(1+$F$125)</f>
        <v>393249.49387500004</v>
      </c>
      <c r="J105" s="175">
        <f t="shared" ref="J105" si="37">SUM(G105:I105)/3*(1+$F$125)</f>
        <v>485672.73258125002</v>
      </c>
      <c r="K105" s="175">
        <f t="shared" ref="K105:L105" si="38">SUM(H105:J105)/3*(1+$F$125)</f>
        <v>583379.91082885407</v>
      </c>
      <c r="L105" s="175">
        <f t="shared" si="38"/>
        <v>706779.366354467</v>
      </c>
    </row>
    <row r="106" spans="1:12" ht="42" x14ac:dyDescent="0.25">
      <c r="A106" s="53" t="s">
        <v>181</v>
      </c>
      <c r="B106" s="175"/>
      <c r="C106" s="177">
        <f>C97-B97</f>
        <v>-138871</v>
      </c>
      <c r="D106" s="177">
        <f t="shared" ref="D106:L106" si="39">D97-C97</f>
        <v>-809598</v>
      </c>
      <c r="E106" s="177">
        <f t="shared" si="39"/>
        <v>987822</v>
      </c>
      <c r="F106" s="177">
        <f t="shared" si="39"/>
        <v>463234</v>
      </c>
      <c r="G106" s="177">
        <f>G97-F97</f>
        <v>7258551.0279571749</v>
      </c>
      <c r="H106" s="177">
        <f t="shared" si="39"/>
        <v>5850029.2625807263</v>
      </c>
      <c r="I106" s="177">
        <f t="shared" si="39"/>
        <v>8482542.4307420552</v>
      </c>
      <c r="J106" s="177">
        <f t="shared" si="39"/>
        <v>12299686.524575986</v>
      </c>
      <c r="K106" s="177">
        <f t="shared" si="39"/>
        <v>17834545.46063517</v>
      </c>
      <c r="L106" s="177">
        <f t="shared" si="39"/>
        <v>2873343.4353245497</v>
      </c>
    </row>
    <row r="107" spans="1:12" x14ac:dyDescent="0.25">
      <c r="A107" s="53" t="s">
        <v>182</v>
      </c>
      <c r="B107" s="175"/>
      <c r="C107" s="177">
        <f>C104+C105-C106</f>
        <v>365026</v>
      </c>
      <c r="D107" s="177">
        <f t="shared" ref="D107:E107" si="40">D104+D105-D106</f>
        <v>1223653</v>
      </c>
      <c r="E107" s="177">
        <f t="shared" si="40"/>
        <v>-164255</v>
      </c>
      <c r="F107" s="177">
        <f>F104+F105-F106</f>
        <v>888240</v>
      </c>
      <c r="G107" s="177">
        <f>G104+G105-G106</f>
        <v>-5308335.8279571747</v>
      </c>
      <c r="H107" s="177">
        <f t="shared" ref="H107:L107" si="41">H104+H105-H106</f>
        <v>-3105250.4575807266</v>
      </c>
      <c r="I107" s="177">
        <f t="shared" si="41"/>
        <v>-4585066.1737420559</v>
      </c>
      <c r="J107" s="177">
        <f t="shared" si="41"/>
        <v>-6732884.9854634861</v>
      </c>
      <c r="K107" s="177">
        <f t="shared" si="41"/>
        <v>-9883528.7803360038</v>
      </c>
      <c r="L107" s="177">
        <f t="shared" si="41"/>
        <v>5569454.538973745</v>
      </c>
    </row>
    <row r="108" spans="1:12" x14ac:dyDescent="0.25">
      <c r="A108" s="53"/>
      <c r="B108" s="181"/>
      <c r="C108" s="181"/>
      <c r="D108" s="175"/>
      <c r="E108" s="175"/>
      <c r="F108" s="175"/>
      <c r="G108" s="182"/>
      <c r="H108" s="180"/>
      <c r="I108" s="180"/>
      <c r="J108" s="180"/>
      <c r="K108" s="180"/>
      <c r="L108" s="180"/>
    </row>
    <row r="109" spans="1:12" ht="28" x14ac:dyDescent="0.25">
      <c r="A109" s="53" t="s">
        <v>1513</v>
      </c>
      <c r="B109" s="175">
        <f>SUMIFS(CF!F:F,CF!$A:$A,价值评估!$A$109)</f>
        <v>213598</v>
      </c>
      <c r="C109" s="175">
        <f>SUMIFS(CF!E:E,CF!$A:$A,价值评估!$A$109)</f>
        <v>324945</v>
      </c>
      <c r="D109" s="175">
        <f>SUMIFS(CF!D:D,CF!$A:$A,价值评估!$A$109)</f>
        <v>856450</v>
      </c>
      <c r="E109" s="175">
        <f>SUMIFS(CF!C:C,CF!$A:$A,价值评估!$A$109)</f>
        <v>1052690</v>
      </c>
      <c r="F109" s="175">
        <f>SUMIFS(CF!B:B,CF!$A:$A,价值评估!$A$109)</f>
        <v>1326538</v>
      </c>
      <c r="G109" s="182"/>
      <c r="H109" s="180"/>
      <c r="I109" s="180"/>
      <c r="J109" s="180"/>
      <c r="K109" s="180"/>
      <c r="L109" s="180"/>
    </row>
    <row r="110" spans="1:12" x14ac:dyDescent="0.25">
      <c r="A110" s="53" t="s">
        <v>283</v>
      </c>
      <c r="B110" s="175">
        <f t="shared" ref="B110:E110" si="42">B109-B107-B106</f>
        <v>213598</v>
      </c>
      <c r="C110" s="175">
        <f t="shared" si="42"/>
        <v>98790</v>
      </c>
      <c r="D110" s="175">
        <f t="shared" si="42"/>
        <v>442395</v>
      </c>
      <c r="E110" s="175">
        <f t="shared" si="42"/>
        <v>229123</v>
      </c>
      <c r="F110" s="175">
        <f>F109-F107-F106</f>
        <v>-24936</v>
      </c>
      <c r="G110" s="182"/>
      <c r="H110" s="180"/>
      <c r="I110" s="180"/>
      <c r="J110" s="180"/>
      <c r="K110" s="180"/>
      <c r="L110" s="180"/>
    </row>
    <row r="111" spans="1:12" x14ac:dyDescent="0.25">
      <c r="A111" s="53"/>
      <c r="B111" s="181"/>
      <c r="C111" s="181"/>
      <c r="D111" s="175"/>
      <c r="E111" s="175"/>
      <c r="F111" s="175"/>
      <c r="G111" s="182"/>
      <c r="H111" s="180"/>
      <c r="I111" s="180"/>
      <c r="J111" s="180"/>
      <c r="K111" s="180"/>
      <c r="L111" s="180"/>
    </row>
    <row r="112" spans="1:12" ht="21.75" customHeight="1" x14ac:dyDescent="0.25">
      <c r="A112" s="3" t="s">
        <v>1746</v>
      </c>
      <c r="B112" s="183" t="s">
        <v>1763</v>
      </c>
      <c r="C112" s="183">
        <f t="shared" ref="C112:L112" si="43">C105/C107</f>
        <v>0.57468509092502995</v>
      </c>
      <c r="D112" s="183">
        <f t="shared" si="43"/>
        <v>0.15637276253970692</v>
      </c>
      <c r="E112" s="183">
        <f t="shared" si="43"/>
        <v>-1.1763294876868284</v>
      </c>
      <c r="F112" s="183">
        <f t="shared" si="43"/>
        <v>0.22744866252364226</v>
      </c>
      <c r="G112" s="183">
        <f t="shared" si="43"/>
        <v>-5.3410326548444464E-2</v>
      </c>
      <c r="H112" s="183">
        <f t="shared" si="43"/>
        <v>-0.10565031612799343</v>
      </c>
      <c r="I112" s="183">
        <f t="shared" si="43"/>
        <v>-8.5767463101640129E-2</v>
      </c>
      <c r="J112" s="183">
        <f t="shared" si="43"/>
        <v>-7.213441691486383E-2</v>
      </c>
      <c r="K112" s="183">
        <f t="shared" si="43"/>
        <v>-5.9025467906718768E-2</v>
      </c>
      <c r="L112" s="183">
        <f t="shared" si="43"/>
        <v>0.12690279836357218</v>
      </c>
    </row>
    <row r="113" spans="1:12" x14ac:dyDescent="0.25">
      <c r="A113" s="3" t="s">
        <v>143</v>
      </c>
      <c r="B113" s="175">
        <f t="shared" ref="B113:E113" si="44">B107</f>
        <v>0</v>
      </c>
      <c r="C113" s="175">
        <f t="shared" si="44"/>
        <v>365026</v>
      </c>
      <c r="D113" s="175">
        <f t="shared" si="44"/>
        <v>1223653</v>
      </c>
      <c r="E113" s="175">
        <f t="shared" si="44"/>
        <v>-164255</v>
      </c>
      <c r="F113" s="175">
        <f>F107</f>
        <v>888240</v>
      </c>
      <c r="G113" s="175">
        <f t="shared" ref="G113:L113" si="45">G107</f>
        <v>-5308335.8279571747</v>
      </c>
      <c r="H113" s="175">
        <f t="shared" si="45"/>
        <v>-3105250.4575807266</v>
      </c>
      <c r="I113" s="175">
        <f t="shared" si="45"/>
        <v>-4585066.1737420559</v>
      </c>
      <c r="J113" s="175">
        <f t="shared" si="45"/>
        <v>-6732884.9854634861</v>
      </c>
      <c r="K113" s="175">
        <f t="shared" si="45"/>
        <v>-9883528.7803360038</v>
      </c>
      <c r="L113" s="175">
        <f t="shared" si="45"/>
        <v>5569454.538973745</v>
      </c>
    </row>
    <row r="114" spans="1:12" x14ac:dyDescent="0.25">
      <c r="A114" s="44"/>
      <c r="B114" s="174"/>
      <c r="C114" s="174"/>
      <c r="D114" s="174" t="s">
        <v>1764</v>
      </c>
      <c r="E114" s="174"/>
      <c r="F114" s="169"/>
      <c r="G114" s="169"/>
      <c r="H114" s="169"/>
      <c r="I114" s="169"/>
      <c r="J114" s="169"/>
      <c r="K114" s="169"/>
      <c r="L114" s="126"/>
    </row>
    <row r="115" spans="1:12" x14ac:dyDescent="0.25">
      <c r="A115" s="45"/>
      <c r="B115" s="45"/>
      <c r="C115" s="188" t="str">
        <f>BS数据!A103</f>
        <v>实收资本(或股本)(万元)</v>
      </c>
      <c r="D115" s="160">
        <f>BS数据!B103</f>
        <v>842625</v>
      </c>
      <c r="E115" s="46" t="s">
        <v>146</v>
      </c>
      <c r="F115" s="168"/>
      <c r="G115" s="164">
        <v>0.12</v>
      </c>
      <c r="H115" s="167">
        <f>G115</f>
        <v>0.12</v>
      </c>
      <c r="I115" s="167">
        <f>H115</f>
        <v>0.12</v>
      </c>
      <c r="J115" s="167">
        <f>I115</f>
        <v>0.12</v>
      </c>
      <c r="K115" s="167">
        <f>J115</f>
        <v>0.12</v>
      </c>
      <c r="L115" s="167">
        <f>K115</f>
        <v>0.12</v>
      </c>
    </row>
    <row r="116" spans="1:12" x14ac:dyDescent="0.25">
      <c r="A116" s="45"/>
      <c r="B116" s="45"/>
      <c r="C116" s="188" t="str">
        <f>BS数据!A104</f>
        <v>资本公积(万元)</v>
      </c>
      <c r="D116" s="160">
        <f>BS数据!B104</f>
        <v>594832</v>
      </c>
      <c r="E116" s="46" t="s">
        <v>148</v>
      </c>
      <c r="F116" s="168">
        <v>1</v>
      </c>
      <c r="G116" s="168">
        <f>F116/(1+G115)</f>
        <v>0.89285714285714279</v>
      </c>
      <c r="H116" s="168">
        <f>G116/(1+H115)</f>
        <v>0.79719387755102022</v>
      </c>
      <c r="I116" s="168">
        <f t="shared" ref="I116:L116" si="46">H116/(1+I115)</f>
        <v>0.71178024781341087</v>
      </c>
      <c r="J116" s="168">
        <f t="shared" si="46"/>
        <v>0.6355180784048311</v>
      </c>
      <c r="K116" s="168">
        <f t="shared" si="46"/>
        <v>0.56742685571859919</v>
      </c>
      <c r="L116" s="168">
        <f t="shared" si="46"/>
        <v>0.50663112117732068</v>
      </c>
    </row>
    <row r="117" spans="1:12" x14ac:dyDescent="0.25">
      <c r="A117" s="45"/>
      <c r="B117" s="45"/>
      <c r="C117" s="188" t="str">
        <f>BS数据!A105</f>
        <v>减:库存股(万元)</v>
      </c>
      <c r="D117" s="160">
        <v>0</v>
      </c>
      <c r="E117" s="46" t="s">
        <v>150</v>
      </c>
      <c r="F117" s="163">
        <f>SUM(G117:K117)</f>
        <v>-20365681.53842175</v>
      </c>
      <c r="G117" s="163">
        <f>G113*G116</f>
        <v>-4739585.5606760485</v>
      </c>
      <c r="H117" s="163">
        <f t="shared" ref="H117:K117" si="47">H113*H116</f>
        <v>-2475486.6530458592</v>
      </c>
      <c r="I117" s="163">
        <f t="shared" si="47"/>
        <v>-3263559.5373870083</v>
      </c>
      <c r="J117" s="163">
        <f t="shared" si="47"/>
        <v>-4278870.1280824943</v>
      </c>
      <c r="K117" s="163">
        <f t="shared" si="47"/>
        <v>-5608179.6592303403</v>
      </c>
      <c r="L117" s="215">
        <f>L113/($G$115-$F$126)</f>
        <v>79563636.271053508</v>
      </c>
    </row>
    <row r="118" spans="1:12" x14ac:dyDescent="0.25">
      <c r="A118" s="45"/>
      <c r="B118" s="45"/>
      <c r="C118" s="189" t="s">
        <v>1780</v>
      </c>
      <c r="D118" s="190">
        <f>D119*10000/F121</f>
        <v>0.77067346119794888</v>
      </c>
      <c r="E118" s="46" t="s">
        <v>151</v>
      </c>
      <c r="F118" s="163">
        <f>L117*K116</f>
        <v>45146543.958822183</v>
      </c>
      <c r="G118" s="163"/>
      <c r="H118" s="169"/>
      <c r="I118" s="169"/>
      <c r="J118" s="169"/>
      <c r="K118" s="170"/>
      <c r="L118" s="216"/>
    </row>
    <row r="119" spans="1:12" ht="22.5" customHeight="1" x14ac:dyDescent="0.25">
      <c r="A119" s="45"/>
      <c r="B119" s="45"/>
      <c r="C119" s="45" t="s">
        <v>1658</v>
      </c>
      <c r="D119" s="161">
        <v>1818</v>
      </c>
      <c r="E119" s="46" t="s">
        <v>153</v>
      </c>
      <c r="F119" s="163">
        <f>F117+F118</f>
        <v>24780862.420400433</v>
      </c>
      <c r="G119" s="163"/>
      <c r="H119" s="169"/>
      <c r="I119" s="169"/>
      <c r="J119" s="169"/>
      <c r="K119" s="171"/>
      <c r="L119" s="126"/>
    </row>
    <row r="120" spans="1:12" x14ac:dyDescent="0.25">
      <c r="A120" s="47"/>
      <c r="B120" s="47"/>
      <c r="C120" s="47" t="s">
        <v>1659</v>
      </c>
      <c r="D120" s="160">
        <f>D119/(D115-D117)*10000</f>
        <v>21.575433911882509</v>
      </c>
      <c r="E120" s="46" t="s">
        <v>174</v>
      </c>
      <c r="F120" s="163">
        <f>F98</f>
        <v>1191105</v>
      </c>
      <c r="G120" s="163" t="s">
        <v>1761</v>
      </c>
      <c r="H120" s="169"/>
      <c r="I120" s="169"/>
      <c r="J120" s="169"/>
      <c r="K120" s="169"/>
      <c r="L120" s="126"/>
    </row>
    <row r="121" spans="1:12" x14ac:dyDescent="0.25">
      <c r="A121" s="45"/>
      <c r="B121" s="45"/>
      <c r="C121" s="45" t="s">
        <v>156</v>
      </c>
      <c r="D121" s="162">
        <f>F98/F97</f>
        <v>0.20745486295078266</v>
      </c>
      <c r="E121" s="46" t="s">
        <v>157</v>
      </c>
      <c r="F121" s="163">
        <f>F119-F120</f>
        <v>23589757.420400433</v>
      </c>
      <c r="G121" s="163"/>
      <c r="H121" s="169"/>
      <c r="I121" s="169"/>
      <c r="J121" s="169"/>
      <c r="K121" s="169"/>
      <c r="L121" s="126"/>
    </row>
    <row r="122" spans="1:12" ht="15" x14ac:dyDescent="0.25">
      <c r="A122" s="45"/>
      <c r="B122" s="45"/>
      <c r="C122" s="45" t="s">
        <v>1748</v>
      </c>
      <c r="D122" s="162">
        <f>D123/D120-1</f>
        <v>1.9678217821782251E-2</v>
      </c>
      <c r="E122" s="69" t="s">
        <v>159</v>
      </c>
      <c r="F122" s="173">
        <f>IFERROR(F121/D115,0)</f>
        <v>27.995558428008227</v>
      </c>
      <c r="G122" s="165"/>
      <c r="H122" s="169"/>
      <c r="I122" s="169"/>
      <c r="J122" s="169"/>
      <c r="K122" s="169"/>
      <c r="L122" s="126"/>
    </row>
    <row r="123" spans="1:12" x14ac:dyDescent="0.25">
      <c r="A123" s="45"/>
      <c r="B123" s="45"/>
      <c r="C123" s="45" t="s">
        <v>1747</v>
      </c>
      <c r="D123" s="161">
        <v>22</v>
      </c>
      <c r="E123" s="46" t="s">
        <v>161</v>
      </c>
      <c r="F123" s="163">
        <f>BS!C133</f>
        <v>0</v>
      </c>
      <c r="G123" s="165"/>
      <c r="H123" s="169"/>
      <c r="I123" s="169"/>
      <c r="J123" s="169"/>
      <c r="K123" s="169"/>
      <c r="L123" s="126"/>
    </row>
    <row r="124" spans="1:12" x14ac:dyDescent="0.25">
      <c r="A124" s="45"/>
      <c r="B124" s="45"/>
      <c r="C124" s="45"/>
      <c r="D124" s="160"/>
      <c r="E124" s="45"/>
      <c r="F124" s="163"/>
      <c r="G124" s="165" t="s">
        <v>1762</v>
      </c>
      <c r="H124" s="169"/>
      <c r="I124" s="169"/>
      <c r="J124" s="169"/>
      <c r="K124" s="169"/>
      <c r="L124" s="126"/>
    </row>
    <row r="125" spans="1:12" x14ac:dyDescent="0.25">
      <c r="A125" s="47"/>
      <c r="B125" s="47"/>
      <c r="C125" s="47" t="s">
        <v>163</v>
      </c>
      <c r="D125" s="160"/>
      <c r="E125" s="45" t="s">
        <v>164</v>
      </c>
      <c r="F125" s="164">
        <v>0.45</v>
      </c>
      <c r="G125" s="172">
        <f>(D6/C6-1)/3+(E6/D6-1)/3+(F6/E6-1)/3</f>
        <v>0.48611086474376375</v>
      </c>
      <c r="H125" s="169"/>
      <c r="I125" s="169"/>
      <c r="J125" s="169"/>
      <c r="K125" s="169"/>
      <c r="L125" s="126"/>
    </row>
    <row r="126" spans="1:12" x14ac:dyDescent="0.25">
      <c r="A126" s="45"/>
      <c r="B126" s="45"/>
      <c r="C126" s="45" t="s">
        <v>165</v>
      </c>
      <c r="D126" s="160">
        <f>D123/F128</f>
        <v>16.127565912244606</v>
      </c>
      <c r="E126" s="45" t="s">
        <v>166</v>
      </c>
      <c r="F126" s="164">
        <v>0.05</v>
      </c>
      <c r="G126" s="165"/>
      <c r="H126" s="169"/>
      <c r="I126" s="169"/>
      <c r="J126" s="169"/>
      <c r="K126" s="169"/>
      <c r="L126" s="126"/>
    </row>
    <row r="127" spans="1:12" x14ac:dyDescent="0.25">
      <c r="A127" s="45"/>
      <c r="B127" s="45"/>
      <c r="C127" s="45" t="s">
        <v>167</v>
      </c>
      <c r="D127" s="160"/>
      <c r="E127" s="28" t="s">
        <v>168</v>
      </c>
      <c r="F127" s="166">
        <v>0.25</v>
      </c>
      <c r="G127" s="165"/>
      <c r="H127" s="169"/>
      <c r="I127" s="169"/>
      <c r="J127" s="169"/>
      <c r="K127" s="169"/>
      <c r="L127" s="126"/>
    </row>
    <row r="128" spans="1:12" x14ac:dyDescent="0.25">
      <c r="A128" s="45"/>
      <c r="B128" s="45"/>
      <c r="C128" s="45" t="s">
        <v>169</v>
      </c>
      <c r="D128" s="160"/>
      <c r="E128" s="28" t="s">
        <v>1676</v>
      </c>
      <c r="F128" s="184">
        <f>F45/D115</f>
        <v>1.3641240172081293</v>
      </c>
      <c r="G128" s="165"/>
      <c r="H128" s="169"/>
      <c r="I128" s="169"/>
      <c r="J128" s="169"/>
      <c r="K128" s="169"/>
      <c r="L128" s="126"/>
    </row>
    <row r="129" spans="1:12" x14ac:dyDescent="0.25">
      <c r="A129" s="45"/>
      <c r="B129" s="45"/>
      <c r="C129" s="45" t="s">
        <v>171</v>
      </c>
      <c r="D129" s="160">
        <f>D123/(F96/D115)</f>
        <v>3.4979579560086891</v>
      </c>
      <c r="E129" s="28" t="s">
        <v>172</v>
      </c>
      <c r="F129" s="166">
        <f>F45/F96</f>
        <v>0.21689311177162318</v>
      </c>
      <c r="G129" s="165"/>
      <c r="H129" s="169"/>
      <c r="I129" s="169"/>
      <c r="J129" s="169"/>
      <c r="K129" s="169"/>
      <c r="L129" s="126"/>
    </row>
    <row r="130" spans="1:12" x14ac:dyDescent="0.25">
      <c r="A130" s="45"/>
      <c r="B130" s="45"/>
      <c r="C130" s="45" t="s">
        <v>173</v>
      </c>
      <c r="D130" s="160">
        <f>D123/(F6/D115)</f>
        <v>2.4499522637451867</v>
      </c>
      <c r="E130" s="28" t="s">
        <v>175</v>
      </c>
      <c r="F130" s="166"/>
      <c r="G130" s="165"/>
      <c r="H130" s="169"/>
      <c r="I130" s="169"/>
      <c r="J130" s="169"/>
      <c r="K130" s="169"/>
      <c r="L130" s="126"/>
    </row>
    <row r="131" spans="1:12" x14ac:dyDescent="0.25">
      <c r="A131" s="44"/>
      <c r="B131" s="44"/>
      <c r="C131" s="44"/>
      <c r="D131" s="44"/>
      <c r="E131" s="44"/>
      <c r="F131" s="4"/>
      <c r="G131" s="4"/>
      <c r="H131" s="4"/>
      <c r="I131" s="4"/>
      <c r="J131" s="4"/>
      <c r="K131" s="4"/>
    </row>
    <row r="132" spans="1:12" x14ac:dyDescent="0.25">
      <c r="A132" s="50"/>
      <c r="B132" s="50"/>
      <c r="C132" s="50"/>
      <c r="F132"/>
    </row>
    <row r="133" spans="1:12" x14ac:dyDescent="0.25">
      <c r="A133" s="50"/>
      <c r="B133" s="50"/>
      <c r="C133" s="50"/>
      <c r="F133"/>
    </row>
    <row r="135" spans="1:12" x14ac:dyDescent="0.25">
      <c r="F135" s="71"/>
      <c r="G135" s="64"/>
      <c r="H135" s="70"/>
    </row>
    <row r="136" spans="1:12" x14ac:dyDescent="0.25">
      <c r="G136" s="64"/>
      <c r="H136" s="64"/>
    </row>
    <row r="138" spans="1:12" x14ac:dyDescent="0.25">
      <c r="G138" s="65"/>
    </row>
    <row r="139" spans="1:12" x14ac:dyDescent="0.25">
      <c r="G139" s="55"/>
    </row>
  </sheetData>
  <mergeCells count="1">
    <mergeCell ref="L117:L118"/>
  </mergeCells>
  <phoneticPr fontId="3"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sheetPr>
  <dimension ref="A1:DB161"/>
  <sheetViews>
    <sheetView zoomScaleNormal="100" workbookViewId="0">
      <selection activeCell="A2" sqref="A2:E2"/>
    </sheetView>
  </sheetViews>
  <sheetFormatPr defaultColWidth="9" defaultRowHeight="14" x14ac:dyDescent="0.25"/>
  <cols>
    <col min="1" max="1" width="12.453125" style="72" bestFit="1" customWidth="1"/>
    <col min="2" max="2" width="11.26953125" style="72" customWidth="1"/>
    <col min="3" max="11" width="9" style="72"/>
    <col min="12" max="12" width="11.90625" style="72" customWidth="1"/>
    <col min="13" max="16384" width="9" style="72"/>
  </cols>
  <sheetData>
    <row r="1" spans="1:19" x14ac:dyDescent="0.25">
      <c r="A1" s="72" t="s">
        <v>284</v>
      </c>
      <c r="B1" s="72" t="s">
        <v>285</v>
      </c>
      <c r="C1" s="72" t="s">
        <v>286</v>
      </c>
      <c r="D1" s="72" t="s">
        <v>287</v>
      </c>
      <c r="E1" s="72" t="s">
        <v>288</v>
      </c>
      <c r="F1" s="72" t="s">
        <v>293</v>
      </c>
      <c r="G1" s="72" t="s">
        <v>284</v>
      </c>
      <c r="H1" s="72" t="s">
        <v>285</v>
      </c>
      <c r="I1" s="72" t="s">
        <v>286</v>
      </c>
      <c r="J1" s="72" t="s">
        <v>287</v>
      </c>
      <c r="K1" s="72" t="s">
        <v>288</v>
      </c>
      <c r="L1" s="72" t="s">
        <v>293</v>
      </c>
      <c r="M1" s="72" t="s">
        <v>329</v>
      </c>
      <c r="N1" s="72" t="s">
        <v>1823</v>
      </c>
      <c r="O1" s="72" t="s">
        <v>1824</v>
      </c>
      <c r="P1" s="72" t="s">
        <v>1825</v>
      </c>
      <c r="Q1" s="72" t="s">
        <v>1678</v>
      </c>
      <c r="R1" s="72" t="s">
        <v>1829</v>
      </c>
    </row>
    <row r="2" spans="1:19" x14ac:dyDescent="0.25">
      <c r="A2" s="72">
        <v>600031</v>
      </c>
      <c r="B2" s="72" t="s">
        <v>1826</v>
      </c>
      <c r="C2" s="72">
        <v>3.25</v>
      </c>
      <c r="D2" s="72">
        <v>1.45</v>
      </c>
      <c r="E2" s="72">
        <v>34</v>
      </c>
      <c r="F2" s="72">
        <v>27.995558428008227</v>
      </c>
      <c r="G2" s="72">
        <v>600031</v>
      </c>
      <c r="H2" s="72" t="s">
        <v>1826</v>
      </c>
      <c r="I2" s="72">
        <v>3.25</v>
      </c>
      <c r="J2" s="72">
        <v>1.45</v>
      </c>
      <c r="K2" s="72">
        <v>34</v>
      </c>
      <c r="L2" s="66">
        <v>13</v>
      </c>
      <c r="M2" s="112">
        <f>IFERROR(L2/K2-1,0)</f>
        <v>-0.61764705882352944</v>
      </c>
      <c r="N2" s="66">
        <v>0.42</v>
      </c>
      <c r="O2" s="109">
        <f t="shared" ref="O2:O15" si="0">IFERROR(N2/K2,0)</f>
        <v>1.2352941176470587E-2</v>
      </c>
      <c r="P2" s="109">
        <v>0.23300000000000001</v>
      </c>
      <c r="Q2" s="109">
        <v>0.54220000000000002</v>
      </c>
      <c r="R2" s="109">
        <v>0.17469999999999999</v>
      </c>
    </row>
    <row r="3" spans="1:19" x14ac:dyDescent="0.25">
      <c r="G3" s="113" t="s">
        <v>1827</v>
      </c>
      <c r="H3" s="72" t="s">
        <v>1828</v>
      </c>
      <c r="I3" s="72">
        <v>2.44</v>
      </c>
      <c r="J3" s="72">
        <v>3.09</v>
      </c>
      <c r="K3" s="72">
        <v>6</v>
      </c>
      <c r="L3" s="66">
        <v>0</v>
      </c>
      <c r="M3" s="112">
        <f t="shared" ref="M3:M16" si="1">IFERROR(L3/K3-1,0)</f>
        <v>-1</v>
      </c>
      <c r="N3" s="66">
        <v>0.02</v>
      </c>
      <c r="O3" s="109">
        <f t="shared" si="0"/>
        <v>3.3333333333333335E-3</v>
      </c>
      <c r="P3" s="109">
        <v>2.4500000000000001E-2</v>
      </c>
      <c r="Q3" s="109">
        <v>0.57720000000000005</v>
      </c>
      <c r="R3" s="109">
        <v>1.49E-2</v>
      </c>
    </row>
    <row r="4" spans="1:19" x14ac:dyDescent="0.25">
      <c r="G4" s="72">
        <v>300016</v>
      </c>
      <c r="H4" s="72" t="s">
        <v>292</v>
      </c>
      <c r="I4" s="72">
        <v>2.27</v>
      </c>
      <c r="J4" s="72">
        <v>2.04</v>
      </c>
      <c r="K4" s="72">
        <v>9.85</v>
      </c>
      <c r="L4" s="66">
        <v>15</v>
      </c>
      <c r="M4" s="112">
        <f t="shared" si="1"/>
        <v>0.52284263959390875</v>
      </c>
      <c r="N4" s="66">
        <v>7.0000000000000007E-2</v>
      </c>
      <c r="O4" s="109">
        <f t="shared" si="0"/>
        <v>7.1065989847715746E-3</v>
      </c>
      <c r="P4" s="109">
        <v>0.1002</v>
      </c>
      <c r="Q4" s="109">
        <v>0.2084</v>
      </c>
      <c r="R4" s="109">
        <v>0.24179999999999999</v>
      </c>
    </row>
    <row r="5" spans="1:19" x14ac:dyDescent="0.25">
      <c r="G5" s="72" t="s">
        <v>324</v>
      </c>
      <c r="H5" s="72" t="s">
        <v>291</v>
      </c>
      <c r="I5" s="72">
        <v>2.2599999999999998</v>
      </c>
      <c r="J5" s="72">
        <v>2.69</v>
      </c>
      <c r="K5" s="72">
        <v>26</v>
      </c>
      <c r="L5" s="66">
        <v>32.729999999999997</v>
      </c>
      <c r="M5" s="112">
        <f t="shared" si="1"/>
        <v>0.25884615384615373</v>
      </c>
      <c r="N5" s="66">
        <v>0.28000000000000003</v>
      </c>
      <c r="O5" s="109">
        <f t="shared" si="0"/>
        <v>1.0769230769230771E-2</v>
      </c>
      <c r="P5" s="109">
        <v>0.16800000000000001</v>
      </c>
      <c r="Q5" s="109">
        <v>0.39369999999999999</v>
      </c>
      <c r="R5" s="109">
        <v>9.6500000000000002E-2</v>
      </c>
    </row>
    <row r="6" spans="1:19" x14ac:dyDescent="0.25">
      <c r="A6" s="113"/>
      <c r="G6" s="72">
        <v>600801</v>
      </c>
      <c r="H6" s="72" t="s">
        <v>289</v>
      </c>
      <c r="I6" s="72">
        <v>1.76</v>
      </c>
      <c r="J6" s="72">
        <v>3.1</v>
      </c>
      <c r="K6" s="72">
        <v>20.55</v>
      </c>
      <c r="L6" s="66">
        <v>59.825426199797853</v>
      </c>
      <c r="M6" s="112">
        <f t="shared" si="1"/>
        <v>1.9112129537614524</v>
      </c>
      <c r="N6" s="66">
        <v>1.21</v>
      </c>
      <c r="O6" s="109">
        <f t="shared" si="0"/>
        <v>5.8880778588807782E-2</v>
      </c>
      <c r="P6" s="109">
        <v>0.1825</v>
      </c>
      <c r="Q6" s="109">
        <v>0.38129999999999997</v>
      </c>
      <c r="R6" s="109">
        <v>0.21099999999999999</v>
      </c>
    </row>
    <row r="7" spans="1:19" x14ac:dyDescent="0.25">
      <c r="A7" s="113"/>
      <c r="G7" s="72">
        <v>600352</v>
      </c>
      <c r="H7" s="72" t="s">
        <v>318</v>
      </c>
      <c r="I7" s="72">
        <v>1.1299999999999999</v>
      </c>
      <c r="J7" s="72">
        <v>2.46</v>
      </c>
      <c r="K7" s="72">
        <v>13.54</v>
      </c>
      <c r="L7" s="66">
        <v>18.22</v>
      </c>
      <c r="M7" s="112">
        <f t="shared" si="1"/>
        <v>0.34564254062038402</v>
      </c>
      <c r="N7">
        <v>0.8</v>
      </c>
      <c r="O7" s="109">
        <f t="shared" si="0"/>
        <v>5.9084194977843431E-2</v>
      </c>
      <c r="P7" s="109">
        <v>0.1177</v>
      </c>
      <c r="Q7" s="109">
        <v>0.46089999999999998</v>
      </c>
      <c r="R7" s="109">
        <v>0.2848</v>
      </c>
      <c r="S7" s="72" t="s">
        <v>332</v>
      </c>
    </row>
    <row r="8" spans="1:19" x14ac:dyDescent="0.25">
      <c r="G8" s="72">
        <v>600585</v>
      </c>
      <c r="H8" s="72" t="s">
        <v>319</v>
      </c>
      <c r="I8" s="72">
        <v>0.74</v>
      </c>
      <c r="J8" s="72">
        <v>2.09</v>
      </c>
      <c r="K8" s="72">
        <v>51</v>
      </c>
      <c r="L8" s="66">
        <v>140.97</v>
      </c>
      <c r="M8" s="112">
        <f t="shared" si="1"/>
        <v>1.7641176470588236</v>
      </c>
      <c r="N8" s="64">
        <v>2</v>
      </c>
      <c r="O8" s="109">
        <f t="shared" si="0"/>
        <v>3.9215686274509803E-2</v>
      </c>
      <c r="P8" s="109">
        <v>0.16309999999999999</v>
      </c>
      <c r="Q8" s="109">
        <v>0.1986</v>
      </c>
      <c r="R8" s="109">
        <v>0.2064</v>
      </c>
    </row>
    <row r="9" spans="1:19" x14ac:dyDescent="0.25">
      <c r="G9" s="72" t="s">
        <v>325</v>
      </c>
      <c r="H9" s="72" t="s">
        <v>320</v>
      </c>
      <c r="I9" s="72">
        <v>0.68</v>
      </c>
      <c r="J9" s="72">
        <v>1.36</v>
      </c>
      <c r="K9" s="72">
        <v>23</v>
      </c>
      <c r="L9" s="66">
        <v>28.55</v>
      </c>
      <c r="M9" s="112">
        <f t="shared" si="1"/>
        <v>0.24130434782608701</v>
      </c>
      <c r="N9" s="66">
        <v>1.1000000000000001</v>
      </c>
      <c r="O9" s="109">
        <f t="shared" si="0"/>
        <v>4.7826086956521741E-2</v>
      </c>
      <c r="P9" s="109">
        <v>0.1258</v>
      </c>
      <c r="Q9" s="109">
        <v>0.3039</v>
      </c>
      <c r="R9" s="109">
        <v>0.2286</v>
      </c>
    </row>
    <row r="10" spans="1:19" x14ac:dyDescent="0.25">
      <c r="G10" s="72" t="s">
        <v>326</v>
      </c>
      <c r="H10" s="72" t="s">
        <v>321</v>
      </c>
      <c r="I10" s="72">
        <v>0.55000000000000004</v>
      </c>
      <c r="J10" s="72">
        <v>1.75</v>
      </c>
      <c r="K10" s="72">
        <v>14.85</v>
      </c>
      <c r="L10" s="66">
        <v>21.19</v>
      </c>
      <c r="M10" s="112">
        <f t="shared" si="1"/>
        <v>0.42693602693602695</v>
      </c>
      <c r="N10" s="66">
        <v>0.97</v>
      </c>
      <c r="O10" s="109">
        <f t="shared" si="0"/>
        <v>6.531986531986532E-2</v>
      </c>
      <c r="P10" s="109">
        <v>0.10780000000000001</v>
      </c>
      <c r="Q10" s="109">
        <v>0.35549999999999998</v>
      </c>
      <c r="R10" s="109">
        <v>0.15559999999999999</v>
      </c>
    </row>
    <row r="11" spans="1:19" x14ac:dyDescent="0.25">
      <c r="G11" s="72">
        <v>601318</v>
      </c>
      <c r="H11" s="72" t="s">
        <v>322</v>
      </c>
      <c r="I11" s="72">
        <v>0.53</v>
      </c>
      <c r="J11" s="72">
        <v>1.0900000000000001</v>
      </c>
      <c r="K11" s="72">
        <v>82.8</v>
      </c>
      <c r="L11" s="66">
        <v>338.6</v>
      </c>
      <c r="M11" s="112">
        <f t="shared" si="1"/>
        <v>3.0893719806763293</v>
      </c>
      <c r="N11" s="66">
        <v>0.8</v>
      </c>
      <c r="O11" s="109">
        <f t="shared" si="0"/>
        <v>9.6618357487922718E-3</v>
      </c>
      <c r="P11" s="109">
        <v>0.1452</v>
      </c>
      <c r="Q11" s="109">
        <v>0.89759999999999995</v>
      </c>
      <c r="R11" s="109">
        <v>0.12529999999999999</v>
      </c>
    </row>
    <row r="12" spans="1:19" x14ac:dyDescent="0.25">
      <c r="G12" s="72" t="s">
        <v>327</v>
      </c>
      <c r="H12" s="72" t="s">
        <v>290</v>
      </c>
      <c r="I12" s="72">
        <v>-0.21</v>
      </c>
      <c r="J12" s="72">
        <v>1.53</v>
      </c>
      <c r="K12" s="72">
        <v>28</v>
      </c>
      <c r="L12" s="66">
        <v>65.23</v>
      </c>
      <c r="M12" s="112">
        <f t="shared" si="1"/>
        <v>1.3296428571428573</v>
      </c>
      <c r="N12" s="66">
        <v>1.0165999999999999</v>
      </c>
      <c r="O12" s="109">
        <f t="shared" si="0"/>
        <v>3.6307142857142857E-2</v>
      </c>
      <c r="P12" s="109">
        <v>9.8000000000000004E-2</v>
      </c>
      <c r="Q12" s="109">
        <v>0.83320000000000005</v>
      </c>
      <c r="R12" s="109">
        <v>0.1245</v>
      </c>
    </row>
    <row r="13" spans="1:19" x14ac:dyDescent="0.25">
      <c r="G13" s="15" t="s">
        <v>328</v>
      </c>
      <c r="H13" s="15" t="s">
        <v>323</v>
      </c>
      <c r="I13" s="15">
        <v>-0.37</v>
      </c>
      <c r="J13" s="15">
        <v>1.37</v>
      </c>
      <c r="K13" s="15">
        <v>59.23</v>
      </c>
      <c r="L13" s="127">
        <v>111.9</v>
      </c>
      <c r="M13" s="112">
        <f t="shared" si="1"/>
        <v>0.88924531487421943</v>
      </c>
      <c r="N13" s="66">
        <v>1</v>
      </c>
      <c r="O13" s="109">
        <f t="shared" si="0"/>
        <v>1.6883336147222691E-2</v>
      </c>
      <c r="P13" s="109">
        <v>0.11940000000000001</v>
      </c>
      <c r="Q13" s="109">
        <v>0.57579999999999998</v>
      </c>
      <c r="R13" s="109">
        <v>0.1096</v>
      </c>
    </row>
    <row r="14" spans="1:19" x14ac:dyDescent="0.25">
      <c r="G14" s="72">
        <v>600507</v>
      </c>
      <c r="H14" s="72" t="s">
        <v>1778</v>
      </c>
      <c r="I14" s="72">
        <v>0.55000000000000004</v>
      </c>
      <c r="J14" s="72">
        <v>1.75</v>
      </c>
      <c r="K14" s="72">
        <v>6.96</v>
      </c>
      <c r="L14" s="66">
        <v>14</v>
      </c>
      <c r="M14" s="112">
        <f t="shared" si="1"/>
        <v>1.0114942528735633</v>
      </c>
      <c r="N14" s="66">
        <v>1.7</v>
      </c>
      <c r="O14" s="109">
        <f t="shared" si="0"/>
        <v>0.2442528735632184</v>
      </c>
      <c r="P14" s="109">
        <v>0.1774</v>
      </c>
      <c r="Q14" s="109">
        <v>0.41539999999999999</v>
      </c>
      <c r="R14" s="109">
        <v>0.12820000000000001</v>
      </c>
    </row>
    <row r="15" spans="1:19" x14ac:dyDescent="0.25">
      <c r="G15" s="113">
        <v>601225</v>
      </c>
      <c r="H15" s="72" t="s">
        <v>1813</v>
      </c>
      <c r="I15" s="72">
        <v>2.44</v>
      </c>
      <c r="J15" s="72">
        <v>2.09</v>
      </c>
      <c r="K15" s="72">
        <v>10.36</v>
      </c>
      <c r="L15" s="66">
        <v>35.995764483241572</v>
      </c>
      <c r="M15" s="112">
        <f t="shared" si="1"/>
        <v>2.4744946412395343</v>
      </c>
      <c r="N15" s="66">
        <v>0.36</v>
      </c>
      <c r="O15" s="109">
        <f t="shared" si="0"/>
        <v>3.4749034749034749E-2</v>
      </c>
      <c r="P15" s="109">
        <v>0.17080000000000001</v>
      </c>
      <c r="Q15" s="109">
        <v>0.33829999999999999</v>
      </c>
      <c r="R15" s="109">
        <v>0.2283</v>
      </c>
    </row>
    <row r="16" spans="1:19" x14ac:dyDescent="0.25">
      <c r="G16" s="72">
        <v>600019</v>
      </c>
      <c r="H16" s="72" t="s">
        <v>1830</v>
      </c>
      <c r="K16" s="72">
        <v>6.01</v>
      </c>
      <c r="L16" s="66">
        <v>9.2200000000000006</v>
      </c>
      <c r="M16" s="112">
        <f t="shared" si="1"/>
        <v>0.534109816971714</v>
      </c>
      <c r="N16" s="66">
        <v>0.28000000000000003</v>
      </c>
      <c r="O16" s="109">
        <f t="shared" ref="O16" si="2">IFERROR(N16/K16,0)</f>
        <v>4.6589018302828626E-2</v>
      </c>
      <c r="P16" s="109">
        <v>4.36E-2</v>
      </c>
      <c r="Q16" s="109">
        <v>0.45340000000000003</v>
      </c>
      <c r="R16" s="109">
        <v>4.3700000000000003E-2</v>
      </c>
      <c r="S16" s="72" t="s">
        <v>331</v>
      </c>
    </row>
    <row r="17" spans="7:106" x14ac:dyDescent="0.25">
      <c r="M17" s="112"/>
      <c r="N17" s="112"/>
    </row>
    <row r="18" spans="7:106" x14ac:dyDescent="0.25">
      <c r="M18" s="112"/>
      <c r="N18" s="112"/>
      <c r="S18" s="72" t="s">
        <v>330</v>
      </c>
    </row>
    <row r="19" spans="7:106" x14ac:dyDescent="0.25">
      <c r="M19" s="112"/>
      <c r="N19" s="112"/>
    </row>
    <row r="20" spans="7:106" x14ac:dyDescent="0.25">
      <c r="M20" s="112"/>
      <c r="N20" s="112"/>
    </row>
    <row r="21" spans="7:106" x14ac:dyDescent="0.25">
      <c r="M21" s="112"/>
    </row>
    <row r="22" spans="7:106" x14ac:dyDescent="0.25">
      <c r="M22" s="112"/>
    </row>
    <row r="23" spans="7:106" x14ac:dyDescent="0.25">
      <c r="M23" s="112"/>
    </row>
    <row r="24" spans="7:106" x14ac:dyDescent="0.25">
      <c r="M24" s="112"/>
    </row>
    <row r="25" spans="7:106" x14ac:dyDescent="0.25">
      <c r="M25" s="112"/>
    </row>
    <row r="30" spans="7:106" x14ac:dyDescent="0.25">
      <c r="G30" s="72" t="s">
        <v>284</v>
      </c>
      <c r="H30" s="72" t="s">
        <v>285</v>
      </c>
      <c r="I30" s="72" t="s">
        <v>286</v>
      </c>
      <c r="J30" s="72" t="s">
        <v>287</v>
      </c>
      <c r="K30" s="72" t="s">
        <v>288</v>
      </c>
      <c r="L30" s="72" t="s">
        <v>333</v>
      </c>
      <c r="M30" s="72" t="s">
        <v>334</v>
      </c>
      <c r="N30" s="72" t="s">
        <v>335</v>
      </c>
      <c r="O30" s="72" t="s">
        <v>336</v>
      </c>
      <c r="P30" s="72" t="s">
        <v>337</v>
      </c>
      <c r="Q30" s="72" t="s">
        <v>338</v>
      </c>
      <c r="R30" s="72" t="s">
        <v>339</v>
      </c>
      <c r="S30" s="72" t="s">
        <v>340</v>
      </c>
      <c r="T30" s="72" t="s">
        <v>341</v>
      </c>
      <c r="U30" s="72" t="s">
        <v>342</v>
      </c>
      <c r="V30" s="72" t="s">
        <v>343</v>
      </c>
      <c r="W30" s="72" t="s">
        <v>344</v>
      </c>
      <c r="X30" s="72" t="s">
        <v>345</v>
      </c>
      <c r="Y30" s="72" t="s">
        <v>346</v>
      </c>
      <c r="Z30" s="72" t="s">
        <v>347</v>
      </c>
      <c r="AA30" s="72" t="s">
        <v>419</v>
      </c>
      <c r="AB30" s="72" t="s">
        <v>420</v>
      </c>
      <c r="AC30" s="72" t="s">
        <v>421</v>
      </c>
      <c r="AD30" s="72" t="s">
        <v>422</v>
      </c>
      <c r="AE30" s="72" t="s">
        <v>423</v>
      </c>
      <c r="AF30" s="72" t="s">
        <v>424</v>
      </c>
      <c r="AG30" s="72" t="s">
        <v>425</v>
      </c>
      <c r="AH30" s="72" t="s">
        <v>426</v>
      </c>
      <c r="AI30" s="72" t="s">
        <v>427</v>
      </c>
      <c r="AJ30" s="72" t="s">
        <v>428</v>
      </c>
      <c r="AK30" s="72" t="s">
        <v>429</v>
      </c>
      <c r="AL30" s="72" t="s">
        <v>430</v>
      </c>
      <c r="AM30" s="72" t="s">
        <v>431</v>
      </c>
      <c r="AN30" s="72" t="s">
        <v>432</v>
      </c>
      <c r="AO30" s="72" t="s">
        <v>433</v>
      </c>
      <c r="AP30" s="72" t="s">
        <v>434</v>
      </c>
      <c r="AQ30" s="72" t="s">
        <v>435</v>
      </c>
      <c r="AR30" s="72" t="s">
        <v>436</v>
      </c>
      <c r="AS30" s="72" t="s">
        <v>437</v>
      </c>
      <c r="AT30" s="72" t="s">
        <v>438</v>
      </c>
      <c r="AU30" s="72" t="s">
        <v>439</v>
      </c>
      <c r="AV30" s="72" t="s">
        <v>440</v>
      </c>
      <c r="AW30" s="72" t="s">
        <v>441</v>
      </c>
      <c r="AX30" s="72" t="s">
        <v>442</v>
      </c>
      <c r="AY30" s="72" t="s">
        <v>443</v>
      </c>
      <c r="AZ30" s="72" t="s">
        <v>444</v>
      </c>
      <c r="BA30" s="72" t="s">
        <v>445</v>
      </c>
      <c r="BB30" s="72" t="s">
        <v>446</v>
      </c>
      <c r="BC30" s="72" t="s">
        <v>447</v>
      </c>
      <c r="BD30" s="72" t="s">
        <v>448</v>
      </c>
      <c r="BE30" s="72" t="s">
        <v>449</v>
      </c>
      <c r="BF30" s="72" t="s">
        <v>450</v>
      </c>
      <c r="BG30" s="72" t="s">
        <v>451</v>
      </c>
      <c r="BH30" s="72" t="s">
        <v>452</v>
      </c>
      <c r="BI30" s="72" t="s">
        <v>453</v>
      </c>
      <c r="BJ30" s="72" t="s">
        <v>454</v>
      </c>
      <c r="BK30" s="72" t="s">
        <v>455</v>
      </c>
      <c r="BL30" s="72" t="s">
        <v>456</v>
      </c>
      <c r="BM30" s="72" t="s">
        <v>457</v>
      </c>
      <c r="BN30" s="72" t="s">
        <v>458</v>
      </c>
      <c r="BO30" s="72" t="s">
        <v>459</v>
      </c>
      <c r="BP30" s="72" t="s">
        <v>460</v>
      </c>
      <c r="BQ30" s="72" t="s">
        <v>461</v>
      </c>
      <c r="BR30" s="72" t="s">
        <v>462</v>
      </c>
      <c r="BS30" s="72" t="s">
        <v>463</v>
      </c>
      <c r="BT30" s="72" t="s">
        <v>464</v>
      </c>
      <c r="BU30" s="72" t="s">
        <v>465</v>
      </c>
      <c r="BV30" s="72" t="s">
        <v>466</v>
      </c>
      <c r="BW30" s="72" t="s">
        <v>467</v>
      </c>
      <c r="BX30" s="72" t="s">
        <v>468</v>
      </c>
      <c r="BY30" s="72" t="s">
        <v>469</v>
      </c>
      <c r="BZ30" s="72" t="s">
        <v>470</v>
      </c>
      <c r="CA30" s="72" t="s">
        <v>471</v>
      </c>
      <c r="CB30" s="72" t="s">
        <v>472</v>
      </c>
      <c r="CC30" s="72" t="s">
        <v>473</v>
      </c>
      <c r="CD30" s="72" t="s">
        <v>474</v>
      </c>
      <c r="CE30" s="72" t="s">
        <v>475</v>
      </c>
      <c r="CF30" s="72" t="s">
        <v>476</v>
      </c>
      <c r="CG30" s="72" t="s">
        <v>477</v>
      </c>
      <c r="CH30" s="72" t="s">
        <v>478</v>
      </c>
      <c r="CI30" s="72" t="s">
        <v>479</v>
      </c>
      <c r="CJ30" s="72" t="s">
        <v>480</v>
      </c>
      <c r="CK30" s="72" t="s">
        <v>481</v>
      </c>
      <c r="CL30" s="72" t="s">
        <v>482</v>
      </c>
      <c r="CM30" s="72" t="s">
        <v>483</v>
      </c>
      <c r="CN30" s="72" t="s">
        <v>259</v>
      </c>
      <c r="CO30" s="72" t="s">
        <v>484</v>
      </c>
      <c r="CP30" s="72" t="s">
        <v>485</v>
      </c>
      <c r="CQ30" s="72" t="s">
        <v>486</v>
      </c>
      <c r="CR30" s="72" t="s">
        <v>487</v>
      </c>
      <c r="CS30" s="72" t="s">
        <v>488</v>
      </c>
      <c r="CT30" s="72" t="s">
        <v>489</v>
      </c>
      <c r="CU30" s="72" t="s">
        <v>490</v>
      </c>
      <c r="CV30" s="72" t="s">
        <v>491</v>
      </c>
      <c r="CW30" s="72" t="s">
        <v>492</v>
      </c>
      <c r="CX30" s="72" t="s">
        <v>493</v>
      </c>
      <c r="CY30" s="72" t="s">
        <v>494</v>
      </c>
      <c r="CZ30" s="72" t="s">
        <v>495</v>
      </c>
      <c r="DA30" s="72" t="s">
        <v>496</v>
      </c>
      <c r="DB30" s="72" t="s">
        <v>497</v>
      </c>
    </row>
    <row r="31" spans="7:106" x14ac:dyDescent="0.25">
      <c r="G31" s="72">
        <v>603301</v>
      </c>
      <c r="H31" s="72" t="s">
        <v>1815</v>
      </c>
      <c r="I31" s="72">
        <v>-3.1</v>
      </c>
      <c r="J31" s="72">
        <v>1.34</v>
      </c>
      <c r="K31" s="72">
        <v>58.06</v>
      </c>
      <c r="L31" s="72">
        <v>-0.04</v>
      </c>
      <c r="M31" s="72">
        <v>7.55</v>
      </c>
      <c r="N31" s="72">
        <v>7.56</v>
      </c>
      <c r="O31" s="72">
        <v>376494</v>
      </c>
      <c r="P31" s="72">
        <v>21</v>
      </c>
      <c r="Q31" s="72">
        <v>0.53</v>
      </c>
      <c r="R31" s="72">
        <v>2.15</v>
      </c>
      <c r="S31" s="72">
        <v>7.63</v>
      </c>
      <c r="T31" s="72">
        <v>7.63</v>
      </c>
      <c r="U31" s="72">
        <v>7.36</v>
      </c>
      <c r="V31" s="72">
        <v>7.6</v>
      </c>
      <c r="W31" s="72">
        <v>12.03</v>
      </c>
      <c r="X31" s="114">
        <v>281000000</v>
      </c>
      <c r="Y31" s="72" t="s">
        <v>517</v>
      </c>
      <c r="Z31" s="72" t="s">
        <v>368</v>
      </c>
      <c r="AA31" s="72">
        <v>3.55</v>
      </c>
      <c r="AB31" s="72">
        <v>7.47</v>
      </c>
      <c r="AC31" s="72">
        <v>218560</v>
      </c>
      <c r="AD31" s="72">
        <v>157934</v>
      </c>
      <c r="AE31" s="72">
        <v>1.38</v>
      </c>
      <c r="AF31" s="72">
        <v>573</v>
      </c>
      <c r="AG31" s="72">
        <v>348</v>
      </c>
      <c r="AH31" s="72" t="s">
        <v>414</v>
      </c>
      <c r="AI31" s="72">
        <v>8351800</v>
      </c>
      <c r="AJ31" s="72">
        <v>0.12</v>
      </c>
      <c r="AK31" s="72" t="s">
        <v>414</v>
      </c>
      <c r="AL31" s="72" t="s">
        <v>414</v>
      </c>
      <c r="AM31" s="72">
        <v>17.489999999999998</v>
      </c>
      <c r="AN31" s="72" t="s">
        <v>518</v>
      </c>
      <c r="AO31" s="72" t="s">
        <v>518</v>
      </c>
      <c r="AP31" s="72">
        <v>-2.5099999999999998</v>
      </c>
      <c r="AQ31" s="72">
        <v>1700</v>
      </c>
      <c r="AR31" s="72">
        <v>221</v>
      </c>
      <c r="AS31" s="72">
        <v>1.2999999999999999E-3</v>
      </c>
      <c r="AT31" s="72">
        <v>-1</v>
      </c>
      <c r="AU31" s="72">
        <v>8.77</v>
      </c>
      <c r="AV31" s="72">
        <v>4.22</v>
      </c>
      <c r="AW31" s="72" t="s">
        <v>519</v>
      </c>
      <c r="AX31" s="72">
        <v>1.49</v>
      </c>
      <c r="AY31" s="72">
        <v>16.149999999999999</v>
      </c>
      <c r="AZ31" s="72">
        <v>18.98</v>
      </c>
      <c r="BA31" s="72">
        <v>0.39</v>
      </c>
      <c r="BB31" s="72">
        <v>0.39</v>
      </c>
      <c r="BC31" s="72">
        <v>-3.16</v>
      </c>
      <c r="BD31" s="72">
        <v>-1.67</v>
      </c>
      <c r="BE31" s="72">
        <v>-0.92</v>
      </c>
      <c r="BF31" s="72">
        <v>-0.92</v>
      </c>
      <c r="BG31" s="72">
        <v>2.72</v>
      </c>
      <c r="BH31" s="72">
        <v>1.1399999999999999</v>
      </c>
      <c r="BI31" s="72">
        <v>20201010</v>
      </c>
      <c r="BJ31" s="72">
        <v>20110808</v>
      </c>
      <c r="BK31" s="72">
        <v>17.489999999999998</v>
      </c>
      <c r="BL31" s="72" t="s">
        <v>414</v>
      </c>
      <c r="BM31" s="72" t="s">
        <v>414</v>
      </c>
      <c r="BN31" s="72">
        <v>187.34</v>
      </c>
      <c r="BO31" s="72">
        <v>107.72</v>
      </c>
      <c r="BP31" s="72">
        <v>0.27</v>
      </c>
      <c r="BQ31" s="72">
        <v>42.36</v>
      </c>
      <c r="BR31" s="72">
        <v>87.61</v>
      </c>
      <c r="BS31" s="72">
        <v>87.07</v>
      </c>
      <c r="BT31" s="72">
        <v>1.18</v>
      </c>
      <c r="BU31" s="72">
        <v>35.58</v>
      </c>
      <c r="BV31" s="72">
        <v>6.64</v>
      </c>
      <c r="BW31" s="72">
        <v>43.74</v>
      </c>
      <c r="BX31" s="72">
        <v>46.85</v>
      </c>
      <c r="BY31" s="72">
        <v>29.51</v>
      </c>
      <c r="BZ31" s="72">
        <v>18.96</v>
      </c>
      <c r="CA31" s="72">
        <v>5.93</v>
      </c>
      <c r="CB31" s="72">
        <v>0.19</v>
      </c>
      <c r="CC31" s="72">
        <v>6.15</v>
      </c>
      <c r="CD31" s="72">
        <v>5.52</v>
      </c>
      <c r="CE31" s="72">
        <v>5.5</v>
      </c>
      <c r="CF31" s="72">
        <v>36.17</v>
      </c>
      <c r="CG31" s="72">
        <v>3.08</v>
      </c>
      <c r="CH31" s="72">
        <v>-2.98</v>
      </c>
      <c r="CI31" s="72">
        <v>48084</v>
      </c>
      <c r="CJ31" s="72">
        <v>18569</v>
      </c>
      <c r="CK31" s="72" t="s">
        <v>520</v>
      </c>
      <c r="CL31" s="72">
        <v>28.65</v>
      </c>
      <c r="CM31" s="72">
        <v>77.02</v>
      </c>
      <c r="CN31" s="72">
        <v>1.31</v>
      </c>
      <c r="CO31" s="72">
        <v>42.9</v>
      </c>
      <c r="CP31" s="72">
        <v>4.4800000000000004</v>
      </c>
      <c r="CQ31" s="72">
        <v>0.64</v>
      </c>
      <c r="CR31" s="72" t="s">
        <v>521</v>
      </c>
      <c r="CS31" s="72">
        <v>5.79</v>
      </c>
      <c r="CT31" s="72">
        <v>5.79</v>
      </c>
      <c r="CU31" s="72">
        <v>2.68</v>
      </c>
      <c r="CV31" s="72">
        <v>2.0699999999999998</v>
      </c>
      <c r="CW31" s="72">
        <v>57.5</v>
      </c>
      <c r="CX31" s="72" t="s">
        <v>522</v>
      </c>
      <c r="CY31" s="72">
        <v>35.770000000000003</v>
      </c>
      <c r="CZ31" s="72">
        <v>20.11</v>
      </c>
      <c r="DA31" s="72">
        <v>18.62</v>
      </c>
      <c r="DB31" s="72">
        <v>601222</v>
      </c>
    </row>
    <row r="32" spans="7:106" x14ac:dyDescent="0.25">
      <c r="G32" s="72">
        <v>603238</v>
      </c>
      <c r="H32" s="72" t="s">
        <v>1816</v>
      </c>
      <c r="I32" s="72">
        <v>-2.13</v>
      </c>
      <c r="J32" s="72">
        <v>1.04</v>
      </c>
      <c r="K32" s="72">
        <v>33.96</v>
      </c>
      <c r="L32" s="72">
        <v>0</v>
      </c>
      <c r="M32" s="72">
        <v>3.92</v>
      </c>
      <c r="N32" s="72">
        <v>3.93</v>
      </c>
      <c r="O32" s="72">
        <v>358483</v>
      </c>
      <c r="P32" s="72">
        <v>19</v>
      </c>
      <c r="Q32" s="72">
        <v>0</v>
      </c>
      <c r="R32" s="72">
        <v>3.67</v>
      </c>
      <c r="S32" s="72">
        <v>3.88</v>
      </c>
      <c r="T32" s="72">
        <v>3.96</v>
      </c>
      <c r="U32" s="72">
        <v>3.87</v>
      </c>
      <c r="V32" s="72">
        <v>3.92</v>
      </c>
      <c r="W32" s="72">
        <v>18.62</v>
      </c>
      <c r="X32" s="114">
        <v>140000000</v>
      </c>
      <c r="Y32" s="72" t="s">
        <v>361</v>
      </c>
      <c r="Z32" s="72" t="s">
        <v>368</v>
      </c>
      <c r="AA32" s="72">
        <v>2.2999999999999998</v>
      </c>
      <c r="AB32" s="72">
        <v>3.91</v>
      </c>
      <c r="AC32" s="72">
        <v>186227</v>
      </c>
      <c r="AD32" s="72">
        <v>172256</v>
      </c>
      <c r="AE32" s="72">
        <v>1.08</v>
      </c>
      <c r="AF32" s="72">
        <v>393</v>
      </c>
      <c r="AG32" s="72">
        <v>3248</v>
      </c>
      <c r="AH32" s="72" t="s">
        <v>414</v>
      </c>
      <c r="AI32" s="72">
        <v>4832500</v>
      </c>
      <c r="AJ32" s="72">
        <v>0.2</v>
      </c>
      <c r="AK32" s="72" t="s">
        <v>414</v>
      </c>
      <c r="AL32" s="72" t="s">
        <v>414</v>
      </c>
      <c r="AM32" s="72">
        <v>9.77</v>
      </c>
      <c r="AN32" s="72" t="s">
        <v>523</v>
      </c>
      <c r="AO32" s="72" t="s">
        <v>524</v>
      </c>
      <c r="AP32" s="72">
        <v>-1.98</v>
      </c>
      <c r="AQ32" s="72">
        <v>1608</v>
      </c>
      <c r="AR32" s="72">
        <v>223</v>
      </c>
      <c r="AS32" s="72">
        <v>2.3E-3</v>
      </c>
      <c r="AT32" s="72">
        <v>0</v>
      </c>
      <c r="AU32" s="72">
        <v>5.38</v>
      </c>
      <c r="AV32" s="72">
        <v>5.82</v>
      </c>
      <c r="AW32" s="72" t="s">
        <v>525</v>
      </c>
      <c r="AX32" s="72">
        <v>1.06</v>
      </c>
      <c r="AY32" s="72">
        <v>27.02</v>
      </c>
      <c r="AZ32" s="72">
        <v>59.45</v>
      </c>
      <c r="BA32" s="72">
        <v>-1.02</v>
      </c>
      <c r="BB32" s="72">
        <v>1.02</v>
      </c>
      <c r="BC32" s="72">
        <v>-1.28</v>
      </c>
      <c r="BD32" s="72">
        <v>-0.25</v>
      </c>
      <c r="BE32" s="72">
        <v>1.03</v>
      </c>
      <c r="BF32" s="72">
        <v>-1.01</v>
      </c>
      <c r="BG32" s="72">
        <v>1.29</v>
      </c>
      <c r="BH32" s="72">
        <v>0.25</v>
      </c>
      <c r="BI32" s="72">
        <v>20200828</v>
      </c>
      <c r="BJ32" s="72">
        <v>20110506</v>
      </c>
      <c r="BK32" s="72">
        <v>9.92</v>
      </c>
      <c r="BL32" s="72" t="s">
        <v>414</v>
      </c>
      <c r="BM32" s="72" t="s">
        <v>414</v>
      </c>
      <c r="BN32" s="72">
        <v>45.51</v>
      </c>
      <c r="BO32" s="72">
        <v>25.9</v>
      </c>
      <c r="BP32" s="72">
        <v>0.11</v>
      </c>
      <c r="BQ32" s="72">
        <v>42.84</v>
      </c>
      <c r="BR32" s="72">
        <v>25.07</v>
      </c>
      <c r="BS32" s="72">
        <v>13.91</v>
      </c>
      <c r="BT32" s="72">
        <v>1.67</v>
      </c>
      <c r="BU32" s="72">
        <v>12.86</v>
      </c>
      <c r="BV32" s="72">
        <v>4.51</v>
      </c>
      <c r="BW32" s="72">
        <v>6.15</v>
      </c>
      <c r="BX32" s="72">
        <v>5.89</v>
      </c>
      <c r="BY32" s="72">
        <v>8.41</v>
      </c>
      <c r="BZ32" s="72">
        <v>6</v>
      </c>
      <c r="CA32" s="72">
        <v>1.24</v>
      </c>
      <c r="CB32" s="72">
        <v>0.04</v>
      </c>
      <c r="CC32" s="72">
        <v>1.26</v>
      </c>
      <c r="CD32" s="72">
        <v>1.05</v>
      </c>
      <c r="CE32" s="72">
        <v>1.04</v>
      </c>
      <c r="CF32" s="72">
        <v>9.1999999999999993</v>
      </c>
      <c r="CG32" s="72">
        <v>1.68</v>
      </c>
      <c r="CH32" s="72">
        <v>-0.89</v>
      </c>
      <c r="CI32" s="72">
        <v>49745</v>
      </c>
      <c r="CJ32" s="72">
        <v>12373</v>
      </c>
      <c r="CK32" s="72" t="s">
        <v>526</v>
      </c>
      <c r="CL32" s="72">
        <v>303.3</v>
      </c>
      <c r="CM32" s="72">
        <v>52.63</v>
      </c>
      <c r="CN32" s="72">
        <v>1.5</v>
      </c>
      <c r="CO32" s="72">
        <v>23.11</v>
      </c>
      <c r="CP32" s="72">
        <v>4.62</v>
      </c>
      <c r="CQ32" s="72">
        <v>0.33</v>
      </c>
      <c r="CR32" s="72" t="s">
        <v>527</v>
      </c>
      <c r="CS32" s="72">
        <v>2.61</v>
      </c>
      <c r="CT32" s="72">
        <v>0</v>
      </c>
      <c r="CU32" s="72">
        <v>0.59</v>
      </c>
      <c r="CV32" s="72">
        <v>0.93</v>
      </c>
      <c r="CW32" s="72">
        <v>56.91</v>
      </c>
      <c r="CX32" s="72" t="s">
        <v>528</v>
      </c>
      <c r="CY32" s="72">
        <v>28.6</v>
      </c>
      <c r="CZ32" s="72">
        <v>14.73</v>
      </c>
      <c r="DA32" s="72">
        <v>12.42</v>
      </c>
      <c r="DB32" s="72">
        <v>601218</v>
      </c>
    </row>
    <row r="33" spans="7:106" x14ac:dyDescent="0.25">
      <c r="G33" s="72">
        <v>601225</v>
      </c>
      <c r="H33" s="72" t="s">
        <v>1812</v>
      </c>
      <c r="I33" s="72">
        <v>-1.89</v>
      </c>
      <c r="J33" s="72">
        <v>0.78</v>
      </c>
      <c r="K33" s="72">
        <v>10.36</v>
      </c>
      <c r="L33" s="72">
        <v>0.23</v>
      </c>
      <c r="M33" s="72">
        <v>11.98</v>
      </c>
      <c r="N33" s="72">
        <v>11.99</v>
      </c>
      <c r="O33" s="72">
        <v>38445</v>
      </c>
      <c r="P33" s="72">
        <v>63</v>
      </c>
      <c r="Q33" s="72">
        <v>-7.0000000000000007E-2</v>
      </c>
      <c r="R33" s="72">
        <v>0.34</v>
      </c>
      <c r="S33" s="72">
        <v>11.76</v>
      </c>
      <c r="T33" s="72">
        <v>12</v>
      </c>
      <c r="U33" s="72">
        <v>11.76</v>
      </c>
      <c r="V33" s="72">
        <v>11.75</v>
      </c>
      <c r="W33" s="72">
        <v>20.37</v>
      </c>
      <c r="X33" s="72">
        <v>45809332</v>
      </c>
      <c r="Y33" s="72" t="s">
        <v>381</v>
      </c>
      <c r="Z33" s="72" t="s">
        <v>365</v>
      </c>
      <c r="AA33" s="72">
        <v>2.04</v>
      </c>
      <c r="AB33" s="72">
        <v>11.92</v>
      </c>
      <c r="AC33" s="72">
        <v>14719</v>
      </c>
      <c r="AD33" s="72">
        <v>23726</v>
      </c>
      <c r="AE33" s="72">
        <v>0.62</v>
      </c>
      <c r="AF33" s="72">
        <v>123</v>
      </c>
      <c r="AG33" s="72">
        <v>399</v>
      </c>
      <c r="AH33" s="72" t="s">
        <v>414</v>
      </c>
      <c r="AI33" s="72">
        <v>240000</v>
      </c>
      <c r="AJ33" s="72">
        <v>0</v>
      </c>
      <c r="AK33" s="72" t="s">
        <v>414</v>
      </c>
      <c r="AL33" s="72" t="s">
        <v>414</v>
      </c>
      <c r="AM33" s="72">
        <v>11.22</v>
      </c>
      <c r="AN33" s="72" t="s">
        <v>529</v>
      </c>
      <c r="AO33" s="72" t="s">
        <v>529</v>
      </c>
      <c r="AP33" s="72">
        <v>-0.03</v>
      </c>
      <c r="AQ33" s="72">
        <v>1028</v>
      </c>
      <c r="AR33" s="72">
        <v>37</v>
      </c>
      <c r="AS33" s="72">
        <v>2.9999999999999997E-4</v>
      </c>
      <c r="AT33" s="72">
        <v>2</v>
      </c>
      <c r="AU33" s="72">
        <v>3.27</v>
      </c>
      <c r="AV33" s="72">
        <v>0.69</v>
      </c>
      <c r="AW33" s="72" t="s">
        <v>530</v>
      </c>
      <c r="AX33" s="72">
        <v>0.95</v>
      </c>
      <c r="AY33" s="72">
        <v>20.260000000000002</v>
      </c>
      <c r="AZ33" s="72">
        <v>21.39</v>
      </c>
      <c r="BA33" s="72">
        <v>0.09</v>
      </c>
      <c r="BB33" s="72">
        <v>2.13</v>
      </c>
      <c r="BC33" s="72">
        <v>0.09</v>
      </c>
      <c r="BD33" s="72">
        <v>1.41</v>
      </c>
      <c r="BE33" s="72">
        <v>1.87</v>
      </c>
      <c r="BF33" s="72">
        <v>-0.17</v>
      </c>
      <c r="BG33" s="72">
        <v>1.87</v>
      </c>
      <c r="BH33" s="72">
        <v>0.55000000000000004</v>
      </c>
      <c r="BI33" s="72">
        <v>20200921</v>
      </c>
      <c r="BJ33" s="72">
        <v>20170331</v>
      </c>
      <c r="BK33" s="72">
        <v>11.22</v>
      </c>
      <c r="BL33" s="72" t="s">
        <v>414</v>
      </c>
      <c r="BM33" s="72" t="s">
        <v>414</v>
      </c>
      <c r="BN33" s="72">
        <v>228.5</v>
      </c>
      <c r="BO33" s="72">
        <v>70.83</v>
      </c>
      <c r="BP33" s="72">
        <v>18.399999999999999</v>
      </c>
      <c r="BQ33" s="72">
        <v>60.95</v>
      </c>
      <c r="BR33" s="72">
        <v>43.58</v>
      </c>
      <c r="BS33" s="72">
        <v>6.28</v>
      </c>
      <c r="BT33" s="72">
        <v>63.88</v>
      </c>
      <c r="BU33" s="72">
        <v>70.44</v>
      </c>
      <c r="BV33" s="72">
        <v>4.5999999999999996</v>
      </c>
      <c r="BW33" s="72">
        <v>13.95</v>
      </c>
      <c r="BX33" s="72">
        <v>20.8</v>
      </c>
      <c r="BY33" s="72">
        <v>19.12</v>
      </c>
      <c r="BZ33" s="72">
        <v>12.79</v>
      </c>
      <c r="CA33" s="72">
        <v>4.5599999999999996</v>
      </c>
      <c r="CB33" s="72">
        <v>0</v>
      </c>
      <c r="CC33" s="72">
        <v>4.57</v>
      </c>
      <c r="CD33" s="72">
        <v>3.96</v>
      </c>
      <c r="CE33" s="72">
        <v>3.3</v>
      </c>
      <c r="CF33" s="72">
        <v>34.909999999999997</v>
      </c>
      <c r="CG33" s="72">
        <v>3.4</v>
      </c>
      <c r="CH33" s="72">
        <v>-4.82</v>
      </c>
      <c r="CI33" s="72">
        <v>84046</v>
      </c>
      <c r="CJ33" s="72">
        <v>6660</v>
      </c>
      <c r="CK33" s="72" t="s">
        <v>531</v>
      </c>
      <c r="CL33" s="72">
        <v>11.59</v>
      </c>
      <c r="CM33" s="72">
        <v>44.62</v>
      </c>
      <c r="CN33" s="72">
        <v>1.63</v>
      </c>
      <c r="CO33" s="72">
        <v>39.54</v>
      </c>
      <c r="CP33" s="72">
        <v>7.03</v>
      </c>
      <c r="CQ33" s="72">
        <v>0.59</v>
      </c>
      <c r="CR33" s="72" t="s">
        <v>505</v>
      </c>
      <c r="CS33" s="72">
        <v>7.36</v>
      </c>
      <c r="CT33" s="72">
        <v>7.36</v>
      </c>
      <c r="CU33" s="72">
        <v>1.85</v>
      </c>
      <c r="CV33" s="72">
        <v>3.11</v>
      </c>
      <c r="CW33" s="72">
        <v>31</v>
      </c>
      <c r="CX33" s="72" t="s">
        <v>532</v>
      </c>
      <c r="CY33" s="72">
        <v>33.1</v>
      </c>
      <c r="CZ33" s="72">
        <v>23.83</v>
      </c>
      <c r="DA33" s="72">
        <v>17.25</v>
      </c>
      <c r="DB33" s="72">
        <v>601200</v>
      </c>
    </row>
    <row r="34" spans="7:106" x14ac:dyDescent="0.25">
      <c r="G34" s="72">
        <v>600975</v>
      </c>
      <c r="H34" s="72" t="s">
        <v>1814</v>
      </c>
      <c r="I34" s="72">
        <v>-1.82</v>
      </c>
      <c r="J34" s="72">
        <v>0.85</v>
      </c>
      <c r="K34" s="72">
        <v>8.07</v>
      </c>
      <c r="L34" s="72">
        <v>0.08</v>
      </c>
      <c r="M34" s="72">
        <v>13.83</v>
      </c>
      <c r="N34" s="72">
        <v>13.84</v>
      </c>
      <c r="O34" s="72">
        <v>58198</v>
      </c>
      <c r="P34" s="72">
        <v>108</v>
      </c>
      <c r="Q34" s="72">
        <v>0</v>
      </c>
      <c r="R34" s="72">
        <v>0.81</v>
      </c>
      <c r="S34" s="72">
        <v>13.83</v>
      </c>
      <c r="T34" s="72">
        <v>13.86</v>
      </c>
      <c r="U34" s="72">
        <v>13.6</v>
      </c>
      <c r="V34" s="72">
        <v>13.76</v>
      </c>
      <c r="W34" s="72">
        <v>21.7</v>
      </c>
      <c r="X34" s="72">
        <v>80000760</v>
      </c>
      <c r="Y34" s="72" t="s">
        <v>533</v>
      </c>
      <c r="Z34" s="72" t="s">
        <v>358</v>
      </c>
      <c r="AA34" s="72">
        <v>1.89</v>
      </c>
      <c r="AB34" s="72">
        <v>13.75</v>
      </c>
      <c r="AC34" s="72">
        <v>30558</v>
      </c>
      <c r="AD34" s="72">
        <v>27640</v>
      </c>
      <c r="AE34" s="72">
        <v>1.1100000000000001</v>
      </c>
      <c r="AF34" s="72">
        <v>429</v>
      </c>
      <c r="AG34" s="72">
        <v>83</v>
      </c>
      <c r="AH34" s="72" t="s">
        <v>414</v>
      </c>
      <c r="AI34" s="72">
        <v>1631900</v>
      </c>
      <c r="AJ34" s="72">
        <v>0.04</v>
      </c>
      <c r="AK34" s="72" t="s">
        <v>414</v>
      </c>
      <c r="AL34" s="72" t="s">
        <v>414</v>
      </c>
      <c r="AM34" s="72">
        <v>7.2</v>
      </c>
      <c r="AN34" s="72" t="s">
        <v>534</v>
      </c>
      <c r="AO34" s="72" t="s">
        <v>535</v>
      </c>
      <c r="AP34" s="72">
        <v>-1.4</v>
      </c>
      <c r="AQ34" s="72">
        <v>1369</v>
      </c>
      <c r="AR34" s="72">
        <v>43</v>
      </c>
      <c r="AS34" s="72">
        <v>5.9999999999999995E-4</v>
      </c>
      <c r="AT34" s="72">
        <v>4</v>
      </c>
      <c r="AU34" s="72">
        <v>3.83</v>
      </c>
      <c r="AV34" s="72">
        <v>1.81</v>
      </c>
      <c r="AW34" s="72" t="s">
        <v>536</v>
      </c>
      <c r="AX34" s="72">
        <v>1.1499999999999999</v>
      </c>
      <c r="AY34" s="72">
        <v>22.4</v>
      </c>
      <c r="AZ34" s="72">
        <v>24.7</v>
      </c>
      <c r="BA34" s="72">
        <v>0.51</v>
      </c>
      <c r="BB34" s="72">
        <v>0.73</v>
      </c>
      <c r="BC34" s="72">
        <v>-1.1599999999999999</v>
      </c>
      <c r="BD34" s="72">
        <v>-0.1</v>
      </c>
      <c r="BE34" s="72">
        <v>7.0000000000000007E-2</v>
      </c>
      <c r="BF34" s="72">
        <v>-0.14000000000000001</v>
      </c>
      <c r="BG34" s="72">
        <v>1.76</v>
      </c>
      <c r="BH34" s="72">
        <v>0.68</v>
      </c>
      <c r="BI34" s="72">
        <v>20200921</v>
      </c>
      <c r="BJ34" s="72">
        <v>20110127</v>
      </c>
      <c r="BK34" s="72">
        <v>7.9</v>
      </c>
      <c r="BL34" s="72" t="s">
        <v>414</v>
      </c>
      <c r="BM34" s="72" t="s">
        <v>414</v>
      </c>
      <c r="BN34" s="72">
        <v>75.53</v>
      </c>
      <c r="BO34" s="72">
        <v>39.979999999999997</v>
      </c>
      <c r="BP34" s="72">
        <v>0</v>
      </c>
      <c r="BQ34" s="72">
        <v>47.06</v>
      </c>
      <c r="BR34" s="72">
        <v>34.200000000000003</v>
      </c>
      <c r="BS34" s="72">
        <v>25.33</v>
      </c>
      <c r="BT34" s="72">
        <v>2.8</v>
      </c>
      <c r="BU34" s="72">
        <v>20.14</v>
      </c>
      <c r="BV34" s="72">
        <v>14.78</v>
      </c>
      <c r="BW34" s="72">
        <v>7.6</v>
      </c>
      <c r="BX34" s="72">
        <v>16.14</v>
      </c>
      <c r="BY34" s="72">
        <v>38.46</v>
      </c>
      <c r="BZ34" s="72">
        <v>31.78</v>
      </c>
      <c r="CA34" s="72">
        <v>2.8</v>
      </c>
      <c r="CB34" s="72">
        <v>0.02</v>
      </c>
      <c r="CC34" s="72">
        <v>2.77</v>
      </c>
      <c r="CD34" s="72">
        <v>2.52</v>
      </c>
      <c r="CE34" s="72">
        <v>2.52</v>
      </c>
      <c r="CF34" s="72">
        <v>16.45</v>
      </c>
      <c r="CG34" s="72">
        <v>1.75</v>
      </c>
      <c r="CH34" s="72">
        <v>-2.2599999999999998</v>
      </c>
      <c r="CI34" s="72">
        <v>28196</v>
      </c>
      <c r="CJ34" s="72">
        <v>11431</v>
      </c>
      <c r="CK34" s="72" t="s">
        <v>537</v>
      </c>
      <c r="CL34" s="72">
        <v>21.92</v>
      </c>
      <c r="CM34" s="72">
        <v>14.94</v>
      </c>
      <c r="CN34" s="72">
        <v>2.37</v>
      </c>
      <c r="CO34" s="72">
        <v>62.35</v>
      </c>
      <c r="CP34" s="72">
        <v>2.84</v>
      </c>
      <c r="CQ34" s="72">
        <v>1.23</v>
      </c>
      <c r="CR34" s="72" t="s">
        <v>538</v>
      </c>
      <c r="CS34" s="72">
        <v>5.84</v>
      </c>
      <c r="CT34" s="72">
        <v>5.84</v>
      </c>
      <c r="CU34" s="72">
        <v>2.04</v>
      </c>
      <c r="CV34" s="72">
        <v>2.08</v>
      </c>
      <c r="CW34" s="72">
        <v>52.94</v>
      </c>
      <c r="CX34" s="72" t="s">
        <v>539</v>
      </c>
      <c r="CY34" s="72">
        <v>17.36</v>
      </c>
      <c r="CZ34" s="72">
        <v>7.28</v>
      </c>
      <c r="DA34" s="72">
        <v>6.55</v>
      </c>
      <c r="DB34" s="72">
        <v>601137</v>
      </c>
    </row>
    <row r="35" spans="7:106" x14ac:dyDescent="0.25">
      <c r="G35" s="72">
        <v>600720</v>
      </c>
      <c r="H35" s="72" t="s">
        <v>416</v>
      </c>
      <c r="I35" s="72">
        <v>-2.17</v>
      </c>
      <c r="J35" s="72">
        <v>0.78</v>
      </c>
      <c r="K35" s="72">
        <v>15.76</v>
      </c>
      <c r="L35" s="72">
        <v>0.41</v>
      </c>
      <c r="M35" s="72">
        <v>14.79</v>
      </c>
      <c r="N35" s="72">
        <v>14.8</v>
      </c>
      <c r="O35" s="72">
        <v>626275</v>
      </c>
      <c r="P35" s="72">
        <v>40</v>
      </c>
      <c r="Q35" s="72">
        <v>0.14000000000000001</v>
      </c>
      <c r="R35" s="72">
        <v>2.6</v>
      </c>
      <c r="S35" s="72">
        <v>14.45</v>
      </c>
      <c r="T35" s="72">
        <v>14.85</v>
      </c>
      <c r="U35" s="72">
        <v>14.42</v>
      </c>
      <c r="V35" s="72">
        <v>14.38</v>
      </c>
      <c r="W35" s="72">
        <v>32.35</v>
      </c>
      <c r="X35" s="114">
        <v>921000000</v>
      </c>
      <c r="Y35" s="72" t="s">
        <v>411</v>
      </c>
      <c r="Z35" s="72" t="s">
        <v>358</v>
      </c>
      <c r="AA35" s="72">
        <v>2.99</v>
      </c>
      <c r="AB35" s="72">
        <v>14.71</v>
      </c>
      <c r="AC35" s="72">
        <v>275029</v>
      </c>
      <c r="AD35" s="72">
        <v>351246</v>
      </c>
      <c r="AE35" s="72">
        <v>0.78</v>
      </c>
      <c r="AF35" s="72">
        <v>1122</v>
      </c>
      <c r="AG35" s="72">
        <v>2668</v>
      </c>
      <c r="AH35" s="72" t="s">
        <v>414</v>
      </c>
      <c r="AI35" s="72">
        <v>4060500</v>
      </c>
      <c r="AJ35" s="72">
        <v>0.01</v>
      </c>
      <c r="AK35" s="72" t="s">
        <v>414</v>
      </c>
      <c r="AL35" s="72" t="s">
        <v>414</v>
      </c>
      <c r="AM35" s="72">
        <v>24.07</v>
      </c>
      <c r="AN35" s="72" t="s">
        <v>540</v>
      </c>
      <c r="AO35" s="72" t="s">
        <v>541</v>
      </c>
      <c r="AP35" s="72">
        <v>0.87</v>
      </c>
      <c r="AQ35" s="72">
        <v>1882</v>
      </c>
      <c r="AR35" s="72">
        <v>333</v>
      </c>
      <c r="AS35" s="72">
        <v>1.4E-3</v>
      </c>
      <c r="AT35" s="72">
        <v>2</v>
      </c>
      <c r="AU35" s="72">
        <v>1.31</v>
      </c>
      <c r="AV35" s="72">
        <v>2.6</v>
      </c>
      <c r="AW35" s="72" t="s">
        <v>540</v>
      </c>
      <c r="AX35" s="72">
        <v>1.76</v>
      </c>
      <c r="AY35" s="72">
        <v>26.32</v>
      </c>
      <c r="AZ35" s="72">
        <v>27.55</v>
      </c>
      <c r="BA35" s="72">
        <v>0.49</v>
      </c>
      <c r="BB35" s="72">
        <v>3.27</v>
      </c>
      <c r="BC35" s="72">
        <v>0.28000000000000003</v>
      </c>
      <c r="BD35" s="72">
        <v>2.31</v>
      </c>
      <c r="BE35" s="72">
        <v>2.35</v>
      </c>
      <c r="BF35" s="72">
        <v>-0.4</v>
      </c>
      <c r="BG35" s="72">
        <v>2.57</v>
      </c>
      <c r="BH35" s="72">
        <v>0.54</v>
      </c>
      <c r="BI35" s="72">
        <v>20200829</v>
      </c>
      <c r="BJ35" s="72">
        <v>20171024</v>
      </c>
      <c r="BK35" s="72">
        <v>35.89</v>
      </c>
      <c r="BL35" s="72" t="s">
        <v>414</v>
      </c>
      <c r="BM35" s="72" t="s">
        <v>414</v>
      </c>
      <c r="BN35" s="72">
        <v>767.34</v>
      </c>
      <c r="BO35" s="72">
        <v>216.03</v>
      </c>
      <c r="BP35" s="72">
        <v>0.09</v>
      </c>
      <c r="BQ35" s="72">
        <v>71.84</v>
      </c>
      <c r="BR35" s="72">
        <v>0</v>
      </c>
      <c r="BS35" s="72">
        <v>2.88</v>
      </c>
      <c r="BT35" s="72">
        <v>3.19</v>
      </c>
      <c r="BU35" s="72">
        <v>0</v>
      </c>
      <c r="BV35" s="72">
        <v>0</v>
      </c>
      <c r="BW35" s="72">
        <v>0</v>
      </c>
      <c r="BX35" s="72">
        <v>82.66</v>
      </c>
      <c r="BY35" s="72">
        <v>28.84</v>
      </c>
      <c r="BZ35" s="72">
        <v>0</v>
      </c>
      <c r="CA35" s="72">
        <v>9.86</v>
      </c>
      <c r="CB35" s="72">
        <v>6.28</v>
      </c>
      <c r="CC35" s="72">
        <v>9.69</v>
      </c>
      <c r="CD35" s="72">
        <v>8.1999999999999993</v>
      </c>
      <c r="CE35" s="72">
        <v>8.1999999999999993</v>
      </c>
      <c r="CF35" s="72">
        <v>54.76</v>
      </c>
      <c r="CG35" s="72">
        <v>14.05</v>
      </c>
      <c r="CH35" s="72">
        <v>54.47</v>
      </c>
      <c r="CI35" s="72">
        <v>139841</v>
      </c>
      <c r="CJ35" s="72">
        <v>17210</v>
      </c>
      <c r="CK35" s="72" t="s">
        <v>542</v>
      </c>
      <c r="CL35" s="72">
        <v>12.02</v>
      </c>
      <c r="CM35" s="72">
        <v>26.25</v>
      </c>
      <c r="CN35" s="72">
        <v>2.52</v>
      </c>
      <c r="CO35" s="72">
        <v>37.770000000000003</v>
      </c>
      <c r="CP35" s="72">
        <v>18.41</v>
      </c>
      <c r="CQ35" s="72">
        <v>1.1100000000000001</v>
      </c>
      <c r="CR35" s="72" t="s">
        <v>543</v>
      </c>
      <c r="CS35" s="72">
        <v>5.88</v>
      </c>
      <c r="CT35" s="72">
        <v>5.88</v>
      </c>
      <c r="CU35" s="72">
        <v>2.2999999999999998</v>
      </c>
      <c r="CV35" s="72">
        <v>1.53</v>
      </c>
      <c r="CW35" s="72">
        <v>28.15</v>
      </c>
      <c r="CX35" s="72" t="s">
        <v>515</v>
      </c>
      <c r="CY35" s="72" t="s">
        <v>414</v>
      </c>
      <c r="CZ35" s="72">
        <v>34.200000000000003</v>
      </c>
      <c r="DA35" s="72">
        <v>28.45</v>
      </c>
      <c r="DB35" s="72">
        <v>601108</v>
      </c>
    </row>
    <row r="36" spans="7:106" x14ac:dyDescent="0.25">
      <c r="G36" s="72">
        <v>600477</v>
      </c>
      <c r="H36" s="72" t="s">
        <v>1817</v>
      </c>
      <c r="I36" s="72">
        <v>-0.46</v>
      </c>
      <c r="J36" s="72">
        <v>2.36</v>
      </c>
      <c r="K36" s="72">
        <v>4.3600000000000003</v>
      </c>
      <c r="L36" s="72">
        <v>0.11</v>
      </c>
      <c r="M36" s="72">
        <v>11.62</v>
      </c>
      <c r="N36" s="72">
        <v>11.63</v>
      </c>
      <c r="O36" s="72">
        <v>34961</v>
      </c>
      <c r="P36" s="72">
        <v>138</v>
      </c>
      <c r="Q36" s="72">
        <v>-0.16</v>
      </c>
      <c r="R36" s="72">
        <v>0.59</v>
      </c>
      <c r="S36" s="72">
        <v>11.53</v>
      </c>
      <c r="T36" s="72">
        <v>11.73</v>
      </c>
      <c r="U36" s="72">
        <v>11.53</v>
      </c>
      <c r="V36" s="72">
        <v>11.52</v>
      </c>
      <c r="W36" s="72">
        <v>17.73</v>
      </c>
      <c r="X36" s="114">
        <v>40689016</v>
      </c>
      <c r="Y36" s="72" t="s">
        <v>544</v>
      </c>
      <c r="Z36" s="72" t="s">
        <v>379</v>
      </c>
      <c r="AA36" s="72">
        <v>1.74</v>
      </c>
      <c r="AB36" s="72">
        <v>11.64</v>
      </c>
      <c r="AC36" s="72">
        <v>16181</v>
      </c>
      <c r="AD36" s="72">
        <v>18780</v>
      </c>
      <c r="AE36" s="72">
        <v>0.86</v>
      </c>
      <c r="AF36" s="72">
        <v>1</v>
      </c>
      <c r="AG36" s="72">
        <v>123</v>
      </c>
      <c r="AH36" s="72" t="s">
        <v>414</v>
      </c>
      <c r="AI36" s="72">
        <v>320500</v>
      </c>
      <c r="AJ36" s="72">
        <v>0.02</v>
      </c>
      <c r="AK36" s="72" t="s">
        <v>414</v>
      </c>
      <c r="AL36" s="72" t="s">
        <v>414</v>
      </c>
      <c r="AM36" s="72">
        <v>5.94</v>
      </c>
      <c r="AN36" s="72" t="s">
        <v>545</v>
      </c>
      <c r="AO36" s="72" t="s">
        <v>545</v>
      </c>
      <c r="AP36" s="72">
        <v>-1.03</v>
      </c>
      <c r="AQ36" s="72">
        <v>1086</v>
      </c>
      <c r="AR36" s="72">
        <v>32</v>
      </c>
      <c r="AS36" s="72">
        <v>5.0000000000000001E-4</v>
      </c>
      <c r="AT36" s="72">
        <v>4</v>
      </c>
      <c r="AU36" s="72">
        <v>7.39</v>
      </c>
      <c r="AV36" s="72">
        <v>1.91</v>
      </c>
      <c r="AW36" s="72" t="s">
        <v>546</v>
      </c>
      <c r="AX36" s="72">
        <v>0.98</v>
      </c>
      <c r="AY36" s="72">
        <v>31.1</v>
      </c>
      <c r="AZ36" s="72">
        <v>184.74</v>
      </c>
      <c r="BA36" s="72">
        <v>0.09</v>
      </c>
      <c r="BB36" s="72">
        <v>1.82</v>
      </c>
      <c r="BC36" s="72">
        <v>0.09</v>
      </c>
      <c r="BD36" s="72">
        <v>1.03</v>
      </c>
      <c r="BE36" s="72">
        <v>0.87</v>
      </c>
      <c r="BF36" s="72">
        <v>-0.85</v>
      </c>
      <c r="BG36" s="72">
        <v>0.87</v>
      </c>
      <c r="BH36" s="72">
        <v>-7.0000000000000007E-2</v>
      </c>
      <c r="BI36" s="72">
        <v>20200828</v>
      </c>
      <c r="BJ36" s="72">
        <v>20120808</v>
      </c>
      <c r="BK36" s="72">
        <v>9.86</v>
      </c>
      <c r="BL36" s="72" t="s">
        <v>414</v>
      </c>
      <c r="BM36" s="72">
        <v>3.92</v>
      </c>
      <c r="BN36" s="72">
        <v>119.55</v>
      </c>
      <c r="BO36" s="72">
        <v>43.9</v>
      </c>
      <c r="BP36" s="72">
        <v>6.35</v>
      </c>
      <c r="BQ36" s="72">
        <v>57.96</v>
      </c>
      <c r="BR36" s="72">
        <v>69.12</v>
      </c>
      <c r="BS36" s="72">
        <v>27.05</v>
      </c>
      <c r="BT36" s="72">
        <v>7.77</v>
      </c>
      <c r="BU36" s="72">
        <v>64.52</v>
      </c>
      <c r="BV36" s="72">
        <v>9.2799999999999994</v>
      </c>
      <c r="BW36" s="72">
        <v>9.82</v>
      </c>
      <c r="BX36" s="72">
        <v>20.99</v>
      </c>
      <c r="BY36" s="72">
        <v>40.74</v>
      </c>
      <c r="BZ36" s="72">
        <v>32.58</v>
      </c>
      <c r="CA36" s="72">
        <v>3.33</v>
      </c>
      <c r="CB36" s="72">
        <v>3.48</v>
      </c>
      <c r="CC36" s="72">
        <v>3.34</v>
      </c>
      <c r="CD36" s="72">
        <v>3.22</v>
      </c>
      <c r="CE36" s="72">
        <v>3.23</v>
      </c>
      <c r="CF36" s="72">
        <v>8.5299999999999994</v>
      </c>
      <c r="CG36" s="72">
        <v>4.53</v>
      </c>
      <c r="CH36" s="72">
        <v>-3.25</v>
      </c>
      <c r="CI36" s="72">
        <v>30638</v>
      </c>
      <c r="CJ36" s="72">
        <v>5980</v>
      </c>
      <c r="CK36" s="72" t="s">
        <v>547</v>
      </c>
      <c r="CL36" s="72">
        <v>1548.75</v>
      </c>
      <c r="CM36" s="72">
        <v>20.68</v>
      </c>
      <c r="CN36" s="72">
        <v>2.61</v>
      </c>
      <c r="CO36" s="72">
        <v>25.33</v>
      </c>
      <c r="CP36" s="72">
        <v>2.81</v>
      </c>
      <c r="CQ36" s="72">
        <v>0</v>
      </c>
      <c r="CR36" s="72" t="s">
        <v>548</v>
      </c>
      <c r="CS36" s="72">
        <v>4.45</v>
      </c>
      <c r="CT36" s="72">
        <v>0</v>
      </c>
      <c r="CU36" s="72">
        <v>2.13</v>
      </c>
      <c r="CV36" s="72">
        <v>0.87</v>
      </c>
      <c r="CW36" s="72">
        <v>36.729999999999997</v>
      </c>
      <c r="CX36" s="72" t="s">
        <v>549</v>
      </c>
      <c r="CY36" s="72">
        <v>20.05</v>
      </c>
      <c r="CZ36" s="72">
        <v>8.18</v>
      </c>
      <c r="DA36" s="72">
        <v>7.94</v>
      </c>
      <c r="DB36" s="72">
        <v>601038</v>
      </c>
    </row>
    <row r="37" spans="7:106" x14ac:dyDescent="0.25">
      <c r="G37" s="72">
        <v>600177</v>
      </c>
      <c r="H37" s="72" t="s">
        <v>406</v>
      </c>
      <c r="I37" s="72">
        <v>0.14000000000000001</v>
      </c>
      <c r="J37" s="72">
        <v>1.1299999999999999</v>
      </c>
      <c r="K37" s="72">
        <v>7.27</v>
      </c>
      <c r="L37" s="72">
        <v>0.04</v>
      </c>
      <c r="M37" s="72">
        <v>2.99</v>
      </c>
      <c r="N37" s="72">
        <v>3</v>
      </c>
      <c r="O37" s="72">
        <v>641048</v>
      </c>
      <c r="P37" s="72">
        <v>7</v>
      </c>
      <c r="Q37" s="72">
        <v>0.33</v>
      </c>
      <c r="R37" s="72">
        <v>1.54</v>
      </c>
      <c r="S37" s="72">
        <v>2.97</v>
      </c>
      <c r="T37" s="72">
        <v>3.02</v>
      </c>
      <c r="U37" s="72">
        <v>2.92</v>
      </c>
      <c r="V37" s="72">
        <v>2.96</v>
      </c>
      <c r="W37" s="72">
        <v>20.149999999999999</v>
      </c>
      <c r="X37" s="114">
        <v>190000000</v>
      </c>
      <c r="Y37" s="72" t="s">
        <v>392</v>
      </c>
      <c r="Z37" s="72" t="s">
        <v>372</v>
      </c>
      <c r="AA37" s="72">
        <v>3.38</v>
      </c>
      <c r="AB37" s="72">
        <v>2.97</v>
      </c>
      <c r="AC37" s="72">
        <v>351626</v>
      </c>
      <c r="AD37" s="72">
        <v>289422</v>
      </c>
      <c r="AE37" s="72">
        <v>1.21</v>
      </c>
      <c r="AF37" s="72">
        <v>3051</v>
      </c>
      <c r="AG37" s="72">
        <v>16594</v>
      </c>
      <c r="AH37" s="72" t="s">
        <v>414</v>
      </c>
      <c r="AI37" s="72">
        <v>4081400</v>
      </c>
      <c r="AJ37" s="72">
        <v>0.08</v>
      </c>
      <c r="AK37" s="72" t="s">
        <v>414</v>
      </c>
      <c r="AL37" s="72" t="s">
        <v>414</v>
      </c>
      <c r="AM37" s="72">
        <v>41.56</v>
      </c>
      <c r="AN37" s="72" t="s">
        <v>550</v>
      </c>
      <c r="AO37" s="72" t="s">
        <v>551</v>
      </c>
      <c r="AP37" s="72">
        <v>-0.63</v>
      </c>
      <c r="AQ37" s="72">
        <v>1655</v>
      </c>
      <c r="AR37" s="72">
        <v>387</v>
      </c>
      <c r="AS37" s="72">
        <v>8.9999999999999998E-4</v>
      </c>
      <c r="AT37" s="72">
        <v>3</v>
      </c>
      <c r="AU37" s="72">
        <v>11.94</v>
      </c>
      <c r="AV37" s="72">
        <v>3.91</v>
      </c>
      <c r="AW37" s="72" t="s">
        <v>552</v>
      </c>
      <c r="AX37" s="72">
        <v>1.48</v>
      </c>
      <c r="AY37" s="72">
        <v>22.85</v>
      </c>
      <c r="AZ37" s="72">
        <v>25.27</v>
      </c>
      <c r="BA37" s="72">
        <v>0.34</v>
      </c>
      <c r="BB37" s="72">
        <v>2.0299999999999998</v>
      </c>
      <c r="BC37" s="72">
        <v>-1.35</v>
      </c>
      <c r="BD37" s="72">
        <v>0.19</v>
      </c>
      <c r="BE37" s="72">
        <v>1.01</v>
      </c>
      <c r="BF37" s="72">
        <v>-0.66</v>
      </c>
      <c r="BG37" s="72">
        <v>2.74</v>
      </c>
      <c r="BH37" s="72">
        <v>1.1599999999999999</v>
      </c>
      <c r="BI37" s="72">
        <v>20200904</v>
      </c>
      <c r="BJ37" s="72">
        <v>20140929</v>
      </c>
      <c r="BK37" s="72">
        <v>49.87</v>
      </c>
      <c r="BL37" s="72" t="s">
        <v>414</v>
      </c>
      <c r="BM37" s="72" t="s">
        <v>414</v>
      </c>
      <c r="BN37" s="72">
        <v>276.45999999999998</v>
      </c>
      <c r="BO37" s="72">
        <v>75.03</v>
      </c>
      <c r="BP37" s="72">
        <v>7.16</v>
      </c>
      <c r="BQ37" s="72">
        <v>70.27</v>
      </c>
      <c r="BR37" s="72">
        <v>51.02</v>
      </c>
      <c r="BS37" s="72">
        <v>147.49</v>
      </c>
      <c r="BT37" s="72">
        <v>1.89</v>
      </c>
      <c r="BU37" s="72">
        <v>32.83</v>
      </c>
      <c r="BV37" s="72">
        <v>1.29</v>
      </c>
      <c r="BW37" s="72">
        <v>31.33</v>
      </c>
      <c r="BX37" s="72">
        <v>11.72</v>
      </c>
      <c r="BY37" s="72">
        <v>13.56</v>
      </c>
      <c r="BZ37" s="72">
        <v>6</v>
      </c>
      <c r="CA37" s="72">
        <v>4.74</v>
      </c>
      <c r="CB37" s="72">
        <v>0</v>
      </c>
      <c r="CC37" s="72">
        <v>4.7</v>
      </c>
      <c r="CD37" s="72">
        <v>4.03</v>
      </c>
      <c r="CE37" s="72">
        <v>3.71</v>
      </c>
      <c r="CF37" s="72">
        <v>20.22</v>
      </c>
      <c r="CG37" s="72">
        <v>5.74</v>
      </c>
      <c r="CH37" s="72">
        <v>-1.1599999999999999</v>
      </c>
      <c r="CI37" s="72">
        <v>96735</v>
      </c>
      <c r="CJ37" s="72">
        <v>16931</v>
      </c>
      <c r="CK37" s="72" t="s">
        <v>553</v>
      </c>
      <c r="CL37" s="72">
        <v>20</v>
      </c>
      <c r="CM37" s="72">
        <v>10.54</v>
      </c>
      <c r="CN37" s="72">
        <v>1.66</v>
      </c>
      <c r="CO37" s="72">
        <v>26.05</v>
      </c>
      <c r="CP37" s="72">
        <v>11.03</v>
      </c>
      <c r="CQ37" s="72">
        <v>1.44</v>
      </c>
      <c r="CR37" s="72" t="s">
        <v>554</v>
      </c>
      <c r="CS37" s="72">
        <v>1.81</v>
      </c>
      <c r="CT37" s="72">
        <v>1.81</v>
      </c>
      <c r="CU37" s="72">
        <v>0.24</v>
      </c>
      <c r="CV37" s="72">
        <v>0.41</v>
      </c>
      <c r="CW37" s="72">
        <v>27.14</v>
      </c>
      <c r="CX37" s="72" t="s">
        <v>555</v>
      </c>
      <c r="CY37" s="72">
        <v>55.73</v>
      </c>
      <c r="CZ37" s="72">
        <v>34.96</v>
      </c>
      <c r="DA37" s="72">
        <v>27.37</v>
      </c>
      <c r="DB37" s="72">
        <v>601016</v>
      </c>
    </row>
    <row r="38" spans="7:106" x14ac:dyDescent="0.25">
      <c r="G38" s="72">
        <v>600143</v>
      </c>
      <c r="H38" s="72" t="s">
        <v>721</v>
      </c>
      <c r="I38" s="72">
        <v>-4.3099999999999996</v>
      </c>
      <c r="J38" s="72">
        <v>1.34</v>
      </c>
      <c r="K38" s="72">
        <v>16.2</v>
      </c>
      <c r="L38" s="72">
        <v>0.85</v>
      </c>
      <c r="M38" s="72">
        <v>22.8</v>
      </c>
      <c r="N38" s="72">
        <v>22.81</v>
      </c>
      <c r="O38" s="72">
        <v>326275</v>
      </c>
      <c r="P38" s="72">
        <v>53</v>
      </c>
      <c r="Q38" s="72">
        <v>0.04</v>
      </c>
      <c r="R38" s="72">
        <v>0.44</v>
      </c>
      <c r="S38" s="72">
        <v>22.4</v>
      </c>
      <c r="T38" s="72">
        <v>22.9</v>
      </c>
      <c r="U38" s="72">
        <v>22.31</v>
      </c>
      <c r="V38" s="72">
        <v>21.96</v>
      </c>
      <c r="W38" s="72">
        <v>22.89</v>
      </c>
      <c r="X38" s="114">
        <v>740000000</v>
      </c>
      <c r="Y38" s="72" t="s">
        <v>411</v>
      </c>
      <c r="Z38" s="72" t="s">
        <v>385</v>
      </c>
      <c r="AA38" s="72">
        <v>2.69</v>
      </c>
      <c r="AB38" s="72">
        <v>22.69</v>
      </c>
      <c r="AC38" s="72">
        <v>141168</v>
      </c>
      <c r="AD38" s="72">
        <v>185107</v>
      </c>
      <c r="AE38" s="72">
        <v>0.76</v>
      </c>
      <c r="AF38" s="72">
        <v>40</v>
      </c>
      <c r="AG38" s="72">
        <v>5</v>
      </c>
      <c r="AH38" s="72" t="s">
        <v>414</v>
      </c>
      <c r="AI38" s="72">
        <v>10061900</v>
      </c>
      <c r="AJ38" s="72">
        <v>0.01</v>
      </c>
      <c r="AK38" s="72" t="s">
        <v>414</v>
      </c>
      <c r="AL38" s="72" t="s">
        <v>414</v>
      </c>
      <c r="AM38" s="72">
        <v>74.22</v>
      </c>
      <c r="AN38" s="72" t="s">
        <v>556</v>
      </c>
      <c r="AO38" s="72" t="s">
        <v>556</v>
      </c>
      <c r="AP38" s="72">
        <v>1.89</v>
      </c>
      <c r="AQ38" s="72">
        <v>1875</v>
      </c>
      <c r="AR38" s="72">
        <v>174</v>
      </c>
      <c r="AS38" s="72">
        <v>2.0000000000000001E-4</v>
      </c>
      <c r="AT38" s="72">
        <v>2</v>
      </c>
      <c r="AU38" s="72">
        <v>4.26</v>
      </c>
      <c r="AV38" s="72">
        <v>1.08</v>
      </c>
      <c r="AW38" s="72" t="s">
        <v>557</v>
      </c>
      <c r="AX38" s="72">
        <v>1.82</v>
      </c>
      <c r="AY38" s="72">
        <v>23.54</v>
      </c>
      <c r="AZ38" s="72">
        <v>26.22</v>
      </c>
      <c r="BA38" s="72">
        <v>2</v>
      </c>
      <c r="BB38" s="72">
        <v>4.28</v>
      </c>
      <c r="BC38" s="72">
        <v>1.59</v>
      </c>
      <c r="BD38" s="72">
        <v>3.33</v>
      </c>
      <c r="BE38" s="72">
        <v>1.83</v>
      </c>
      <c r="BF38" s="72">
        <v>-0.39</v>
      </c>
      <c r="BG38" s="72">
        <v>2.2400000000000002</v>
      </c>
      <c r="BH38" s="72">
        <v>0.54</v>
      </c>
      <c r="BI38" s="72">
        <v>20200902</v>
      </c>
      <c r="BJ38" s="72">
        <v>20091117</v>
      </c>
      <c r="BK38" s="72">
        <v>86.97</v>
      </c>
      <c r="BL38" s="72" t="s">
        <v>414</v>
      </c>
      <c r="BM38" s="72">
        <v>12.75</v>
      </c>
      <c r="BN38" s="72">
        <v>4229.87</v>
      </c>
      <c r="BO38" s="72">
        <v>894.23</v>
      </c>
      <c r="BP38" s="72">
        <v>0.86</v>
      </c>
      <c r="BQ38" s="72">
        <v>78.84</v>
      </c>
      <c r="BR38" s="72">
        <v>0</v>
      </c>
      <c r="BS38" s="72">
        <v>14.09</v>
      </c>
      <c r="BT38" s="72">
        <v>4.3</v>
      </c>
      <c r="BU38" s="72">
        <v>0</v>
      </c>
      <c r="BV38" s="72">
        <v>0</v>
      </c>
      <c r="BW38" s="72">
        <v>0</v>
      </c>
      <c r="BX38" s="72">
        <v>275.33999999999997</v>
      </c>
      <c r="BY38" s="72">
        <v>114.99</v>
      </c>
      <c r="BZ38" s="72">
        <v>0</v>
      </c>
      <c r="CA38" s="72">
        <v>53.09</v>
      </c>
      <c r="CB38" s="72">
        <v>32.03</v>
      </c>
      <c r="CC38" s="72">
        <v>53.12</v>
      </c>
      <c r="CD38" s="72">
        <v>43.4</v>
      </c>
      <c r="CE38" s="72">
        <v>43.34</v>
      </c>
      <c r="CF38" s="72">
        <v>231.62</v>
      </c>
      <c r="CG38" s="72">
        <v>81.040000000000006</v>
      </c>
      <c r="CH38" s="72">
        <v>159.38</v>
      </c>
      <c r="CI38" s="72">
        <v>94719</v>
      </c>
      <c r="CJ38" s="72">
        <v>31845</v>
      </c>
      <c r="CK38" s="72" t="s">
        <v>558</v>
      </c>
      <c r="CL38" s="72">
        <v>23.73</v>
      </c>
      <c r="CM38" s="72">
        <v>34.64</v>
      </c>
      <c r="CN38" s="72">
        <v>2.0499999999999998</v>
      </c>
      <c r="CO38" s="72">
        <v>24.48</v>
      </c>
      <c r="CP38" s="72">
        <v>17.25</v>
      </c>
      <c r="CQ38" s="72">
        <v>1.53</v>
      </c>
      <c r="CR38" s="72" t="s">
        <v>559</v>
      </c>
      <c r="CS38" s="72">
        <v>11.11</v>
      </c>
      <c r="CT38" s="72">
        <v>11.11</v>
      </c>
      <c r="CU38" s="72">
        <v>3.17</v>
      </c>
      <c r="CV38" s="72">
        <v>2.66</v>
      </c>
      <c r="CW38" s="72">
        <v>21.14</v>
      </c>
      <c r="CX38" s="72" t="s">
        <v>560</v>
      </c>
      <c r="CY38" s="72" t="s">
        <v>414</v>
      </c>
      <c r="CZ38" s="72">
        <v>46.17</v>
      </c>
      <c r="DA38" s="72">
        <v>37.69</v>
      </c>
      <c r="DB38" s="72">
        <v>600999</v>
      </c>
    </row>
    <row r="39" spans="7:106" x14ac:dyDescent="0.25">
      <c r="G39" s="72">
        <v>789</v>
      </c>
      <c r="H39" s="72" t="s">
        <v>417</v>
      </c>
      <c r="I39" s="72">
        <v>-3.9</v>
      </c>
      <c r="J39" s="72">
        <v>1.06</v>
      </c>
      <c r="K39" s="72">
        <v>15.51</v>
      </c>
      <c r="L39" s="72">
        <v>0.56999999999999995</v>
      </c>
      <c r="M39" s="72">
        <v>10.77</v>
      </c>
      <c r="N39" s="72">
        <v>10.78</v>
      </c>
      <c r="O39" s="72">
        <v>195431</v>
      </c>
      <c r="P39" s="72">
        <v>71</v>
      </c>
      <c r="Q39" s="72">
        <v>-0.08</v>
      </c>
      <c r="R39" s="72">
        <v>2.66</v>
      </c>
      <c r="S39" s="72">
        <v>10.210000000000001</v>
      </c>
      <c r="T39" s="72">
        <v>10.81</v>
      </c>
      <c r="U39" s="72">
        <v>10.16</v>
      </c>
      <c r="V39" s="72">
        <v>10.210000000000001</v>
      </c>
      <c r="W39" s="72">
        <v>18.89</v>
      </c>
      <c r="X39" s="114">
        <v>207000000</v>
      </c>
      <c r="Y39" s="72" t="s">
        <v>350</v>
      </c>
      <c r="Z39" s="72" t="s">
        <v>561</v>
      </c>
      <c r="AA39" s="72">
        <v>6.37</v>
      </c>
      <c r="AB39" s="72">
        <v>10.6</v>
      </c>
      <c r="AC39" s="72">
        <v>78619</v>
      </c>
      <c r="AD39" s="72">
        <v>116812</v>
      </c>
      <c r="AE39" s="72">
        <v>0.67</v>
      </c>
      <c r="AF39" s="72">
        <v>32</v>
      </c>
      <c r="AG39" s="72">
        <v>258</v>
      </c>
      <c r="AH39" s="72" t="s">
        <v>414</v>
      </c>
      <c r="AI39" s="72">
        <v>1149600</v>
      </c>
      <c r="AJ39" s="72">
        <v>0.02</v>
      </c>
      <c r="AK39" s="72" t="s">
        <v>414</v>
      </c>
      <c r="AL39" s="72" t="s">
        <v>414</v>
      </c>
      <c r="AM39" s="72">
        <v>7.33</v>
      </c>
      <c r="AN39" s="72" t="s">
        <v>562</v>
      </c>
      <c r="AO39" s="72" t="s">
        <v>563</v>
      </c>
      <c r="AP39" s="72">
        <v>3.6</v>
      </c>
      <c r="AQ39" s="72">
        <v>1685</v>
      </c>
      <c r="AR39" s="72">
        <v>116</v>
      </c>
      <c r="AS39" s="72">
        <v>1.6000000000000001E-3</v>
      </c>
      <c r="AT39" s="72">
        <v>2</v>
      </c>
      <c r="AU39" s="72">
        <v>1.51</v>
      </c>
      <c r="AV39" s="72">
        <v>2.79</v>
      </c>
      <c r="AW39" s="72" t="s">
        <v>498</v>
      </c>
      <c r="AX39" s="72">
        <v>1.03</v>
      </c>
      <c r="AY39" s="72">
        <v>18.7</v>
      </c>
      <c r="AZ39" s="72">
        <v>19.690000000000001</v>
      </c>
      <c r="BA39" s="72">
        <v>0</v>
      </c>
      <c r="BB39" s="72">
        <v>5.88</v>
      </c>
      <c r="BC39" s="72">
        <v>-0.49</v>
      </c>
      <c r="BD39" s="72">
        <v>3.81</v>
      </c>
      <c r="BE39" s="72">
        <v>5.58</v>
      </c>
      <c r="BF39" s="72">
        <v>-0.28000000000000003</v>
      </c>
      <c r="BG39" s="72">
        <v>6.1</v>
      </c>
      <c r="BH39" s="72">
        <v>1.78</v>
      </c>
      <c r="BI39" s="72">
        <v>20200820</v>
      </c>
      <c r="BJ39" s="72">
        <v>20190516</v>
      </c>
      <c r="BK39" s="72">
        <v>73.33</v>
      </c>
      <c r="BL39" s="72" t="s">
        <v>414</v>
      </c>
      <c r="BM39" s="72" t="s">
        <v>414</v>
      </c>
      <c r="BN39" s="72">
        <v>357.34</v>
      </c>
      <c r="BO39" s="72">
        <v>233.53</v>
      </c>
      <c r="BP39" s="72">
        <v>0</v>
      </c>
      <c r="BQ39" s="72">
        <v>34.65</v>
      </c>
      <c r="BR39" s="72">
        <v>39</v>
      </c>
      <c r="BS39" s="72">
        <v>228.98</v>
      </c>
      <c r="BT39" s="72">
        <v>31.99</v>
      </c>
      <c r="BU39" s="72">
        <v>51.3</v>
      </c>
      <c r="BV39" s="72">
        <v>6.77</v>
      </c>
      <c r="BW39" s="72">
        <v>0.12</v>
      </c>
      <c r="BX39" s="72">
        <v>72.680000000000007</v>
      </c>
      <c r="BY39" s="72">
        <v>75.2</v>
      </c>
      <c r="BZ39" s="72">
        <v>44.98</v>
      </c>
      <c r="CA39" s="72">
        <v>23.4</v>
      </c>
      <c r="CB39" s="72">
        <v>0</v>
      </c>
      <c r="CC39" s="72">
        <v>23.54</v>
      </c>
      <c r="CD39" s="72">
        <v>20.92</v>
      </c>
      <c r="CE39" s="72">
        <v>20.92</v>
      </c>
      <c r="CF39" s="72">
        <v>77.16</v>
      </c>
      <c r="CG39" s="72">
        <v>25.7</v>
      </c>
      <c r="CH39" s="72">
        <v>10.52</v>
      </c>
      <c r="CI39" s="72">
        <v>160669</v>
      </c>
      <c r="CJ39" s="72">
        <v>4360</v>
      </c>
      <c r="CK39" s="72" t="s">
        <v>564</v>
      </c>
      <c r="CL39" s="72">
        <v>10.75</v>
      </c>
      <c r="CM39" s="72">
        <v>15.35</v>
      </c>
      <c r="CN39" s="72">
        <v>3.39</v>
      </c>
      <c r="CO39" s="72">
        <v>30.76</v>
      </c>
      <c r="CP39" s="72">
        <v>10.51</v>
      </c>
      <c r="CQ39" s="72">
        <v>2.74</v>
      </c>
      <c r="CR39" s="72" t="s">
        <v>565</v>
      </c>
      <c r="CS39" s="72">
        <v>3.18</v>
      </c>
      <c r="CT39" s="72">
        <v>0</v>
      </c>
      <c r="CU39" s="72">
        <v>0.99</v>
      </c>
      <c r="CV39" s="72">
        <v>1.05</v>
      </c>
      <c r="CW39" s="72">
        <v>65.349999999999994</v>
      </c>
      <c r="CX39" s="72" t="s">
        <v>566</v>
      </c>
      <c r="CY39" s="72">
        <v>40.19</v>
      </c>
      <c r="CZ39" s="72">
        <v>31.11</v>
      </c>
      <c r="DA39" s="72">
        <v>27.82</v>
      </c>
      <c r="DB39" s="72">
        <v>600989</v>
      </c>
    </row>
    <row r="40" spans="7:106" x14ac:dyDescent="0.25">
      <c r="G40" s="72">
        <v>951</v>
      </c>
      <c r="H40" s="72" t="s">
        <v>899</v>
      </c>
      <c r="I40" s="72">
        <v>-2.96</v>
      </c>
      <c r="J40" s="72">
        <v>1.1499999999999999</v>
      </c>
      <c r="K40" s="72">
        <v>36.369999999999997</v>
      </c>
      <c r="L40" s="72">
        <v>-0.06</v>
      </c>
      <c r="M40" s="72">
        <v>12.56</v>
      </c>
      <c r="N40" s="72">
        <v>12.57</v>
      </c>
      <c r="O40" s="72">
        <v>54854</v>
      </c>
      <c r="P40" s="72">
        <v>15</v>
      </c>
      <c r="Q40" s="72">
        <v>-7.0000000000000007E-2</v>
      </c>
      <c r="R40" s="72">
        <v>0.41</v>
      </c>
      <c r="S40" s="72">
        <v>12.68</v>
      </c>
      <c r="T40" s="72">
        <v>12.78</v>
      </c>
      <c r="U40" s="72">
        <v>12.51</v>
      </c>
      <c r="V40" s="72">
        <v>12.63</v>
      </c>
      <c r="W40" s="72">
        <v>31.44</v>
      </c>
      <c r="X40" s="114">
        <v>69261440</v>
      </c>
      <c r="Y40" s="72" t="s">
        <v>369</v>
      </c>
      <c r="Z40" s="72" t="s">
        <v>349</v>
      </c>
      <c r="AA40" s="72">
        <v>2.14</v>
      </c>
      <c r="AB40" s="72">
        <v>12.63</v>
      </c>
      <c r="AC40" s="72">
        <v>26234</v>
      </c>
      <c r="AD40" s="72">
        <v>28620</v>
      </c>
      <c r="AE40" s="72">
        <v>0.92</v>
      </c>
      <c r="AF40" s="72">
        <v>180</v>
      </c>
      <c r="AG40" s="72">
        <v>96</v>
      </c>
      <c r="AH40" s="72" t="s">
        <v>414</v>
      </c>
      <c r="AI40" s="72">
        <v>140700</v>
      </c>
      <c r="AJ40" s="72">
        <v>0</v>
      </c>
      <c r="AK40" s="72" t="s">
        <v>414</v>
      </c>
      <c r="AL40" s="72" t="s">
        <v>414</v>
      </c>
      <c r="AM40" s="72">
        <v>13.37</v>
      </c>
      <c r="AN40" s="72" t="s">
        <v>567</v>
      </c>
      <c r="AO40" s="72" t="s">
        <v>567</v>
      </c>
      <c r="AP40" s="72">
        <v>-2.46</v>
      </c>
      <c r="AQ40" s="72">
        <v>1346</v>
      </c>
      <c r="AR40" s="72">
        <v>41</v>
      </c>
      <c r="AS40" s="72">
        <v>2.9999999999999997E-4</v>
      </c>
      <c r="AT40" s="72">
        <v>-1</v>
      </c>
      <c r="AU40" s="72">
        <v>9.1999999999999993</v>
      </c>
      <c r="AV40" s="72">
        <v>0.8</v>
      </c>
      <c r="AW40" s="72" t="s">
        <v>568</v>
      </c>
      <c r="AX40" s="72">
        <v>1.07</v>
      </c>
      <c r="AY40" s="72">
        <v>62.7</v>
      </c>
      <c r="AZ40" s="72">
        <v>126.22</v>
      </c>
      <c r="BA40" s="72">
        <v>0.4</v>
      </c>
      <c r="BB40" s="72">
        <v>1.19</v>
      </c>
      <c r="BC40" s="72">
        <v>-0.95</v>
      </c>
      <c r="BD40" s="72">
        <v>-0.03</v>
      </c>
      <c r="BE40" s="72">
        <v>-0.87</v>
      </c>
      <c r="BF40" s="72">
        <v>-1.64</v>
      </c>
      <c r="BG40" s="72">
        <v>0.48</v>
      </c>
      <c r="BH40" s="72">
        <v>-0.45</v>
      </c>
      <c r="BI40" s="72">
        <v>20200827</v>
      </c>
      <c r="BJ40" s="72">
        <v>20040608</v>
      </c>
      <c r="BK40" s="72">
        <v>13.37</v>
      </c>
      <c r="BL40" s="72" t="s">
        <v>414</v>
      </c>
      <c r="BM40" s="72" t="s">
        <v>414</v>
      </c>
      <c r="BN40" s="72">
        <v>191.11</v>
      </c>
      <c r="BO40" s="72">
        <v>55.39</v>
      </c>
      <c r="BP40" s="72">
        <v>0</v>
      </c>
      <c r="BQ40" s="72">
        <v>71.02</v>
      </c>
      <c r="BR40" s="72">
        <v>56.98</v>
      </c>
      <c r="BS40" s="72">
        <v>117.58</v>
      </c>
      <c r="BT40" s="72">
        <v>2.27</v>
      </c>
      <c r="BU40" s="72">
        <v>100.35</v>
      </c>
      <c r="BV40" s="72">
        <v>15.69</v>
      </c>
      <c r="BW40" s="72">
        <v>9.91</v>
      </c>
      <c r="BX40" s="72">
        <v>13.33</v>
      </c>
      <c r="BY40" s="72">
        <v>57.33</v>
      </c>
      <c r="BZ40" s="72">
        <v>47.28</v>
      </c>
      <c r="CA40" s="72">
        <v>3.55</v>
      </c>
      <c r="CB40" s="72">
        <v>0</v>
      </c>
      <c r="CC40" s="72">
        <v>3.53</v>
      </c>
      <c r="CD40" s="72">
        <v>2.67</v>
      </c>
      <c r="CE40" s="72">
        <v>2.67</v>
      </c>
      <c r="CF40" s="72">
        <v>26.52</v>
      </c>
      <c r="CG40" s="72">
        <v>10.39</v>
      </c>
      <c r="CH40" s="72">
        <v>0.24</v>
      </c>
      <c r="CI40" s="72">
        <v>38470</v>
      </c>
      <c r="CJ40" s="72">
        <v>17780</v>
      </c>
      <c r="CK40" s="72" t="s">
        <v>569</v>
      </c>
      <c r="CL40" s="72">
        <v>102.88</v>
      </c>
      <c r="CM40" s="72">
        <v>41.78</v>
      </c>
      <c r="CN40" s="72">
        <v>3.03</v>
      </c>
      <c r="CO40" s="72">
        <v>16.170000000000002</v>
      </c>
      <c r="CP40" s="72">
        <v>2.93</v>
      </c>
      <c r="CQ40" s="72">
        <v>0.13</v>
      </c>
      <c r="CR40" s="72" t="s">
        <v>570</v>
      </c>
      <c r="CS40" s="72">
        <v>4.1399999999999997</v>
      </c>
      <c r="CT40" s="72">
        <v>0</v>
      </c>
      <c r="CU40" s="72">
        <v>1</v>
      </c>
      <c r="CV40" s="72">
        <v>1.98</v>
      </c>
      <c r="CW40" s="72">
        <v>28.98</v>
      </c>
      <c r="CX40" s="72" t="s">
        <v>571</v>
      </c>
      <c r="CY40" s="72">
        <v>17.54</v>
      </c>
      <c r="CZ40" s="72">
        <v>6.2</v>
      </c>
      <c r="DA40" s="72">
        <v>4.66</v>
      </c>
      <c r="DB40" s="72">
        <v>600966</v>
      </c>
    </row>
    <row r="41" spans="7:106" x14ac:dyDescent="0.25">
      <c r="G41" s="72">
        <v>2100</v>
      </c>
      <c r="H41" s="72" t="s">
        <v>972</v>
      </c>
      <c r="I41" s="72">
        <v>-2.86</v>
      </c>
      <c r="J41" s="72">
        <v>0.98</v>
      </c>
      <c r="K41" s="72">
        <v>12.92</v>
      </c>
      <c r="L41" s="72">
        <v>0.22</v>
      </c>
      <c r="M41" s="72">
        <v>7.26</v>
      </c>
      <c r="N41" s="72">
        <v>7.27</v>
      </c>
      <c r="O41" s="72">
        <v>44859</v>
      </c>
      <c r="P41" s="72">
        <v>6</v>
      </c>
      <c r="Q41" s="72">
        <v>0.55000000000000004</v>
      </c>
      <c r="R41" s="72">
        <v>0.85</v>
      </c>
      <c r="S41" s="72">
        <v>7.14</v>
      </c>
      <c r="T41" s="72">
        <v>7.3</v>
      </c>
      <c r="U41" s="72">
        <v>7.03</v>
      </c>
      <c r="V41" s="72">
        <v>7.05</v>
      </c>
      <c r="W41" s="72">
        <v>20.39</v>
      </c>
      <c r="X41" s="72">
        <v>31974708</v>
      </c>
      <c r="Y41" s="72" t="s">
        <v>572</v>
      </c>
      <c r="Z41" s="72" t="s">
        <v>384</v>
      </c>
      <c r="AA41" s="72">
        <v>3.83</v>
      </c>
      <c r="AB41" s="72">
        <v>7.13</v>
      </c>
      <c r="AC41" s="72">
        <v>21755</v>
      </c>
      <c r="AD41" s="72">
        <v>23104</v>
      </c>
      <c r="AE41" s="72">
        <v>0.94</v>
      </c>
      <c r="AF41" s="72">
        <v>19</v>
      </c>
      <c r="AG41" s="72">
        <v>5</v>
      </c>
      <c r="AH41" s="72" t="s">
        <v>414</v>
      </c>
      <c r="AI41" s="72">
        <v>137100</v>
      </c>
      <c r="AJ41" s="72">
        <v>0.01</v>
      </c>
      <c r="AK41" s="72" t="s">
        <v>414</v>
      </c>
      <c r="AL41" s="72" t="s">
        <v>414</v>
      </c>
      <c r="AM41" s="72">
        <v>5.27</v>
      </c>
      <c r="AN41" s="72" t="s">
        <v>573</v>
      </c>
      <c r="AO41" s="72" t="s">
        <v>573</v>
      </c>
      <c r="AP41" s="72">
        <v>1.1399999999999999</v>
      </c>
      <c r="AQ41" s="72">
        <v>1208</v>
      </c>
      <c r="AR41" s="72">
        <v>37</v>
      </c>
      <c r="AS41" s="72">
        <v>6.9999999999999999E-4</v>
      </c>
      <c r="AT41" s="72">
        <v>2</v>
      </c>
      <c r="AU41" s="72">
        <v>5.98</v>
      </c>
      <c r="AV41" s="72">
        <v>1.49</v>
      </c>
      <c r="AW41" s="72" t="s">
        <v>574</v>
      </c>
      <c r="AX41" s="72">
        <v>1.67</v>
      </c>
      <c r="AY41" s="72">
        <v>18.100000000000001</v>
      </c>
      <c r="AZ41" s="72">
        <v>48.02</v>
      </c>
      <c r="BA41" s="72">
        <v>1.28</v>
      </c>
      <c r="BB41" s="72">
        <v>3.55</v>
      </c>
      <c r="BC41" s="72">
        <v>-0.28000000000000003</v>
      </c>
      <c r="BD41" s="72">
        <v>1.1100000000000001</v>
      </c>
      <c r="BE41" s="72">
        <v>1.82</v>
      </c>
      <c r="BF41" s="72">
        <v>-0.41</v>
      </c>
      <c r="BG41" s="72">
        <v>3.41</v>
      </c>
      <c r="BH41" s="72">
        <v>2.02</v>
      </c>
      <c r="BI41" s="72">
        <v>20200821</v>
      </c>
      <c r="BJ41" s="72">
        <v>20040830</v>
      </c>
      <c r="BK41" s="72">
        <v>5.27</v>
      </c>
      <c r="BL41" s="72" t="s">
        <v>414</v>
      </c>
      <c r="BM41" s="72" t="s">
        <v>414</v>
      </c>
      <c r="BN41" s="72">
        <v>68.849999999999994</v>
      </c>
      <c r="BO41" s="72">
        <v>1.41</v>
      </c>
      <c r="BP41" s="72">
        <v>6.11</v>
      </c>
      <c r="BQ41" s="72">
        <v>89.09</v>
      </c>
      <c r="BR41" s="72">
        <v>32.049999999999997</v>
      </c>
      <c r="BS41" s="72">
        <v>32.909999999999997</v>
      </c>
      <c r="BT41" s="72">
        <v>1.21</v>
      </c>
      <c r="BU41" s="72">
        <v>34.369999999999997</v>
      </c>
      <c r="BV41" s="72">
        <v>9.94</v>
      </c>
      <c r="BW41" s="72">
        <v>1.74</v>
      </c>
      <c r="BX41" s="72">
        <v>8.67</v>
      </c>
      <c r="BY41" s="72">
        <v>72.8</v>
      </c>
      <c r="BZ41" s="72">
        <v>69.52</v>
      </c>
      <c r="CA41" s="72">
        <v>1.48</v>
      </c>
      <c r="CB41" s="72">
        <v>0.25</v>
      </c>
      <c r="CC41" s="72">
        <v>1.44</v>
      </c>
      <c r="CD41" s="72">
        <v>1.1399999999999999</v>
      </c>
      <c r="CE41" s="72">
        <v>0.94</v>
      </c>
      <c r="CF41" s="72">
        <v>-28.59</v>
      </c>
      <c r="CG41" s="72">
        <v>1.79</v>
      </c>
      <c r="CH41" s="72">
        <v>-0.86</v>
      </c>
      <c r="CI41" s="72">
        <v>28767</v>
      </c>
      <c r="CJ41" s="72">
        <v>10458</v>
      </c>
      <c r="CK41" s="72" t="s">
        <v>575</v>
      </c>
      <c r="CL41" s="72">
        <v>376.67</v>
      </c>
      <c r="CM41" s="72">
        <v>73.790000000000006</v>
      </c>
      <c r="CN41" s="72">
        <v>-2.82</v>
      </c>
      <c r="CO41" s="72">
        <v>21.39</v>
      </c>
      <c r="CP41" s="72">
        <v>0.53</v>
      </c>
      <c r="CQ41" s="72">
        <v>0</v>
      </c>
      <c r="CR41" s="72" t="s">
        <v>576</v>
      </c>
      <c r="CS41" s="72">
        <v>-2.58</v>
      </c>
      <c r="CT41" s="72">
        <v>-2.58</v>
      </c>
      <c r="CU41" s="72">
        <v>1.64</v>
      </c>
      <c r="CV41" s="72">
        <v>-5.42</v>
      </c>
      <c r="CW41" s="72">
        <v>2.04</v>
      </c>
      <c r="CX41" s="72" t="s">
        <v>577</v>
      </c>
      <c r="CY41" s="72">
        <v>4.51</v>
      </c>
      <c r="CZ41" s="72">
        <v>2.04</v>
      </c>
      <c r="DA41" s="72">
        <v>1.29</v>
      </c>
      <c r="DB41" s="72">
        <v>600961</v>
      </c>
    </row>
    <row r="42" spans="7:106" x14ac:dyDescent="0.25">
      <c r="G42" s="72">
        <v>2124</v>
      </c>
      <c r="H42" s="72" t="s">
        <v>1818</v>
      </c>
      <c r="I42" s="72">
        <v>-2.21</v>
      </c>
      <c r="J42" s="72">
        <v>0.72</v>
      </c>
      <c r="K42" s="72">
        <v>14.62</v>
      </c>
      <c r="L42" s="72">
        <v>0.35</v>
      </c>
      <c r="M42" s="72">
        <v>11.63</v>
      </c>
      <c r="N42" s="72">
        <v>11.64</v>
      </c>
      <c r="O42" s="72">
        <v>555030</v>
      </c>
      <c r="P42" s="72">
        <v>55</v>
      </c>
      <c r="Q42" s="72">
        <v>-0.08</v>
      </c>
      <c r="R42" s="72">
        <v>0.98</v>
      </c>
      <c r="S42" s="72">
        <v>11.45</v>
      </c>
      <c r="T42" s="72">
        <v>11.7</v>
      </c>
      <c r="U42" s="72">
        <v>11.3</v>
      </c>
      <c r="V42" s="72">
        <v>11.29</v>
      </c>
      <c r="W42" s="72">
        <v>26.67</v>
      </c>
      <c r="X42" s="114">
        <v>641000000</v>
      </c>
      <c r="Y42" s="72" t="s">
        <v>411</v>
      </c>
      <c r="Z42" s="72" t="s">
        <v>365</v>
      </c>
      <c r="AA42" s="72">
        <v>3.54</v>
      </c>
      <c r="AB42" s="72">
        <v>11.54</v>
      </c>
      <c r="AC42" s="72">
        <v>267405</v>
      </c>
      <c r="AD42" s="72">
        <v>287625</v>
      </c>
      <c r="AE42" s="72">
        <v>0.93</v>
      </c>
      <c r="AF42" s="72">
        <v>214</v>
      </c>
      <c r="AG42" s="72">
        <v>477</v>
      </c>
      <c r="AH42" s="72" t="s">
        <v>414</v>
      </c>
      <c r="AI42" s="72">
        <v>7054300</v>
      </c>
      <c r="AJ42" s="72">
        <v>0.01</v>
      </c>
      <c r="AK42" s="72" t="s">
        <v>414</v>
      </c>
      <c r="AL42" s="72" t="s">
        <v>414</v>
      </c>
      <c r="AM42" s="72">
        <v>56.77</v>
      </c>
      <c r="AN42" s="72" t="s">
        <v>578</v>
      </c>
      <c r="AO42" s="72" t="s">
        <v>579</v>
      </c>
      <c r="AP42" s="72">
        <v>1.1200000000000001</v>
      </c>
      <c r="AQ42" s="72">
        <v>1854</v>
      </c>
      <c r="AR42" s="72">
        <v>299</v>
      </c>
      <c r="AS42" s="72">
        <v>5.0000000000000001E-4</v>
      </c>
      <c r="AT42" s="72">
        <v>2</v>
      </c>
      <c r="AU42" s="72">
        <v>2.02</v>
      </c>
      <c r="AV42" s="72">
        <v>1.34</v>
      </c>
      <c r="AW42" s="72" t="s">
        <v>580</v>
      </c>
      <c r="AX42" s="72">
        <v>1.49</v>
      </c>
      <c r="AY42" s="72">
        <v>28.7</v>
      </c>
      <c r="AZ42" s="72">
        <v>32.43</v>
      </c>
      <c r="BA42" s="72">
        <v>1.42</v>
      </c>
      <c r="BB42" s="72">
        <v>3.63</v>
      </c>
      <c r="BC42" s="72">
        <v>0.09</v>
      </c>
      <c r="BD42" s="72">
        <v>2.2200000000000002</v>
      </c>
      <c r="BE42" s="72">
        <v>1.66</v>
      </c>
      <c r="BF42" s="72">
        <v>-0.51</v>
      </c>
      <c r="BG42" s="72">
        <v>3.01</v>
      </c>
      <c r="BH42" s="72">
        <v>0.88</v>
      </c>
      <c r="BI42" s="72">
        <v>20200829</v>
      </c>
      <c r="BJ42" s="72">
        <v>20150323</v>
      </c>
      <c r="BK42" s="72">
        <v>69.94</v>
      </c>
      <c r="BL42" s="72" t="s">
        <v>414</v>
      </c>
      <c r="BM42" s="72">
        <v>10.27</v>
      </c>
      <c r="BN42" s="72">
        <v>2707.58</v>
      </c>
      <c r="BO42" s="72">
        <v>544.58000000000004</v>
      </c>
      <c r="BP42" s="72">
        <v>0.3</v>
      </c>
      <c r="BQ42" s="72">
        <v>79.88</v>
      </c>
      <c r="BR42" s="72">
        <v>0</v>
      </c>
      <c r="BS42" s="72">
        <v>19.86</v>
      </c>
      <c r="BT42" s="72">
        <v>1.61</v>
      </c>
      <c r="BU42" s="72">
        <v>0</v>
      </c>
      <c r="BV42" s="72">
        <v>0</v>
      </c>
      <c r="BW42" s="72">
        <v>0</v>
      </c>
      <c r="BX42" s="72">
        <v>282.67</v>
      </c>
      <c r="BY42" s="72">
        <v>96.25</v>
      </c>
      <c r="BZ42" s="72">
        <v>0</v>
      </c>
      <c r="CA42" s="72">
        <v>16.77</v>
      </c>
      <c r="CB42" s="72">
        <v>19.45</v>
      </c>
      <c r="CC42" s="72">
        <v>17.77</v>
      </c>
      <c r="CD42" s="72">
        <v>15.25</v>
      </c>
      <c r="CE42" s="72">
        <v>15.26</v>
      </c>
      <c r="CF42" s="72">
        <v>71.73</v>
      </c>
      <c r="CG42" s="72">
        <v>115.81</v>
      </c>
      <c r="CH42" s="72">
        <v>79.72</v>
      </c>
      <c r="CI42" s="72">
        <v>137886</v>
      </c>
      <c r="CJ42" s="72">
        <v>30024</v>
      </c>
      <c r="CK42" s="72" t="s">
        <v>581</v>
      </c>
      <c r="CL42" s="72">
        <v>26.16</v>
      </c>
      <c r="CM42" s="72">
        <v>19.14</v>
      </c>
      <c r="CN42" s="72">
        <v>1.49</v>
      </c>
      <c r="CO42" s="72">
        <v>7.03</v>
      </c>
      <c r="CP42" s="72">
        <v>8.4600000000000009</v>
      </c>
      <c r="CQ42" s="72">
        <v>1.33</v>
      </c>
      <c r="CR42" s="72" t="s">
        <v>582</v>
      </c>
      <c r="CS42" s="72">
        <v>7.79</v>
      </c>
      <c r="CT42" s="72">
        <v>0</v>
      </c>
      <c r="CU42" s="72">
        <v>4.04</v>
      </c>
      <c r="CV42" s="72">
        <v>1.03</v>
      </c>
      <c r="CW42" s="72">
        <v>20.11</v>
      </c>
      <c r="CX42" s="72" t="s">
        <v>583</v>
      </c>
      <c r="CY42" s="72" t="s">
        <v>414</v>
      </c>
      <c r="CZ42" s="72">
        <v>17.420000000000002</v>
      </c>
      <c r="DA42" s="72">
        <v>15.85</v>
      </c>
      <c r="DB42" s="72">
        <v>600958</v>
      </c>
    </row>
    <row r="43" spans="7:106" x14ac:dyDescent="0.25">
      <c r="G43" s="72">
        <v>2157</v>
      </c>
      <c r="H43" s="72" t="s">
        <v>1819</v>
      </c>
      <c r="I43" s="72">
        <v>-2.44</v>
      </c>
      <c r="J43" s="72">
        <v>0.69</v>
      </c>
      <c r="K43" s="72">
        <v>17.62</v>
      </c>
      <c r="L43" s="72">
        <v>0.38</v>
      </c>
      <c r="M43" s="72">
        <v>12.09</v>
      </c>
      <c r="N43" s="72">
        <v>12.1</v>
      </c>
      <c r="O43" s="72">
        <v>244273</v>
      </c>
      <c r="P43" s="72">
        <v>1</v>
      </c>
      <c r="Q43" s="72">
        <v>-7.0000000000000007E-2</v>
      </c>
      <c r="R43" s="72">
        <v>0.49</v>
      </c>
      <c r="S43" s="72">
        <v>11.78</v>
      </c>
      <c r="T43" s="72">
        <v>12.14</v>
      </c>
      <c r="U43" s="72">
        <v>11.61</v>
      </c>
      <c r="V43" s="72">
        <v>11.72</v>
      </c>
      <c r="W43" s="72">
        <v>8.82</v>
      </c>
      <c r="X43" s="114">
        <v>290000000</v>
      </c>
      <c r="Y43" s="72" t="s">
        <v>373</v>
      </c>
      <c r="Z43" s="72" t="s">
        <v>358</v>
      </c>
      <c r="AA43" s="72">
        <v>4.5199999999999996</v>
      </c>
      <c r="AB43" s="72">
        <v>11.86</v>
      </c>
      <c r="AC43" s="72">
        <v>106908</v>
      </c>
      <c r="AD43" s="72">
        <v>137365</v>
      </c>
      <c r="AE43" s="72">
        <v>0.78</v>
      </c>
      <c r="AF43" s="72">
        <v>173</v>
      </c>
      <c r="AG43" s="72">
        <v>7</v>
      </c>
      <c r="AH43" s="72" t="s">
        <v>414</v>
      </c>
      <c r="AI43" s="72">
        <v>2156900</v>
      </c>
      <c r="AJ43" s="72">
        <v>0.01</v>
      </c>
      <c r="AK43" s="72" t="s">
        <v>414</v>
      </c>
      <c r="AL43" s="72" t="s">
        <v>414</v>
      </c>
      <c r="AM43" s="72">
        <v>50.22</v>
      </c>
      <c r="AN43" s="72" t="s">
        <v>584</v>
      </c>
      <c r="AO43" s="72" t="s">
        <v>585</v>
      </c>
      <c r="AP43" s="72">
        <v>1.26</v>
      </c>
      <c r="AQ43" s="72">
        <v>1706</v>
      </c>
      <c r="AR43" s="72">
        <v>143</v>
      </c>
      <c r="AS43" s="72">
        <v>2.9999999999999997E-4</v>
      </c>
      <c r="AT43" s="72">
        <v>1</v>
      </c>
      <c r="AU43" s="72">
        <v>1.85</v>
      </c>
      <c r="AV43" s="72">
        <v>0.88</v>
      </c>
      <c r="AW43" s="72" t="s">
        <v>586</v>
      </c>
      <c r="AX43" s="72">
        <v>1.28</v>
      </c>
      <c r="AY43" s="72">
        <v>9.8699999999999992</v>
      </c>
      <c r="AZ43" s="72">
        <v>10.53</v>
      </c>
      <c r="BA43" s="72">
        <v>0.51</v>
      </c>
      <c r="BB43" s="72">
        <v>3.58</v>
      </c>
      <c r="BC43" s="72">
        <v>-0.94</v>
      </c>
      <c r="BD43" s="72">
        <v>1.22</v>
      </c>
      <c r="BE43" s="72">
        <v>2.72</v>
      </c>
      <c r="BF43" s="72">
        <v>-0.33</v>
      </c>
      <c r="BG43" s="72">
        <v>4.22</v>
      </c>
      <c r="BH43" s="72">
        <v>2.02</v>
      </c>
      <c r="BI43" s="72">
        <v>20200828</v>
      </c>
      <c r="BJ43" s="72">
        <v>20161027</v>
      </c>
      <c r="BK43" s="72">
        <v>59.3</v>
      </c>
      <c r="BL43" s="72" t="s">
        <v>414</v>
      </c>
      <c r="BM43" s="72" t="s">
        <v>414</v>
      </c>
      <c r="BN43" s="72">
        <v>10715.7</v>
      </c>
      <c r="BO43" s="72">
        <v>786.59</v>
      </c>
      <c r="BP43" s="72">
        <v>0</v>
      </c>
      <c r="BQ43" s="72">
        <v>92.66</v>
      </c>
      <c r="BR43" s="72">
        <v>0</v>
      </c>
      <c r="BS43" s="72">
        <v>12.59</v>
      </c>
      <c r="BT43" s="72">
        <v>11.26</v>
      </c>
      <c r="BU43" s="72">
        <v>0</v>
      </c>
      <c r="BV43" s="72">
        <v>0</v>
      </c>
      <c r="BW43" s="72">
        <v>0</v>
      </c>
      <c r="BX43" s="72">
        <v>152.06</v>
      </c>
      <c r="BY43" s="72">
        <v>128.54</v>
      </c>
      <c r="BZ43" s="72">
        <v>0</v>
      </c>
      <c r="CA43" s="72">
        <v>47.45</v>
      </c>
      <c r="CB43" s="72">
        <v>19</v>
      </c>
      <c r="CC43" s="72">
        <v>47.27</v>
      </c>
      <c r="CD43" s="72">
        <v>40.68</v>
      </c>
      <c r="CE43" s="72">
        <v>40.68</v>
      </c>
      <c r="CF43" s="72">
        <v>221.02</v>
      </c>
      <c r="CG43" s="72">
        <v>34.6</v>
      </c>
      <c r="CH43" s="72">
        <v>-495.05</v>
      </c>
      <c r="CI43" s="72">
        <v>65000</v>
      </c>
      <c r="CJ43" s="72">
        <v>42948</v>
      </c>
      <c r="CK43" s="72" t="s">
        <v>587</v>
      </c>
      <c r="CL43" s="72">
        <v>12.11</v>
      </c>
      <c r="CM43" s="72">
        <v>22.89</v>
      </c>
      <c r="CN43" s="72">
        <v>1.1599999999999999</v>
      </c>
      <c r="CO43" s="72">
        <v>20.74</v>
      </c>
      <c r="CP43" s="72">
        <v>5.58</v>
      </c>
      <c r="CQ43" s="72">
        <v>2.99</v>
      </c>
      <c r="CR43" s="72" t="s">
        <v>588</v>
      </c>
      <c r="CS43" s="72">
        <v>10.4</v>
      </c>
      <c r="CT43" s="72">
        <v>10.4</v>
      </c>
      <c r="CU43" s="72">
        <v>2.56</v>
      </c>
      <c r="CV43" s="72">
        <v>3.73</v>
      </c>
      <c r="CW43" s="72">
        <v>7.34</v>
      </c>
      <c r="CX43" s="72" t="s">
        <v>589</v>
      </c>
      <c r="CY43" s="72" t="s">
        <v>414</v>
      </c>
      <c r="CZ43" s="72">
        <v>36.909999999999997</v>
      </c>
      <c r="DA43" s="72">
        <v>31.65</v>
      </c>
      <c r="DB43" s="72">
        <v>600926</v>
      </c>
    </row>
    <row r="44" spans="7:106" x14ac:dyDescent="0.25">
      <c r="G44" s="72">
        <v>2223</v>
      </c>
      <c r="H44" s="72" t="s">
        <v>1820</v>
      </c>
      <c r="I44" s="72">
        <v>-1.96</v>
      </c>
      <c r="J44" s="72">
        <v>1.28</v>
      </c>
      <c r="K44" s="72">
        <v>27.97</v>
      </c>
      <c r="L44" s="72">
        <v>0.27</v>
      </c>
      <c r="M44" s="72">
        <v>9.1199999999999992</v>
      </c>
      <c r="N44" s="72">
        <v>9.1300000000000008</v>
      </c>
      <c r="O44" s="72">
        <v>908610</v>
      </c>
      <c r="P44" s="72">
        <v>30</v>
      </c>
      <c r="Q44" s="72">
        <v>-0.21</v>
      </c>
      <c r="R44" s="72">
        <v>2.5099999999999998</v>
      </c>
      <c r="S44" s="72">
        <v>8.8699999999999992</v>
      </c>
      <c r="T44" s="72">
        <v>9.1999999999999993</v>
      </c>
      <c r="U44" s="72">
        <v>8.7799999999999994</v>
      </c>
      <c r="V44" s="72">
        <v>8.85</v>
      </c>
      <c r="W44" s="72">
        <v>25.85</v>
      </c>
      <c r="X44" s="114">
        <v>823000000</v>
      </c>
      <c r="Y44" s="72" t="s">
        <v>411</v>
      </c>
      <c r="Z44" s="72" t="s">
        <v>360</v>
      </c>
      <c r="AA44" s="72">
        <v>4.75</v>
      </c>
      <c r="AB44" s="72">
        <v>9.06</v>
      </c>
      <c r="AC44" s="72">
        <v>437800</v>
      </c>
      <c r="AD44" s="72">
        <v>470810</v>
      </c>
      <c r="AE44" s="72">
        <v>0.93</v>
      </c>
      <c r="AF44" s="72">
        <v>257</v>
      </c>
      <c r="AG44" s="72">
        <v>171</v>
      </c>
      <c r="AH44" s="72" t="s">
        <v>414</v>
      </c>
      <c r="AI44" s="72">
        <v>10103800</v>
      </c>
      <c r="AJ44" s="72">
        <v>7.0000000000000007E-2</v>
      </c>
      <c r="AK44" s="72" t="s">
        <v>414</v>
      </c>
      <c r="AL44" s="72" t="s">
        <v>414</v>
      </c>
      <c r="AM44" s="72">
        <v>36.21</v>
      </c>
      <c r="AN44" s="72" t="s">
        <v>590</v>
      </c>
      <c r="AO44" s="72" t="s">
        <v>590</v>
      </c>
      <c r="AP44" s="72">
        <v>1.07</v>
      </c>
      <c r="AQ44" s="72">
        <v>1845</v>
      </c>
      <c r="AR44" s="72">
        <v>492</v>
      </c>
      <c r="AS44" s="72">
        <v>1.4E-3</v>
      </c>
      <c r="AT44" s="72">
        <v>2</v>
      </c>
      <c r="AU44" s="72">
        <v>2.2400000000000002</v>
      </c>
      <c r="AV44" s="72">
        <v>5.31</v>
      </c>
      <c r="AW44" s="72" t="s">
        <v>591</v>
      </c>
      <c r="AX44" s="72">
        <v>1.59</v>
      </c>
      <c r="AY44" s="72">
        <v>26.95</v>
      </c>
      <c r="AZ44" s="72">
        <v>28.91</v>
      </c>
      <c r="BA44" s="72">
        <v>0.23</v>
      </c>
      <c r="BB44" s="72">
        <v>3.95</v>
      </c>
      <c r="BC44" s="72">
        <v>-0.79</v>
      </c>
      <c r="BD44" s="72">
        <v>2.39</v>
      </c>
      <c r="BE44" s="72">
        <v>2.82</v>
      </c>
      <c r="BF44" s="72">
        <v>-0.87</v>
      </c>
      <c r="BG44" s="72">
        <v>3.87</v>
      </c>
      <c r="BH44" s="72">
        <v>0.66</v>
      </c>
      <c r="BI44" s="72">
        <v>20201010</v>
      </c>
      <c r="BJ44" s="72">
        <v>20161206</v>
      </c>
      <c r="BK44" s="72">
        <v>36.21</v>
      </c>
      <c r="BL44" s="72" t="s">
        <v>414</v>
      </c>
      <c r="BM44" s="72" t="s">
        <v>414</v>
      </c>
      <c r="BN44" s="72">
        <v>596.79</v>
      </c>
      <c r="BO44" s="72">
        <v>139.63</v>
      </c>
      <c r="BP44" s="72">
        <v>3.8</v>
      </c>
      <c r="BQ44" s="72">
        <v>75.97</v>
      </c>
      <c r="BR44" s="72">
        <v>0</v>
      </c>
      <c r="BS44" s="72">
        <v>5.96</v>
      </c>
      <c r="BT44" s="72">
        <v>0.65</v>
      </c>
      <c r="BU44" s="72">
        <v>0</v>
      </c>
      <c r="BV44" s="72">
        <v>0</v>
      </c>
      <c r="BW44" s="72">
        <v>0</v>
      </c>
      <c r="BX44" s="72">
        <v>51.1</v>
      </c>
      <c r="BY44" s="72">
        <v>16.64</v>
      </c>
      <c r="BZ44" s="72">
        <v>0</v>
      </c>
      <c r="CA44" s="72">
        <v>8.66</v>
      </c>
      <c r="CB44" s="72">
        <v>5.23</v>
      </c>
      <c r="CC44" s="72">
        <v>8.67</v>
      </c>
      <c r="CD44" s="72">
        <v>6.5</v>
      </c>
      <c r="CE44" s="72">
        <v>6.39</v>
      </c>
      <c r="CF44" s="72">
        <v>28.75</v>
      </c>
      <c r="CG44" s="72">
        <v>25.25</v>
      </c>
      <c r="CH44" s="72">
        <v>41.25</v>
      </c>
      <c r="CI44" s="72">
        <v>154837</v>
      </c>
      <c r="CJ44" s="72">
        <v>11047</v>
      </c>
      <c r="CK44" s="72" t="s">
        <v>592</v>
      </c>
      <c r="CL44" s="72">
        <v>14.45</v>
      </c>
      <c r="CM44" s="72">
        <v>15.81</v>
      </c>
      <c r="CN44" s="72">
        <v>2.44</v>
      </c>
      <c r="CO44" s="72">
        <v>13.08</v>
      </c>
      <c r="CP44" s="72">
        <v>19.850000000000001</v>
      </c>
      <c r="CQ44" s="72">
        <v>1.1299999999999999</v>
      </c>
      <c r="CR44" s="72" t="s">
        <v>503</v>
      </c>
      <c r="CS44" s="72">
        <v>3.74</v>
      </c>
      <c r="CT44" s="72">
        <v>3.74</v>
      </c>
      <c r="CU44" s="72">
        <v>1.41</v>
      </c>
      <c r="CV44" s="72">
        <v>0.79</v>
      </c>
      <c r="CW44" s="72">
        <v>23.4</v>
      </c>
      <c r="CX44" s="72" t="s">
        <v>593</v>
      </c>
      <c r="CY44" s="72" t="s">
        <v>414</v>
      </c>
      <c r="CZ44" s="72">
        <v>52.08</v>
      </c>
      <c r="DA44" s="72">
        <v>38.4</v>
      </c>
      <c r="DB44" s="72">
        <v>600909</v>
      </c>
    </row>
    <row r="45" spans="7:106" x14ac:dyDescent="0.25">
      <c r="G45" s="72">
        <v>2382</v>
      </c>
      <c r="H45" s="72" t="s">
        <v>1047</v>
      </c>
      <c r="I45" s="72">
        <v>-2.46</v>
      </c>
      <c r="J45" s="72">
        <v>0.97</v>
      </c>
      <c r="K45" s="72">
        <v>20.64</v>
      </c>
      <c r="L45" s="72">
        <v>0.12</v>
      </c>
      <c r="M45" s="72">
        <v>5.83</v>
      </c>
      <c r="N45" s="72">
        <v>5.84</v>
      </c>
      <c r="O45" s="72">
        <v>72608</v>
      </c>
      <c r="P45" s="72">
        <v>3</v>
      </c>
      <c r="Q45" s="72">
        <v>0</v>
      </c>
      <c r="R45" s="72">
        <v>0.41</v>
      </c>
      <c r="S45" s="72">
        <v>5.75</v>
      </c>
      <c r="T45" s="72">
        <v>5.85</v>
      </c>
      <c r="U45" s="72">
        <v>5.73</v>
      </c>
      <c r="V45" s="72">
        <v>5.72</v>
      </c>
      <c r="W45" s="72">
        <v>9.2799999999999994</v>
      </c>
      <c r="X45" s="72">
        <v>42055844</v>
      </c>
      <c r="Y45" s="72" t="s">
        <v>409</v>
      </c>
      <c r="Z45" s="72" t="s">
        <v>368</v>
      </c>
      <c r="AA45" s="72">
        <v>2.1</v>
      </c>
      <c r="AB45" s="72">
        <v>5.79</v>
      </c>
      <c r="AC45" s="72">
        <v>27465</v>
      </c>
      <c r="AD45" s="72">
        <v>45143</v>
      </c>
      <c r="AE45" s="72">
        <v>0.61</v>
      </c>
      <c r="AF45" s="72">
        <v>2771</v>
      </c>
      <c r="AG45" s="72">
        <v>1564</v>
      </c>
      <c r="AH45" s="72" t="s">
        <v>414</v>
      </c>
      <c r="AI45" s="72">
        <v>382400</v>
      </c>
      <c r="AJ45" s="72">
        <v>0.01</v>
      </c>
      <c r="AK45" s="72" t="s">
        <v>414</v>
      </c>
      <c r="AL45" s="72" t="s">
        <v>414</v>
      </c>
      <c r="AM45" s="72">
        <v>17.91</v>
      </c>
      <c r="AN45" s="72" t="s">
        <v>594</v>
      </c>
      <c r="AO45" s="72" t="s">
        <v>595</v>
      </c>
      <c r="AP45" s="72">
        <v>0.11</v>
      </c>
      <c r="AQ45" s="72">
        <v>1134</v>
      </c>
      <c r="AR45" s="72">
        <v>64</v>
      </c>
      <c r="AS45" s="72">
        <v>4.0000000000000002E-4</v>
      </c>
      <c r="AT45" s="72">
        <v>2</v>
      </c>
      <c r="AU45" s="72">
        <v>3.18</v>
      </c>
      <c r="AV45" s="72">
        <v>0.87</v>
      </c>
      <c r="AW45" s="72" t="s">
        <v>596</v>
      </c>
      <c r="AX45" s="72">
        <v>0.76</v>
      </c>
      <c r="AY45" s="72">
        <v>9.83</v>
      </c>
      <c r="AZ45" s="72">
        <v>10.79</v>
      </c>
      <c r="BA45" s="72">
        <v>0.52</v>
      </c>
      <c r="BB45" s="72">
        <v>2.27</v>
      </c>
      <c r="BC45" s="72">
        <v>0.17</v>
      </c>
      <c r="BD45" s="72">
        <v>1.26</v>
      </c>
      <c r="BE45" s="72">
        <v>1.57</v>
      </c>
      <c r="BF45" s="72">
        <v>-0.17</v>
      </c>
      <c r="BG45" s="72">
        <v>1.92</v>
      </c>
      <c r="BH45" s="72">
        <v>0.84</v>
      </c>
      <c r="BI45" s="72">
        <v>20200922</v>
      </c>
      <c r="BJ45" s="72">
        <v>20180301</v>
      </c>
      <c r="BK45" s="72">
        <v>29.87</v>
      </c>
      <c r="BL45" s="72" t="s">
        <v>414</v>
      </c>
      <c r="BM45" s="72" t="s">
        <v>414</v>
      </c>
      <c r="BN45" s="72">
        <v>785.32</v>
      </c>
      <c r="BO45" s="72">
        <v>120.66</v>
      </c>
      <c r="BP45" s="72">
        <v>0</v>
      </c>
      <c r="BQ45" s="72">
        <v>84.64</v>
      </c>
      <c r="BR45" s="72">
        <v>0</v>
      </c>
      <c r="BS45" s="72">
        <v>4.3600000000000003</v>
      </c>
      <c r="BT45" s="72">
        <v>0.24</v>
      </c>
      <c r="BU45" s="72">
        <v>0</v>
      </c>
      <c r="BV45" s="72">
        <v>0</v>
      </c>
      <c r="BW45" s="72">
        <v>0</v>
      </c>
      <c r="BX45" s="72">
        <v>42.68</v>
      </c>
      <c r="BY45" s="72">
        <v>18.61</v>
      </c>
      <c r="BZ45" s="72">
        <v>0</v>
      </c>
      <c r="CA45" s="72">
        <v>12.54</v>
      </c>
      <c r="CB45" s="72">
        <v>0</v>
      </c>
      <c r="CC45" s="72">
        <v>12.53</v>
      </c>
      <c r="CD45" s="72">
        <v>9.4</v>
      </c>
      <c r="CE45" s="72">
        <v>9.4</v>
      </c>
      <c r="CF45" s="72">
        <v>33.14</v>
      </c>
      <c r="CG45" s="72">
        <v>3.37</v>
      </c>
      <c r="CH45" s="72">
        <v>0.76</v>
      </c>
      <c r="CI45" s="72">
        <v>84806</v>
      </c>
      <c r="CJ45" s="72">
        <v>9889</v>
      </c>
      <c r="CK45" s="72" t="s">
        <v>597</v>
      </c>
      <c r="CL45" s="72">
        <v>19.61</v>
      </c>
      <c r="CM45" s="72">
        <v>30.81</v>
      </c>
      <c r="CN45" s="72">
        <v>1.45</v>
      </c>
      <c r="CO45" s="72">
        <v>51.74</v>
      </c>
      <c r="CP45" s="72">
        <v>9.3699999999999992</v>
      </c>
      <c r="CQ45" s="72">
        <v>4.2</v>
      </c>
      <c r="CR45" s="72" t="s">
        <v>598</v>
      </c>
      <c r="CS45" s="72">
        <v>4.04</v>
      </c>
      <c r="CT45" s="72">
        <v>0</v>
      </c>
      <c r="CU45" s="72">
        <v>1.43</v>
      </c>
      <c r="CV45" s="72">
        <v>1.1100000000000001</v>
      </c>
      <c r="CW45" s="72">
        <v>15.36</v>
      </c>
      <c r="CX45" s="72" t="s">
        <v>599</v>
      </c>
      <c r="CY45" s="72" t="s">
        <v>414</v>
      </c>
      <c r="CZ45" s="72">
        <v>67.38</v>
      </c>
      <c r="DA45" s="72">
        <v>50.5</v>
      </c>
      <c r="DB45" s="72">
        <v>600901</v>
      </c>
    </row>
    <row r="46" spans="7:106" x14ac:dyDescent="0.25">
      <c r="G46" s="72">
        <v>2432</v>
      </c>
      <c r="H46" s="72" t="s">
        <v>1066</v>
      </c>
      <c r="I46" s="72">
        <v>-2.2000000000000002</v>
      </c>
      <c r="J46" s="72">
        <v>0.8</v>
      </c>
      <c r="K46" s="72">
        <v>9.32</v>
      </c>
      <c r="L46" s="72">
        <v>0.43</v>
      </c>
      <c r="M46" s="72">
        <v>11.61</v>
      </c>
      <c r="N46" s="72">
        <v>11.62</v>
      </c>
      <c r="O46" s="72">
        <v>515408</v>
      </c>
      <c r="P46" s="72">
        <v>7</v>
      </c>
      <c r="Q46" s="72">
        <v>-0.08</v>
      </c>
      <c r="R46" s="72">
        <v>2.58</v>
      </c>
      <c r="S46" s="72">
        <v>11.4</v>
      </c>
      <c r="T46" s="72">
        <v>11.77</v>
      </c>
      <c r="U46" s="72">
        <v>11.2</v>
      </c>
      <c r="V46" s="72">
        <v>11.18</v>
      </c>
      <c r="W46" s="72">
        <v>18.97</v>
      </c>
      <c r="X46" s="114">
        <v>593000000</v>
      </c>
      <c r="Y46" s="72" t="s">
        <v>415</v>
      </c>
      <c r="Z46" s="72" t="s">
        <v>395</v>
      </c>
      <c r="AA46" s="72">
        <v>5.0999999999999996</v>
      </c>
      <c r="AB46" s="72">
        <v>11.5</v>
      </c>
      <c r="AC46" s="72">
        <v>231040</v>
      </c>
      <c r="AD46" s="72">
        <v>284368</v>
      </c>
      <c r="AE46" s="72">
        <v>0.81</v>
      </c>
      <c r="AF46" s="72">
        <v>145</v>
      </c>
      <c r="AG46" s="72">
        <v>159</v>
      </c>
      <c r="AH46" s="72" t="s">
        <v>414</v>
      </c>
      <c r="AI46" s="72">
        <v>15778700</v>
      </c>
      <c r="AJ46" s="72">
        <v>0.11</v>
      </c>
      <c r="AK46" s="72" t="s">
        <v>414</v>
      </c>
      <c r="AL46" s="72" t="s">
        <v>414</v>
      </c>
      <c r="AM46" s="72">
        <v>19.97</v>
      </c>
      <c r="AN46" s="72" t="s">
        <v>600</v>
      </c>
      <c r="AO46" s="72" t="s">
        <v>601</v>
      </c>
      <c r="AP46" s="72">
        <v>1.86</v>
      </c>
      <c r="AQ46" s="72">
        <v>1816</v>
      </c>
      <c r="AR46" s="72">
        <v>284</v>
      </c>
      <c r="AS46" s="72">
        <v>1.4E-3</v>
      </c>
      <c r="AT46" s="72">
        <v>2</v>
      </c>
      <c r="AU46" s="72">
        <v>6.23</v>
      </c>
      <c r="AV46" s="72">
        <v>4.1500000000000004</v>
      </c>
      <c r="AW46" s="72" t="s">
        <v>602</v>
      </c>
      <c r="AX46" s="72">
        <v>1.19</v>
      </c>
      <c r="AY46" s="72">
        <v>23.21</v>
      </c>
      <c r="AZ46" s="72">
        <v>27.29</v>
      </c>
      <c r="BA46" s="72">
        <v>1.97</v>
      </c>
      <c r="BB46" s="72">
        <v>5.28</v>
      </c>
      <c r="BC46" s="72">
        <v>0.18</v>
      </c>
      <c r="BD46" s="72">
        <v>2.86</v>
      </c>
      <c r="BE46" s="72">
        <v>1.84</v>
      </c>
      <c r="BF46" s="72">
        <v>-1.36</v>
      </c>
      <c r="BG46" s="72">
        <v>3.66</v>
      </c>
      <c r="BH46" s="72">
        <v>0.99</v>
      </c>
      <c r="BI46" s="72">
        <v>20200828</v>
      </c>
      <c r="BJ46" s="72">
        <v>19951010</v>
      </c>
      <c r="BK46" s="72">
        <v>31.19</v>
      </c>
      <c r="BL46" s="72" t="s">
        <v>414</v>
      </c>
      <c r="BM46" s="72">
        <v>3.4</v>
      </c>
      <c r="BN46" s="72">
        <v>927.36</v>
      </c>
      <c r="BO46" s="72">
        <v>298.02999999999997</v>
      </c>
      <c r="BP46" s="72">
        <v>25.1</v>
      </c>
      <c r="BQ46" s="72">
        <v>65.16</v>
      </c>
      <c r="BR46" s="72">
        <v>711.71</v>
      </c>
      <c r="BS46" s="72">
        <v>50.07</v>
      </c>
      <c r="BT46" s="72">
        <v>16</v>
      </c>
      <c r="BU46" s="72">
        <v>522.73</v>
      </c>
      <c r="BV46" s="72">
        <v>137.58000000000001</v>
      </c>
      <c r="BW46" s="72">
        <v>77.010000000000005</v>
      </c>
      <c r="BX46" s="72">
        <v>113.32</v>
      </c>
      <c r="BY46" s="72">
        <v>172.2</v>
      </c>
      <c r="BZ46" s="72">
        <v>139.53</v>
      </c>
      <c r="CA46" s="72">
        <v>11.83</v>
      </c>
      <c r="CB46" s="72">
        <v>1.1299999999999999</v>
      </c>
      <c r="CC46" s="72">
        <v>11.5</v>
      </c>
      <c r="CD46" s="72">
        <v>10.199999999999999</v>
      </c>
      <c r="CE46" s="72">
        <v>9.5399999999999991</v>
      </c>
      <c r="CF46" s="72">
        <v>145.41999999999999</v>
      </c>
      <c r="CG46" s="72">
        <v>9.7200000000000006</v>
      </c>
      <c r="CH46" s="72">
        <v>-11.72</v>
      </c>
      <c r="CI46" s="72">
        <v>111389</v>
      </c>
      <c r="CJ46" s="72">
        <v>11159</v>
      </c>
      <c r="CK46" s="72" t="s">
        <v>603</v>
      </c>
      <c r="CL46" s="72">
        <v>30.79</v>
      </c>
      <c r="CM46" s="72">
        <v>12.48</v>
      </c>
      <c r="CN46" s="72">
        <v>1.21</v>
      </c>
      <c r="CO46" s="72">
        <v>37.25</v>
      </c>
      <c r="CP46" s="72">
        <v>2.1</v>
      </c>
      <c r="CQ46" s="72">
        <v>1.83</v>
      </c>
      <c r="CR46" s="72" t="s">
        <v>604</v>
      </c>
      <c r="CS46" s="72">
        <v>9.56</v>
      </c>
      <c r="CT46" s="72">
        <v>0</v>
      </c>
      <c r="CU46" s="72">
        <v>3.63</v>
      </c>
      <c r="CV46" s="72">
        <v>4.66</v>
      </c>
      <c r="CW46" s="72">
        <v>32.14</v>
      </c>
      <c r="CX46" s="72" t="s">
        <v>605</v>
      </c>
      <c r="CY46" s="72">
        <v>18.98</v>
      </c>
      <c r="CZ46" s="72">
        <v>6.87</v>
      </c>
      <c r="DA46" s="72">
        <v>5.54</v>
      </c>
      <c r="DB46" s="72">
        <v>600875</v>
      </c>
    </row>
    <row r="47" spans="7:106" x14ac:dyDescent="0.25">
      <c r="G47" s="72">
        <v>2734</v>
      </c>
      <c r="H47" s="72" t="s">
        <v>1170</v>
      </c>
      <c r="I47" s="72">
        <v>-0.87</v>
      </c>
      <c r="J47" s="72">
        <v>1.17</v>
      </c>
      <c r="K47" s="72">
        <v>13.72</v>
      </c>
      <c r="L47" s="72">
        <v>0.14000000000000001</v>
      </c>
      <c r="M47" s="72">
        <v>6.85</v>
      </c>
      <c r="N47" s="72">
        <v>6.86</v>
      </c>
      <c r="O47" s="72">
        <v>30554</v>
      </c>
      <c r="P47" s="72">
        <v>3</v>
      </c>
      <c r="Q47" s="72">
        <v>0</v>
      </c>
      <c r="R47" s="72">
        <v>0.28000000000000003</v>
      </c>
      <c r="S47" s="72">
        <v>6.73</v>
      </c>
      <c r="T47" s="72">
        <v>6.86</v>
      </c>
      <c r="U47" s="72">
        <v>6.72</v>
      </c>
      <c r="V47" s="72">
        <v>6.72</v>
      </c>
      <c r="W47" s="72">
        <v>19.05</v>
      </c>
      <c r="X47" s="114">
        <v>20814496</v>
      </c>
      <c r="Y47" s="72" t="s">
        <v>381</v>
      </c>
      <c r="Z47" s="72" t="s">
        <v>374</v>
      </c>
      <c r="AA47" s="72">
        <v>2.08</v>
      </c>
      <c r="AB47" s="72">
        <v>6.81</v>
      </c>
      <c r="AC47" s="72">
        <v>10561</v>
      </c>
      <c r="AD47" s="72">
        <v>19993</v>
      </c>
      <c r="AE47" s="72">
        <v>0.53</v>
      </c>
      <c r="AF47" s="72">
        <v>1173</v>
      </c>
      <c r="AG47" s="72">
        <v>1898</v>
      </c>
      <c r="AH47" s="72" t="s">
        <v>414</v>
      </c>
      <c r="AI47" s="72">
        <v>50500</v>
      </c>
      <c r="AJ47" s="72">
        <v>0</v>
      </c>
      <c r="AK47" s="72" t="s">
        <v>414</v>
      </c>
      <c r="AL47" s="72" t="s">
        <v>414</v>
      </c>
      <c r="AM47" s="72">
        <v>10.87</v>
      </c>
      <c r="AN47" s="72" t="s">
        <v>606</v>
      </c>
      <c r="AO47" s="72" t="s">
        <v>606</v>
      </c>
      <c r="AP47" s="72">
        <v>0.1</v>
      </c>
      <c r="AQ47" s="72">
        <v>724</v>
      </c>
      <c r="AR47" s="72">
        <v>42</v>
      </c>
      <c r="AS47" s="72">
        <v>4.0000000000000002E-4</v>
      </c>
      <c r="AT47" s="72">
        <v>2</v>
      </c>
      <c r="AU47" s="72">
        <v>2.85</v>
      </c>
      <c r="AV47" s="72">
        <v>0.82</v>
      </c>
      <c r="AW47" s="72" t="s">
        <v>607</v>
      </c>
      <c r="AX47" s="72">
        <v>0.81</v>
      </c>
      <c r="AY47" s="72">
        <v>17.579999999999998</v>
      </c>
      <c r="AZ47" s="72">
        <v>18.91</v>
      </c>
      <c r="BA47" s="72">
        <v>0.15</v>
      </c>
      <c r="BB47" s="72">
        <v>2.08</v>
      </c>
      <c r="BC47" s="72">
        <v>0</v>
      </c>
      <c r="BD47" s="72">
        <v>1.37</v>
      </c>
      <c r="BE47" s="72">
        <v>1.93</v>
      </c>
      <c r="BF47" s="72">
        <v>0</v>
      </c>
      <c r="BG47" s="72">
        <v>2.08</v>
      </c>
      <c r="BH47" s="72">
        <v>0.71</v>
      </c>
      <c r="BI47" s="72">
        <v>20200827</v>
      </c>
      <c r="BJ47" s="72">
        <v>19950630</v>
      </c>
      <c r="BK47" s="72">
        <v>14.27</v>
      </c>
      <c r="BL47" s="72" t="s">
        <v>414</v>
      </c>
      <c r="BM47" s="72">
        <v>3.4</v>
      </c>
      <c r="BN47" s="72">
        <v>183.23</v>
      </c>
      <c r="BO47" s="72">
        <v>62.78</v>
      </c>
      <c r="BP47" s="72">
        <v>9.9600000000000009</v>
      </c>
      <c r="BQ47" s="72">
        <v>60.3</v>
      </c>
      <c r="BR47" s="72">
        <v>50.08</v>
      </c>
      <c r="BS47" s="72">
        <v>6.2</v>
      </c>
      <c r="BT47" s="72">
        <v>118.3</v>
      </c>
      <c r="BU47" s="72">
        <v>28.82</v>
      </c>
      <c r="BV47" s="72">
        <v>0.14000000000000001</v>
      </c>
      <c r="BW47" s="72">
        <v>29.87</v>
      </c>
      <c r="BX47" s="72">
        <v>4.3099999999999996</v>
      </c>
      <c r="BY47" s="72">
        <v>15.21</v>
      </c>
      <c r="BZ47" s="72">
        <v>10.41</v>
      </c>
      <c r="CA47" s="72">
        <v>3.39</v>
      </c>
      <c r="CB47" s="72">
        <v>0</v>
      </c>
      <c r="CC47" s="72">
        <v>3.36</v>
      </c>
      <c r="CD47" s="72">
        <v>2.77</v>
      </c>
      <c r="CE47" s="72">
        <v>2.57</v>
      </c>
      <c r="CF47" s="72">
        <v>38.619999999999997</v>
      </c>
      <c r="CG47" s="72">
        <v>2.61</v>
      </c>
      <c r="CH47" s="72">
        <v>-2.74</v>
      </c>
      <c r="CI47" s="72">
        <v>73605</v>
      </c>
      <c r="CJ47" s="72">
        <v>5049</v>
      </c>
      <c r="CK47" s="72" t="s">
        <v>608</v>
      </c>
      <c r="CL47" s="72">
        <v>17.59</v>
      </c>
      <c r="CM47" s="72">
        <v>24.22</v>
      </c>
      <c r="CN47" s="72">
        <v>1.56</v>
      </c>
      <c r="CO47" s="72">
        <v>37.47</v>
      </c>
      <c r="CP47" s="72">
        <v>6.44</v>
      </c>
      <c r="CQ47" s="72">
        <v>1.59</v>
      </c>
      <c r="CR47" s="72" t="s">
        <v>503</v>
      </c>
      <c r="CS47" s="72">
        <v>4.4000000000000004</v>
      </c>
      <c r="CT47" s="72">
        <v>0</v>
      </c>
      <c r="CU47" s="72">
        <v>0.3</v>
      </c>
      <c r="CV47" s="72">
        <v>2.71</v>
      </c>
      <c r="CW47" s="72">
        <v>34.26</v>
      </c>
      <c r="CX47" s="72" t="s">
        <v>609</v>
      </c>
      <c r="CY47" s="72">
        <v>31.59</v>
      </c>
      <c r="CZ47" s="72">
        <v>22.27</v>
      </c>
      <c r="DA47" s="72">
        <v>16.89</v>
      </c>
      <c r="DB47" s="72">
        <v>600874</v>
      </c>
    </row>
    <row r="48" spans="7:106" x14ac:dyDescent="0.25">
      <c r="G48" s="72">
        <v>2768</v>
      </c>
      <c r="H48" s="72" t="s">
        <v>1190</v>
      </c>
      <c r="I48" s="72">
        <v>1.43</v>
      </c>
      <c r="J48" s="72">
        <v>1.96</v>
      </c>
      <c r="K48" s="72">
        <v>31.84</v>
      </c>
      <c r="L48" s="72">
        <v>0.11</v>
      </c>
      <c r="M48" s="72">
        <v>9.49</v>
      </c>
      <c r="N48" s="72">
        <v>9.5</v>
      </c>
      <c r="O48" s="72">
        <v>55488</v>
      </c>
      <c r="P48" s="72">
        <v>8</v>
      </c>
      <c r="Q48" s="72">
        <v>0</v>
      </c>
      <c r="R48" s="72">
        <v>0.89</v>
      </c>
      <c r="S48" s="72">
        <v>9.4</v>
      </c>
      <c r="T48" s="72">
        <v>9.5299999999999994</v>
      </c>
      <c r="U48" s="72">
        <v>9.35</v>
      </c>
      <c r="V48" s="72">
        <v>9.39</v>
      </c>
      <c r="W48" s="72">
        <v>8.8000000000000007</v>
      </c>
      <c r="X48" s="114">
        <v>52449640</v>
      </c>
      <c r="Y48" s="72" t="s">
        <v>371</v>
      </c>
      <c r="Z48" s="72" t="s">
        <v>365</v>
      </c>
      <c r="AA48" s="72">
        <v>1.92</v>
      </c>
      <c r="AB48" s="72">
        <v>9.4499999999999993</v>
      </c>
      <c r="AC48" s="72">
        <v>22687</v>
      </c>
      <c r="AD48" s="72">
        <v>32801</v>
      </c>
      <c r="AE48" s="72">
        <v>0.69</v>
      </c>
      <c r="AF48" s="72">
        <v>804</v>
      </c>
      <c r="AG48" s="72">
        <v>320</v>
      </c>
      <c r="AH48" s="72" t="s">
        <v>414</v>
      </c>
      <c r="AI48" s="72">
        <v>382600</v>
      </c>
      <c r="AJ48" s="72">
        <v>0.01</v>
      </c>
      <c r="AK48" s="72" t="s">
        <v>414</v>
      </c>
      <c r="AL48" s="72" t="s">
        <v>414</v>
      </c>
      <c r="AM48" s="72">
        <v>6.25</v>
      </c>
      <c r="AN48" s="72" t="s">
        <v>610</v>
      </c>
      <c r="AO48" s="72" t="s">
        <v>610</v>
      </c>
      <c r="AP48" s="72">
        <v>-0.81</v>
      </c>
      <c r="AQ48" s="72">
        <v>1222</v>
      </c>
      <c r="AR48" s="72">
        <v>45</v>
      </c>
      <c r="AS48" s="72">
        <v>6.9999999999999999E-4</v>
      </c>
      <c r="AT48" s="72">
        <v>4</v>
      </c>
      <c r="AU48" s="72">
        <v>3.6</v>
      </c>
      <c r="AV48" s="72">
        <v>1.1599999999999999</v>
      </c>
      <c r="AW48" s="72" t="s">
        <v>611</v>
      </c>
      <c r="AX48" s="72">
        <v>1.1100000000000001</v>
      </c>
      <c r="AY48" s="72">
        <v>7.25</v>
      </c>
      <c r="AZ48" s="72">
        <v>9.66</v>
      </c>
      <c r="BA48" s="72">
        <v>0.11</v>
      </c>
      <c r="BB48" s="72">
        <v>1.49</v>
      </c>
      <c r="BC48" s="72">
        <v>-0.43</v>
      </c>
      <c r="BD48" s="72">
        <v>0.67</v>
      </c>
      <c r="BE48" s="72">
        <v>1.06</v>
      </c>
      <c r="BF48" s="72">
        <v>-0.31</v>
      </c>
      <c r="BG48" s="72">
        <v>1.6</v>
      </c>
      <c r="BH48" s="72">
        <v>0.51</v>
      </c>
      <c r="BI48" s="72">
        <v>20200828</v>
      </c>
      <c r="BJ48" s="72">
        <v>19940311</v>
      </c>
      <c r="BK48" s="72">
        <v>6.25</v>
      </c>
      <c r="BL48" s="72" t="s">
        <v>414</v>
      </c>
      <c r="BM48" s="72" t="s">
        <v>414</v>
      </c>
      <c r="BN48" s="72">
        <v>118.06</v>
      </c>
      <c r="BO48" s="72">
        <v>29.43</v>
      </c>
      <c r="BP48" s="72">
        <v>9.68</v>
      </c>
      <c r="BQ48" s="72">
        <v>66.88</v>
      </c>
      <c r="BR48" s="72">
        <v>99.26</v>
      </c>
      <c r="BS48" s="72">
        <v>1.43</v>
      </c>
      <c r="BT48" s="72">
        <v>7.2</v>
      </c>
      <c r="BU48" s="72">
        <v>74.680000000000007</v>
      </c>
      <c r="BV48" s="72">
        <v>43.01</v>
      </c>
      <c r="BW48" s="72">
        <v>4.53</v>
      </c>
      <c r="BX48" s="72">
        <v>2.15</v>
      </c>
      <c r="BY48" s="72">
        <v>34.950000000000003</v>
      </c>
      <c r="BZ48" s="72">
        <v>22.92</v>
      </c>
      <c r="CA48" s="72">
        <v>7.33</v>
      </c>
      <c r="CB48" s="72">
        <v>0.3</v>
      </c>
      <c r="CC48" s="72">
        <v>7.51</v>
      </c>
      <c r="CD48" s="72">
        <v>5.66</v>
      </c>
      <c r="CE48" s="72">
        <v>3.37</v>
      </c>
      <c r="CF48" s="72">
        <v>19.079999999999998</v>
      </c>
      <c r="CG48" s="72">
        <v>6.39</v>
      </c>
      <c r="CH48" s="72">
        <v>7.34</v>
      </c>
      <c r="CI48" s="72">
        <v>74608</v>
      </c>
      <c r="CJ48" s="72">
        <v>6416</v>
      </c>
      <c r="CK48" s="72" t="s">
        <v>612</v>
      </c>
      <c r="CL48" s="72">
        <v>149.09</v>
      </c>
      <c r="CM48" s="72">
        <v>89.68</v>
      </c>
      <c r="CN48" s="72">
        <v>2.02</v>
      </c>
      <c r="CO48" s="72">
        <v>9.2799999999999994</v>
      </c>
      <c r="CP48" s="72">
        <v>1.7</v>
      </c>
      <c r="CQ48" s="72">
        <v>3.62</v>
      </c>
      <c r="CR48" s="72" t="s">
        <v>613</v>
      </c>
      <c r="CS48" s="72">
        <v>4.71</v>
      </c>
      <c r="CT48" s="72">
        <v>0</v>
      </c>
      <c r="CU48" s="72">
        <v>0.34</v>
      </c>
      <c r="CV48" s="72">
        <v>3.05</v>
      </c>
      <c r="CW48" s="72">
        <v>24.93</v>
      </c>
      <c r="CX48" s="72" t="s">
        <v>614</v>
      </c>
      <c r="CY48" s="72">
        <v>34.42</v>
      </c>
      <c r="CZ48" s="72">
        <v>20.97</v>
      </c>
      <c r="DA48" s="72">
        <v>9.65</v>
      </c>
      <c r="DB48" s="72">
        <v>600846</v>
      </c>
    </row>
    <row r="49" spans="7:106" x14ac:dyDescent="0.25">
      <c r="G49" s="72">
        <v>300030</v>
      </c>
      <c r="H49" s="72" t="s">
        <v>1821</v>
      </c>
      <c r="I49" s="72">
        <v>-0.08</v>
      </c>
      <c r="J49" s="72">
        <v>0.91</v>
      </c>
      <c r="K49" s="72">
        <v>12.96</v>
      </c>
      <c r="L49" s="72">
        <v>0.11</v>
      </c>
      <c r="M49" s="72">
        <v>5.41</v>
      </c>
      <c r="N49" s="72">
        <v>5.42</v>
      </c>
      <c r="O49" s="72">
        <v>13128</v>
      </c>
      <c r="P49" s="72">
        <v>100</v>
      </c>
      <c r="Q49" s="72">
        <v>0.37</v>
      </c>
      <c r="R49" s="72">
        <v>0.23</v>
      </c>
      <c r="S49" s="72">
        <v>5.33</v>
      </c>
      <c r="T49" s="72">
        <v>5.42</v>
      </c>
      <c r="U49" s="72">
        <v>5.33</v>
      </c>
      <c r="V49" s="72">
        <v>5.31</v>
      </c>
      <c r="W49" s="72">
        <v>28.99</v>
      </c>
      <c r="X49" s="72">
        <v>7060370</v>
      </c>
      <c r="Y49" s="72" t="s">
        <v>391</v>
      </c>
      <c r="Z49" s="72" t="s">
        <v>349</v>
      </c>
      <c r="AA49" s="72">
        <v>1.69</v>
      </c>
      <c r="AB49" s="72">
        <v>5.38</v>
      </c>
      <c r="AC49" s="72">
        <v>4681</v>
      </c>
      <c r="AD49" s="72">
        <v>8447</v>
      </c>
      <c r="AE49" s="72">
        <v>0.55000000000000004</v>
      </c>
      <c r="AF49" s="72">
        <v>3</v>
      </c>
      <c r="AG49" s="72">
        <v>453</v>
      </c>
      <c r="AH49" s="72" t="s">
        <v>414</v>
      </c>
      <c r="AI49" s="72">
        <v>19700</v>
      </c>
      <c r="AJ49" s="72">
        <v>0</v>
      </c>
      <c r="AK49" s="72" t="s">
        <v>414</v>
      </c>
      <c r="AL49" s="72" t="s">
        <v>414</v>
      </c>
      <c r="AM49" s="72">
        <v>5.68</v>
      </c>
      <c r="AN49" s="72" t="s">
        <v>615</v>
      </c>
      <c r="AO49" s="72" t="s">
        <v>615</v>
      </c>
      <c r="AP49" s="72">
        <v>0.09</v>
      </c>
      <c r="AQ49" s="72">
        <v>335</v>
      </c>
      <c r="AR49" s="72">
        <v>39</v>
      </c>
      <c r="AS49" s="72">
        <v>6.9999999999999999E-4</v>
      </c>
      <c r="AT49" s="72">
        <v>2</v>
      </c>
      <c r="AU49" s="72">
        <v>2.85</v>
      </c>
      <c r="AV49" s="72">
        <v>0.3</v>
      </c>
      <c r="AW49" s="72" t="s">
        <v>616</v>
      </c>
      <c r="AX49" s="72">
        <v>0.36</v>
      </c>
      <c r="AY49" s="72">
        <v>34.880000000000003</v>
      </c>
      <c r="AZ49" s="72">
        <v>230.94</v>
      </c>
      <c r="BA49" s="72">
        <v>0.38</v>
      </c>
      <c r="BB49" s="72">
        <v>2.0699999999999998</v>
      </c>
      <c r="BC49" s="72">
        <v>0.38</v>
      </c>
      <c r="BD49" s="72">
        <v>1.28</v>
      </c>
      <c r="BE49" s="72">
        <v>1.69</v>
      </c>
      <c r="BF49" s="72">
        <v>0</v>
      </c>
      <c r="BG49" s="72">
        <v>1.69</v>
      </c>
      <c r="BH49" s="72">
        <v>0.79</v>
      </c>
      <c r="BI49" s="72">
        <v>20200820</v>
      </c>
      <c r="BJ49" s="72">
        <v>19961225</v>
      </c>
      <c r="BK49" s="72">
        <v>5.68</v>
      </c>
      <c r="BL49" s="72" t="s">
        <v>414</v>
      </c>
      <c r="BM49" s="72" t="s">
        <v>414</v>
      </c>
      <c r="BN49" s="72">
        <v>51.12</v>
      </c>
      <c r="BO49" s="72">
        <v>16.149999999999999</v>
      </c>
      <c r="BP49" s="72">
        <v>0.43</v>
      </c>
      <c r="BQ49" s="72">
        <v>67.56</v>
      </c>
      <c r="BR49" s="72">
        <v>19.72</v>
      </c>
      <c r="BS49" s="72">
        <v>14.98</v>
      </c>
      <c r="BT49" s="72">
        <v>2.88</v>
      </c>
      <c r="BU49" s="72">
        <v>31.57</v>
      </c>
      <c r="BV49" s="72">
        <v>3.09</v>
      </c>
      <c r="BW49" s="72">
        <v>7.16</v>
      </c>
      <c r="BX49" s="72">
        <v>5.84</v>
      </c>
      <c r="BY49" s="72">
        <v>12.12</v>
      </c>
      <c r="BZ49" s="72">
        <v>9.52</v>
      </c>
      <c r="CA49" s="72">
        <v>0.46</v>
      </c>
      <c r="CB49" s="72">
        <v>1.05</v>
      </c>
      <c r="CC49" s="72">
        <v>0.54</v>
      </c>
      <c r="CD49" s="72">
        <v>0.53</v>
      </c>
      <c r="CE49" s="72">
        <v>0.53</v>
      </c>
      <c r="CF49" s="72">
        <v>2.95</v>
      </c>
      <c r="CG49" s="72">
        <v>1.05</v>
      </c>
      <c r="CH49" s="72">
        <v>-0.25</v>
      </c>
      <c r="CI49" s="72">
        <v>36231</v>
      </c>
      <c r="CJ49" s="72">
        <v>11961</v>
      </c>
      <c r="CK49" s="72" t="s">
        <v>617</v>
      </c>
      <c r="CL49" s="72">
        <v>361.31</v>
      </c>
      <c r="CM49" s="72">
        <v>63.26</v>
      </c>
      <c r="CN49" s="72">
        <v>1.91</v>
      </c>
      <c r="CO49" s="72">
        <v>29.26</v>
      </c>
      <c r="CP49" s="72">
        <v>2.54</v>
      </c>
      <c r="CQ49" s="72">
        <v>0.15</v>
      </c>
      <c r="CR49" s="72" t="s">
        <v>618</v>
      </c>
      <c r="CS49" s="72">
        <v>2.84</v>
      </c>
      <c r="CT49" s="72">
        <v>0</v>
      </c>
      <c r="CU49" s="72">
        <v>1.03</v>
      </c>
      <c r="CV49" s="72">
        <v>0.52</v>
      </c>
      <c r="CW49" s="72">
        <v>31.6</v>
      </c>
      <c r="CX49" s="72" t="s">
        <v>619</v>
      </c>
      <c r="CY49" s="72">
        <v>21.41</v>
      </c>
      <c r="CZ49" s="72">
        <v>3.79</v>
      </c>
      <c r="DA49" s="72">
        <v>4.38</v>
      </c>
      <c r="DB49" s="72">
        <v>600784</v>
      </c>
    </row>
    <row r="50" spans="7:106" x14ac:dyDescent="0.25">
      <c r="G50" s="72">
        <v>300498</v>
      </c>
      <c r="H50" s="72" t="s">
        <v>1312</v>
      </c>
      <c r="I50" s="72">
        <v>-0.83</v>
      </c>
      <c r="J50" s="72">
        <v>0.55000000000000004</v>
      </c>
      <c r="K50" s="72">
        <v>19.13</v>
      </c>
      <c r="L50" s="72">
        <v>0.39</v>
      </c>
      <c r="M50" s="72">
        <v>14.78</v>
      </c>
      <c r="N50" s="72">
        <v>14.79</v>
      </c>
      <c r="O50" s="72">
        <v>81703</v>
      </c>
      <c r="P50" s="72">
        <v>47</v>
      </c>
      <c r="Q50" s="72">
        <v>-0.46</v>
      </c>
      <c r="R50" s="72">
        <v>1.05</v>
      </c>
      <c r="S50" s="72">
        <v>14.34</v>
      </c>
      <c r="T50" s="72">
        <v>14.89</v>
      </c>
      <c r="U50" s="72">
        <v>14.26</v>
      </c>
      <c r="V50" s="72">
        <v>14.4</v>
      </c>
      <c r="W50" s="72">
        <v>58</v>
      </c>
      <c r="X50" s="114">
        <v>120000000</v>
      </c>
      <c r="Y50" s="72" t="s">
        <v>620</v>
      </c>
      <c r="Z50" s="72" t="s">
        <v>621</v>
      </c>
      <c r="AA50" s="72">
        <v>4.38</v>
      </c>
      <c r="AB50" s="72">
        <v>14.66</v>
      </c>
      <c r="AC50" s="72">
        <v>35385</v>
      </c>
      <c r="AD50" s="72">
        <v>46318</v>
      </c>
      <c r="AE50" s="72">
        <v>0.76</v>
      </c>
      <c r="AF50" s="72">
        <v>214</v>
      </c>
      <c r="AG50" s="72">
        <v>14</v>
      </c>
      <c r="AH50" s="72" t="s">
        <v>414</v>
      </c>
      <c r="AI50" s="72">
        <v>506200</v>
      </c>
      <c r="AJ50" s="72">
        <v>0.01</v>
      </c>
      <c r="AK50" s="72" t="s">
        <v>414</v>
      </c>
      <c r="AL50" s="72" t="s">
        <v>414</v>
      </c>
      <c r="AM50" s="72">
        <v>7.78</v>
      </c>
      <c r="AN50" s="72" t="s">
        <v>622</v>
      </c>
      <c r="AO50" s="72" t="s">
        <v>623</v>
      </c>
      <c r="AP50" s="72">
        <v>0.72</v>
      </c>
      <c r="AQ50" s="72">
        <v>1501</v>
      </c>
      <c r="AR50" s="72">
        <v>54</v>
      </c>
      <c r="AS50" s="72">
        <v>6.9999999999999999E-4</v>
      </c>
      <c r="AT50" s="72">
        <v>2</v>
      </c>
      <c r="AU50" s="72">
        <v>3.14</v>
      </c>
      <c r="AV50" s="72">
        <v>1.69</v>
      </c>
      <c r="AW50" s="72" t="s">
        <v>624</v>
      </c>
      <c r="AX50" s="72">
        <v>1.5</v>
      </c>
      <c r="AY50" s="72">
        <v>46.39</v>
      </c>
      <c r="AZ50" s="72">
        <v>49.16</v>
      </c>
      <c r="BA50" s="72">
        <v>-0.42</v>
      </c>
      <c r="BB50" s="72">
        <v>3.4</v>
      </c>
      <c r="BC50" s="72">
        <v>-0.97</v>
      </c>
      <c r="BD50" s="72">
        <v>1.84</v>
      </c>
      <c r="BE50" s="72">
        <v>3.14</v>
      </c>
      <c r="BF50" s="72">
        <v>-0.67</v>
      </c>
      <c r="BG50" s="72">
        <v>3.72</v>
      </c>
      <c r="BH50" s="72">
        <v>0.87</v>
      </c>
      <c r="BI50" s="72">
        <v>20200924</v>
      </c>
      <c r="BJ50" s="72">
        <v>19961106</v>
      </c>
      <c r="BK50" s="72">
        <v>9.4</v>
      </c>
      <c r="BL50" s="72" t="s">
        <v>414</v>
      </c>
      <c r="BM50" s="72" t="s">
        <v>414</v>
      </c>
      <c r="BN50" s="72">
        <v>153.76</v>
      </c>
      <c r="BO50" s="72">
        <v>60.87</v>
      </c>
      <c r="BP50" s="72">
        <v>4.1500000000000004</v>
      </c>
      <c r="BQ50" s="72">
        <v>57.72</v>
      </c>
      <c r="BR50" s="72">
        <v>110.81</v>
      </c>
      <c r="BS50" s="72">
        <v>25.39</v>
      </c>
      <c r="BT50" s="72">
        <v>2.95</v>
      </c>
      <c r="BU50" s="72">
        <v>76.209999999999994</v>
      </c>
      <c r="BV50" s="72">
        <v>25.49</v>
      </c>
      <c r="BW50" s="72">
        <v>34.409999999999997</v>
      </c>
      <c r="BX50" s="72">
        <v>28.85</v>
      </c>
      <c r="BY50" s="72">
        <v>32.630000000000003</v>
      </c>
      <c r="BZ50" s="72">
        <v>23.21</v>
      </c>
      <c r="CA50" s="72">
        <v>2.1</v>
      </c>
      <c r="CB50" s="72">
        <v>0.01</v>
      </c>
      <c r="CC50" s="72">
        <v>2.0499999999999998</v>
      </c>
      <c r="CD50" s="72">
        <v>1.57</v>
      </c>
      <c r="CE50" s="72">
        <v>1.2</v>
      </c>
      <c r="CF50" s="72">
        <v>23.07</v>
      </c>
      <c r="CG50" s="72">
        <v>0.53</v>
      </c>
      <c r="CH50" s="72">
        <v>1.56</v>
      </c>
      <c r="CI50" s="72">
        <v>54988</v>
      </c>
      <c r="CJ50" s="72">
        <v>8804</v>
      </c>
      <c r="CK50" s="72" t="s">
        <v>625</v>
      </c>
      <c r="CL50" s="72">
        <v>15.87</v>
      </c>
      <c r="CM50" s="72">
        <v>12.71</v>
      </c>
      <c r="CN50" s="72">
        <v>2.2799999999999998</v>
      </c>
      <c r="CO50" s="72">
        <v>260.92</v>
      </c>
      <c r="CP50" s="72">
        <v>4.26</v>
      </c>
      <c r="CQ50" s="72">
        <v>0.31</v>
      </c>
      <c r="CR50" s="72" t="s">
        <v>626</v>
      </c>
      <c r="CS50" s="72">
        <v>6.48</v>
      </c>
      <c r="CT50" s="72">
        <v>0</v>
      </c>
      <c r="CU50" s="72">
        <v>3.07</v>
      </c>
      <c r="CV50" s="72">
        <v>2.46</v>
      </c>
      <c r="CW50" s="72">
        <v>39.590000000000003</v>
      </c>
      <c r="CX50" s="72" t="s">
        <v>627</v>
      </c>
      <c r="CY50" s="72">
        <v>28.87</v>
      </c>
      <c r="CZ50" s="72">
        <v>6.45</v>
      </c>
      <c r="DA50" s="72">
        <v>3.67</v>
      </c>
      <c r="DB50" s="72">
        <v>600765</v>
      </c>
    </row>
    <row r="51" spans="7:106" x14ac:dyDescent="0.25">
      <c r="G51" s="72">
        <v>300658</v>
      </c>
      <c r="H51" s="72" t="s">
        <v>1822</v>
      </c>
      <c r="I51" s="72">
        <v>-1.62</v>
      </c>
      <c r="J51" s="72">
        <v>0.62</v>
      </c>
      <c r="K51" s="72">
        <v>28.5</v>
      </c>
      <c r="L51" s="72">
        <v>0.27</v>
      </c>
      <c r="M51" s="72">
        <v>9.18</v>
      </c>
      <c r="N51" s="72">
        <v>9.19</v>
      </c>
      <c r="O51" s="72">
        <v>122313</v>
      </c>
      <c r="P51" s="72">
        <v>2</v>
      </c>
      <c r="Q51" s="72">
        <v>0.11</v>
      </c>
      <c r="R51" s="72">
        <v>0.57999999999999996</v>
      </c>
      <c r="S51" s="72">
        <v>8.98</v>
      </c>
      <c r="T51" s="72">
        <v>9.2200000000000006</v>
      </c>
      <c r="U51" s="72">
        <v>8.9499999999999993</v>
      </c>
      <c r="V51" s="72">
        <v>8.92</v>
      </c>
      <c r="W51" s="72">
        <v>22.93</v>
      </c>
      <c r="X51" s="114">
        <v>112000000</v>
      </c>
      <c r="Y51" s="72" t="s">
        <v>356</v>
      </c>
      <c r="Z51" s="72" t="s">
        <v>380</v>
      </c>
      <c r="AA51" s="72">
        <v>3.03</v>
      </c>
      <c r="AB51" s="72">
        <v>9.1199999999999992</v>
      </c>
      <c r="AC51" s="72">
        <v>49616</v>
      </c>
      <c r="AD51" s="72">
        <v>72697</v>
      </c>
      <c r="AE51" s="72">
        <v>0.68</v>
      </c>
      <c r="AF51" s="72">
        <v>153</v>
      </c>
      <c r="AG51" s="72">
        <v>624</v>
      </c>
      <c r="AH51" s="72" t="s">
        <v>414</v>
      </c>
      <c r="AI51" s="72">
        <v>1510400</v>
      </c>
      <c r="AJ51" s="72">
        <v>0.02</v>
      </c>
      <c r="AK51" s="72" t="s">
        <v>414</v>
      </c>
      <c r="AL51" s="72" t="s">
        <v>414</v>
      </c>
      <c r="AM51" s="72">
        <v>21.11</v>
      </c>
      <c r="AN51" s="72" t="s">
        <v>628</v>
      </c>
      <c r="AO51" s="72" t="s">
        <v>629</v>
      </c>
      <c r="AP51" s="72">
        <v>1.04</v>
      </c>
      <c r="AQ51" s="72">
        <v>1456</v>
      </c>
      <c r="AR51" s="72">
        <v>84</v>
      </c>
      <c r="AS51" s="72">
        <v>4.0000000000000002E-4</v>
      </c>
      <c r="AT51" s="72">
        <v>2</v>
      </c>
      <c r="AU51" s="72">
        <v>4.55</v>
      </c>
      <c r="AV51" s="72">
        <v>1.1599999999999999</v>
      </c>
      <c r="AW51" s="72" t="s">
        <v>630</v>
      </c>
      <c r="AX51" s="72">
        <v>0.82</v>
      </c>
      <c r="AY51" s="72">
        <v>26.91</v>
      </c>
      <c r="AZ51" s="72">
        <v>32.92</v>
      </c>
      <c r="BA51" s="72">
        <v>0.67</v>
      </c>
      <c r="BB51" s="72">
        <v>3.36</v>
      </c>
      <c r="BC51" s="72">
        <v>0.34</v>
      </c>
      <c r="BD51" s="72">
        <v>2.2000000000000002</v>
      </c>
      <c r="BE51" s="72">
        <v>2.34</v>
      </c>
      <c r="BF51" s="72">
        <v>-0.33</v>
      </c>
      <c r="BG51" s="72">
        <v>2.68</v>
      </c>
      <c r="BH51" s="72">
        <v>0.83</v>
      </c>
      <c r="BI51" s="72">
        <v>20200828</v>
      </c>
      <c r="BJ51" s="72">
        <v>19960731</v>
      </c>
      <c r="BK51" s="72">
        <v>21.39</v>
      </c>
      <c r="BL51" s="72" t="s">
        <v>414</v>
      </c>
      <c r="BM51" s="72" t="s">
        <v>414</v>
      </c>
      <c r="BN51" s="72">
        <v>239.8</v>
      </c>
      <c r="BO51" s="72">
        <v>84.29</v>
      </c>
      <c r="BP51" s="72">
        <v>1.8</v>
      </c>
      <c r="BQ51" s="72">
        <v>64.099999999999994</v>
      </c>
      <c r="BR51" s="72">
        <v>184.05</v>
      </c>
      <c r="BS51" s="72">
        <v>38.909999999999997</v>
      </c>
      <c r="BT51" s="72">
        <v>8.61</v>
      </c>
      <c r="BU51" s="72">
        <v>139.22999999999999</v>
      </c>
      <c r="BV51" s="72">
        <v>57.03</v>
      </c>
      <c r="BW51" s="72">
        <v>11.47</v>
      </c>
      <c r="BX51" s="72">
        <v>46.46</v>
      </c>
      <c r="BY51" s="72">
        <v>87.2</v>
      </c>
      <c r="BZ51" s="72">
        <v>75.400000000000006</v>
      </c>
      <c r="CA51" s="72">
        <v>5.72</v>
      </c>
      <c r="CB51" s="72">
        <v>0.01</v>
      </c>
      <c r="CC51" s="72">
        <v>5.6</v>
      </c>
      <c r="CD51" s="72">
        <v>4.43</v>
      </c>
      <c r="CE51" s="72">
        <v>4.29</v>
      </c>
      <c r="CF51" s="72">
        <v>14.79</v>
      </c>
      <c r="CG51" s="72">
        <v>19.78</v>
      </c>
      <c r="CH51" s="72">
        <v>48.93</v>
      </c>
      <c r="CI51" s="72">
        <v>128673</v>
      </c>
      <c r="CJ51" s="72">
        <v>8190</v>
      </c>
      <c r="CK51" s="72" t="s">
        <v>631</v>
      </c>
      <c r="CL51" s="72">
        <v>43.28</v>
      </c>
      <c r="CM51" s="72">
        <v>35.82</v>
      </c>
      <c r="CN51" s="72">
        <v>2.33</v>
      </c>
      <c r="CO51" s="72">
        <v>9.94</v>
      </c>
      <c r="CP51" s="72">
        <v>2.25</v>
      </c>
      <c r="CQ51" s="72">
        <v>1.4</v>
      </c>
      <c r="CR51" s="72" t="s">
        <v>570</v>
      </c>
      <c r="CS51" s="72">
        <v>3.94</v>
      </c>
      <c r="CT51" s="72">
        <v>0</v>
      </c>
      <c r="CU51" s="72">
        <v>2.17</v>
      </c>
      <c r="CV51" s="72">
        <v>0.69</v>
      </c>
      <c r="CW51" s="72">
        <v>35.15</v>
      </c>
      <c r="CX51" s="72" t="s">
        <v>632</v>
      </c>
      <c r="CY51" s="72">
        <v>13.53</v>
      </c>
      <c r="CZ51" s="72">
        <v>6.56</v>
      </c>
      <c r="DA51" s="72">
        <v>4.92</v>
      </c>
      <c r="DB51" s="72">
        <v>600737</v>
      </c>
    </row>
    <row r="52" spans="7:106" x14ac:dyDescent="0.25">
      <c r="G52" s="72">
        <v>600720</v>
      </c>
      <c r="H52" s="72" t="s">
        <v>416</v>
      </c>
      <c r="I52" s="72">
        <v>3.23</v>
      </c>
      <c r="J52" s="72">
        <v>1.54</v>
      </c>
      <c r="K52" s="72">
        <v>16</v>
      </c>
      <c r="L52" s="72">
        <v>0.5</v>
      </c>
      <c r="M52" s="72">
        <v>15.99</v>
      </c>
      <c r="N52" s="72">
        <v>16</v>
      </c>
      <c r="O52" s="72">
        <v>121589</v>
      </c>
      <c r="P52" s="72">
        <v>24</v>
      </c>
      <c r="Q52" s="72">
        <v>0.25</v>
      </c>
      <c r="R52" s="72">
        <v>1.57</v>
      </c>
      <c r="S52" s="72">
        <v>15.61</v>
      </c>
      <c r="T52" s="72">
        <v>16.02</v>
      </c>
      <c r="U52" s="72">
        <v>15.54</v>
      </c>
      <c r="V52" s="72">
        <v>15.5</v>
      </c>
      <c r="W52" s="72">
        <v>8.48</v>
      </c>
      <c r="X52" s="114">
        <v>192000000</v>
      </c>
      <c r="Y52" s="72" t="s">
        <v>633</v>
      </c>
      <c r="Z52" s="72" t="s">
        <v>396</v>
      </c>
      <c r="AA52" s="72">
        <v>3.1</v>
      </c>
      <c r="AB52" s="72">
        <v>15.82</v>
      </c>
      <c r="AC52" s="72">
        <v>57466</v>
      </c>
      <c r="AD52" s="72">
        <v>64123</v>
      </c>
      <c r="AE52" s="72">
        <v>0.9</v>
      </c>
      <c r="AF52" s="72">
        <v>203</v>
      </c>
      <c r="AG52" s="72">
        <v>292</v>
      </c>
      <c r="AH52" s="72" t="s">
        <v>414</v>
      </c>
      <c r="AI52" s="72">
        <v>1859200</v>
      </c>
      <c r="AJ52" s="72">
        <v>0.02</v>
      </c>
      <c r="AK52" s="72" t="s">
        <v>414</v>
      </c>
      <c r="AL52" s="72" t="s">
        <v>414</v>
      </c>
      <c r="AM52" s="72">
        <v>7.76</v>
      </c>
      <c r="AN52" s="72" t="s">
        <v>634</v>
      </c>
      <c r="AO52" s="72" t="s">
        <v>635</v>
      </c>
      <c r="AP52" s="72">
        <v>1.24</v>
      </c>
      <c r="AQ52" s="72">
        <v>1762</v>
      </c>
      <c r="AR52" s="72">
        <v>69</v>
      </c>
      <c r="AS52" s="72">
        <v>8.9999999999999998E-4</v>
      </c>
      <c r="AT52" s="72">
        <v>2</v>
      </c>
      <c r="AU52" s="72">
        <v>5.26</v>
      </c>
      <c r="AV52" s="72">
        <v>2.09</v>
      </c>
      <c r="AW52" s="72" t="s">
        <v>636</v>
      </c>
      <c r="AX52" s="72">
        <v>1.51</v>
      </c>
      <c r="AY52" s="72">
        <v>8.2200000000000006</v>
      </c>
      <c r="AZ52" s="72">
        <v>9.75</v>
      </c>
      <c r="BA52" s="72">
        <v>0.71</v>
      </c>
      <c r="BB52" s="72">
        <v>3.35</v>
      </c>
      <c r="BC52" s="72">
        <v>0.26</v>
      </c>
      <c r="BD52" s="72">
        <v>2.09</v>
      </c>
      <c r="BE52" s="72">
        <v>2.5</v>
      </c>
      <c r="BF52" s="72">
        <v>-0.12</v>
      </c>
      <c r="BG52" s="72">
        <v>2.96</v>
      </c>
      <c r="BH52" s="72">
        <v>1.1399999999999999</v>
      </c>
      <c r="BI52" s="72">
        <v>20200820</v>
      </c>
      <c r="BJ52" s="72">
        <v>19960716</v>
      </c>
      <c r="BK52" s="72">
        <v>7.76</v>
      </c>
      <c r="BL52" s="72" t="s">
        <v>414</v>
      </c>
      <c r="BM52" s="72" t="s">
        <v>414</v>
      </c>
      <c r="BN52" s="72">
        <v>109.45</v>
      </c>
      <c r="BO52" s="72">
        <v>70.98</v>
      </c>
      <c r="BP52" s="72">
        <v>7.11</v>
      </c>
      <c r="BQ52" s="72">
        <v>28.65</v>
      </c>
      <c r="BR52" s="72">
        <v>24.48</v>
      </c>
      <c r="BS52" s="72">
        <v>62.57</v>
      </c>
      <c r="BT52" s="72">
        <v>8.8000000000000007</v>
      </c>
      <c r="BU52" s="72">
        <v>24.25</v>
      </c>
      <c r="BV52" s="72">
        <v>4.51</v>
      </c>
      <c r="BW52" s="72">
        <v>5.16</v>
      </c>
      <c r="BX52" s="72">
        <v>13.41</v>
      </c>
      <c r="BY52" s="72">
        <v>33.92</v>
      </c>
      <c r="BZ52" s="72">
        <v>19.690000000000001</v>
      </c>
      <c r="CA52" s="72">
        <v>9.1999999999999993</v>
      </c>
      <c r="CB52" s="72">
        <v>0</v>
      </c>
      <c r="CC52" s="72">
        <v>9.15</v>
      </c>
      <c r="CD52" s="72">
        <v>7.83</v>
      </c>
      <c r="CE52" s="72">
        <v>7.32</v>
      </c>
      <c r="CF52" s="72">
        <v>43.63</v>
      </c>
      <c r="CG52" s="72">
        <v>11.4</v>
      </c>
      <c r="CH52" s="72">
        <v>5.29</v>
      </c>
      <c r="CI52" s="72">
        <v>57453</v>
      </c>
      <c r="CJ52" s="72">
        <v>10126</v>
      </c>
      <c r="CK52" s="72" t="s">
        <v>637</v>
      </c>
      <c r="CL52" s="72">
        <v>45.83</v>
      </c>
      <c r="CM52" s="72">
        <v>16.53</v>
      </c>
      <c r="CN52" s="72">
        <v>1.75</v>
      </c>
      <c r="CO52" s="72">
        <v>10.9</v>
      </c>
      <c r="CP52" s="72">
        <v>3.66</v>
      </c>
      <c r="CQ52" s="72">
        <v>3.74</v>
      </c>
      <c r="CR52" s="72" t="s">
        <v>638</v>
      </c>
      <c r="CS52" s="72">
        <v>9.14</v>
      </c>
      <c r="CT52" s="72">
        <v>0</v>
      </c>
      <c r="CU52" s="72">
        <v>1.73</v>
      </c>
      <c r="CV52" s="72">
        <v>5.62</v>
      </c>
      <c r="CW52" s="72">
        <v>64.849999999999994</v>
      </c>
      <c r="CX52" s="72" t="s">
        <v>639</v>
      </c>
      <c r="CY52" s="72">
        <v>41.93</v>
      </c>
      <c r="CZ52" s="72">
        <v>27.12</v>
      </c>
      <c r="DA52" s="72">
        <v>21.59</v>
      </c>
      <c r="DB52" s="72">
        <v>600720</v>
      </c>
    </row>
    <row r="53" spans="7:106" x14ac:dyDescent="0.25">
      <c r="G53" s="72">
        <v>600683</v>
      </c>
      <c r="H53" s="72" t="s">
        <v>397</v>
      </c>
      <c r="I53" s="72">
        <v>1.65</v>
      </c>
      <c r="J53" s="72">
        <v>1.69</v>
      </c>
      <c r="K53" s="72">
        <v>4.32</v>
      </c>
      <c r="L53" s="72">
        <v>7.0000000000000007E-2</v>
      </c>
      <c r="M53" s="72">
        <v>4.3099999999999996</v>
      </c>
      <c r="N53" s="72">
        <v>4.32</v>
      </c>
      <c r="O53" s="72">
        <v>15216</v>
      </c>
      <c r="P53" s="72">
        <v>22</v>
      </c>
      <c r="Q53" s="72">
        <v>0.23</v>
      </c>
      <c r="R53" s="72">
        <v>0.21</v>
      </c>
      <c r="S53" s="72">
        <v>4.2699999999999996</v>
      </c>
      <c r="T53" s="72">
        <v>4.32</v>
      </c>
      <c r="U53" s="72">
        <v>4.26</v>
      </c>
      <c r="V53" s="72">
        <v>4.25</v>
      </c>
      <c r="W53" s="72">
        <v>14.28</v>
      </c>
      <c r="X53" s="72">
        <v>6547494</v>
      </c>
      <c r="Y53" s="72" t="s">
        <v>388</v>
      </c>
      <c r="Z53" s="72" t="s">
        <v>358</v>
      </c>
      <c r="AA53" s="72">
        <v>1.41</v>
      </c>
      <c r="AB53" s="72">
        <v>4.3</v>
      </c>
      <c r="AC53" s="72">
        <v>4840</v>
      </c>
      <c r="AD53" s="72">
        <v>10376</v>
      </c>
      <c r="AE53" s="72">
        <v>0.47</v>
      </c>
      <c r="AF53" s="72">
        <v>938</v>
      </c>
      <c r="AG53" s="72">
        <v>309</v>
      </c>
      <c r="AH53" s="72" t="s">
        <v>414</v>
      </c>
      <c r="AI53" s="72">
        <v>27300</v>
      </c>
      <c r="AJ53" s="72">
        <v>0</v>
      </c>
      <c r="AK53" s="72" t="s">
        <v>414</v>
      </c>
      <c r="AL53" s="72" t="s">
        <v>414</v>
      </c>
      <c r="AM53" s="72">
        <v>7.41</v>
      </c>
      <c r="AN53" s="72" t="s">
        <v>640</v>
      </c>
      <c r="AO53" s="72" t="s">
        <v>640</v>
      </c>
      <c r="AP53" s="72">
        <v>-0.34</v>
      </c>
      <c r="AQ53" s="72">
        <v>308</v>
      </c>
      <c r="AR53" s="72">
        <v>49</v>
      </c>
      <c r="AS53" s="72">
        <v>6.9999999999999999E-4</v>
      </c>
      <c r="AT53" s="72">
        <v>2</v>
      </c>
      <c r="AU53" s="72">
        <v>2.37</v>
      </c>
      <c r="AV53" s="72">
        <v>0.5</v>
      </c>
      <c r="AW53" s="72" t="s">
        <v>641</v>
      </c>
      <c r="AX53" s="72">
        <v>0.96</v>
      </c>
      <c r="AY53" s="72">
        <v>31.73</v>
      </c>
      <c r="AZ53" s="72">
        <v>40.99</v>
      </c>
      <c r="BA53" s="72">
        <v>0.47</v>
      </c>
      <c r="BB53" s="72">
        <v>1.65</v>
      </c>
      <c r="BC53" s="72">
        <v>0.24</v>
      </c>
      <c r="BD53" s="72">
        <v>1.25</v>
      </c>
      <c r="BE53" s="72">
        <v>1.17</v>
      </c>
      <c r="BF53" s="72">
        <v>0</v>
      </c>
      <c r="BG53" s="72">
        <v>1.41</v>
      </c>
      <c r="BH53" s="72">
        <v>0.4</v>
      </c>
      <c r="BI53" s="72">
        <v>20200828</v>
      </c>
      <c r="BJ53" s="72">
        <v>19931025</v>
      </c>
      <c r="BK53" s="72">
        <v>7.41</v>
      </c>
      <c r="BL53" s="72" t="s">
        <v>414</v>
      </c>
      <c r="BM53" s="72" t="s">
        <v>414</v>
      </c>
      <c r="BN53" s="72">
        <v>469.7</v>
      </c>
      <c r="BO53" s="72">
        <v>50.96</v>
      </c>
      <c r="BP53" s="72">
        <v>15.8</v>
      </c>
      <c r="BQ53" s="72">
        <v>85.79</v>
      </c>
      <c r="BR53" s="72">
        <v>373.36</v>
      </c>
      <c r="BS53" s="72">
        <v>0.77</v>
      </c>
      <c r="BT53" s="72">
        <v>0.13</v>
      </c>
      <c r="BU53" s="72">
        <v>192.83</v>
      </c>
      <c r="BV53" s="72">
        <v>336.91</v>
      </c>
      <c r="BW53" s="72">
        <v>0.08</v>
      </c>
      <c r="BX53" s="72">
        <v>3.28</v>
      </c>
      <c r="BY53" s="72">
        <v>20.48</v>
      </c>
      <c r="BZ53" s="72">
        <v>13.75</v>
      </c>
      <c r="CA53" s="72">
        <v>3</v>
      </c>
      <c r="CB53" s="72">
        <v>0</v>
      </c>
      <c r="CC53" s="72">
        <v>2.94</v>
      </c>
      <c r="CD53" s="72">
        <v>2.39</v>
      </c>
      <c r="CE53" s="72">
        <v>1.1200000000000001</v>
      </c>
      <c r="CF53" s="72">
        <v>13.27</v>
      </c>
      <c r="CG53" s="72">
        <v>20.21</v>
      </c>
      <c r="CH53" s="72">
        <v>-2.12</v>
      </c>
      <c r="CI53" s="72">
        <v>24964</v>
      </c>
      <c r="CJ53" s="72">
        <v>12232</v>
      </c>
      <c r="CK53" s="72" t="s">
        <v>642</v>
      </c>
      <c r="CL53" s="72">
        <v>25</v>
      </c>
      <c r="CM53" s="72">
        <v>74.3</v>
      </c>
      <c r="CN53" s="72">
        <v>1.07</v>
      </c>
      <c r="CO53" s="72">
        <v>1.58</v>
      </c>
      <c r="CP53" s="72">
        <v>1.56</v>
      </c>
      <c r="CQ53" s="72">
        <v>0</v>
      </c>
      <c r="CR53" s="72" t="s">
        <v>514</v>
      </c>
      <c r="CS53" s="72">
        <v>4.05</v>
      </c>
      <c r="CT53" s="72">
        <v>4.05</v>
      </c>
      <c r="CU53" s="72">
        <v>0.44</v>
      </c>
      <c r="CV53" s="72">
        <v>1.79</v>
      </c>
      <c r="CW53" s="72">
        <v>10.85</v>
      </c>
      <c r="CX53" s="72" t="s">
        <v>643</v>
      </c>
      <c r="CY53" s="72">
        <v>32.86</v>
      </c>
      <c r="CZ53" s="72">
        <v>14.67</v>
      </c>
      <c r="DA53" s="72">
        <v>5.47</v>
      </c>
      <c r="DB53" s="72">
        <v>600683</v>
      </c>
    </row>
    <row r="54" spans="7:106" x14ac:dyDescent="0.25">
      <c r="G54" s="72">
        <v>600657</v>
      </c>
      <c r="H54" s="72" t="s">
        <v>644</v>
      </c>
      <c r="I54" s="72">
        <v>2</v>
      </c>
      <c r="J54" s="72">
        <v>1.67</v>
      </c>
      <c r="K54" s="72">
        <v>4.58</v>
      </c>
      <c r="L54" s="72">
        <v>0.09</v>
      </c>
      <c r="M54" s="72">
        <v>4.57</v>
      </c>
      <c r="N54" s="72">
        <v>4.58</v>
      </c>
      <c r="O54" s="72">
        <v>56131</v>
      </c>
      <c r="P54" s="72">
        <v>15</v>
      </c>
      <c r="Q54" s="72">
        <v>0.22</v>
      </c>
      <c r="R54" s="72">
        <v>0.37</v>
      </c>
      <c r="S54" s="72">
        <v>4.51</v>
      </c>
      <c r="T54" s="72">
        <v>4.58</v>
      </c>
      <c r="U54" s="72">
        <v>4.49</v>
      </c>
      <c r="V54" s="72">
        <v>4.49</v>
      </c>
      <c r="W54" s="72">
        <v>7.21</v>
      </c>
      <c r="X54" s="72">
        <v>25450396</v>
      </c>
      <c r="Y54" s="72" t="s">
        <v>363</v>
      </c>
      <c r="Z54" s="72" t="s">
        <v>372</v>
      </c>
      <c r="AA54" s="72">
        <v>2</v>
      </c>
      <c r="AB54" s="72">
        <v>4.53</v>
      </c>
      <c r="AC54" s="72">
        <v>19742</v>
      </c>
      <c r="AD54" s="72">
        <v>36389</v>
      </c>
      <c r="AE54" s="72">
        <v>0.54</v>
      </c>
      <c r="AF54" s="72">
        <v>1326</v>
      </c>
      <c r="AG54" s="72">
        <v>2370</v>
      </c>
      <c r="AH54" s="72" t="s">
        <v>414</v>
      </c>
      <c r="AI54" s="72">
        <v>73100</v>
      </c>
      <c r="AJ54" s="72">
        <v>0</v>
      </c>
      <c r="AK54" s="72" t="s">
        <v>414</v>
      </c>
      <c r="AL54" s="72" t="s">
        <v>414</v>
      </c>
      <c r="AM54" s="72">
        <v>15.24</v>
      </c>
      <c r="AN54" s="72" t="s">
        <v>645</v>
      </c>
      <c r="AO54" s="72" t="s">
        <v>646</v>
      </c>
      <c r="AP54" s="72">
        <v>0.02</v>
      </c>
      <c r="AQ54" s="72">
        <v>1162</v>
      </c>
      <c r="AR54" s="72">
        <v>48</v>
      </c>
      <c r="AS54" s="72">
        <v>2.9999999999999997E-4</v>
      </c>
      <c r="AT54" s="72">
        <v>5</v>
      </c>
      <c r="AU54" s="72">
        <v>4.57</v>
      </c>
      <c r="AV54" s="72">
        <v>0.76</v>
      </c>
      <c r="AW54" s="72" t="s">
        <v>647</v>
      </c>
      <c r="AX54" s="72">
        <v>0.94</v>
      </c>
      <c r="AY54" s="72">
        <v>4.63</v>
      </c>
      <c r="AZ54" s="72">
        <v>5.53</v>
      </c>
      <c r="BA54" s="72">
        <v>0.45</v>
      </c>
      <c r="BB54" s="72">
        <v>2</v>
      </c>
      <c r="BC54" s="72">
        <v>0</v>
      </c>
      <c r="BD54" s="72">
        <v>0.98</v>
      </c>
      <c r="BE54" s="72">
        <v>1.55</v>
      </c>
      <c r="BF54" s="72">
        <v>0</v>
      </c>
      <c r="BG54" s="72">
        <v>2</v>
      </c>
      <c r="BH54" s="72">
        <v>1.02</v>
      </c>
      <c r="BI54" s="72">
        <v>20200831</v>
      </c>
      <c r="BJ54" s="72">
        <v>19930524</v>
      </c>
      <c r="BK54" s="72">
        <v>28.52</v>
      </c>
      <c r="BL54" s="72" t="s">
        <v>414</v>
      </c>
      <c r="BM54" s="72" t="s">
        <v>414</v>
      </c>
      <c r="BN54" s="72">
        <v>992.45</v>
      </c>
      <c r="BO54" s="72">
        <v>224.9</v>
      </c>
      <c r="BP54" s="72">
        <v>9.6</v>
      </c>
      <c r="BQ54" s="72">
        <v>76.37</v>
      </c>
      <c r="BR54" s="72">
        <v>891.95</v>
      </c>
      <c r="BS54" s="72">
        <v>3.25</v>
      </c>
      <c r="BT54" s="72">
        <v>0.13</v>
      </c>
      <c r="BU54" s="72">
        <v>523.32000000000005</v>
      </c>
      <c r="BV54" s="72">
        <v>561.83000000000004</v>
      </c>
      <c r="BW54" s="72">
        <v>1.72</v>
      </c>
      <c r="BX54" s="72">
        <v>83.08</v>
      </c>
      <c r="BY54" s="72">
        <v>102.25</v>
      </c>
      <c r="BZ54" s="72">
        <v>65.94</v>
      </c>
      <c r="CA54" s="72">
        <v>18.87</v>
      </c>
      <c r="CB54" s="72">
        <v>3.01</v>
      </c>
      <c r="CC54" s="72">
        <v>18.95</v>
      </c>
      <c r="CD54" s="72">
        <v>11.1</v>
      </c>
      <c r="CE54" s="72">
        <v>9.0500000000000007</v>
      </c>
      <c r="CF54" s="72">
        <v>113.3</v>
      </c>
      <c r="CG54" s="72">
        <v>25.35</v>
      </c>
      <c r="CH54" s="72">
        <v>33.869999999999997</v>
      </c>
      <c r="CI54" s="72">
        <v>37734</v>
      </c>
      <c r="CJ54" s="72">
        <v>19594</v>
      </c>
      <c r="CK54" s="72" t="s">
        <v>648</v>
      </c>
      <c r="CL54" s="72">
        <v>99.35</v>
      </c>
      <c r="CM54" s="72">
        <v>88.32</v>
      </c>
      <c r="CN54" s="72">
        <v>0.57999999999999996</v>
      </c>
      <c r="CO54" s="72">
        <v>5.15</v>
      </c>
      <c r="CP54" s="72">
        <v>1.28</v>
      </c>
      <c r="CQ54" s="72">
        <v>2.23</v>
      </c>
      <c r="CR54" s="72" t="s">
        <v>500</v>
      </c>
      <c r="CS54" s="72">
        <v>7.89</v>
      </c>
      <c r="CT54" s="72">
        <v>0</v>
      </c>
      <c r="CU54" s="72">
        <v>2.91</v>
      </c>
      <c r="CV54" s="72">
        <v>3.97</v>
      </c>
      <c r="CW54" s="72">
        <v>22.66</v>
      </c>
      <c r="CX54" s="72" t="s">
        <v>528</v>
      </c>
      <c r="CY54" s="72">
        <v>35.51</v>
      </c>
      <c r="CZ54" s="72">
        <v>18.46</v>
      </c>
      <c r="DA54" s="72">
        <v>8.85</v>
      </c>
      <c r="DB54" s="72">
        <v>600657</v>
      </c>
    </row>
    <row r="55" spans="7:106" x14ac:dyDescent="0.25">
      <c r="G55" s="72">
        <v>600639</v>
      </c>
      <c r="H55" s="72" t="s">
        <v>649</v>
      </c>
      <c r="I55" s="72">
        <v>1.79</v>
      </c>
      <c r="J55" s="72">
        <v>1.74</v>
      </c>
      <c r="K55" s="72">
        <v>13.08</v>
      </c>
      <c r="L55" s="72">
        <v>0.23</v>
      </c>
      <c r="M55" s="72">
        <v>13.07</v>
      </c>
      <c r="N55" s="72">
        <v>13.08</v>
      </c>
      <c r="O55" s="72">
        <v>18410</v>
      </c>
      <c r="P55" s="72">
        <v>2</v>
      </c>
      <c r="Q55" s="72">
        <v>0</v>
      </c>
      <c r="R55" s="72">
        <v>0.22</v>
      </c>
      <c r="S55" s="72">
        <v>12.87</v>
      </c>
      <c r="T55" s="72">
        <v>13.13</v>
      </c>
      <c r="U55" s="72">
        <v>12.85</v>
      </c>
      <c r="V55" s="72">
        <v>12.85</v>
      </c>
      <c r="W55" s="72">
        <v>13.45</v>
      </c>
      <c r="X55" s="72">
        <v>23976946</v>
      </c>
      <c r="Y55" s="72" t="s">
        <v>386</v>
      </c>
      <c r="Z55" s="72" t="s">
        <v>365</v>
      </c>
      <c r="AA55" s="72">
        <v>2.1800000000000002</v>
      </c>
      <c r="AB55" s="72">
        <v>13.02</v>
      </c>
      <c r="AC55" s="72">
        <v>5562</v>
      </c>
      <c r="AD55" s="72">
        <v>12848</v>
      </c>
      <c r="AE55" s="72">
        <v>0.43</v>
      </c>
      <c r="AF55" s="72">
        <v>52</v>
      </c>
      <c r="AG55" s="72">
        <v>273</v>
      </c>
      <c r="AH55" s="72" t="s">
        <v>414</v>
      </c>
      <c r="AI55" s="72">
        <v>214900</v>
      </c>
      <c r="AJ55" s="72">
        <v>0.01</v>
      </c>
      <c r="AK55" s="72" t="s">
        <v>414</v>
      </c>
      <c r="AL55" s="72" t="s">
        <v>414</v>
      </c>
      <c r="AM55" s="72">
        <v>8.5</v>
      </c>
      <c r="AN55" s="72" t="s">
        <v>650</v>
      </c>
      <c r="AO55" s="72" t="s">
        <v>651</v>
      </c>
      <c r="AP55" s="72">
        <v>-0.19</v>
      </c>
      <c r="AQ55" s="72">
        <v>851</v>
      </c>
      <c r="AR55" s="72">
        <v>22</v>
      </c>
      <c r="AS55" s="72">
        <v>2.9999999999999997E-4</v>
      </c>
      <c r="AT55" s="72">
        <v>4</v>
      </c>
      <c r="AU55" s="72">
        <v>4.72</v>
      </c>
      <c r="AV55" s="72">
        <v>0.62</v>
      </c>
      <c r="AW55" s="72" t="s">
        <v>652</v>
      </c>
      <c r="AX55" s="72">
        <v>0.81</v>
      </c>
      <c r="AY55" s="72">
        <v>12.16</v>
      </c>
      <c r="AZ55" s="72">
        <v>13.29</v>
      </c>
      <c r="BA55" s="72">
        <v>0.16</v>
      </c>
      <c r="BB55" s="72">
        <v>2.1800000000000002</v>
      </c>
      <c r="BC55" s="72">
        <v>0</v>
      </c>
      <c r="BD55" s="72">
        <v>1.35</v>
      </c>
      <c r="BE55" s="72">
        <v>1.63</v>
      </c>
      <c r="BF55" s="72">
        <v>-0.38</v>
      </c>
      <c r="BG55" s="72">
        <v>1.79</v>
      </c>
      <c r="BH55" s="72">
        <v>0.44</v>
      </c>
      <c r="BI55" s="72">
        <v>20200829</v>
      </c>
      <c r="BJ55" s="72">
        <v>19930326</v>
      </c>
      <c r="BK55" s="72">
        <v>11.22</v>
      </c>
      <c r="BL55" s="72">
        <v>2.72</v>
      </c>
      <c r="BM55" s="72" t="s">
        <v>414</v>
      </c>
      <c r="BN55" s="72">
        <v>278.06</v>
      </c>
      <c r="BO55" s="72">
        <v>99.82</v>
      </c>
      <c r="BP55" s="72">
        <v>2.2599999999999998</v>
      </c>
      <c r="BQ55" s="72">
        <v>63.29</v>
      </c>
      <c r="BR55" s="72">
        <v>111.27</v>
      </c>
      <c r="BS55" s="72">
        <v>8.7799999999999994</v>
      </c>
      <c r="BT55" s="72">
        <v>2.5299999999999998</v>
      </c>
      <c r="BU55" s="72">
        <v>87.61</v>
      </c>
      <c r="BV55" s="72">
        <v>39.04</v>
      </c>
      <c r="BW55" s="72">
        <v>1.65</v>
      </c>
      <c r="BX55" s="72">
        <v>17.09</v>
      </c>
      <c r="BY55" s="72">
        <v>20.079999999999998</v>
      </c>
      <c r="BZ55" s="72">
        <v>9.69</v>
      </c>
      <c r="CA55" s="72">
        <v>7.2</v>
      </c>
      <c r="CB55" s="72">
        <v>0.3</v>
      </c>
      <c r="CC55" s="72">
        <v>7.2</v>
      </c>
      <c r="CD55" s="72">
        <v>5.44</v>
      </c>
      <c r="CE55" s="72">
        <v>5.46</v>
      </c>
      <c r="CF55" s="72">
        <v>50.13</v>
      </c>
      <c r="CG55" s="72">
        <v>6.75</v>
      </c>
      <c r="CH55" s="72">
        <v>20.309999999999999</v>
      </c>
      <c r="CI55" s="72">
        <v>64420</v>
      </c>
      <c r="CJ55" s="72">
        <v>8822</v>
      </c>
      <c r="CK55" s="72" t="s">
        <v>653</v>
      </c>
      <c r="CL55" s="72">
        <v>22.8</v>
      </c>
      <c r="CM55" s="72">
        <v>40.69</v>
      </c>
      <c r="CN55" s="72">
        <v>1.47</v>
      </c>
      <c r="CO55" s="72">
        <v>21.76</v>
      </c>
      <c r="CP55" s="72">
        <v>7.31</v>
      </c>
      <c r="CQ55" s="72">
        <v>2.41</v>
      </c>
      <c r="CR55" s="72" t="s">
        <v>654</v>
      </c>
      <c r="CS55" s="72">
        <v>8.89</v>
      </c>
      <c r="CT55" s="72">
        <v>0</v>
      </c>
      <c r="CU55" s="72">
        <v>1.52</v>
      </c>
      <c r="CV55" s="72">
        <v>4.47</v>
      </c>
      <c r="CW55" s="72">
        <v>35.9</v>
      </c>
      <c r="CX55" s="72" t="s">
        <v>655</v>
      </c>
      <c r="CY55" s="72">
        <v>51.77</v>
      </c>
      <c r="CZ55" s="72">
        <v>35.869999999999997</v>
      </c>
      <c r="DA55" s="72">
        <v>27.19</v>
      </c>
      <c r="DB55" s="72">
        <v>600639</v>
      </c>
    </row>
    <row r="56" spans="7:106" x14ac:dyDescent="0.25">
      <c r="G56" s="72">
        <v>600633</v>
      </c>
      <c r="H56" s="72" t="s">
        <v>403</v>
      </c>
      <c r="I56" s="72">
        <v>1.27</v>
      </c>
      <c r="J56" s="72">
        <v>1.91</v>
      </c>
      <c r="K56" s="72">
        <v>10.36</v>
      </c>
      <c r="L56" s="72">
        <v>0.13</v>
      </c>
      <c r="M56" s="72">
        <v>10.36</v>
      </c>
      <c r="N56" s="72">
        <v>10.37</v>
      </c>
      <c r="O56" s="72">
        <v>49400</v>
      </c>
      <c r="P56" s="72">
        <v>123</v>
      </c>
      <c r="Q56" s="72">
        <v>0</v>
      </c>
      <c r="R56" s="72">
        <v>0.38</v>
      </c>
      <c r="S56" s="72">
        <v>10.32</v>
      </c>
      <c r="T56" s="72">
        <v>10.37</v>
      </c>
      <c r="U56" s="72">
        <v>10.23</v>
      </c>
      <c r="V56" s="72">
        <v>10.23</v>
      </c>
      <c r="W56" s="72">
        <v>18.649999999999999</v>
      </c>
      <c r="X56" s="72">
        <v>50879712</v>
      </c>
      <c r="Y56" s="72" t="s">
        <v>404</v>
      </c>
      <c r="Z56" s="72" t="s">
        <v>358</v>
      </c>
      <c r="AA56" s="72">
        <v>1.37</v>
      </c>
      <c r="AB56" s="72">
        <v>10.3</v>
      </c>
      <c r="AC56" s="72">
        <v>24067</v>
      </c>
      <c r="AD56" s="72">
        <v>25333</v>
      </c>
      <c r="AE56" s="72">
        <v>0.95</v>
      </c>
      <c r="AF56" s="72">
        <v>31</v>
      </c>
      <c r="AG56" s="72">
        <v>480</v>
      </c>
      <c r="AH56" s="72" t="s">
        <v>414</v>
      </c>
      <c r="AI56" s="72">
        <v>457200</v>
      </c>
      <c r="AJ56" s="72">
        <v>0.01</v>
      </c>
      <c r="AK56" s="72" t="s">
        <v>414</v>
      </c>
      <c r="AL56" s="72" t="s">
        <v>414</v>
      </c>
      <c r="AM56" s="72">
        <v>13.02</v>
      </c>
      <c r="AN56" s="72" t="s">
        <v>656</v>
      </c>
      <c r="AO56" s="72" t="s">
        <v>656</v>
      </c>
      <c r="AP56" s="72">
        <v>-0.71</v>
      </c>
      <c r="AQ56" s="72">
        <v>1142</v>
      </c>
      <c r="AR56" s="72">
        <v>43</v>
      </c>
      <c r="AS56" s="72">
        <v>2.9999999999999997E-4</v>
      </c>
      <c r="AT56" s="72">
        <v>2</v>
      </c>
      <c r="AU56" s="72">
        <v>4.75</v>
      </c>
      <c r="AV56" s="72">
        <v>0.73</v>
      </c>
      <c r="AW56" s="72" t="s">
        <v>657</v>
      </c>
      <c r="AX56" s="72">
        <v>1.39</v>
      </c>
      <c r="AY56" s="72">
        <v>24.43</v>
      </c>
      <c r="AZ56" s="72">
        <v>26.2</v>
      </c>
      <c r="BA56" s="72">
        <v>0.88</v>
      </c>
      <c r="BB56" s="72">
        <v>1.37</v>
      </c>
      <c r="BC56" s="72">
        <v>0</v>
      </c>
      <c r="BD56" s="72">
        <v>0.68</v>
      </c>
      <c r="BE56" s="72">
        <v>0.39</v>
      </c>
      <c r="BF56" s="72">
        <v>-0.1</v>
      </c>
      <c r="BG56" s="72">
        <v>1.27</v>
      </c>
      <c r="BH56" s="72">
        <v>0.59</v>
      </c>
      <c r="BI56" s="72">
        <v>20200820</v>
      </c>
      <c r="BJ56" s="72">
        <v>19930304</v>
      </c>
      <c r="BK56" s="72">
        <v>13.02</v>
      </c>
      <c r="BL56" s="72" t="s">
        <v>414</v>
      </c>
      <c r="BM56" s="72" t="s">
        <v>414</v>
      </c>
      <c r="BN56" s="72">
        <v>115.03</v>
      </c>
      <c r="BO56" s="72">
        <v>82.96</v>
      </c>
      <c r="BP56" s="72">
        <v>10.06</v>
      </c>
      <c r="BQ56" s="72">
        <v>19.13</v>
      </c>
      <c r="BR56" s="72">
        <v>30.91</v>
      </c>
      <c r="BS56" s="72">
        <v>5.95</v>
      </c>
      <c r="BT56" s="72">
        <v>11.79</v>
      </c>
      <c r="BU56" s="72">
        <v>20.11</v>
      </c>
      <c r="BV56" s="72">
        <v>0.05</v>
      </c>
      <c r="BW56" s="72">
        <v>2.33</v>
      </c>
      <c r="BX56" s="72">
        <v>31.77</v>
      </c>
      <c r="BY56" s="72">
        <v>18.62</v>
      </c>
      <c r="BZ56" s="72">
        <v>5.31</v>
      </c>
      <c r="CA56" s="72">
        <v>5.87</v>
      </c>
      <c r="CB56" s="72">
        <v>0.16</v>
      </c>
      <c r="CC56" s="72">
        <v>5.76</v>
      </c>
      <c r="CD56" s="72">
        <v>4.9400000000000004</v>
      </c>
      <c r="CE56" s="72">
        <v>3.62</v>
      </c>
      <c r="CF56" s="72">
        <v>39.56</v>
      </c>
      <c r="CG56" s="72">
        <v>3.82</v>
      </c>
      <c r="CH56" s="72">
        <v>-7.35</v>
      </c>
      <c r="CI56" s="72">
        <v>51641</v>
      </c>
      <c r="CJ56" s="72">
        <v>13156</v>
      </c>
      <c r="CK56" s="72" t="s">
        <v>658</v>
      </c>
      <c r="CL56" s="72">
        <v>11.33</v>
      </c>
      <c r="CM56" s="72">
        <v>39.130000000000003</v>
      </c>
      <c r="CN56" s="72">
        <v>1.63</v>
      </c>
      <c r="CO56" s="72">
        <v>35.299999999999997</v>
      </c>
      <c r="CP56" s="72">
        <v>7.24</v>
      </c>
      <c r="CQ56" s="72">
        <v>0.76</v>
      </c>
      <c r="CR56" s="72" t="s">
        <v>659</v>
      </c>
      <c r="CS56" s="72">
        <v>6.37</v>
      </c>
      <c r="CT56" s="72">
        <v>0</v>
      </c>
      <c r="CU56" s="72">
        <v>2.44</v>
      </c>
      <c r="CV56" s="72">
        <v>3.04</v>
      </c>
      <c r="CW56" s="72">
        <v>72.12</v>
      </c>
      <c r="CX56" s="72" t="s">
        <v>660</v>
      </c>
      <c r="CY56" s="72">
        <v>71.47</v>
      </c>
      <c r="CZ56" s="72">
        <v>31.54</v>
      </c>
      <c r="DA56" s="72">
        <v>19.420000000000002</v>
      </c>
      <c r="DB56" s="72">
        <v>600633</v>
      </c>
    </row>
    <row r="57" spans="7:106" x14ac:dyDescent="0.25">
      <c r="G57" s="72">
        <v>600603</v>
      </c>
      <c r="H57" s="72" t="s">
        <v>661</v>
      </c>
      <c r="I57" s="72">
        <v>1.37</v>
      </c>
      <c r="J57" s="72">
        <v>1.71</v>
      </c>
      <c r="K57" s="72">
        <v>5.19</v>
      </c>
      <c r="L57" s="72">
        <v>7.0000000000000007E-2</v>
      </c>
      <c r="M57" s="72">
        <v>5.18</v>
      </c>
      <c r="N57" s="72">
        <v>5.19</v>
      </c>
      <c r="O57" s="72">
        <v>49343</v>
      </c>
      <c r="P57" s="72">
        <v>30</v>
      </c>
      <c r="Q57" s="72">
        <v>0</v>
      </c>
      <c r="R57" s="72">
        <v>0.4</v>
      </c>
      <c r="S57" s="72">
        <v>5.14</v>
      </c>
      <c r="T57" s="72">
        <v>5.21</v>
      </c>
      <c r="U57" s="72">
        <v>5.1100000000000003</v>
      </c>
      <c r="V57" s="72">
        <v>5.12</v>
      </c>
      <c r="W57" s="72">
        <v>11.82</v>
      </c>
      <c r="X57" s="72">
        <v>25486308</v>
      </c>
      <c r="Y57" s="72" t="s">
        <v>394</v>
      </c>
      <c r="Z57" s="72" t="s">
        <v>395</v>
      </c>
      <c r="AA57" s="72">
        <v>1.95</v>
      </c>
      <c r="AB57" s="72">
        <v>5.17</v>
      </c>
      <c r="AC57" s="72">
        <v>25869</v>
      </c>
      <c r="AD57" s="72">
        <v>23474</v>
      </c>
      <c r="AE57" s="72">
        <v>1.1000000000000001</v>
      </c>
      <c r="AF57" s="72">
        <v>623</v>
      </c>
      <c r="AG57" s="72">
        <v>31</v>
      </c>
      <c r="AH57" s="72" t="s">
        <v>414</v>
      </c>
      <c r="AI57" s="72">
        <v>191700</v>
      </c>
      <c r="AJ57" s="72">
        <v>0.01</v>
      </c>
      <c r="AK57" s="72" t="s">
        <v>414</v>
      </c>
      <c r="AL57" s="72" t="s">
        <v>414</v>
      </c>
      <c r="AM57" s="72">
        <v>12.49</v>
      </c>
      <c r="AN57" s="72" t="s">
        <v>662</v>
      </c>
      <c r="AO57" s="72" t="s">
        <v>663</v>
      </c>
      <c r="AP57" s="72">
        <v>-0.62</v>
      </c>
      <c r="AQ57" s="72">
        <v>857</v>
      </c>
      <c r="AR57" s="72">
        <v>58</v>
      </c>
      <c r="AS57" s="72">
        <v>5.0000000000000001E-4</v>
      </c>
      <c r="AT57" s="72">
        <v>2</v>
      </c>
      <c r="AU57" s="72">
        <v>2.38</v>
      </c>
      <c r="AV57" s="72">
        <v>0.99</v>
      </c>
      <c r="AW57" s="72" t="s">
        <v>664</v>
      </c>
      <c r="AX57" s="72">
        <v>0.86</v>
      </c>
      <c r="AY57" s="72">
        <v>7.2</v>
      </c>
      <c r="AZ57" s="72">
        <v>7.86</v>
      </c>
      <c r="BA57" s="72">
        <v>0.39</v>
      </c>
      <c r="BB57" s="72">
        <v>1.76</v>
      </c>
      <c r="BC57" s="72">
        <v>-0.2</v>
      </c>
      <c r="BD57" s="72">
        <v>0.88</v>
      </c>
      <c r="BE57" s="72">
        <v>0.97</v>
      </c>
      <c r="BF57" s="72">
        <v>-0.38</v>
      </c>
      <c r="BG57" s="72">
        <v>1.57</v>
      </c>
      <c r="BH57" s="72">
        <v>0.49</v>
      </c>
      <c r="BI57" s="72">
        <v>20200929</v>
      </c>
      <c r="BJ57" s="72">
        <v>19920113</v>
      </c>
      <c r="BK57" s="72">
        <v>12.57</v>
      </c>
      <c r="BL57" s="72" t="s">
        <v>414</v>
      </c>
      <c r="BM57" s="72" t="s">
        <v>414</v>
      </c>
      <c r="BN57" s="72">
        <v>172.24</v>
      </c>
      <c r="BO57" s="72">
        <v>61.93</v>
      </c>
      <c r="BP57" s="72">
        <v>3.21</v>
      </c>
      <c r="BQ57" s="72">
        <v>62.18</v>
      </c>
      <c r="BR57" s="72">
        <v>110</v>
      </c>
      <c r="BS57" s="72">
        <v>0.38</v>
      </c>
      <c r="BT57" s="72">
        <v>0.45</v>
      </c>
      <c r="BU57" s="72">
        <v>83.48</v>
      </c>
      <c r="BV57" s="72">
        <v>63.16</v>
      </c>
      <c r="BW57" s="72">
        <v>9.01</v>
      </c>
      <c r="BX57" s="72">
        <v>7.44</v>
      </c>
      <c r="BY57" s="72">
        <v>12.75</v>
      </c>
      <c r="BZ57" s="72">
        <v>6.72</v>
      </c>
      <c r="CA57" s="72">
        <v>3.94</v>
      </c>
      <c r="CB57" s="72">
        <v>0.13</v>
      </c>
      <c r="CC57" s="72">
        <v>3.84</v>
      </c>
      <c r="CD57" s="72">
        <v>3.01</v>
      </c>
      <c r="CE57" s="72">
        <v>2.76</v>
      </c>
      <c r="CF57" s="72">
        <v>37.590000000000003</v>
      </c>
      <c r="CG57" s="72">
        <v>10.91</v>
      </c>
      <c r="CH57" s="72">
        <v>-6.64</v>
      </c>
      <c r="CI57" s="72">
        <v>28146</v>
      </c>
      <c r="CJ57" s="72">
        <v>17645</v>
      </c>
      <c r="CK57" s="72" t="s">
        <v>665</v>
      </c>
      <c r="CL57" s="72">
        <v>37.36</v>
      </c>
      <c r="CM57" s="72">
        <v>65.680000000000007</v>
      </c>
      <c r="CN57" s="72">
        <v>1.05</v>
      </c>
      <c r="CO57" s="72">
        <v>5.98</v>
      </c>
      <c r="CP57" s="72">
        <v>5.12</v>
      </c>
      <c r="CQ57" s="72">
        <v>9.33</v>
      </c>
      <c r="CR57" s="72" t="s">
        <v>509</v>
      </c>
      <c r="CS57" s="72">
        <v>4.93</v>
      </c>
      <c r="CT57" s="72">
        <v>0</v>
      </c>
      <c r="CU57" s="72">
        <v>0.59</v>
      </c>
      <c r="CV57" s="72">
        <v>2.99</v>
      </c>
      <c r="CW57" s="72">
        <v>35.950000000000003</v>
      </c>
      <c r="CX57" s="72" t="s">
        <v>666</v>
      </c>
      <c r="CY57" s="72">
        <v>47.26</v>
      </c>
      <c r="CZ57" s="72">
        <v>30.92</v>
      </c>
      <c r="DA57" s="72">
        <v>21.66</v>
      </c>
      <c r="DB57" s="72">
        <v>600603</v>
      </c>
    </row>
    <row r="58" spans="7:106" x14ac:dyDescent="0.25">
      <c r="G58" s="72">
        <v>600578</v>
      </c>
      <c r="H58" s="72" t="s">
        <v>402</v>
      </c>
      <c r="I58" s="72">
        <v>0.65</v>
      </c>
      <c r="J58" s="72">
        <v>1.06</v>
      </c>
      <c r="K58" s="72">
        <v>3.08</v>
      </c>
      <c r="L58" s="72">
        <v>0.02</v>
      </c>
      <c r="M58" s="72">
        <v>3.08</v>
      </c>
      <c r="N58" s="72">
        <v>3.09</v>
      </c>
      <c r="O58" s="72">
        <v>18809</v>
      </c>
      <c r="P58" s="72">
        <v>3</v>
      </c>
      <c r="Q58" s="72">
        <v>0</v>
      </c>
      <c r="R58" s="72">
        <v>0.03</v>
      </c>
      <c r="S58" s="72">
        <v>3.07</v>
      </c>
      <c r="T58" s="72">
        <v>3.09</v>
      </c>
      <c r="U58" s="72">
        <v>3.06</v>
      </c>
      <c r="V58" s="72">
        <v>3.06</v>
      </c>
      <c r="W58" s="72">
        <v>12.41</v>
      </c>
      <c r="X58" s="114">
        <v>5783648</v>
      </c>
      <c r="Y58" s="72" t="s">
        <v>354</v>
      </c>
      <c r="Z58" s="72" t="s">
        <v>372</v>
      </c>
      <c r="AA58" s="72">
        <v>0.98</v>
      </c>
      <c r="AB58" s="72">
        <v>3.07</v>
      </c>
      <c r="AC58" s="72">
        <v>10632</v>
      </c>
      <c r="AD58" s="72">
        <v>8177</v>
      </c>
      <c r="AE58" s="72">
        <v>1.3</v>
      </c>
      <c r="AF58" s="72">
        <v>1800</v>
      </c>
      <c r="AG58" s="72">
        <v>3817</v>
      </c>
      <c r="AH58" s="72" t="s">
        <v>414</v>
      </c>
      <c r="AI58" s="72">
        <v>46700</v>
      </c>
      <c r="AJ58" s="72">
        <v>0</v>
      </c>
      <c r="AK58" s="72" t="s">
        <v>414</v>
      </c>
      <c r="AL58" s="72" t="s">
        <v>414</v>
      </c>
      <c r="AM58" s="72">
        <v>67.47</v>
      </c>
      <c r="AN58" s="72" t="s">
        <v>667</v>
      </c>
      <c r="AO58" s="72" t="s">
        <v>667</v>
      </c>
      <c r="AP58" s="72">
        <v>-1.33</v>
      </c>
      <c r="AQ58" s="72">
        <v>261</v>
      </c>
      <c r="AR58" s="72">
        <v>72</v>
      </c>
      <c r="AS58" s="72">
        <v>1E-4</v>
      </c>
      <c r="AT58" s="72">
        <v>2</v>
      </c>
      <c r="AU58" s="72">
        <v>0.65</v>
      </c>
      <c r="AV58" s="72">
        <v>0.13</v>
      </c>
      <c r="AW58" s="72" t="s">
        <v>668</v>
      </c>
      <c r="AX58" s="72">
        <v>0.56000000000000005</v>
      </c>
      <c r="AY58" s="72">
        <v>13.59</v>
      </c>
      <c r="AZ58" s="72">
        <v>15.16</v>
      </c>
      <c r="BA58" s="72">
        <v>0.33</v>
      </c>
      <c r="BB58" s="72">
        <v>0.98</v>
      </c>
      <c r="BC58" s="72">
        <v>0</v>
      </c>
      <c r="BD58" s="72">
        <v>0.49</v>
      </c>
      <c r="BE58" s="72">
        <v>0.33</v>
      </c>
      <c r="BF58" s="72">
        <v>-0.32</v>
      </c>
      <c r="BG58" s="72">
        <v>0.65</v>
      </c>
      <c r="BH58" s="72">
        <v>0.17</v>
      </c>
      <c r="BI58" s="72">
        <v>20200827</v>
      </c>
      <c r="BJ58" s="72">
        <v>20020510</v>
      </c>
      <c r="BK58" s="72">
        <v>67.47</v>
      </c>
      <c r="BL58" s="72" t="s">
        <v>414</v>
      </c>
      <c r="BM58" s="72" t="s">
        <v>414</v>
      </c>
      <c r="BN58" s="72">
        <v>795.2</v>
      </c>
      <c r="BO58" s="72">
        <v>243.89</v>
      </c>
      <c r="BP58" s="72">
        <v>56.04</v>
      </c>
      <c r="BQ58" s="72">
        <v>62.28</v>
      </c>
      <c r="BR58" s="72">
        <v>87.62</v>
      </c>
      <c r="BS58" s="72">
        <v>428.25</v>
      </c>
      <c r="BT58" s="72">
        <v>18.18</v>
      </c>
      <c r="BU58" s="72">
        <v>181.84</v>
      </c>
      <c r="BV58" s="72">
        <v>10.65</v>
      </c>
      <c r="BW58" s="72">
        <v>28.43</v>
      </c>
      <c r="BX58" s="72">
        <v>83.3</v>
      </c>
      <c r="BY58" s="72">
        <v>90.98</v>
      </c>
      <c r="BZ58" s="72">
        <v>74.37</v>
      </c>
      <c r="CA58" s="72">
        <v>10.87</v>
      </c>
      <c r="CB58" s="72">
        <v>6.94</v>
      </c>
      <c r="CC58" s="72">
        <v>10.86</v>
      </c>
      <c r="CD58" s="72">
        <v>10.33</v>
      </c>
      <c r="CE58" s="72">
        <v>8.3699999999999992</v>
      </c>
      <c r="CF58" s="72">
        <v>48.84</v>
      </c>
      <c r="CG58" s="72">
        <v>16.62</v>
      </c>
      <c r="CH58" s="72">
        <v>-0.03</v>
      </c>
      <c r="CI58" s="72">
        <v>63394</v>
      </c>
      <c r="CJ58" s="72">
        <v>22449</v>
      </c>
      <c r="CK58" s="72" t="s">
        <v>669</v>
      </c>
      <c r="CL58" s="72">
        <v>23.02</v>
      </c>
      <c r="CM58" s="72">
        <v>13.28</v>
      </c>
      <c r="CN58" s="72">
        <v>0.85</v>
      </c>
      <c r="CO58" s="72">
        <v>12.5</v>
      </c>
      <c r="CP58" s="72">
        <v>2.2799999999999998</v>
      </c>
      <c r="CQ58" s="72">
        <v>3.9</v>
      </c>
      <c r="CR58" s="72" t="s">
        <v>670</v>
      </c>
      <c r="CS58" s="72">
        <v>3.61</v>
      </c>
      <c r="CT58" s="72">
        <v>0</v>
      </c>
      <c r="CU58" s="72">
        <v>1.23</v>
      </c>
      <c r="CV58" s="72">
        <v>0.72</v>
      </c>
      <c r="CW58" s="72">
        <v>30.67</v>
      </c>
      <c r="CX58" s="72" t="s">
        <v>671</v>
      </c>
      <c r="CY58" s="72">
        <v>18.260000000000002</v>
      </c>
      <c r="CZ58" s="72">
        <v>11.94</v>
      </c>
      <c r="DA58" s="72">
        <v>9.1999999999999993</v>
      </c>
      <c r="DB58" s="72">
        <v>600578</v>
      </c>
    </row>
    <row r="59" spans="7:106" x14ac:dyDescent="0.25">
      <c r="G59" s="72">
        <v>600527</v>
      </c>
      <c r="H59" s="72" t="s">
        <v>672</v>
      </c>
      <c r="I59" s="72">
        <v>3.11</v>
      </c>
      <c r="J59" s="72">
        <v>2.8</v>
      </c>
      <c r="K59" s="72">
        <v>2.98</v>
      </c>
      <c r="L59" s="72">
        <v>0.09</v>
      </c>
      <c r="M59" s="72">
        <v>2.98</v>
      </c>
      <c r="N59" s="72">
        <v>2.99</v>
      </c>
      <c r="O59" s="72">
        <v>222716</v>
      </c>
      <c r="P59" s="72">
        <v>8</v>
      </c>
      <c r="Q59" s="72">
        <v>0</v>
      </c>
      <c r="R59" s="72">
        <v>1.54</v>
      </c>
      <c r="S59" s="72">
        <v>2.92</v>
      </c>
      <c r="T59" s="72">
        <v>3.02</v>
      </c>
      <c r="U59" s="72">
        <v>2.91</v>
      </c>
      <c r="V59" s="72">
        <v>2.89</v>
      </c>
      <c r="W59" s="72">
        <v>15.35</v>
      </c>
      <c r="X59" s="114">
        <v>66329408</v>
      </c>
      <c r="Y59" s="72" t="s">
        <v>405</v>
      </c>
      <c r="Z59" s="72" t="s">
        <v>368</v>
      </c>
      <c r="AA59" s="72">
        <v>3.81</v>
      </c>
      <c r="AB59" s="72">
        <v>2.98</v>
      </c>
      <c r="AC59" s="72">
        <v>86802</v>
      </c>
      <c r="AD59" s="72">
        <v>135914</v>
      </c>
      <c r="AE59" s="72">
        <v>0.64</v>
      </c>
      <c r="AF59" s="72">
        <v>1154</v>
      </c>
      <c r="AG59" s="72">
        <v>8674</v>
      </c>
      <c r="AH59" s="72" t="s">
        <v>414</v>
      </c>
      <c r="AI59" s="72">
        <v>417300</v>
      </c>
      <c r="AJ59" s="72">
        <v>0.01</v>
      </c>
      <c r="AK59" s="72" t="s">
        <v>414</v>
      </c>
      <c r="AL59" s="72" t="s">
        <v>414</v>
      </c>
      <c r="AM59" s="72">
        <v>14.44</v>
      </c>
      <c r="AN59" s="72" t="s">
        <v>673</v>
      </c>
      <c r="AO59" s="72" t="s">
        <v>674</v>
      </c>
      <c r="AP59" s="72">
        <v>1.1299999999999999</v>
      </c>
      <c r="AQ59" s="72">
        <v>1442</v>
      </c>
      <c r="AR59" s="72">
        <v>154</v>
      </c>
      <c r="AS59" s="72">
        <v>1.1000000000000001E-3</v>
      </c>
      <c r="AT59" s="72">
        <v>2</v>
      </c>
      <c r="AU59" s="72">
        <v>5.3</v>
      </c>
      <c r="AV59" s="72">
        <v>1.83</v>
      </c>
      <c r="AW59" s="72" t="s">
        <v>675</v>
      </c>
      <c r="AX59" s="72">
        <v>1.62</v>
      </c>
      <c r="AY59" s="72">
        <v>22.31</v>
      </c>
      <c r="AZ59" s="72">
        <v>60.81</v>
      </c>
      <c r="BA59" s="72">
        <v>1.04</v>
      </c>
      <c r="BB59" s="72">
        <v>4.5</v>
      </c>
      <c r="BC59" s="72">
        <v>0.69</v>
      </c>
      <c r="BD59" s="72">
        <v>3.05</v>
      </c>
      <c r="BE59" s="72">
        <v>2.0499999999999998</v>
      </c>
      <c r="BF59" s="72">
        <v>-1.32</v>
      </c>
      <c r="BG59" s="72">
        <v>2.41</v>
      </c>
      <c r="BH59" s="72">
        <v>0.06</v>
      </c>
      <c r="BI59" s="72">
        <v>20200820</v>
      </c>
      <c r="BJ59" s="72">
        <v>20031127</v>
      </c>
      <c r="BK59" s="72">
        <v>17.32</v>
      </c>
      <c r="BL59" s="72" t="s">
        <v>414</v>
      </c>
      <c r="BM59" s="72" t="s">
        <v>414</v>
      </c>
      <c r="BN59" s="72">
        <v>25.9</v>
      </c>
      <c r="BO59" s="72">
        <v>23.91</v>
      </c>
      <c r="BP59" s="72">
        <v>0</v>
      </c>
      <c r="BQ59" s="72">
        <v>7.69</v>
      </c>
      <c r="BR59" s="72">
        <v>14.99</v>
      </c>
      <c r="BS59" s="72">
        <v>4.67</v>
      </c>
      <c r="BT59" s="72">
        <v>0.43</v>
      </c>
      <c r="BU59" s="72">
        <v>1.52</v>
      </c>
      <c r="BV59" s="72">
        <v>2.77</v>
      </c>
      <c r="BW59" s="72">
        <v>0.09</v>
      </c>
      <c r="BX59" s="72">
        <v>0.2</v>
      </c>
      <c r="BY59" s="72">
        <v>6.65</v>
      </c>
      <c r="BZ59" s="72">
        <v>4.26</v>
      </c>
      <c r="CA59" s="72">
        <v>1.99</v>
      </c>
      <c r="CB59" s="72">
        <v>7.0000000000000007E-2</v>
      </c>
      <c r="CC59" s="72">
        <v>1.98</v>
      </c>
      <c r="CD59" s="72">
        <v>1.68</v>
      </c>
      <c r="CE59" s="72">
        <v>1.68</v>
      </c>
      <c r="CF59" s="72">
        <v>4.9400000000000004</v>
      </c>
      <c r="CG59" s="72">
        <v>0.95</v>
      </c>
      <c r="CH59" s="72">
        <v>0.3</v>
      </c>
      <c r="CI59" s="72">
        <v>86619</v>
      </c>
      <c r="CJ59" s="72">
        <v>14019</v>
      </c>
      <c r="CK59" s="72" t="s">
        <v>676</v>
      </c>
      <c r="CL59" s="72">
        <v>544.42999999999995</v>
      </c>
      <c r="CM59" s="72">
        <v>23.72</v>
      </c>
      <c r="CN59" s="72">
        <v>2.16</v>
      </c>
      <c r="CO59" s="72">
        <v>54.48</v>
      </c>
      <c r="CP59" s="72">
        <v>7.76</v>
      </c>
      <c r="CQ59" s="72">
        <v>2.88</v>
      </c>
      <c r="CR59" s="72" t="s">
        <v>677</v>
      </c>
      <c r="CS59" s="72">
        <v>1.38</v>
      </c>
      <c r="CT59" s="72">
        <v>0</v>
      </c>
      <c r="CU59" s="72">
        <v>0.01</v>
      </c>
      <c r="CV59" s="72">
        <v>0.28999999999999998</v>
      </c>
      <c r="CW59" s="72">
        <v>92.31</v>
      </c>
      <c r="CX59" s="72" t="s">
        <v>678</v>
      </c>
      <c r="CY59" s="72">
        <v>35.96</v>
      </c>
      <c r="CZ59" s="72">
        <v>29.97</v>
      </c>
      <c r="DA59" s="72">
        <v>25.26</v>
      </c>
      <c r="DB59" s="72">
        <v>600527</v>
      </c>
    </row>
    <row r="60" spans="7:106" x14ac:dyDescent="0.25">
      <c r="G60" s="72">
        <v>600458</v>
      </c>
      <c r="H60" s="72" t="s">
        <v>679</v>
      </c>
      <c r="I60" s="72">
        <v>1.47</v>
      </c>
      <c r="J60" s="72">
        <v>1.55</v>
      </c>
      <c r="K60" s="72">
        <v>6.89</v>
      </c>
      <c r="L60" s="72">
        <v>0.1</v>
      </c>
      <c r="M60" s="72">
        <v>6.89</v>
      </c>
      <c r="N60" s="72">
        <v>6.9</v>
      </c>
      <c r="O60" s="72">
        <v>20454</v>
      </c>
      <c r="P60" s="72">
        <v>1</v>
      </c>
      <c r="Q60" s="72">
        <v>0</v>
      </c>
      <c r="R60" s="72">
        <v>0.25</v>
      </c>
      <c r="S60" s="72">
        <v>6.82</v>
      </c>
      <c r="T60" s="72">
        <v>6.91</v>
      </c>
      <c r="U60" s="72">
        <v>6.8</v>
      </c>
      <c r="V60" s="72">
        <v>6.79</v>
      </c>
      <c r="W60" s="72">
        <v>150.22999999999999</v>
      </c>
      <c r="X60" s="114">
        <v>14017477</v>
      </c>
      <c r="Y60" s="72" t="s">
        <v>680</v>
      </c>
      <c r="Z60" s="72" t="s">
        <v>384</v>
      </c>
      <c r="AA60" s="72">
        <v>1.62</v>
      </c>
      <c r="AB60" s="72">
        <v>6.85</v>
      </c>
      <c r="AC60" s="72">
        <v>9963</v>
      </c>
      <c r="AD60" s="72">
        <v>10491</v>
      </c>
      <c r="AE60" s="72">
        <v>0.95</v>
      </c>
      <c r="AF60" s="72">
        <v>145</v>
      </c>
      <c r="AG60" s="72">
        <v>164</v>
      </c>
      <c r="AH60" s="72" t="s">
        <v>414</v>
      </c>
      <c r="AI60" s="72">
        <v>94100</v>
      </c>
      <c r="AJ60" s="72">
        <v>0</v>
      </c>
      <c r="AK60" s="72" t="s">
        <v>414</v>
      </c>
      <c r="AL60" s="72" t="s">
        <v>414</v>
      </c>
      <c r="AM60" s="72">
        <v>8.0299999999999994</v>
      </c>
      <c r="AN60" s="72" t="s">
        <v>681</v>
      </c>
      <c r="AO60" s="72" t="s">
        <v>681</v>
      </c>
      <c r="AP60" s="72">
        <v>-0.51</v>
      </c>
      <c r="AQ60" s="72">
        <v>825</v>
      </c>
      <c r="AR60" s="72">
        <v>25</v>
      </c>
      <c r="AS60" s="72">
        <v>2.9999999999999997E-4</v>
      </c>
      <c r="AT60" s="72">
        <v>2</v>
      </c>
      <c r="AU60" s="72">
        <v>3.3</v>
      </c>
      <c r="AV60" s="72">
        <v>0.51</v>
      </c>
      <c r="AW60" s="72" t="s">
        <v>682</v>
      </c>
      <c r="AX60" s="72">
        <v>1.31</v>
      </c>
      <c r="AY60" s="72">
        <v>89.49</v>
      </c>
      <c r="AZ60" s="72">
        <v>101.16</v>
      </c>
      <c r="BA60" s="72">
        <v>0.44</v>
      </c>
      <c r="BB60" s="72">
        <v>1.77</v>
      </c>
      <c r="BC60" s="72">
        <v>0.15</v>
      </c>
      <c r="BD60" s="72">
        <v>0.93</v>
      </c>
      <c r="BE60" s="72">
        <v>1.03</v>
      </c>
      <c r="BF60" s="72">
        <v>-0.28999999999999998</v>
      </c>
      <c r="BG60" s="72">
        <v>1.32</v>
      </c>
      <c r="BH60" s="72">
        <v>0.54</v>
      </c>
      <c r="BI60" s="72">
        <v>20200826</v>
      </c>
      <c r="BJ60" s="72">
        <v>20021219</v>
      </c>
      <c r="BK60" s="72">
        <v>8.0299999999999994</v>
      </c>
      <c r="BL60" s="72" t="s">
        <v>414</v>
      </c>
      <c r="BM60" s="72" t="s">
        <v>414</v>
      </c>
      <c r="BN60" s="72">
        <v>148.04</v>
      </c>
      <c r="BO60" s="72">
        <v>45.1</v>
      </c>
      <c r="BP60" s="72">
        <v>0.45</v>
      </c>
      <c r="BQ60" s="72">
        <v>69.23</v>
      </c>
      <c r="BR60" s="72">
        <v>93.12</v>
      </c>
      <c r="BS60" s="72">
        <v>27.86</v>
      </c>
      <c r="BT60" s="72">
        <v>3.81</v>
      </c>
      <c r="BU60" s="72">
        <v>72.08</v>
      </c>
      <c r="BV60" s="72">
        <v>22.45</v>
      </c>
      <c r="BW60" s="72">
        <v>22.29</v>
      </c>
      <c r="BX60" s="72">
        <v>30.57</v>
      </c>
      <c r="BY60" s="72">
        <v>57.37</v>
      </c>
      <c r="BZ60" s="72">
        <v>48.48</v>
      </c>
      <c r="CA60" s="72">
        <v>0.67</v>
      </c>
      <c r="CB60" s="72">
        <v>-0.04</v>
      </c>
      <c r="CC60" s="72">
        <v>0.69</v>
      </c>
      <c r="CD60" s="72">
        <v>0</v>
      </c>
      <c r="CE60" s="72">
        <v>0.18</v>
      </c>
      <c r="CF60" s="72">
        <v>8.5299999999999994</v>
      </c>
      <c r="CG60" s="72">
        <v>7.94</v>
      </c>
      <c r="CH60" s="72">
        <v>-3.8</v>
      </c>
      <c r="CI60" s="72">
        <v>45925</v>
      </c>
      <c r="CJ60" s="72">
        <v>8780</v>
      </c>
      <c r="CK60" s="72" t="s">
        <v>683</v>
      </c>
      <c r="CL60" s="72">
        <v>61.79</v>
      </c>
      <c r="CM60" s="72">
        <v>11.94</v>
      </c>
      <c r="CN60" s="72">
        <v>1.23</v>
      </c>
      <c r="CO60" s="72">
        <v>6.96</v>
      </c>
      <c r="CP60" s="72">
        <v>0.96</v>
      </c>
      <c r="CQ60" s="72">
        <v>0.37</v>
      </c>
      <c r="CR60" s="72" t="s">
        <v>684</v>
      </c>
      <c r="CS60" s="72">
        <v>5.62</v>
      </c>
      <c r="CT60" s="72">
        <v>0</v>
      </c>
      <c r="CU60" s="72">
        <v>3.81</v>
      </c>
      <c r="CV60" s="72">
        <v>1.06</v>
      </c>
      <c r="CW60" s="72">
        <v>30.46</v>
      </c>
      <c r="CX60" s="72" t="s">
        <v>685</v>
      </c>
      <c r="CY60" s="72">
        <v>15.5</v>
      </c>
      <c r="CZ60" s="72">
        <v>1.1599999999999999</v>
      </c>
      <c r="DA60" s="72">
        <v>0.32</v>
      </c>
      <c r="DB60" s="72">
        <v>600458</v>
      </c>
    </row>
    <row r="61" spans="7:106" x14ac:dyDescent="0.25">
      <c r="G61" s="72">
        <v>600393</v>
      </c>
      <c r="H61" s="72" t="s">
        <v>362</v>
      </c>
      <c r="I61" s="72">
        <v>1.82</v>
      </c>
      <c r="J61" s="72">
        <v>1.6</v>
      </c>
      <c r="K61" s="72">
        <v>2.79</v>
      </c>
      <c r="L61" s="72">
        <v>0.05</v>
      </c>
      <c r="M61" s="72">
        <v>2.78</v>
      </c>
      <c r="N61" s="72">
        <v>2.79</v>
      </c>
      <c r="O61" s="72">
        <v>98571</v>
      </c>
      <c r="P61" s="72">
        <v>12</v>
      </c>
      <c r="Q61" s="72">
        <v>0</v>
      </c>
      <c r="R61" s="72">
        <v>1</v>
      </c>
      <c r="S61" s="72">
        <v>2.76</v>
      </c>
      <c r="T61" s="72">
        <v>2.81</v>
      </c>
      <c r="U61" s="72">
        <v>2.74</v>
      </c>
      <c r="V61" s="72">
        <v>2.74</v>
      </c>
      <c r="W61" s="72">
        <v>14.73</v>
      </c>
      <c r="X61" s="114">
        <v>27397128</v>
      </c>
      <c r="Y61" s="72" t="s">
        <v>363</v>
      </c>
      <c r="Z61" s="72" t="s">
        <v>364</v>
      </c>
      <c r="AA61" s="72">
        <v>2.5499999999999998</v>
      </c>
      <c r="AB61" s="72">
        <v>2.78</v>
      </c>
      <c r="AC61" s="72">
        <v>32469</v>
      </c>
      <c r="AD61" s="72">
        <v>66102</v>
      </c>
      <c r="AE61" s="72">
        <v>0.49</v>
      </c>
      <c r="AF61" s="72">
        <v>8318</v>
      </c>
      <c r="AG61" s="72">
        <v>2827</v>
      </c>
      <c r="AH61" s="72" t="s">
        <v>414</v>
      </c>
      <c r="AI61" s="72">
        <v>623200</v>
      </c>
      <c r="AJ61" s="72">
        <v>0.02</v>
      </c>
      <c r="AK61" s="72" t="s">
        <v>414</v>
      </c>
      <c r="AL61" s="72" t="s">
        <v>414</v>
      </c>
      <c r="AM61" s="72">
        <v>9.8800000000000008</v>
      </c>
      <c r="AN61" s="72" t="s">
        <v>686</v>
      </c>
      <c r="AO61" s="72" t="s">
        <v>687</v>
      </c>
      <c r="AP61" s="72">
        <v>-0.16</v>
      </c>
      <c r="AQ61" s="72">
        <v>648</v>
      </c>
      <c r="AR61" s="72">
        <v>152</v>
      </c>
      <c r="AS61" s="72">
        <v>1.5E-3</v>
      </c>
      <c r="AT61" s="72">
        <v>3</v>
      </c>
      <c r="AU61" s="72">
        <v>3.34</v>
      </c>
      <c r="AV61" s="72">
        <v>1.0900000000000001</v>
      </c>
      <c r="AW61" s="72" t="s">
        <v>688</v>
      </c>
      <c r="AX61" s="72">
        <v>1.06</v>
      </c>
      <c r="AY61" s="72">
        <v>22.06</v>
      </c>
      <c r="AZ61" s="72">
        <v>38.619999999999997</v>
      </c>
      <c r="BA61" s="72">
        <v>0.73</v>
      </c>
      <c r="BB61" s="72">
        <v>2.5499999999999998</v>
      </c>
      <c r="BC61" s="72">
        <v>0</v>
      </c>
      <c r="BD61" s="72">
        <v>1.44</v>
      </c>
      <c r="BE61" s="72">
        <v>1.0900000000000001</v>
      </c>
      <c r="BF61" s="72">
        <v>-0.71</v>
      </c>
      <c r="BG61" s="72">
        <v>1.82</v>
      </c>
      <c r="BH61" s="72">
        <v>0.39</v>
      </c>
      <c r="BI61" s="72">
        <v>20200829</v>
      </c>
      <c r="BJ61" s="72">
        <v>20010319</v>
      </c>
      <c r="BK61" s="72">
        <v>25.36</v>
      </c>
      <c r="BL61" s="72" t="s">
        <v>414</v>
      </c>
      <c r="BM61" s="72" t="s">
        <v>414</v>
      </c>
      <c r="BN61" s="72">
        <v>141.44</v>
      </c>
      <c r="BO61" s="72">
        <v>63.21</v>
      </c>
      <c r="BP61" s="72">
        <v>2.2000000000000002</v>
      </c>
      <c r="BQ61" s="72">
        <v>53.76</v>
      </c>
      <c r="BR61" s="72">
        <v>126.87</v>
      </c>
      <c r="BS61" s="72">
        <v>1.94</v>
      </c>
      <c r="BT61" s="72">
        <v>0.56999999999999995</v>
      </c>
      <c r="BU61" s="72">
        <v>48.21</v>
      </c>
      <c r="BV61" s="72">
        <v>80.599999999999994</v>
      </c>
      <c r="BW61" s="72">
        <v>1.51</v>
      </c>
      <c r="BX61" s="72">
        <v>20.96</v>
      </c>
      <c r="BY61" s="72">
        <v>27.65</v>
      </c>
      <c r="BZ61" s="72">
        <v>22.16</v>
      </c>
      <c r="CA61" s="72">
        <v>2.62</v>
      </c>
      <c r="CB61" s="72">
        <v>0.93</v>
      </c>
      <c r="CC61" s="72">
        <v>2.59</v>
      </c>
      <c r="CD61" s="72">
        <v>1.82</v>
      </c>
      <c r="CE61" s="72">
        <v>2.4</v>
      </c>
      <c r="CF61" s="72">
        <v>13.94</v>
      </c>
      <c r="CG61" s="72">
        <v>0.56000000000000005</v>
      </c>
      <c r="CH61" s="72">
        <v>0.85</v>
      </c>
      <c r="CI61" s="72">
        <v>30555</v>
      </c>
      <c r="CJ61" s="72">
        <v>29724</v>
      </c>
      <c r="CK61" s="72" t="s">
        <v>689</v>
      </c>
      <c r="CL61" s="72">
        <v>128.53</v>
      </c>
      <c r="CM61" s="72">
        <v>59.71</v>
      </c>
      <c r="CN61" s="72">
        <v>1.1200000000000001</v>
      </c>
      <c r="CO61" s="72">
        <v>127.25</v>
      </c>
      <c r="CP61" s="72">
        <v>2.56</v>
      </c>
      <c r="CQ61" s="72">
        <v>0</v>
      </c>
      <c r="CR61" s="72" t="s">
        <v>513</v>
      </c>
      <c r="CS61" s="72">
        <v>2.4900000000000002</v>
      </c>
      <c r="CT61" s="72">
        <v>0</v>
      </c>
      <c r="CU61" s="72">
        <v>0.83</v>
      </c>
      <c r="CV61" s="72">
        <v>0.55000000000000004</v>
      </c>
      <c r="CW61" s="72">
        <v>44.69</v>
      </c>
      <c r="CX61" s="72" t="s">
        <v>515</v>
      </c>
      <c r="CY61" s="72">
        <v>19.88</v>
      </c>
      <c r="CZ61" s="72">
        <v>9.4600000000000009</v>
      </c>
      <c r="DA61" s="72">
        <v>8.68</v>
      </c>
      <c r="DB61" s="72">
        <v>600393</v>
      </c>
    </row>
    <row r="62" spans="7:106" x14ac:dyDescent="0.25">
      <c r="G62" s="72">
        <v>600356</v>
      </c>
      <c r="H62" s="72" t="s">
        <v>690</v>
      </c>
      <c r="I62" s="72">
        <v>0.9</v>
      </c>
      <c r="J62" s="72">
        <v>1.65</v>
      </c>
      <c r="K62" s="72">
        <v>9</v>
      </c>
      <c r="L62" s="72">
        <v>0.08</v>
      </c>
      <c r="M62" s="72">
        <v>9</v>
      </c>
      <c r="N62" s="72">
        <v>9.01</v>
      </c>
      <c r="O62" s="72">
        <v>11372</v>
      </c>
      <c r="P62" s="72">
        <v>3</v>
      </c>
      <c r="Q62" s="72">
        <v>0.11</v>
      </c>
      <c r="R62" s="72">
        <v>0.38</v>
      </c>
      <c r="S62" s="72">
        <v>8.9700000000000006</v>
      </c>
      <c r="T62" s="72">
        <v>9.0399999999999991</v>
      </c>
      <c r="U62" s="72">
        <v>8.85</v>
      </c>
      <c r="V62" s="72">
        <v>8.92</v>
      </c>
      <c r="W62" s="72">
        <v>22.19</v>
      </c>
      <c r="X62" s="72">
        <v>10214248</v>
      </c>
      <c r="Y62" s="72" t="s">
        <v>369</v>
      </c>
      <c r="Z62" s="72" t="s">
        <v>691</v>
      </c>
      <c r="AA62" s="72">
        <v>2.13</v>
      </c>
      <c r="AB62" s="72">
        <v>8.98</v>
      </c>
      <c r="AC62" s="72">
        <v>5172</v>
      </c>
      <c r="AD62" s="72">
        <v>6200</v>
      </c>
      <c r="AE62" s="72">
        <v>0.83</v>
      </c>
      <c r="AF62" s="72">
        <v>102</v>
      </c>
      <c r="AG62" s="72">
        <v>75</v>
      </c>
      <c r="AH62" s="72" t="s">
        <v>414</v>
      </c>
      <c r="AI62" s="72">
        <v>74500</v>
      </c>
      <c r="AJ62" s="72">
        <v>0</v>
      </c>
      <c r="AK62" s="72" t="s">
        <v>414</v>
      </c>
      <c r="AL62" s="72" t="s">
        <v>414</v>
      </c>
      <c r="AM62" s="72">
        <v>2.99</v>
      </c>
      <c r="AN62" s="72" t="s">
        <v>692</v>
      </c>
      <c r="AO62" s="72" t="s">
        <v>692</v>
      </c>
      <c r="AP62" s="72">
        <v>-1.0900000000000001</v>
      </c>
      <c r="AQ62" s="72">
        <v>577</v>
      </c>
      <c r="AR62" s="72">
        <v>20</v>
      </c>
      <c r="AS62" s="72">
        <v>6.9999999999999999E-4</v>
      </c>
      <c r="AT62" s="72">
        <v>4</v>
      </c>
      <c r="AU62" s="72">
        <v>4.78</v>
      </c>
      <c r="AV62" s="72">
        <v>0.54</v>
      </c>
      <c r="AW62" s="72" t="s">
        <v>693</v>
      </c>
      <c r="AX62" s="72">
        <v>1.02</v>
      </c>
      <c r="AY62" s="72">
        <v>25.46</v>
      </c>
      <c r="AZ62" s="72">
        <v>29.8</v>
      </c>
      <c r="BA62" s="72">
        <v>0.56000000000000005</v>
      </c>
      <c r="BB62" s="72">
        <v>1.35</v>
      </c>
      <c r="BC62" s="72">
        <v>-0.78</v>
      </c>
      <c r="BD62" s="72">
        <v>0.69</v>
      </c>
      <c r="BE62" s="72">
        <v>0.33</v>
      </c>
      <c r="BF62" s="72">
        <v>-0.44</v>
      </c>
      <c r="BG62" s="72">
        <v>1.69</v>
      </c>
      <c r="BH62" s="72">
        <v>0.2</v>
      </c>
      <c r="BI62" s="72">
        <v>20200828</v>
      </c>
      <c r="BJ62" s="72">
        <v>20010419</v>
      </c>
      <c r="BK62" s="72">
        <v>2.99</v>
      </c>
      <c r="BL62" s="72" t="s">
        <v>414</v>
      </c>
      <c r="BM62" s="72" t="s">
        <v>414</v>
      </c>
      <c r="BN62" s="72">
        <v>31.89</v>
      </c>
      <c r="BO62" s="72">
        <v>21.69</v>
      </c>
      <c r="BP62" s="72">
        <v>0.72</v>
      </c>
      <c r="BQ62" s="72">
        <v>29.71</v>
      </c>
      <c r="BR62" s="72">
        <v>16.37</v>
      </c>
      <c r="BS62" s="72">
        <v>11.19</v>
      </c>
      <c r="BT62" s="72">
        <v>3.03</v>
      </c>
      <c r="BU62" s="72">
        <v>7.84</v>
      </c>
      <c r="BV62" s="72">
        <v>4.5</v>
      </c>
      <c r="BW62" s="72">
        <v>5.37</v>
      </c>
      <c r="BX62" s="72">
        <v>8.83</v>
      </c>
      <c r="BY62" s="72">
        <v>9.24</v>
      </c>
      <c r="BZ62" s="72">
        <v>6.52</v>
      </c>
      <c r="CA62" s="72">
        <v>0.98</v>
      </c>
      <c r="CB62" s="72">
        <v>0</v>
      </c>
      <c r="CC62" s="72">
        <v>0.98</v>
      </c>
      <c r="CD62" s="72">
        <v>0.64</v>
      </c>
      <c r="CE62" s="72">
        <v>0.61</v>
      </c>
      <c r="CF62" s="72">
        <v>8.17</v>
      </c>
      <c r="CG62" s="72">
        <v>0.53</v>
      </c>
      <c r="CH62" s="72">
        <v>-0.08</v>
      </c>
      <c r="CI62" s="72">
        <v>16684</v>
      </c>
      <c r="CJ62" s="72">
        <v>12545</v>
      </c>
      <c r="CK62" s="72" t="s">
        <v>694</v>
      </c>
      <c r="CL62" s="72">
        <v>33.590000000000003</v>
      </c>
      <c r="CM62" s="72">
        <v>12.58</v>
      </c>
      <c r="CN62" s="72">
        <v>1.24</v>
      </c>
      <c r="CO62" s="72">
        <v>50.35</v>
      </c>
      <c r="CP62" s="72">
        <v>2.91</v>
      </c>
      <c r="CQ62" s="72">
        <v>1.01</v>
      </c>
      <c r="CR62" s="72" t="s">
        <v>695</v>
      </c>
      <c r="CS62" s="72">
        <v>7.26</v>
      </c>
      <c r="CT62" s="72">
        <v>0</v>
      </c>
      <c r="CU62" s="72">
        <v>2.96</v>
      </c>
      <c r="CV62" s="72">
        <v>2.73</v>
      </c>
      <c r="CW62" s="72">
        <v>68.02</v>
      </c>
      <c r="CX62" s="72" t="s">
        <v>696</v>
      </c>
      <c r="CY62" s="72">
        <v>29.43</v>
      </c>
      <c r="CZ62" s="72">
        <v>10.56</v>
      </c>
      <c r="DA62" s="72">
        <v>6.56</v>
      </c>
      <c r="DB62" s="72">
        <v>600356</v>
      </c>
    </row>
    <row r="63" spans="7:106" x14ac:dyDescent="0.25">
      <c r="G63" s="72">
        <v>600346</v>
      </c>
      <c r="H63" s="72" t="s">
        <v>697</v>
      </c>
      <c r="I63" s="72">
        <v>4.1399999999999997</v>
      </c>
      <c r="J63" s="72">
        <v>2.58</v>
      </c>
      <c r="K63" s="72">
        <v>19.87</v>
      </c>
      <c r="L63" s="72">
        <v>0.79</v>
      </c>
      <c r="M63" s="72">
        <v>19.87</v>
      </c>
      <c r="N63" s="72">
        <v>19.88</v>
      </c>
      <c r="O63" s="72">
        <v>198366</v>
      </c>
      <c r="P63" s="72">
        <v>5</v>
      </c>
      <c r="Q63" s="72">
        <v>-0.09</v>
      </c>
      <c r="R63" s="72">
        <v>0.43</v>
      </c>
      <c r="S63" s="72">
        <v>19.21</v>
      </c>
      <c r="T63" s="72">
        <v>20.149999999999999</v>
      </c>
      <c r="U63" s="72">
        <v>19.2</v>
      </c>
      <c r="V63" s="72">
        <v>19.079999999999998</v>
      </c>
      <c r="W63" s="72">
        <v>12.68</v>
      </c>
      <c r="X63" s="114">
        <v>392000000</v>
      </c>
      <c r="Y63" s="72" t="s">
        <v>405</v>
      </c>
      <c r="Z63" s="72" t="s">
        <v>382</v>
      </c>
      <c r="AA63" s="72">
        <v>4.9800000000000004</v>
      </c>
      <c r="AB63" s="72">
        <v>19.77</v>
      </c>
      <c r="AC63" s="72">
        <v>84259</v>
      </c>
      <c r="AD63" s="72">
        <v>114107</v>
      </c>
      <c r="AE63" s="72">
        <v>0.74</v>
      </c>
      <c r="AF63" s="72">
        <v>188</v>
      </c>
      <c r="AG63" s="72">
        <v>38</v>
      </c>
      <c r="AH63" s="72" t="s">
        <v>414</v>
      </c>
      <c r="AI63" s="72">
        <v>6339300</v>
      </c>
      <c r="AJ63" s="72">
        <v>0.02</v>
      </c>
      <c r="AK63" s="72" t="s">
        <v>414</v>
      </c>
      <c r="AL63" s="72" t="s">
        <v>414</v>
      </c>
      <c r="AM63" s="72">
        <v>46.32</v>
      </c>
      <c r="AN63" s="72" t="s">
        <v>698</v>
      </c>
      <c r="AO63" s="72" t="s">
        <v>699</v>
      </c>
      <c r="AP63" s="72">
        <v>2.16</v>
      </c>
      <c r="AQ63" s="72">
        <v>1654</v>
      </c>
      <c r="AR63" s="72">
        <v>120</v>
      </c>
      <c r="AS63" s="72">
        <v>2.9999999999999997E-4</v>
      </c>
      <c r="AT63" s="72">
        <v>2</v>
      </c>
      <c r="AU63" s="72">
        <v>4.8</v>
      </c>
      <c r="AV63" s="72">
        <v>1.18</v>
      </c>
      <c r="AW63" s="72" t="s">
        <v>700</v>
      </c>
      <c r="AX63" s="72">
        <v>1.23</v>
      </c>
      <c r="AY63" s="72">
        <v>11.66</v>
      </c>
      <c r="AZ63" s="72">
        <v>13.4</v>
      </c>
      <c r="BA63" s="72">
        <v>0.68</v>
      </c>
      <c r="BB63" s="72">
        <v>5.61</v>
      </c>
      <c r="BC63" s="72">
        <v>0.63</v>
      </c>
      <c r="BD63" s="72">
        <v>3.63</v>
      </c>
      <c r="BE63" s="72">
        <v>3.44</v>
      </c>
      <c r="BF63" s="72">
        <v>-1.39</v>
      </c>
      <c r="BG63" s="72">
        <v>3.49</v>
      </c>
      <c r="BH63" s="72">
        <v>0.52</v>
      </c>
      <c r="BI63" s="72">
        <v>20200820</v>
      </c>
      <c r="BJ63" s="72">
        <v>20010820</v>
      </c>
      <c r="BK63" s="72">
        <v>70.39</v>
      </c>
      <c r="BL63" s="72" t="s">
        <v>414</v>
      </c>
      <c r="BM63" s="72" t="s">
        <v>414</v>
      </c>
      <c r="BN63" s="72">
        <v>1861.44</v>
      </c>
      <c r="BO63" s="72">
        <v>391.59</v>
      </c>
      <c r="BP63" s="72">
        <v>0.82</v>
      </c>
      <c r="BQ63" s="72">
        <v>78.92</v>
      </c>
      <c r="BR63" s="72">
        <v>478.56</v>
      </c>
      <c r="BS63" s="72">
        <v>877.63</v>
      </c>
      <c r="BT63" s="72">
        <v>64.59</v>
      </c>
      <c r="BU63" s="72">
        <v>892.29</v>
      </c>
      <c r="BV63" s="72">
        <v>133.94999999999999</v>
      </c>
      <c r="BW63" s="72">
        <v>10.99</v>
      </c>
      <c r="BX63" s="72">
        <v>184.17</v>
      </c>
      <c r="BY63" s="72">
        <v>673.58</v>
      </c>
      <c r="BZ63" s="72">
        <v>542.57000000000005</v>
      </c>
      <c r="CA63" s="72">
        <v>75.290000000000006</v>
      </c>
      <c r="CB63" s="72">
        <v>-0.04</v>
      </c>
      <c r="CC63" s="72">
        <v>75.02</v>
      </c>
      <c r="CD63" s="72">
        <v>55.46</v>
      </c>
      <c r="CE63" s="72">
        <v>55.17</v>
      </c>
      <c r="CF63" s="72">
        <v>132.22999999999999</v>
      </c>
      <c r="CG63" s="72">
        <v>181.92</v>
      </c>
      <c r="CH63" s="72">
        <v>41.07</v>
      </c>
      <c r="CI63" s="72">
        <v>42681</v>
      </c>
      <c r="CJ63" s="72">
        <v>39465</v>
      </c>
      <c r="CK63" s="72" t="s">
        <v>701</v>
      </c>
      <c r="CL63" s="72">
        <v>37.200000000000003</v>
      </c>
      <c r="CM63" s="72">
        <v>59.11</v>
      </c>
      <c r="CN63" s="72">
        <v>3.57</v>
      </c>
      <c r="CO63" s="72">
        <v>7.69</v>
      </c>
      <c r="CP63" s="72">
        <v>2.08</v>
      </c>
      <c r="CQ63" s="72">
        <v>2.09</v>
      </c>
      <c r="CR63" s="72" t="s">
        <v>702</v>
      </c>
      <c r="CS63" s="72">
        <v>5.56</v>
      </c>
      <c r="CT63" s="72">
        <v>0</v>
      </c>
      <c r="CU63" s="72">
        <v>2.62</v>
      </c>
      <c r="CV63" s="72">
        <v>1.88</v>
      </c>
      <c r="CW63" s="72">
        <v>21.04</v>
      </c>
      <c r="CX63" s="72" t="s">
        <v>703</v>
      </c>
      <c r="CY63" s="72">
        <v>19.45</v>
      </c>
      <c r="CZ63" s="72">
        <v>11.18</v>
      </c>
      <c r="DA63" s="72">
        <v>8.19</v>
      </c>
      <c r="DB63" s="72">
        <v>600346</v>
      </c>
    </row>
    <row r="64" spans="7:106" x14ac:dyDescent="0.25">
      <c r="G64" s="72">
        <v>600218</v>
      </c>
      <c r="H64" s="72" t="s">
        <v>704</v>
      </c>
      <c r="I64" s="72">
        <v>2.06</v>
      </c>
      <c r="J64" s="72">
        <v>1.94</v>
      </c>
      <c r="K64" s="72">
        <v>10.38</v>
      </c>
      <c r="L64" s="72">
        <v>0.21</v>
      </c>
      <c r="M64" s="72">
        <v>10.37</v>
      </c>
      <c r="N64" s="72">
        <v>10.38</v>
      </c>
      <c r="O64" s="72">
        <v>76707</v>
      </c>
      <c r="P64" s="72">
        <v>30</v>
      </c>
      <c r="Q64" s="72">
        <v>-0.09</v>
      </c>
      <c r="R64" s="72">
        <v>2.08</v>
      </c>
      <c r="S64" s="72">
        <v>10.32</v>
      </c>
      <c r="T64" s="72">
        <v>10.41</v>
      </c>
      <c r="U64" s="72">
        <v>10.199999999999999</v>
      </c>
      <c r="V64" s="72">
        <v>10.17</v>
      </c>
      <c r="W64" s="72">
        <v>19.41</v>
      </c>
      <c r="X64" s="72">
        <v>79048864</v>
      </c>
      <c r="Y64" s="72" t="s">
        <v>544</v>
      </c>
      <c r="Z64" s="72" t="s">
        <v>360</v>
      </c>
      <c r="AA64" s="72">
        <v>2.06</v>
      </c>
      <c r="AB64" s="72">
        <v>10.31</v>
      </c>
      <c r="AC64" s="72">
        <v>30433</v>
      </c>
      <c r="AD64" s="72">
        <v>46274</v>
      </c>
      <c r="AE64" s="72">
        <v>0.66</v>
      </c>
      <c r="AF64" s="72">
        <v>275</v>
      </c>
      <c r="AG64" s="72">
        <v>357</v>
      </c>
      <c r="AH64" s="72" t="s">
        <v>414</v>
      </c>
      <c r="AI64" s="72">
        <v>1337500</v>
      </c>
      <c r="AJ64" s="72">
        <v>0.05</v>
      </c>
      <c r="AK64" s="72" t="s">
        <v>414</v>
      </c>
      <c r="AL64" s="72" t="s">
        <v>414</v>
      </c>
      <c r="AM64" s="72">
        <v>3.69</v>
      </c>
      <c r="AN64" s="72" t="s">
        <v>705</v>
      </c>
      <c r="AO64" s="72" t="s">
        <v>705</v>
      </c>
      <c r="AP64" s="72">
        <v>0.08</v>
      </c>
      <c r="AQ64" s="72">
        <v>1178</v>
      </c>
      <c r="AR64" s="72">
        <v>65</v>
      </c>
      <c r="AS64" s="72">
        <v>1.8E-3</v>
      </c>
      <c r="AT64" s="72">
        <v>2</v>
      </c>
      <c r="AU64" s="72">
        <v>3.28</v>
      </c>
      <c r="AV64" s="72">
        <v>3.17</v>
      </c>
      <c r="AW64" s="72" t="s">
        <v>706</v>
      </c>
      <c r="AX64" s="72">
        <v>1.1599999999999999</v>
      </c>
      <c r="AY64" s="72">
        <v>24.98</v>
      </c>
      <c r="AZ64" s="72">
        <v>38.75</v>
      </c>
      <c r="BA64" s="72">
        <v>1.47</v>
      </c>
      <c r="BB64" s="72">
        <v>2.36</v>
      </c>
      <c r="BC64" s="72">
        <v>0.28999999999999998</v>
      </c>
      <c r="BD64" s="72">
        <v>1.33</v>
      </c>
      <c r="BE64" s="72">
        <v>0.57999999999999996</v>
      </c>
      <c r="BF64" s="72">
        <v>-0.28999999999999998</v>
      </c>
      <c r="BG64" s="72">
        <v>1.76</v>
      </c>
      <c r="BH64" s="72">
        <v>0.73</v>
      </c>
      <c r="BI64" s="72">
        <v>20200828</v>
      </c>
      <c r="BJ64" s="72">
        <v>19981203</v>
      </c>
      <c r="BK64" s="72">
        <v>3.69</v>
      </c>
      <c r="BL64" s="72" t="s">
        <v>414</v>
      </c>
      <c r="BM64" s="72" t="s">
        <v>414</v>
      </c>
      <c r="BN64" s="72">
        <v>45.2</v>
      </c>
      <c r="BO64" s="72">
        <v>21.06</v>
      </c>
      <c r="BP64" s="72">
        <v>0.56000000000000005</v>
      </c>
      <c r="BQ64" s="72">
        <v>52.16</v>
      </c>
      <c r="BR64" s="72">
        <v>33.97</v>
      </c>
      <c r="BS64" s="72">
        <v>9.6199999999999992</v>
      </c>
      <c r="BT64" s="72">
        <v>0.57999999999999996</v>
      </c>
      <c r="BU64" s="72">
        <v>22.53</v>
      </c>
      <c r="BV64" s="72">
        <v>5.49</v>
      </c>
      <c r="BW64" s="72">
        <v>11.15</v>
      </c>
      <c r="BX64" s="72">
        <v>10.43</v>
      </c>
      <c r="BY64" s="72">
        <v>21.69</v>
      </c>
      <c r="BZ64" s="72">
        <v>18.93</v>
      </c>
      <c r="CA64" s="72">
        <v>1.17</v>
      </c>
      <c r="CB64" s="72">
        <v>0.04</v>
      </c>
      <c r="CC64" s="72">
        <v>1.1499999999999999</v>
      </c>
      <c r="CD64" s="72">
        <v>0.98</v>
      </c>
      <c r="CE64" s="72">
        <v>0.99</v>
      </c>
      <c r="CF64" s="72">
        <v>5.48</v>
      </c>
      <c r="CG64" s="72">
        <v>3.36</v>
      </c>
      <c r="CH64" s="72">
        <v>-0.91</v>
      </c>
      <c r="CI64" s="72">
        <v>48195</v>
      </c>
      <c r="CJ64" s="72">
        <v>5026</v>
      </c>
      <c r="CK64" s="72" t="s">
        <v>707</v>
      </c>
      <c r="CL64" s="72">
        <v>117.94</v>
      </c>
      <c r="CM64" s="72">
        <v>10.82</v>
      </c>
      <c r="CN64" s="72">
        <v>1.82</v>
      </c>
      <c r="CO64" s="72">
        <v>11.4</v>
      </c>
      <c r="CP64" s="72">
        <v>1.76</v>
      </c>
      <c r="CQ64" s="72">
        <v>0.79</v>
      </c>
      <c r="CR64" s="72" t="s">
        <v>708</v>
      </c>
      <c r="CS64" s="72">
        <v>5.71</v>
      </c>
      <c r="CT64" s="72">
        <v>0</v>
      </c>
      <c r="CU64" s="72">
        <v>2.83</v>
      </c>
      <c r="CV64" s="72">
        <v>1.49</v>
      </c>
      <c r="CW64" s="72">
        <v>46.6</v>
      </c>
      <c r="CX64" s="72" t="s">
        <v>709</v>
      </c>
      <c r="CY64" s="72">
        <v>12.71</v>
      </c>
      <c r="CZ64" s="72">
        <v>5.39</v>
      </c>
      <c r="DA64" s="72">
        <v>4.55</v>
      </c>
      <c r="DB64" s="72">
        <v>600218</v>
      </c>
    </row>
    <row r="65" spans="7:106" x14ac:dyDescent="0.25">
      <c r="G65" s="72">
        <v>600195</v>
      </c>
      <c r="H65" s="72" t="s">
        <v>710</v>
      </c>
      <c r="I65" s="72">
        <v>1.35</v>
      </c>
      <c r="J65" s="72">
        <v>1.84</v>
      </c>
      <c r="K65" s="72">
        <v>14.98</v>
      </c>
      <c r="L65" s="72">
        <v>0.2</v>
      </c>
      <c r="M65" s="72">
        <v>14.98</v>
      </c>
      <c r="N65" s="72">
        <v>15</v>
      </c>
      <c r="O65" s="72">
        <v>111034</v>
      </c>
      <c r="P65" s="72">
        <v>2</v>
      </c>
      <c r="Q65" s="72">
        <v>-0.39</v>
      </c>
      <c r="R65" s="72">
        <v>1.0900000000000001</v>
      </c>
      <c r="S65" s="72">
        <v>15.05</v>
      </c>
      <c r="T65" s="72">
        <v>15.14</v>
      </c>
      <c r="U65" s="72">
        <v>14.86</v>
      </c>
      <c r="V65" s="72">
        <v>14.78</v>
      </c>
      <c r="W65" s="72">
        <v>21.35</v>
      </c>
      <c r="X65" s="114">
        <v>167000000</v>
      </c>
      <c r="Y65" s="72" t="s">
        <v>504</v>
      </c>
      <c r="Z65" s="72" t="s">
        <v>372</v>
      </c>
      <c r="AA65" s="72">
        <v>1.89</v>
      </c>
      <c r="AB65" s="72">
        <v>15.01</v>
      </c>
      <c r="AC65" s="72">
        <v>62516</v>
      </c>
      <c r="AD65" s="72">
        <v>48518</v>
      </c>
      <c r="AE65" s="72">
        <v>1.29</v>
      </c>
      <c r="AF65" s="72">
        <v>396</v>
      </c>
      <c r="AG65" s="72">
        <v>373</v>
      </c>
      <c r="AH65" s="72" t="s">
        <v>414</v>
      </c>
      <c r="AI65" s="72">
        <v>1419000</v>
      </c>
      <c r="AJ65" s="72">
        <v>0.02</v>
      </c>
      <c r="AK65" s="72" t="s">
        <v>414</v>
      </c>
      <c r="AL65" s="72" t="s">
        <v>414</v>
      </c>
      <c r="AM65" s="72">
        <v>10.16</v>
      </c>
      <c r="AN65" s="72" t="s">
        <v>711</v>
      </c>
      <c r="AO65" s="72" t="s">
        <v>711</v>
      </c>
      <c r="AP65" s="72">
        <v>-0.63</v>
      </c>
      <c r="AQ65" s="72">
        <v>1791</v>
      </c>
      <c r="AR65" s="72">
        <v>62</v>
      </c>
      <c r="AS65" s="72">
        <v>5.9999999999999995E-4</v>
      </c>
      <c r="AT65" s="72">
        <v>2</v>
      </c>
      <c r="AU65" s="72">
        <v>1.9</v>
      </c>
      <c r="AV65" s="72">
        <v>2.17</v>
      </c>
      <c r="AW65" s="72" t="s">
        <v>712</v>
      </c>
      <c r="AX65" s="72">
        <v>1.45</v>
      </c>
      <c r="AY65" s="72">
        <v>33.4</v>
      </c>
      <c r="AZ65" s="72">
        <v>58.75</v>
      </c>
      <c r="BA65" s="72">
        <v>1.83</v>
      </c>
      <c r="BB65" s="72">
        <v>2.44</v>
      </c>
      <c r="BC65" s="72">
        <v>0.54</v>
      </c>
      <c r="BD65" s="72">
        <v>1.53</v>
      </c>
      <c r="BE65" s="72">
        <v>-0.47</v>
      </c>
      <c r="BF65" s="72">
        <v>-1.06</v>
      </c>
      <c r="BG65" s="72">
        <v>0.81</v>
      </c>
      <c r="BH65" s="72">
        <v>-0.18</v>
      </c>
      <c r="BI65" s="72">
        <v>20200825</v>
      </c>
      <c r="BJ65" s="72">
        <v>19990107</v>
      </c>
      <c r="BK65" s="72">
        <v>10.16</v>
      </c>
      <c r="BL65" s="72" t="s">
        <v>414</v>
      </c>
      <c r="BM65" s="72" t="s">
        <v>414</v>
      </c>
      <c r="BN65" s="72">
        <v>61.57</v>
      </c>
      <c r="BO65" s="72">
        <v>45.17</v>
      </c>
      <c r="BP65" s="72">
        <v>5.34</v>
      </c>
      <c r="BQ65" s="72">
        <v>17.96</v>
      </c>
      <c r="BR65" s="72">
        <v>26.15</v>
      </c>
      <c r="BS65" s="72">
        <v>12.29</v>
      </c>
      <c r="BT65" s="72">
        <v>7.28</v>
      </c>
      <c r="BU65" s="72">
        <v>10.15</v>
      </c>
      <c r="BV65" s="72">
        <v>6.48</v>
      </c>
      <c r="BW65" s="72">
        <v>7.76</v>
      </c>
      <c r="BX65" s="72">
        <v>6.52</v>
      </c>
      <c r="BY65" s="72">
        <v>22.7</v>
      </c>
      <c r="BZ65" s="72">
        <v>16.78</v>
      </c>
      <c r="CA65" s="72">
        <v>4.26</v>
      </c>
      <c r="CB65" s="72">
        <v>2.5099999999999998</v>
      </c>
      <c r="CC65" s="72">
        <v>4.3</v>
      </c>
      <c r="CD65" s="72">
        <v>3.74</v>
      </c>
      <c r="CE65" s="72">
        <v>3.56</v>
      </c>
      <c r="CF65" s="72">
        <v>26.9</v>
      </c>
      <c r="CG65" s="72">
        <v>0.93</v>
      </c>
      <c r="CH65" s="72">
        <v>0.48</v>
      </c>
      <c r="CI65" s="72">
        <v>33679</v>
      </c>
      <c r="CJ65" s="72">
        <v>15188</v>
      </c>
      <c r="CK65" s="72" t="s">
        <v>713</v>
      </c>
      <c r="CL65" s="72">
        <v>119.51</v>
      </c>
      <c r="CM65" s="72">
        <v>23.69</v>
      </c>
      <c r="CN65" s="72">
        <v>3.37</v>
      </c>
      <c r="CO65" s="72">
        <v>163.69999999999999</v>
      </c>
      <c r="CP65" s="72">
        <v>6.7</v>
      </c>
      <c r="CQ65" s="72">
        <v>0.53</v>
      </c>
      <c r="CR65" s="72" t="s">
        <v>714</v>
      </c>
      <c r="CS65" s="72">
        <v>4.45</v>
      </c>
      <c r="CT65" s="72">
        <v>0</v>
      </c>
      <c r="CU65" s="72">
        <v>0.64</v>
      </c>
      <c r="CV65" s="72">
        <v>2.65</v>
      </c>
      <c r="CW65" s="72">
        <v>73.37</v>
      </c>
      <c r="CX65" s="72" t="s">
        <v>715</v>
      </c>
      <c r="CY65" s="72">
        <v>26.1</v>
      </c>
      <c r="CZ65" s="72">
        <v>18.75</v>
      </c>
      <c r="DA65" s="72">
        <v>15.69</v>
      </c>
      <c r="DB65" s="72">
        <v>600195</v>
      </c>
    </row>
    <row r="66" spans="7:106" x14ac:dyDescent="0.25">
      <c r="G66" s="72">
        <v>600177</v>
      </c>
      <c r="H66" s="72" t="s">
        <v>406</v>
      </c>
      <c r="I66" s="72">
        <v>1</v>
      </c>
      <c r="J66" s="72">
        <v>2.2000000000000002</v>
      </c>
      <c r="K66" s="72">
        <v>7.06</v>
      </c>
      <c r="L66" s="72">
        <v>7.0000000000000007E-2</v>
      </c>
      <c r="M66" s="72">
        <v>7.06</v>
      </c>
      <c r="N66" s="72">
        <v>7.07</v>
      </c>
      <c r="O66" s="72">
        <v>114815</v>
      </c>
      <c r="P66" s="72">
        <v>12</v>
      </c>
      <c r="Q66" s="72">
        <v>0.14000000000000001</v>
      </c>
      <c r="R66" s="72">
        <v>0.25</v>
      </c>
      <c r="S66" s="72">
        <v>7.02</v>
      </c>
      <c r="T66" s="72">
        <v>7.07</v>
      </c>
      <c r="U66" s="72">
        <v>6.98</v>
      </c>
      <c r="V66" s="72">
        <v>6.99</v>
      </c>
      <c r="W66" s="72">
        <v>5.68</v>
      </c>
      <c r="X66" s="114">
        <v>80586960</v>
      </c>
      <c r="Y66" s="72" t="s">
        <v>407</v>
      </c>
      <c r="Z66" s="72" t="s">
        <v>358</v>
      </c>
      <c r="AA66" s="72">
        <v>1.29</v>
      </c>
      <c r="AB66" s="72">
        <v>7.02</v>
      </c>
      <c r="AC66" s="72">
        <v>62485</v>
      </c>
      <c r="AD66" s="72">
        <v>52330</v>
      </c>
      <c r="AE66" s="72">
        <v>1.19</v>
      </c>
      <c r="AF66" s="72">
        <v>663</v>
      </c>
      <c r="AG66" s="72">
        <v>1404</v>
      </c>
      <c r="AH66" s="72" t="s">
        <v>414</v>
      </c>
      <c r="AI66" s="72">
        <v>458400</v>
      </c>
      <c r="AJ66" s="72">
        <v>0</v>
      </c>
      <c r="AK66" s="72" t="s">
        <v>414</v>
      </c>
      <c r="AL66" s="72" t="s">
        <v>414</v>
      </c>
      <c r="AM66" s="72">
        <v>46.29</v>
      </c>
      <c r="AN66" s="72" t="s">
        <v>716</v>
      </c>
      <c r="AO66" s="72" t="s">
        <v>716</v>
      </c>
      <c r="AP66" s="72">
        <v>-0.98</v>
      </c>
      <c r="AQ66" s="72">
        <v>1461</v>
      </c>
      <c r="AR66" s="72">
        <v>79</v>
      </c>
      <c r="AS66" s="72">
        <v>2.0000000000000001E-4</v>
      </c>
      <c r="AT66" s="72">
        <v>4</v>
      </c>
      <c r="AU66" s="72">
        <v>3.82</v>
      </c>
      <c r="AV66" s="72">
        <v>0.54</v>
      </c>
      <c r="AW66" s="72" t="s">
        <v>717</v>
      </c>
      <c r="AX66" s="72">
        <v>0.87</v>
      </c>
      <c r="AY66" s="72">
        <v>6.71</v>
      </c>
      <c r="AZ66" s="72">
        <v>8.15</v>
      </c>
      <c r="BA66" s="72">
        <v>0.43</v>
      </c>
      <c r="BB66" s="72">
        <v>1.1399999999999999</v>
      </c>
      <c r="BC66" s="72">
        <v>-0.14000000000000001</v>
      </c>
      <c r="BD66" s="72">
        <v>0.41</v>
      </c>
      <c r="BE66" s="72">
        <v>0.56999999999999995</v>
      </c>
      <c r="BF66" s="72">
        <v>-0.14000000000000001</v>
      </c>
      <c r="BG66" s="72">
        <v>1.1499999999999999</v>
      </c>
      <c r="BH66" s="72">
        <v>0.59</v>
      </c>
      <c r="BI66" s="72">
        <v>20200831</v>
      </c>
      <c r="BJ66" s="72">
        <v>19981119</v>
      </c>
      <c r="BK66" s="72">
        <v>46.29</v>
      </c>
      <c r="BL66" s="72" t="s">
        <v>414</v>
      </c>
      <c r="BM66" s="72" t="s">
        <v>414</v>
      </c>
      <c r="BN66" s="72">
        <v>758</v>
      </c>
      <c r="BO66" s="72">
        <v>270.64999999999998</v>
      </c>
      <c r="BP66" s="72">
        <v>1.74</v>
      </c>
      <c r="BQ66" s="72">
        <v>64.06</v>
      </c>
      <c r="BR66" s="72">
        <v>358.5</v>
      </c>
      <c r="BS66" s="72">
        <v>63.52</v>
      </c>
      <c r="BT66" s="72">
        <v>3.85</v>
      </c>
      <c r="BU66" s="72">
        <v>471.81</v>
      </c>
      <c r="BV66" s="72">
        <v>167.41</v>
      </c>
      <c r="BW66" s="72">
        <v>2.46</v>
      </c>
      <c r="BX66" s="72">
        <v>9.1</v>
      </c>
      <c r="BY66" s="72">
        <v>69.58</v>
      </c>
      <c r="BZ66" s="72">
        <v>36.520000000000003</v>
      </c>
      <c r="CA66" s="72">
        <v>31.49</v>
      </c>
      <c r="CB66" s="72">
        <v>18.809999999999999</v>
      </c>
      <c r="CC66" s="72">
        <v>32.32</v>
      </c>
      <c r="CD66" s="72">
        <v>28.6</v>
      </c>
      <c r="CE66" s="72">
        <v>28.76</v>
      </c>
      <c r="CF66" s="72">
        <v>228.32</v>
      </c>
      <c r="CG66" s="72">
        <v>6.34</v>
      </c>
      <c r="CH66" s="72">
        <v>-7.59</v>
      </c>
      <c r="CI66" s="72">
        <v>109622</v>
      </c>
      <c r="CJ66" s="72">
        <v>19288</v>
      </c>
      <c r="CK66" s="72" t="s">
        <v>718</v>
      </c>
      <c r="CL66" s="72">
        <v>41.88</v>
      </c>
      <c r="CM66" s="72">
        <v>51.83</v>
      </c>
      <c r="CN66" s="72">
        <v>1.21</v>
      </c>
      <c r="CO66" s="72">
        <v>51.58</v>
      </c>
      <c r="CP66" s="72">
        <v>4.7</v>
      </c>
      <c r="CQ66" s="72">
        <v>2.86</v>
      </c>
      <c r="CR66" s="72" t="s">
        <v>719</v>
      </c>
      <c r="CS66" s="72">
        <v>5.85</v>
      </c>
      <c r="CT66" s="72">
        <v>0</v>
      </c>
      <c r="CU66" s="72">
        <v>0.2</v>
      </c>
      <c r="CV66" s="72">
        <v>4.93</v>
      </c>
      <c r="CW66" s="72">
        <v>35.71</v>
      </c>
      <c r="CX66" s="72" t="s">
        <v>720</v>
      </c>
      <c r="CY66" s="72">
        <v>47.5</v>
      </c>
      <c r="CZ66" s="72">
        <v>45.26</v>
      </c>
      <c r="DA66" s="72">
        <v>41.34</v>
      </c>
      <c r="DB66" s="72">
        <v>600177</v>
      </c>
    </row>
    <row r="67" spans="7:106" x14ac:dyDescent="0.25">
      <c r="G67" s="72">
        <v>600143</v>
      </c>
      <c r="H67" s="72" t="s">
        <v>721</v>
      </c>
      <c r="I67" s="72">
        <v>3.09</v>
      </c>
      <c r="J67" s="72">
        <v>2.77</v>
      </c>
      <c r="K67" s="72">
        <v>17.66</v>
      </c>
      <c r="L67" s="72">
        <v>0.53</v>
      </c>
      <c r="M67" s="72">
        <v>17.649999999999999</v>
      </c>
      <c r="N67" s="72">
        <v>17.66</v>
      </c>
      <c r="O67" s="72">
        <v>375749</v>
      </c>
      <c r="P67" s="72">
        <v>120</v>
      </c>
      <c r="Q67" s="72">
        <v>-0.27</v>
      </c>
      <c r="R67" s="72">
        <v>1.46</v>
      </c>
      <c r="S67" s="72">
        <v>17.170000000000002</v>
      </c>
      <c r="T67" s="72">
        <v>17.809999999999999</v>
      </c>
      <c r="U67" s="72">
        <v>17.170000000000002</v>
      </c>
      <c r="V67" s="72">
        <v>17.13</v>
      </c>
      <c r="W67" s="72">
        <v>9.42</v>
      </c>
      <c r="X67" s="114">
        <v>659000000</v>
      </c>
      <c r="Y67" s="72" t="s">
        <v>680</v>
      </c>
      <c r="Z67" s="72" t="s">
        <v>364</v>
      </c>
      <c r="AA67" s="72">
        <v>3.74</v>
      </c>
      <c r="AB67" s="72">
        <v>17.54</v>
      </c>
      <c r="AC67" s="72">
        <v>163125</v>
      </c>
      <c r="AD67" s="72">
        <v>212624</v>
      </c>
      <c r="AE67" s="72">
        <v>0.77</v>
      </c>
      <c r="AF67" s="72">
        <v>377</v>
      </c>
      <c r="AG67" s="72">
        <v>152</v>
      </c>
      <c r="AH67" s="72" t="s">
        <v>414</v>
      </c>
      <c r="AI67" s="72">
        <v>6600100</v>
      </c>
      <c r="AJ67" s="72">
        <v>0.02</v>
      </c>
      <c r="AK67" s="72" t="s">
        <v>414</v>
      </c>
      <c r="AL67" s="72" t="s">
        <v>414</v>
      </c>
      <c r="AM67" s="72">
        <v>25.74</v>
      </c>
      <c r="AN67" s="72" t="s">
        <v>722</v>
      </c>
      <c r="AO67" s="72" t="s">
        <v>722</v>
      </c>
      <c r="AP67" s="72">
        <v>1.1100000000000001</v>
      </c>
      <c r="AQ67" s="72">
        <v>1872</v>
      </c>
      <c r="AR67" s="72">
        <v>201</v>
      </c>
      <c r="AS67" s="72">
        <v>8.0000000000000004E-4</v>
      </c>
      <c r="AT67" s="72">
        <v>4</v>
      </c>
      <c r="AU67" s="72">
        <v>13.72</v>
      </c>
      <c r="AV67" s="72">
        <v>2.09</v>
      </c>
      <c r="AW67" s="72" t="s">
        <v>723</v>
      </c>
      <c r="AX67" s="72">
        <v>1.3</v>
      </c>
      <c r="AY67" s="72">
        <v>14.01</v>
      </c>
      <c r="AZ67" s="72">
        <v>35.42</v>
      </c>
      <c r="BA67" s="72">
        <v>0.23</v>
      </c>
      <c r="BB67" s="72">
        <v>3.97</v>
      </c>
      <c r="BC67" s="72">
        <v>0.23</v>
      </c>
      <c r="BD67" s="72">
        <v>2.42</v>
      </c>
      <c r="BE67" s="72">
        <v>2.85</v>
      </c>
      <c r="BF67" s="72">
        <v>-0.84</v>
      </c>
      <c r="BG67" s="72">
        <v>2.85</v>
      </c>
      <c r="BH67" s="72">
        <v>0.68</v>
      </c>
      <c r="BI67" s="72">
        <v>20200820</v>
      </c>
      <c r="BJ67" s="72">
        <v>20040623</v>
      </c>
      <c r="BK67" s="72">
        <v>25.74</v>
      </c>
      <c r="BL67" s="72" t="s">
        <v>414</v>
      </c>
      <c r="BM67" s="72" t="s">
        <v>414</v>
      </c>
      <c r="BN67" s="72">
        <v>298.05</v>
      </c>
      <c r="BO67" s="72">
        <v>126.94</v>
      </c>
      <c r="BP67" s="72">
        <v>6.83</v>
      </c>
      <c r="BQ67" s="72">
        <v>55.12</v>
      </c>
      <c r="BR67" s="72">
        <v>128.09</v>
      </c>
      <c r="BS67" s="72">
        <v>110.24</v>
      </c>
      <c r="BT67" s="72">
        <v>23.3</v>
      </c>
      <c r="BU67" s="72">
        <v>109.5</v>
      </c>
      <c r="BV67" s="72">
        <v>34.450000000000003</v>
      </c>
      <c r="BW67" s="72">
        <v>34.61</v>
      </c>
      <c r="BX67" s="72">
        <v>29</v>
      </c>
      <c r="BY67" s="72">
        <v>169.3</v>
      </c>
      <c r="BZ67" s="72">
        <v>119.21</v>
      </c>
      <c r="CA67" s="72">
        <v>29.62</v>
      </c>
      <c r="CB67" s="72">
        <v>0.31</v>
      </c>
      <c r="CC67" s="72">
        <v>29.38</v>
      </c>
      <c r="CD67" s="72">
        <v>24.29</v>
      </c>
      <c r="CE67" s="72">
        <v>24.12</v>
      </c>
      <c r="CF67" s="72">
        <v>66.3</v>
      </c>
      <c r="CG67" s="72">
        <v>58.87</v>
      </c>
      <c r="CH67" s="72">
        <v>8.64</v>
      </c>
      <c r="CI67" s="72">
        <v>83003</v>
      </c>
      <c r="CJ67" s="72">
        <v>21710</v>
      </c>
      <c r="CK67" s="72" t="s">
        <v>724</v>
      </c>
      <c r="CL67" s="72">
        <v>373.27</v>
      </c>
      <c r="CM67" s="72">
        <v>37.17</v>
      </c>
      <c r="CN67" s="72">
        <v>3.58</v>
      </c>
      <c r="CO67" s="72">
        <v>7.72</v>
      </c>
      <c r="CP67" s="72">
        <v>2.68</v>
      </c>
      <c r="CQ67" s="72">
        <v>0.57999999999999996</v>
      </c>
      <c r="CR67" s="72" t="s">
        <v>725</v>
      </c>
      <c r="CS67" s="72">
        <v>4.93</v>
      </c>
      <c r="CT67" s="72">
        <v>0</v>
      </c>
      <c r="CU67" s="72">
        <v>1.1299999999999999</v>
      </c>
      <c r="CV67" s="72">
        <v>2.58</v>
      </c>
      <c r="CW67" s="72">
        <v>42.59</v>
      </c>
      <c r="CX67" s="72" t="s">
        <v>726</v>
      </c>
      <c r="CY67" s="72">
        <v>29.58</v>
      </c>
      <c r="CZ67" s="72">
        <v>17.5</v>
      </c>
      <c r="DA67" s="72">
        <v>14.25</v>
      </c>
      <c r="DB67" s="72">
        <v>600143</v>
      </c>
    </row>
    <row r="68" spans="7:106" x14ac:dyDescent="0.25">
      <c r="G68" s="72">
        <v>600116</v>
      </c>
      <c r="H68" s="72" t="s">
        <v>727</v>
      </c>
      <c r="I68" s="72">
        <v>1.73</v>
      </c>
      <c r="J68" s="72">
        <v>1</v>
      </c>
      <c r="K68" s="72">
        <v>9.42</v>
      </c>
      <c r="L68" s="72">
        <v>0.16</v>
      </c>
      <c r="M68" s="72">
        <v>9.41</v>
      </c>
      <c r="N68" s="72">
        <v>9.42</v>
      </c>
      <c r="O68" s="72">
        <v>19831</v>
      </c>
      <c r="P68" s="72">
        <v>260</v>
      </c>
      <c r="Q68" s="72">
        <v>0</v>
      </c>
      <c r="R68" s="72">
        <v>0.2</v>
      </c>
      <c r="S68" s="72">
        <v>9.3000000000000007</v>
      </c>
      <c r="T68" s="72">
        <v>9.44</v>
      </c>
      <c r="U68" s="72">
        <v>9.3000000000000007</v>
      </c>
      <c r="V68" s="72">
        <v>9.26</v>
      </c>
      <c r="W68" s="72">
        <v>44.11</v>
      </c>
      <c r="X68" s="72">
        <v>18634016</v>
      </c>
      <c r="Y68" s="72" t="s">
        <v>351</v>
      </c>
      <c r="Z68" s="72" t="s">
        <v>376</v>
      </c>
      <c r="AA68" s="72">
        <v>1.51</v>
      </c>
      <c r="AB68" s="72">
        <v>9.4</v>
      </c>
      <c r="AC68" s="72">
        <v>6671</v>
      </c>
      <c r="AD68" s="72">
        <v>13160</v>
      </c>
      <c r="AE68" s="72">
        <v>0.51</v>
      </c>
      <c r="AF68" s="72">
        <v>268</v>
      </c>
      <c r="AG68" s="72">
        <v>235</v>
      </c>
      <c r="AH68" s="72" t="s">
        <v>414</v>
      </c>
      <c r="AI68" s="72">
        <v>305000</v>
      </c>
      <c r="AJ68" s="72">
        <v>0.01</v>
      </c>
      <c r="AK68" s="72" t="s">
        <v>414</v>
      </c>
      <c r="AL68" s="72" t="s">
        <v>414</v>
      </c>
      <c r="AM68" s="72">
        <v>9.93</v>
      </c>
      <c r="AN68" s="72" t="s">
        <v>728</v>
      </c>
      <c r="AO68" s="72" t="s">
        <v>729</v>
      </c>
      <c r="AP68" s="72">
        <v>-0.26</v>
      </c>
      <c r="AQ68" s="72">
        <v>919</v>
      </c>
      <c r="AR68" s="72">
        <v>22</v>
      </c>
      <c r="AS68" s="72">
        <v>2.0000000000000001E-4</v>
      </c>
      <c r="AT68" s="72">
        <v>2</v>
      </c>
      <c r="AU68" s="72">
        <v>3.07</v>
      </c>
      <c r="AV68" s="72">
        <v>0.32</v>
      </c>
      <c r="AW68" s="72" t="s">
        <v>730</v>
      </c>
      <c r="AX68" s="72">
        <v>1.1599999999999999</v>
      </c>
      <c r="AY68" s="72">
        <v>61.97</v>
      </c>
      <c r="AZ68" s="72">
        <v>92.38</v>
      </c>
      <c r="BA68" s="72">
        <v>0.43</v>
      </c>
      <c r="BB68" s="72">
        <v>1.94</v>
      </c>
      <c r="BC68" s="72">
        <v>0.43</v>
      </c>
      <c r="BD68" s="72">
        <v>1.47</v>
      </c>
      <c r="BE68" s="72">
        <v>1.29</v>
      </c>
      <c r="BF68" s="72">
        <v>-0.21</v>
      </c>
      <c r="BG68" s="72">
        <v>1.29</v>
      </c>
      <c r="BH68" s="72">
        <v>0.25</v>
      </c>
      <c r="BI68" s="72">
        <v>20200828</v>
      </c>
      <c r="BJ68" s="72">
        <v>19970804</v>
      </c>
      <c r="BK68" s="72">
        <v>19.12</v>
      </c>
      <c r="BL68" s="72" t="s">
        <v>414</v>
      </c>
      <c r="BM68" s="72" t="s">
        <v>414</v>
      </c>
      <c r="BN68" s="72">
        <v>194.42</v>
      </c>
      <c r="BO68" s="72">
        <v>98.19</v>
      </c>
      <c r="BP68" s="72">
        <v>2.72</v>
      </c>
      <c r="BQ68" s="72">
        <v>48.09</v>
      </c>
      <c r="BR68" s="72">
        <v>41.11</v>
      </c>
      <c r="BS68" s="72">
        <v>88.09</v>
      </c>
      <c r="BT68" s="72">
        <v>12.82</v>
      </c>
      <c r="BU68" s="72">
        <v>63.94</v>
      </c>
      <c r="BV68" s="72">
        <v>2.77</v>
      </c>
      <c r="BW68" s="72">
        <v>9.07</v>
      </c>
      <c r="BX68" s="72">
        <v>65.23</v>
      </c>
      <c r="BY68" s="72">
        <v>10.6</v>
      </c>
      <c r="BZ68" s="72">
        <v>7.93</v>
      </c>
      <c r="CA68" s="72">
        <v>2.41</v>
      </c>
      <c r="CB68" s="72">
        <v>0.16</v>
      </c>
      <c r="CC68" s="72">
        <v>2.38</v>
      </c>
      <c r="CD68" s="72">
        <v>2.04</v>
      </c>
      <c r="CE68" s="72">
        <v>2.04</v>
      </c>
      <c r="CF68" s="72">
        <v>12.21</v>
      </c>
      <c r="CG68" s="72">
        <v>0.67</v>
      </c>
      <c r="CH68" s="72">
        <v>10.28</v>
      </c>
      <c r="CI68" s="72">
        <v>43475</v>
      </c>
      <c r="CJ68" s="72">
        <v>14356</v>
      </c>
      <c r="CK68" s="72" t="s">
        <v>731</v>
      </c>
      <c r="CL68" s="72">
        <v>85.41</v>
      </c>
      <c r="CM68" s="72">
        <v>99.65</v>
      </c>
      <c r="CN68" s="72">
        <v>1.83</v>
      </c>
      <c r="CO68" s="72">
        <v>270.5</v>
      </c>
      <c r="CP68" s="72">
        <v>16.989999999999998</v>
      </c>
      <c r="CQ68" s="72">
        <v>0.56000000000000005</v>
      </c>
      <c r="CR68" s="72" t="s">
        <v>503</v>
      </c>
      <c r="CS68" s="72">
        <v>5.14</v>
      </c>
      <c r="CT68" s="72">
        <v>0</v>
      </c>
      <c r="CU68" s="72">
        <v>3.41</v>
      </c>
      <c r="CV68" s="72">
        <v>0.64</v>
      </c>
      <c r="CW68" s="72">
        <v>50.51</v>
      </c>
      <c r="CX68" s="72" t="s">
        <v>732</v>
      </c>
      <c r="CY68" s="72">
        <v>25.25</v>
      </c>
      <c r="CZ68" s="72">
        <v>22.7</v>
      </c>
      <c r="DA68" s="72">
        <v>19.260000000000002</v>
      </c>
      <c r="DB68" s="72">
        <v>600116</v>
      </c>
    </row>
    <row r="69" spans="7:106" x14ac:dyDescent="0.25">
      <c r="G69" s="72">
        <v>600109</v>
      </c>
      <c r="H69" s="72" t="s">
        <v>733</v>
      </c>
      <c r="I69" s="72" t="s">
        <v>414</v>
      </c>
      <c r="J69" s="72">
        <v>0</v>
      </c>
      <c r="K69" s="72">
        <v>15.29</v>
      </c>
      <c r="L69" s="72" t="s">
        <v>414</v>
      </c>
      <c r="N69" s="72" t="s">
        <v>414</v>
      </c>
      <c r="O69" s="72">
        <v>0</v>
      </c>
      <c r="P69" s="72">
        <v>0</v>
      </c>
      <c r="Q69" s="72" t="s">
        <v>414</v>
      </c>
      <c r="R69" s="72" t="s">
        <v>414</v>
      </c>
      <c r="S69" s="72" t="s">
        <v>414</v>
      </c>
      <c r="T69" s="72" t="s">
        <v>414</v>
      </c>
      <c r="U69" s="72" t="s">
        <v>414</v>
      </c>
      <c r="V69" s="72">
        <v>15.29</v>
      </c>
      <c r="W69" s="72">
        <v>23.09</v>
      </c>
      <c r="X69" s="72">
        <v>0</v>
      </c>
      <c r="Y69" s="72" t="s">
        <v>411</v>
      </c>
      <c r="Z69" s="72" t="s">
        <v>395</v>
      </c>
      <c r="AA69" s="72">
        <v>0</v>
      </c>
      <c r="AB69" s="72">
        <v>15.29</v>
      </c>
      <c r="AC69" s="72">
        <v>0</v>
      </c>
      <c r="AD69" s="72">
        <v>0</v>
      </c>
      <c r="AE69" s="72" t="s">
        <v>414</v>
      </c>
      <c r="AF69" s="72">
        <v>0</v>
      </c>
      <c r="AG69" s="72">
        <v>0</v>
      </c>
      <c r="AH69" s="72" t="s">
        <v>414</v>
      </c>
      <c r="AI69" s="72">
        <v>0</v>
      </c>
      <c r="AJ69" s="72" t="s">
        <v>414</v>
      </c>
      <c r="AK69" s="72" t="s">
        <v>414</v>
      </c>
      <c r="AL69" s="72" t="s">
        <v>414</v>
      </c>
      <c r="AM69" s="72">
        <v>30.24</v>
      </c>
      <c r="AN69" s="72" t="s">
        <v>734</v>
      </c>
      <c r="AO69" s="72" t="s">
        <v>734</v>
      </c>
      <c r="AP69" s="72">
        <v>-1.98</v>
      </c>
      <c r="AQ69" s="72">
        <v>0</v>
      </c>
      <c r="AR69" s="72" t="s">
        <v>414</v>
      </c>
      <c r="AS69" s="72" t="s">
        <v>414</v>
      </c>
      <c r="AT69" s="72">
        <v>1</v>
      </c>
      <c r="AU69" s="72">
        <v>8.2100000000000009</v>
      </c>
      <c r="AV69" s="72" t="s">
        <v>414</v>
      </c>
      <c r="AW69" s="72" t="s">
        <v>735</v>
      </c>
      <c r="AX69" s="72">
        <v>2.12</v>
      </c>
      <c r="AY69" s="72">
        <v>27.54</v>
      </c>
      <c r="AZ69" s="72">
        <v>35.61</v>
      </c>
      <c r="BA69" s="72" t="s">
        <v>414</v>
      </c>
      <c r="BB69" s="72" t="s">
        <v>414</v>
      </c>
      <c r="BC69" s="72" t="s">
        <v>414</v>
      </c>
      <c r="BD69" s="72">
        <v>0</v>
      </c>
      <c r="BE69" s="72" t="s">
        <v>414</v>
      </c>
      <c r="BF69" s="72" t="s">
        <v>414</v>
      </c>
      <c r="BG69" s="72" t="s">
        <v>414</v>
      </c>
      <c r="BH69" s="72" t="s">
        <v>414</v>
      </c>
      <c r="BI69" s="72">
        <v>20200828</v>
      </c>
      <c r="BJ69" s="72">
        <v>19970807</v>
      </c>
      <c r="BK69" s="72">
        <v>30.24</v>
      </c>
      <c r="BL69" s="72" t="s">
        <v>414</v>
      </c>
      <c r="BM69" s="72" t="s">
        <v>414</v>
      </c>
      <c r="BN69" s="72">
        <v>653.58000000000004</v>
      </c>
      <c r="BO69" s="72">
        <v>214.8</v>
      </c>
      <c r="BP69" s="72">
        <v>0.66</v>
      </c>
      <c r="BQ69" s="72">
        <v>67.03</v>
      </c>
      <c r="BR69" s="72">
        <v>0</v>
      </c>
      <c r="BS69" s="72">
        <v>0.89</v>
      </c>
      <c r="BT69" s="72">
        <v>0.56000000000000005</v>
      </c>
      <c r="BU69" s="72">
        <v>0</v>
      </c>
      <c r="BV69" s="72">
        <v>0</v>
      </c>
      <c r="BW69" s="72">
        <v>0</v>
      </c>
      <c r="BX69" s="72">
        <v>78.52</v>
      </c>
      <c r="BY69" s="72">
        <v>28.96</v>
      </c>
      <c r="BZ69" s="72">
        <v>0</v>
      </c>
      <c r="CA69" s="72">
        <v>13.01</v>
      </c>
      <c r="CB69" s="72">
        <v>6.11</v>
      </c>
      <c r="CC69" s="72">
        <v>13.27</v>
      </c>
      <c r="CD69" s="72">
        <v>10.039999999999999</v>
      </c>
      <c r="CE69" s="72">
        <v>10.02</v>
      </c>
      <c r="CF69" s="72">
        <v>73.099999999999994</v>
      </c>
      <c r="CG69" s="72">
        <v>9.01</v>
      </c>
      <c r="CH69" s="72">
        <v>47.68</v>
      </c>
      <c r="CI69" s="72">
        <v>141085</v>
      </c>
      <c r="CJ69" s="72">
        <v>15556</v>
      </c>
      <c r="CK69" s="72" t="s">
        <v>736</v>
      </c>
      <c r="CL69" s="72">
        <v>61.24</v>
      </c>
      <c r="CM69" s="72">
        <v>51.36</v>
      </c>
      <c r="CN69" s="72">
        <v>2.15</v>
      </c>
      <c r="CO69" s="72">
        <v>51.34</v>
      </c>
      <c r="CP69" s="72">
        <v>15.97</v>
      </c>
      <c r="CQ69" s="72">
        <v>0.33</v>
      </c>
      <c r="CR69" s="72" t="s">
        <v>737</v>
      </c>
      <c r="CS69" s="72">
        <v>7.1</v>
      </c>
      <c r="CT69" s="72">
        <v>0</v>
      </c>
      <c r="CU69" s="72">
        <v>2.6</v>
      </c>
      <c r="CV69" s="72">
        <v>2.42</v>
      </c>
      <c r="CW69" s="72">
        <v>32.86</v>
      </c>
      <c r="CX69" s="72" t="s">
        <v>532</v>
      </c>
      <c r="CY69" s="72" t="s">
        <v>414</v>
      </c>
      <c r="CZ69" s="72">
        <v>44.92</v>
      </c>
      <c r="DA69" s="72">
        <v>34.58</v>
      </c>
      <c r="DB69" s="72">
        <v>600109</v>
      </c>
    </row>
    <row r="70" spans="7:106" x14ac:dyDescent="0.25">
      <c r="G70" s="72">
        <v>600055</v>
      </c>
      <c r="H70" s="72" t="s">
        <v>738</v>
      </c>
      <c r="I70" s="72">
        <v>1.22</v>
      </c>
      <c r="J70" s="72">
        <v>1.51</v>
      </c>
      <c r="K70" s="72">
        <v>14.16</v>
      </c>
      <c r="L70" s="72">
        <v>0.17</v>
      </c>
      <c r="M70" s="72">
        <v>14.16</v>
      </c>
      <c r="N70" s="72">
        <v>14.17</v>
      </c>
      <c r="O70" s="72">
        <v>22375</v>
      </c>
      <c r="P70" s="72">
        <v>1</v>
      </c>
      <c r="Q70" s="72">
        <v>0</v>
      </c>
      <c r="R70" s="72">
        <v>0.41</v>
      </c>
      <c r="S70" s="72">
        <v>14.03</v>
      </c>
      <c r="T70" s="72">
        <v>14.22</v>
      </c>
      <c r="U70" s="72">
        <v>14.02</v>
      </c>
      <c r="V70" s="72">
        <v>13.99</v>
      </c>
      <c r="W70" s="72">
        <v>36.4</v>
      </c>
      <c r="X70" s="72">
        <v>31636452</v>
      </c>
      <c r="Y70" s="72" t="s">
        <v>506</v>
      </c>
      <c r="Z70" s="72" t="s">
        <v>372</v>
      </c>
      <c r="AA70" s="72">
        <v>1.43</v>
      </c>
      <c r="AB70" s="72">
        <v>14.14</v>
      </c>
      <c r="AC70" s="72">
        <v>10823</v>
      </c>
      <c r="AD70" s="72">
        <v>11552</v>
      </c>
      <c r="AE70" s="72">
        <v>0.94</v>
      </c>
      <c r="AF70" s="72">
        <v>16</v>
      </c>
      <c r="AG70" s="72">
        <v>87</v>
      </c>
      <c r="AH70" s="72" t="s">
        <v>414</v>
      </c>
      <c r="AI70" s="72">
        <v>124900</v>
      </c>
      <c r="AJ70" s="72">
        <v>0</v>
      </c>
      <c r="AK70" s="72" t="s">
        <v>414</v>
      </c>
      <c r="AL70" s="72" t="s">
        <v>414</v>
      </c>
      <c r="AM70" s="72">
        <v>5.41</v>
      </c>
      <c r="AN70" s="72" t="s">
        <v>739</v>
      </c>
      <c r="AO70" s="72" t="s">
        <v>739</v>
      </c>
      <c r="AP70" s="72">
        <v>-0.77</v>
      </c>
      <c r="AQ70" s="72">
        <v>884</v>
      </c>
      <c r="AR70" s="72">
        <v>25</v>
      </c>
      <c r="AS70" s="72">
        <v>5.0000000000000001E-4</v>
      </c>
      <c r="AT70" s="72">
        <v>4</v>
      </c>
      <c r="AU70" s="72">
        <v>3.97</v>
      </c>
      <c r="AV70" s="72">
        <v>0.75</v>
      </c>
      <c r="AW70" s="72" t="s">
        <v>740</v>
      </c>
      <c r="AX70" s="72">
        <v>1.22</v>
      </c>
      <c r="AY70" s="72">
        <v>32.93</v>
      </c>
      <c r="AZ70" s="72">
        <v>44.8</v>
      </c>
      <c r="BA70" s="72">
        <v>0.28999999999999998</v>
      </c>
      <c r="BB70" s="72">
        <v>1.64</v>
      </c>
      <c r="BC70" s="72">
        <v>0.21</v>
      </c>
      <c r="BD70" s="72">
        <v>1.07</v>
      </c>
      <c r="BE70" s="72">
        <v>0.93</v>
      </c>
      <c r="BF70" s="72">
        <v>-0.42</v>
      </c>
      <c r="BG70" s="72">
        <v>1</v>
      </c>
      <c r="BH70" s="72">
        <v>0.15</v>
      </c>
      <c r="BI70" s="72">
        <v>20200822</v>
      </c>
      <c r="BJ70" s="72">
        <v>19970519</v>
      </c>
      <c r="BK70" s="72">
        <v>5.41</v>
      </c>
      <c r="BL70" s="72" t="s">
        <v>414</v>
      </c>
      <c r="BM70" s="72" t="s">
        <v>414</v>
      </c>
      <c r="BN70" s="72">
        <v>27.67</v>
      </c>
      <c r="BO70" s="72">
        <v>21.67</v>
      </c>
      <c r="BP70" s="72">
        <v>0.95</v>
      </c>
      <c r="BQ70" s="72">
        <v>18.239999999999998</v>
      </c>
      <c r="BR70" s="72">
        <v>16.399999999999999</v>
      </c>
      <c r="BS70" s="72">
        <v>1.7</v>
      </c>
      <c r="BT70" s="72">
        <v>1.76</v>
      </c>
      <c r="BU70" s="72">
        <v>4.76</v>
      </c>
      <c r="BV70" s="72">
        <v>2.68</v>
      </c>
      <c r="BW70" s="72">
        <v>1.84</v>
      </c>
      <c r="BX70" s="72">
        <v>8.83</v>
      </c>
      <c r="BY70" s="72">
        <v>5.03</v>
      </c>
      <c r="BZ70" s="72">
        <v>2.21</v>
      </c>
      <c r="CA70" s="72">
        <v>1.24</v>
      </c>
      <c r="CB70" s="72">
        <v>0.08</v>
      </c>
      <c r="CC70" s="72">
        <v>1.24</v>
      </c>
      <c r="CD70" s="72">
        <v>1.05</v>
      </c>
      <c r="CE70" s="72">
        <v>1.05</v>
      </c>
      <c r="CF70" s="72">
        <v>6.5</v>
      </c>
      <c r="CG70" s="72">
        <v>1.45</v>
      </c>
      <c r="CH70" s="72">
        <v>0.04</v>
      </c>
      <c r="CI70" s="72">
        <v>34357</v>
      </c>
      <c r="CJ70" s="72">
        <v>8648</v>
      </c>
      <c r="CK70" s="72" t="s">
        <v>741</v>
      </c>
      <c r="CL70" s="72">
        <v>137.25</v>
      </c>
      <c r="CM70" s="72">
        <v>33.03</v>
      </c>
      <c r="CN70" s="72">
        <v>3.53</v>
      </c>
      <c r="CO70" s="72">
        <v>52.92</v>
      </c>
      <c r="CP70" s="72">
        <v>15.22</v>
      </c>
      <c r="CQ70" s="72">
        <v>0.35</v>
      </c>
      <c r="CR70" s="72" t="s">
        <v>511</v>
      </c>
      <c r="CS70" s="72">
        <v>4.01</v>
      </c>
      <c r="CT70" s="72">
        <v>0</v>
      </c>
      <c r="CU70" s="72">
        <v>1.63</v>
      </c>
      <c r="CV70" s="72">
        <v>1.2</v>
      </c>
      <c r="CW70" s="72">
        <v>78.33</v>
      </c>
      <c r="CX70" s="72" t="s">
        <v>560</v>
      </c>
      <c r="CY70" s="72">
        <v>55.99</v>
      </c>
      <c r="CZ70" s="72">
        <v>24.75</v>
      </c>
      <c r="DA70" s="72">
        <v>20.91</v>
      </c>
      <c r="DB70" s="72">
        <v>600055</v>
      </c>
    </row>
    <row r="71" spans="7:106" x14ac:dyDescent="0.25">
      <c r="G71" s="72">
        <v>600051</v>
      </c>
      <c r="H71" s="72" t="s">
        <v>742</v>
      </c>
      <c r="I71" s="72">
        <v>2.13</v>
      </c>
      <c r="J71" s="72">
        <v>2.95</v>
      </c>
      <c r="K71" s="72">
        <v>10.56</v>
      </c>
      <c r="L71" s="72">
        <v>0.22</v>
      </c>
      <c r="M71" s="72">
        <v>10.55</v>
      </c>
      <c r="N71" s="72">
        <v>10.56</v>
      </c>
      <c r="O71" s="72">
        <v>57476</v>
      </c>
      <c r="P71" s="72">
        <v>5</v>
      </c>
      <c r="Q71" s="72">
        <v>0.38</v>
      </c>
      <c r="R71" s="72">
        <v>1.85</v>
      </c>
      <c r="S71" s="72">
        <v>10.5</v>
      </c>
      <c r="T71" s="72">
        <v>10.61</v>
      </c>
      <c r="U71" s="72">
        <v>10.38</v>
      </c>
      <c r="V71" s="72">
        <v>10.34</v>
      </c>
      <c r="W71" s="72">
        <v>5.27</v>
      </c>
      <c r="X71" s="72">
        <v>60434972</v>
      </c>
      <c r="Y71" s="72" t="s">
        <v>743</v>
      </c>
      <c r="Z71" s="72" t="s">
        <v>358</v>
      </c>
      <c r="AA71" s="72">
        <v>2.2200000000000002</v>
      </c>
      <c r="AB71" s="72">
        <v>10.51</v>
      </c>
      <c r="AC71" s="72">
        <v>29932</v>
      </c>
      <c r="AD71" s="72">
        <v>27544</v>
      </c>
      <c r="AE71" s="72">
        <v>1.0900000000000001</v>
      </c>
      <c r="AF71" s="72">
        <v>2</v>
      </c>
      <c r="AG71" s="72">
        <v>335</v>
      </c>
      <c r="AH71" s="72" t="s">
        <v>414</v>
      </c>
      <c r="AI71" s="72">
        <v>1109900</v>
      </c>
      <c r="AJ71" s="72">
        <v>0.05</v>
      </c>
      <c r="AK71" s="72" t="s">
        <v>414</v>
      </c>
      <c r="AL71" s="72" t="s">
        <v>414</v>
      </c>
      <c r="AM71" s="72">
        <v>3.11</v>
      </c>
      <c r="AN71" s="72" t="s">
        <v>744</v>
      </c>
      <c r="AO71" s="72" t="s">
        <v>744</v>
      </c>
      <c r="AP71" s="72">
        <v>0.14000000000000001</v>
      </c>
      <c r="AQ71" s="72">
        <v>1030</v>
      </c>
      <c r="AR71" s="72">
        <v>56</v>
      </c>
      <c r="AS71" s="72">
        <v>1.8E-3</v>
      </c>
      <c r="AT71" s="72">
        <v>5</v>
      </c>
      <c r="AU71" s="72">
        <v>4.04</v>
      </c>
      <c r="AV71" s="72">
        <v>2.61</v>
      </c>
      <c r="AW71" s="72" t="s">
        <v>745</v>
      </c>
      <c r="AX71" s="72">
        <v>1.61</v>
      </c>
      <c r="AY71" s="72">
        <v>5.75</v>
      </c>
      <c r="AZ71" s="72">
        <v>10.050000000000001</v>
      </c>
      <c r="BA71" s="72">
        <v>1.55</v>
      </c>
      <c r="BB71" s="72">
        <v>2.61</v>
      </c>
      <c r="BC71" s="72">
        <v>0.39</v>
      </c>
      <c r="BD71" s="72">
        <v>1.69</v>
      </c>
      <c r="BE71" s="72">
        <v>0.56999999999999995</v>
      </c>
      <c r="BF71" s="72">
        <v>-0.47</v>
      </c>
      <c r="BG71" s="72">
        <v>1.73</v>
      </c>
      <c r="BH71" s="72">
        <v>0.44</v>
      </c>
      <c r="BI71" s="72">
        <v>20200825</v>
      </c>
      <c r="BJ71" s="72">
        <v>19970410</v>
      </c>
      <c r="BK71" s="72">
        <v>3.11</v>
      </c>
      <c r="BL71" s="72" t="s">
        <v>414</v>
      </c>
      <c r="BM71" s="72" t="s">
        <v>414</v>
      </c>
      <c r="BN71" s="72">
        <v>79.319999999999993</v>
      </c>
      <c r="BO71" s="72">
        <v>29.17</v>
      </c>
      <c r="BP71" s="72">
        <v>1.32</v>
      </c>
      <c r="BQ71" s="72">
        <v>61.56</v>
      </c>
      <c r="BR71" s="72">
        <v>60.96</v>
      </c>
      <c r="BS71" s="72">
        <v>5.31</v>
      </c>
      <c r="BT71" s="72">
        <v>0.85</v>
      </c>
      <c r="BU71" s="72">
        <v>47.49</v>
      </c>
      <c r="BV71" s="72">
        <v>30.59</v>
      </c>
      <c r="BW71" s="72">
        <v>1.41</v>
      </c>
      <c r="BX71" s="72">
        <v>1.44</v>
      </c>
      <c r="BY71" s="72">
        <v>20.49</v>
      </c>
      <c r="BZ71" s="72">
        <v>13.16</v>
      </c>
      <c r="CA71" s="72">
        <v>3.9</v>
      </c>
      <c r="CB71" s="72">
        <v>0.15</v>
      </c>
      <c r="CC71" s="72">
        <v>3.87</v>
      </c>
      <c r="CD71" s="72">
        <v>2.97</v>
      </c>
      <c r="CE71" s="72">
        <v>3.12</v>
      </c>
      <c r="CF71" s="72">
        <v>21.3</v>
      </c>
      <c r="CG71" s="72">
        <v>5.68</v>
      </c>
      <c r="CH71" s="72">
        <v>1.74</v>
      </c>
      <c r="CI71" s="72">
        <v>34574</v>
      </c>
      <c r="CJ71" s="72">
        <v>6377</v>
      </c>
      <c r="CK71" s="72" t="s">
        <v>746</v>
      </c>
      <c r="CL71" s="72">
        <v>328.93</v>
      </c>
      <c r="CM71" s="72">
        <v>23.18</v>
      </c>
      <c r="CN71" s="72">
        <v>1.1299999999999999</v>
      </c>
      <c r="CO71" s="72">
        <v>5.78</v>
      </c>
      <c r="CP71" s="72">
        <v>1.6</v>
      </c>
      <c r="CQ71" s="72">
        <v>1.93</v>
      </c>
      <c r="CR71" s="72" t="s">
        <v>747</v>
      </c>
      <c r="CS71" s="72">
        <v>9.3800000000000008</v>
      </c>
      <c r="CT71" s="72">
        <v>0</v>
      </c>
      <c r="CU71" s="72">
        <v>0.46</v>
      </c>
      <c r="CV71" s="72">
        <v>6.85</v>
      </c>
      <c r="CW71" s="72">
        <v>36.78</v>
      </c>
      <c r="CX71" s="72" t="s">
        <v>748</v>
      </c>
      <c r="CY71" s="72">
        <v>35.79</v>
      </c>
      <c r="CZ71" s="72">
        <v>19.02</v>
      </c>
      <c r="DA71" s="72">
        <v>15.21</v>
      </c>
      <c r="DB71" s="72">
        <v>600051</v>
      </c>
    </row>
    <row r="72" spans="7:106" x14ac:dyDescent="0.25">
      <c r="G72" s="72">
        <v>600030</v>
      </c>
      <c r="H72" s="72" t="s">
        <v>749</v>
      </c>
      <c r="I72" s="72">
        <v>3.14</v>
      </c>
      <c r="J72" s="72">
        <v>3.23</v>
      </c>
      <c r="K72" s="72">
        <v>31.56</v>
      </c>
      <c r="L72" s="72">
        <v>0.96</v>
      </c>
      <c r="M72" s="72">
        <v>31.53</v>
      </c>
      <c r="N72" s="72">
        <v>31.54</v>
      </c>
      <c r="O72" s="72">
        <v>960494</v>
      </c>
      <c r="P72" s="72">
        <v>237</v>
      </c>
      <c r="Q72" s="72">
        <v>-0.08</v>
      </c>
      <c r="R72" s="72">
        <v>0.98</v>
      </c>
      <c r="S72" s="72">
        <v>30.9</v>
      </c>
      <c r="T72" s="72">
        <v>31.69</v>
      </c>
      <c r="U72" s="72">
        <v>30.79</v>
      </c>
      <c r="V72" s="72">
        <v>30.6</v>
      </c>
      <c r="W72" s="72">
        <v>22.85</v>
      </c>
      <c r="X72" s="114">
        <v>3010000000</v>
      </c>
      <c r="Y72" s="72" t="s">
        <v>411</v>
      </c>
      <c r="Z72" s="72" t="s">
        <v>385</v>
      </c>
      <c r="AA72" s="72">
        <v>2.94</v>
      </c>
      <c r="AB72" s="72">
        <v>31.36</v>
      </c>
      <c r="AC72" s="72">
        <v>422734</v>
      </c>
      <c r="AD72" s="72">
        <v>537760</v>
      </c>
      <c r="AE72" s="72">
        <v>0.79</v>
      </c>
      <c r="AF72" s="72">
        <v>29</v>
      </c>
      <c r="AG72" s="72">
        <v>2</v>
      </c>
      <c r="AH72" s="72" t="s">
        <v>414</v>
      </c>
      <c r="AI72" s="72">
        <v>66955200</v>
      </c>
      <c r="AJ72" s="72">
        <v>0.03</v>
      </c>
      <c r="AK72" s="72" t="s">
        <v>414</v>
      </c>
      <c r="AL72" s="72" t="s">
        <v>414</v>
      </c>
      <c r="AM72" s="72">
        <v>98.15</v>
      </c>
      <c r="AN72" s="72" t="s">
        <v>750</v>
      </c>
      <c r="AO72" s="72" t="s">
        <v>751</v>
      </c>
      <c r="AP72" s="72">
        <v>1.1499999999999999</v>
      </c>
      <c r="AQ72" s="72">
        <v>1888</v>
      </c>
      <c r="AR72" s="72">
        <v>509</v>
      </c>
      <c r="AS72" s="72">
        <v>5.0000000000000001E-4</v>
      </c>
      <c r="AT72" s="72">
        <v>2</v>
      </c>
      <c r="AU72" s="72">
        <v>4.3</v>
      </c>
      <c r="AV72" s="72">
        <v>1.23</v>
      </c>
      <c r="AW72" s="72" t="s">
        <v>752</v>
      </c>
      <c r="AX72" s="72">
        <v>1.78</v>
      </c>
      <c r="AY72" s="72">
        <v>26.89</v>
      </c>
      <c r="AZ72" s="72">
        <v>32.35</v>
      </c>
      <c r="BA72" s="72">
        <v>0.98</v>
      </c>
      <c r="BB72" s="72">
        <v>3.56</v>
      </c>
      <c r="BC72" s="72">
        <v>0.62</v>
      </c>
      <c r="BD72" s="72">
        <v>2.48</v>
      </c>
      <c r="BE72" s="72">
        <v>2.14</v>
      </c>
      <c r="BF72" s="72">
        <v>-0.41</v>
      </c>
      <c r="BG72" s="72">
        <v>2.5</v>
      </c>
      <c r="BH72" s="72">
        <v>0.65</v>
      </c>
      <c r="BI72" s="72">
        <v>20200825</v>
      </c>
      <c r="BJ72" s="72">
        <v>20030106</v>
      </c>
      <c r="BK72" s="72">
        <v>129.27000000000001</v>
      </c>
      <c r="BL72" s="72" t="s">
        <v>414</v>
      </c>
      <c r="BM72" s="72">
        <v>22.78</v>
      </c>
      <c r="BN72" s="72">
        <v>9750.39</v>
      </c>
      <c r="BO72" s="72">
        <v>1760.44</v>
      </c>
      <c r="BP72" s="72">
        <v>39.56</v>
      </c>
      <c r="BQ72" s="72">
        <v>81.540000000000006</v>
      </c>
      <c r="BR72" s="72">
        <v>0</v>
      </c>
      <c r="BS72" s="72">
        <v>73.239999999999995</v>
      </c>
      <c r="BT72" s="72">
        <v>29.96</v>
      </c>
      <c r="BU72" s="72">
        <v>0</v>
      </c>
      <c r="BV72" s="72">
        <v>0</v>
      </c>
      <c r="BW72" s="72">
        <v>0</v>
      </c>
      <c r="BX72" s="72">
        <v>655.08000000000004</v>
      </c>
      <c r="BY72" s="72">
        <v>267.44</v>
      </c>
      <c r="BZ72" s="72">
        <v>0</v>
      </c>
      <c r="CA72" s="72">
        <v>118.77</v>
      </c>
      <c r="CB72" s="72">
        <v>81.3</v>
      </c>
      <c r="CC72" s="72">
        <v>118.74</v>
      </c>
      <c r="CD72" s="72">
        <v>92.2</v>
      </c>
      <c r="CE72" s="72">
        <v>89.26</v>
      </c>
      <c r="CF72" s="72">
        <v>624.38</v>
      </c>
      <c r="CG72" s="72">
        <v>308.99</v>
      </c>
      <c r="CH72" s="72">
        <v>444.42</v>
      </c>
      <c r="CI72" s="72">
        <v>585027</v>
      </c>
      <c r="CJ72" s="72">
        <v>13358</v>
      </c>
      <c r="CK72" s="72" t="s">
        <v>753</v>
      </c>
      <c r="CL72" s="72">
        <v>38.479999999999997</v>
      </c>
      <c r="CM72" s="72">
        <v>22.73</v>
      </c>
      <c r="CN72" s="72">
        <v>2.3199999999999998</v>
      </c>
      <c r="CO72" s="72">
        <v>13.2</v>
      </c>
      <c r="CP72" s="72">
        <v>15.25</v>
      </c>
      <c r="CQ72" s="72">
        <v>1.63</v>
      </c>
      <c r="CR72" s="72" t="s">
        <v>754</v>
      </c>
      <c r="CS72" s="72">
        <v>13.62</v>
      </c>
      <c r="CT72" s="72">
        <v>0</v>
      </c>
      <c r="CU72" s="72">
        <v>5.07</v>
      </c>
      <c r="CV72" s="72">
        <v>4.83</v>
      </c>
      <c r="CW72" s="72">
        <v>18.059999999999999</v>
      </c>
      <c r="CX72" s="72" t="s">
        <v>755</v>
      </c>
      <c r="CY72" s="72" t="s">
        <v>414</v>
      </c>
      <c r="CZ72" s="72">
        <v>44.41</v>
      </c>
      <c r="DA72" s="72">
        <v>33.380000000000003</v>
      </c>
      <c r="DB72" s="72">
        <v>600030</v>
      </c>
    </row>
    <row r="73" spans="7:106" x14ac:dyDescent="0.25">
      <c r="G73" s="72">
        <v>600026</v>
      </c>
      <c r="H73" s="72" t="s">
        <v>366</v>
      </c>
      <c r="I73" s="72">
        <v>0.81</v>
      </c>
      <c r="J73" s="72">
        <v>2.11</v>
      </c>
      <c r="K73" s="72">
        <v>7.43</v>
      </c>
      <c r="L73" s="72">
        <v>0.06</v>
      </c>
      <c r="M73" s="72">
        <v>7.43</v>
      </c>
      <c r="N73" s="72">
        <v>7.44</v>
      </c>
      <c r="O73" s="72">
        <v>133133</v>
      </c>
      <c r="P73" s="72">
        <v>2</v>
      </c>
      <c r="Q73" s="72">
        <v>-0.12</v>
      </c>
      <c r="R73" s="72">
        <v>0.49</v>
      </c>
      <c r="S73" s="72">
        <v>7.45</v>
      </c>
      <c r="T73" s="72">
        <v>7.49</v>
      </c>
      <c r="U73" s="72">
        <v>7.37</v>
      </c>
      <c r="V73" s="72">
        <v>7.37</v>
      </c>
      <c r="W73" s="72">
        <v>6.09</v>
      </c>
      <c r="X73" s="114">
        <v>98820304</v>
      </c>
      <c r="Y73" s="72" t="s">
        <v>367</v>
      </c>
      <c r="Z73" s="72" t="s">
        <v>365</v>
      </c>
      <c r="AA73" s="72">
        <v>1.63</v>
      </c>
      <c r="AB73" s="72">
        <v>7.42</v>
      </c>
      <c r="AC73" s="72">
        <v>67750</v>
      </c>
      <c r="AD73" s="72">
        <v>65383</v>
      </c>
      <c r="AE73" s="72">
        <v>1.04</v>
      </c>
      <c r="AF73" s="72">
        <v>1360</v>
      </c>
      <c r="AG73" s="72">
        <v>140</v>
      </c>
      <c r="AH73" s="72" t="s">
        <v>414</v>
      </c>
      <c r="AI73" s="72">
        <v>1323900</v>
      </c>
      <c r="AJ73" s="72">
        <v>0.01</v>
      </c>
      <c r="AK73" s="72" t="s">
        <v>414</v>
      </c>
      <c r="AL73" s="72" t="s">
        <v>414</v>
      </c>
      <c r="AM73" s="72">
        <v>27.36</v>
      </c>
      <c r="AN73" s="72" t="s">
        <v>756</v>
      </c>
      <c r="AO73" s="72" t="s">
        <v>757</v>
      </c>
      <c r="AP73" s="72">
        <v>-1.17</v>
      </c>
      <c r="AQ73" s="72">
        <v>1697</v>
      </c>
      <c r="AR73" s="72">
        <v>78</v>
      </c>
      <c r="AS73" s="72">
        <v>2.9999999999999997E-4</v>
      </c>
      <c r="AT73" s="72">
        <v>2</v>
      </c>
      <c r="AU73" s="72">
        <v>2.9</v>
      </c>
      <c r="AV73" s="72">
        <v>1.1100000000000001</v>
      </c>
      <c r="AW73" s="72" t="s">
        <v>758</v>
      </c>
      <c r="AX73" s="72">
        <v>1.37</v>
      </c>
      <c r="AY73" s="72">
        <v>12.23</v>
      </c>
      <c r="AZ73" s="72">
        <v>81.33</v>
      </c>
      <c r="BA73" s="72">
        <v>1.0900000000000001</v>
      </c>
      <c r="BB73" s="72">
        <v>1.63</v>
      </c>
      <c r="BC73" s="72">
        <v>0</v>
      </c>
      <c r="BD73" s="72">
        <v>0.71</v>
      </c>
      <c r="BE73" s="72">
        <v>-0.27</v>
      </c>
      <c r="BF73" s="72">
        <v>-0.8</v>
      </c>
      <c r="BG73" s="72">
        <v>0.81</v>
      </c>
      <c r="BH73" s="72">
        <v>0.1</v>
      </c>
      <c r="BI73" s="72">
        <v>20200828</v>
      </c>
      <c r="BJ73" s="72">
        <v>20020523</v>
      </c>
      <c r="BK73" s="72">
        <v>47.63</v>
      </c>
      <c r="BL73" s="72" t="s">
        <v>414</v>
      </c>
      <c r="BM73" s="72">
        <v>12.96</v>
      </c>
      <c r="BN73" s="72">
        <v>708.37</v>
      </c>
      <c r="BO73" s="72">
        <v>358</v>
      </c>
      <c r="BP73" s="72">
        <v>7.71</v>
      </c>
      <c r="BQ73" s="72">
        <v>48.37</v>
      </c>
      <c r="BR73" s="72">
        <v>116.71</v>
      </c>
      <c r="BS73" s="72">
        <v>471.71</v>
      </c>
      <c r="BT73" s="72">
        <v>0.66</v>
      </c>
      <c r="BU73" s="72">
        <v>112.33</v>
      </c>
      <c r="BV73" s="72">
        <v>7.97</v>
      </c>
      <c r="BW73" s="72">
        <v>13.25</v>
      </c>
      <c r="BX73" s="72">
        <v>119.26</v>
      </c>
      <c r="BY73" s="72">
        <v>97.62</v>
      </c>
      <c r="BZ73" s="72">
        <v>61.02</v>
      </c>
      <c r="CA73" s="72">
        <v>32.51</v>
      </c>
      <c r="CB73" s="72">
        <v>4.5999999999999996</v>
      </c>
      <c r="CC73" s="72">
        <v>32.47</v>
      </c>
      <c r="CD73" s="72">
        <v>30.47</v>
      </c>
      <c r="CE73" s="72">
        <v>29.07</v>
      </c>
      <c r="CF73" s="72">
        <v>160.9</v>
      </c>
      <c r="CG73" s="72">
        <v>35.21</v>
      </c>
      <c r="CH73" s="72">
        <v>32.6</v>
      </c>
      <c r="CI73" s="72">
        <v>92645</v>
      </c>
      <c r="CJ73" s="72">
        <v>12943</v>
      </c>
      <c r="CK73" s="72" t="s">
        <v>759</v>
      </c>
      <c r="CL73" s="72">
        <v>520.04</v>
      </c>
      <c r="CM73" s="72">
        <v>36.770000000000003</v>
      </c>
      <c r="CN73" s="72">
        <v>0.99</v>
      </c>
      <c r="CO73" s="72">
        <v>10.050000000000001</v>
      </c>
      <c r="CP73" s="72">
        <v>3.63</v>
      </c>
      <c r="CQ73" s="72">
        <v>0.54</v>
      </c>
      <c r="CR73" s="72" t="s">
        <v>760</v>
      </c>
      <c r="CS73" s="72">
        <v>7.52</v>
      </c>
      <c r="CT73" s="72">
        <v>0</v>
      </c>
      <c r="CU73" s="72">
        <v>2.5</v>
      </c>
      <c r="CV73" s="72">
        <v>3.38</v>
      </c>
      <c r="CW73" s="72">
        <v>50.54</v>
      </c>
      <c r="CX73" s="72" t="s">
        <v>761</v>
      </c>
      <c r="CY73" s="72">
        <v>37.49</v>
      </c>
      <c r="CZ73" s="72">
        <v>33.299999999999997</v>
      </c>
      <c r="DA73" s="72">
        <v>29.78</v>
      </c>
      <c r="DB73" s="72">
        <v>600026</v>
      </c>
    </row>
    <row r="74" spans="7:106" x14ac:dyDescent="0.25">
      <c r="G74" s="72">
        <v>600008</v>
      </c>
      <c r="H74" s="72" t="s">
        <v>762</v>
      </c>
      <c r="I74" s="72">
        <v>1.02</v>
      </c>
      <c r="J74" s="72">
        <v>0.83</v>
      </c>
      <c r="K74" s="72">
        <v>2.96</v>
      </c>
      <c r="L74" s="72">
        <v>0.03</v>
      </c>
      <c r="M74" s="72">
        <v>2.96</v>
      </c>
      <c r="N74" s="72">
        <v>2.97</v>
      </c>
      <c r="O74" s="72">
        <v>129267</v>
      </c>
      <c r="P74" s="72">
        <v>32</v>
      </c>
      <c r="Q74" s="72">
        <v>-0.33</v>
      </c>
      <c r="R74" s="72">
        <v>0.18</v>
      </c>
      <c r="S74" s="72">
        <v>2.94</v>
      </c>
      <c r="T74" s="72">
        <v>2.97</v>
      </c>
      <c r="U74" s="72">
        <v>2.93</v>
      </c>
      <c r="V74" s="72">
        <v>2.93</v>
      </c>
      <c r="W74" s="72">
        <v>25.5</v>
      </c>
      <c r="X74" s="72">
        <v>38204408</v>
      </c>
      <c r="Y74" s="72" t="s">
        <v>381</v>
      </c>
      <c r="Z74" s="72" t="s">
        <v>372</v>
      </c>
      <c r="AA74" s="72">
        <v>1.37</v>
      </c>
      <c r="AB74" s="72">
        <v>2.96</v>
      </c>
      <c r="AC74" s="72">
        <v>51439</v>
      </c>
      <c r="AD74" s="72">
        <v>77828</v>
      </c>
      <c r="AE74" s="72">
        <v>0.66</v>
      </c>
      <c r="AF74" s="72">
        <v>14550</v>
      </c>
      <c r="AG74" s="72">
        <v>17532</v>
      </c>
      <c r="AH74" s="72" t="s">
        <v>414</v>
      </c>
      <c r="AI74" s="72">
        <v>1066700</v>
      </c>
      <c r="AJ74" s="72">
        <v>0.01</v>
      </c>
      <c r="AK74" s="72" t="s">
        <v>414</v>
      </c>
      <c r="AL74" s="72" t="s">
        <v>414</v>
      </c>
      <c r="AM74" s="72">
        <v>73.41</v>
      </c>
      <c r="AN74" s="72" t="s">
        <v>763</v>
      </c>
      <c r="AO74" s="72" t="s">
        <v>763</v>
      </c>
      <c r="AP74" s="72">
        <v>-0.96</v>
      </c>
      <c r="AQ74" s="72">
        <v>1306</v>
      </c>
      <c r="AR74" s="72">
        <v>99</v>
      </c>
      <c r="AS74" s="72">
        <v>1E-4</v>
      </c>
      <c r="AT74" s="72">
        <v>2</v>
      </c>
      <c r="AU74" s="72">
        <v>0.68</v>
      </c>
      <c r="AV74" s="72">
        <v>0.32</v>
      </c>
      <c r="AW74" s="72" t="s">
        <v>764</v>
      </c>
      <c r="AX74" s="72">
        <v>0.54</v>
      </c>
      <c r="AY74" s="72">
        <v>20.22</v>
      </c>
      <c r="AZ74" s="72">
        <v>22.44</v>
      </c>
      <c r="BA74" s="72">
        <v>0.34</v>
      </c>
      <c r="BB74" s="72">
        <v>1.37</v>
      </c>
      <c r="BC74" s="72">
        <v>0</v>
      </c>
      <c r="BD74" s="72">
        <v>0.87</v>
      </c>
      <c r="BE74" s="72">
        <v>0.68</v>
      </c>
      <c r="BF74" s="72">
        <v>-0.34</v>
      </c>
      <c r="BG74" s="72">
        <v>1.02</v>
      </c>
      <c r="BH74" s="72">
        <v>0.15</v>
      </c>
      <c r="BI74" s="72">
        <v>20200929</v>
      </c>
      <c r="BJ74" s="72">
        <v>20000427</v>
      </c>
      <c r="BK74" s="72">
        <v>73.41</v>
      </c>
      <c r="BL74" s="72" t="s">
        <v>414</v>
      </c>
      <c r="BM74" s="72" t="s">
        <v>414</v>
      </c>
      <c r="BN74" s="72">
        <v>870.27</v>
      </c>
      <c r="BO74" s="72">
        <v>200.76</v>
      </c>
      <c r="BP74" s="72">
        <v>69.42</v>
      </c>
      <c r="BQ74" s="72">
        <v>68.95</v>
      </c>
      <c r="BR74" s="72">
        <v>164.13</v>
      </c>
      <c r="BS74" s="72">
        <v>57.19</v>
      </c>
      <c r="BT74" s="72">
        <v>303.3</v>
      </c>
      <c r="BU74" s="72">
        <v>202.4</v>
      </c>
      <c r="BV74" s="72">
        <v>8.14</v>
      </c>
      <c r="BW74" s="72">
        <v>46.21</v>
      </c>
      <c r="BX74" s="72">
        <v>23.93</v>
      </c>
      <c r="BY74" s="72">
        <v>69.56</v>
      </c>
      <c r="BZ74" s="72">
        <v>47.59</v>
      </c>
      <c r="CA74" s="72">
        <v>7.51</v>
      </c>
      <c r="CB74" s="72">
        <v>0.78</v>
      </c>
      <c r="CC74" s="72">
        <v>7.62</v>
      </c>
      <c r="CD74" s="72">
        <v>4.7699999999999996</v>
      </c>
      <c r="CE74" s="72">
        <v>4.26</v>
      </c>
      <c r="CF74" s="72">
        <v>20.68</v>
      </c>
      <c r="CG74" s="72">
        <v>14.33</v>
      </c>
      <c r="CH74" s="72">
        <v>12.33</v>
      </c>
      <c r="CI74" s="72">
        <v>193477</v>
      </c>
      <c r="CJ74" s="72">
        <v>20607</v>
      </c>
      <c r="CK74" s="72" t="s">
        <v>612</v>
      </c>
      <c r="CL74" s="72">
        <v>32.799999999999997</v>
      </c>
      <c r="CM74" s="72">
        <v>21.02</v>
      </c>
      <c r="CN74" s="72">
        <v>1.52</v>
      </c>
      <c r="CO74" s="72">
        <v>15.17</v>
      </c>
      <c r="CP74" s="72">
        <v>3.12</v>
      </c>
      <c r="CQ74" s="72">
        <v>2.11</v>
      </c>
      <c r="CR74" s="72" t="s">
        <v>765</v>
      </c>
      <c r="CS74" s="72">
        <v>1.95</v>
      </c>
      <c r="CT74" s="72">
        <v>1.95</v>
      </c>
      <c r="CU74" s="72">
        <v>0.33</v>
      </c>
      <c r="CV74" s="72">
        <v>0.28000000000000003</v>
      </c>
      <c r="CW74" s="72">
        <v>23.07</v>
      </c>
      <c r="CX74" s="72" t="s">
        <v>766</v>
      </c>
      <c r="CY74" s="72">
        <v>31.59</v>
      </c>
      <c r="CZ74" s="72">
        <v>10.8</v>
      </c>
      <c r="DA74" s="72">
        <v>6.13</v>
      </c>
      <c r="DB74" s="72">
        <v>600008</v>
      </c>
    </row>
    <row r="75" spans="7:106" x14ac:dyDescent="0.25">
      <c r="G75" s="72">
        <v>35</v>
      </c>
      <c r="H75" s="72" t="s">
        <v>767</v>
      </c>
      <c r="I75" s="72">
        <v>1.26</v>
      </c>
      <c r="J75" s="72">
        <v>2.29</v>
      </c>
      <c r="K75" s="72">
        <v>4.8099999999999996</v>
      </c>
      <c r="L75" s="72">
        <v>0.06</v>
      </c>
      <c r="M75" s="72">
        <v>4.8099999999999996</v>
      </c>
      <c r="N75" s="72">
        <v>4.82</v>
      </c>
      <c r="O75" s="72">
        <v>49055</v>
      </c>
      <c r="P75" s="72">
        <v>16</v>
      </c>
      <c r="Q75" s="72">
        <v>-0.2</v>
      </c>
      <c r="R75" s="72">
        <v>0.21</v>
      </c>
      <c r="S75" s="72">
        <v>4.76</v>
      </c>
      <c r="T75" s="72">
        <v>4.83</v>
      </c>
      <c r="U75" s="72">
        <v>4.7300000000000004</v>
      </c>
      <c r="V75" s="72">
        <v>4.75</v>
      </c>
      <c r="W75" s="72">
        <v>20.51</v>
      </c>
      <c r="X75" s="72">
        <v>23457504</v>
      </c>
      <c r="Y75" s="72" t="s">
        <v>381</v>
      </c>
      <c r="Z75" s="72" t="s">
        <v>368</v>
      </c>
      <c r="AA75" s="72">
        <v>2.11</v>
      </c>
      <c r="AB75" s="72">
        <v>4.78</v>
      </c>
      <c r="AC75" s="72">
        <v>23678</v>
      </c>
      <c r="AD75" s="72">
        <v>25377</v>
      </c>
      <c r="AE75" s="72">
        <v>0.93</v>
      </c>
      <c r="AF75" s="72">
        <v>2716</v>
      </c>
      <c r="AG75" s="72">
        <v>1136</v>
      </c>
      <c r="AH75" s="72" t="s">
        <v>414</v>
      </c>
      <c r="AI75" s="72">
        <v>46600</v>
      </c>
      <c r="AJ75" s="72">
        <v>0</v>
      </c>
      <c r="AK75" s="72" t="s">
        <v>414</v>
      </c>
      <c r="AL75" s="72" t="s">
        <v>414</v>
      </c>
      <c r="AM75" s="72">
        <v>23.68</v>
      </c>
      <c r="AN75" s="72" t="s">
        <v>768</v>
      </c>
      <c r="AO75" s="72" t="s">
        <v>769</v>
      </c>
      <c r="AP75" s="72">
        <v>-0.91</v>
      </c>
      <c r="AQ75" s="72">
        <v>664</v>
      </c>
      <c r="AR75" s="72">
        <v>74</v>
      </c>
      <c r="AS75" s="72">
        <v>2.9999999999999997E-4</v>
      </c>
      <c r="AT75" s="72">
        <v>2</v>
      </c>
      <c r="AU75" s="72">
        <v>1.48</v>
      </c>
      <c r="AV75" s="72">
        <v>0.33</v>
      </c>
      <c r="AW75" s="72" t="s">
        <v>770</v>
      </c>
      <c r="AX75" s="72">
        <v>0.69</v>
      </c>
      <c r="AY75" s="72">
        <v>15.04</v>
      </c>
      <c r="AZ75" s="72">
        <v>16.809999999999999</v>
      </c>
      <c r="BA75" s="72">
        <v>0.21</v>
      </c>
      <c r="BB75" s="72">
        <v>1.68</v>
      </c>
      <c r="BC75" s="72">
        <v>-0.42</v>
      </c>
      <c r="BD75" s="72">
        <v>0.67</v>
      </c>
      <c r="BE75" s="72">
        <v>1.05</v>
      </c>
      <c r="BF75" s="72">
        <v>-0.41</v>
      </c>
      <c r="BG75" s="72">
        <v>1.69</v>
      </c>
      <c r="BH75" s="72">
        <v>0.59</v>
      </c>
      <c r="BI75" s="72">
        <v>20200831</v>
      </c>
      <c r="BJ75" s="72">
        <v>19940408</v>
      </c>
      <c r="BK75" s="72">
        <v>25.24</v>
      </c>
      <c r="BL75" s="72" t="s">
        <v>414</v>
      </c>
      <c r="BM75" s="72" t="s">
        <v>414</v>
      </c>
      <c r="BN75" s="72">
        <v>492.17</v>
      </c>
      <c r="BO75" s="72">
        <v>111.04</v>
      </c>
      <c r="BP75" s="72">
        <v>10.9</v>
      </c>
      <c r="BQ75" s="72">
        <v>75.22</v>
      </c>
      <c r="BR75" s="72">
        <v>121.94</v>
      </c>
      <c r="BS75" s="72">
        <v>79.39</v>
      </c>
      <c r="BT75" s="72">
        <v>108.11</v>
      </c>
      <c r="BU75" s="72">
        <v>136.5</v>
      </c>
      <c r="BV75" s="72">
        <v>6.75</v>
      </c>
      <c r="BW75" s="72">
        <v>59.91</v>
      </c>
      <c r="BX75" s="72">
        <v>84.06</v>
      </c>
      <c r="BY75" s="72">
        <v>106.99</v>
      </c>
      <c r="BZ75" s="72">
        <v>91.02</v>
      </c>
      <c r="CA75" s="72">
        <v>4.82</v>
      </c>
      <c r="CB75" s="72">
        <v>0.2</v>
      </c>
      <c r="CC75" s="72">
        <v>5</v>
      </c>
      <c r="CD75" s="72">
        <v>3.51</v>
      </c>
      <c r="CE75" s="72">
        <v>2.96</v>
      </c>
      <c r="CF75" s="72">
        <v>20.53</v>
      </c>
      <c r="CG75" s="72">
        <v>12.78</v>
      </c>
      <c r="CH75" s="72">
        <v>-1.39</v>
      </c>
      <c r="CI75" s="72">
        <v>40646</v>
      </c>
      <c r="CJ75" s="72">
        <v>36527</v>
      </c>
      <c r="CK75" s="72" t="s">
        <v>771</v>
      </c>
      <c r="CL75" s="72">
        <v>39.770000000000003</v>
      </c>
      <c r="CM75" s="72">
        <v>33.01</v>
      </c>
      <c r="CN75" s="72">
        <v>1.0900000000000001</v>
      </c>
      <c r="CO75" s="72">
        <v>9.5</v>
      </c>
      <c r="CP75" s="72">
        <v>1.1299999999999999</v>
      </c>
      <c r="CQ75" s="72">
        <v>0</v>
      </c>
      <c r="CR75" s="72" t="s">
        <v>772</v>
      </c>
      <c r="CS75" s="72">
        <v>4.4000000000000004</v>
      </c>
      <c r="CT75" s="72">
        <v>0</v>
      </c>
      <c r="CU75" s="72">
        <v>3.33</v>
      </c>
      <c r="CV75" s="72">
        <v>0.81</v>
      </c>
      <c r="CW75" s="72">
        <v>22.56</v>
      </c>
      <c r="CX75" s="72" t="s">
        <v>773</v>
      </c>
      <c r="CY75" s="72">
        <v>14.92</v>
      </c>
      <c r="CZ75" s="72">
        <v>4.5</v>
      </c>
      <c r="DA75" s="72">
        <v>2.77</v>
      </c>
      <c r="DB75" s="72">
        <v>35</v>
      </c>
    </row>
    <row r="76" spans="7:106" x14ac:dyDescent="0.25">
      <c r="G76" s="72">
        <v>61</v>
      </c>
      <c r="H76" s="72" t="s">
        <v>774</v>
      </c>
      <c r="I76" s="72">
        <v>3.09</v>
      </c>
      <c r="J76" s="72">
        <v>2.7</v>
      </c>
      <c r="K76" s="72">
        <v>7.67</v>
      </c>
      <c r="L76" s="72">
        <v>0.23</v>
      </c>
      <c r="M76" s="72">
        <v>7.67</v>
      </c>
      <c r="N76" s="72">
        <v>7.68</v>
      </c>
      <c r="O76" s="72">
        <v>73468</v>
      </c>
      <c r="P76" s="72">
        <v>13</v>
      </c>
      <c r="Q76" s="72">
        <v>0.13</v>
      </c>
      <c r="R76" s="72">
        <v>0.43</v>
      </c>
      <c r="S76" s="72">
        <v>7.6</v>
      </c>
      <c r="T76" s="72">
        <v>7.74</v>
      </c>
      <c r="U76" s="72">
        <v>7.55</v>
      </c>
      <c r="V76" s="72">
        <v>7.44</v>
      </c>
      <c r="W76" s="72">
        <v>34.18</v>
      </c>
      <c r="X76" s="72">
        <v>56261608</v>
      </c>
      <c r="Y76" s="72" t="s">
        <v>348</v>
      </c>
      <c r="Z76" s="72" t="s">
        <v>385</v>
      </c>
      <c r="AA76" s="72">
        <v>2.5499999999999998</v>
      </c>
      <c r="AB76" s="72">
        <v>7.66</v>
      </c>
      <c r="AC76" s="72">
        <v>35958</v>
      </c>
      <c r="AD76" s="72">
        <v>37510</v>
      </c>
      <c r="AE76" s="72">
        <v>0.96</v>
      </c>
      <c r="AF76" s="72">
        <v>111</v>
      </c>
      <c r="AG76" s="72">
        <v>783</v>
      </c>
      <c r="AH76" s="72" t="s">
        <v>414</v>
      </c>
      <c r="AI76" s="72">
        <v>821400</v>
      </c>
      <c r="AJ76" s="72">
        <v>0.02</v>
      </c>
      <c r="AK76" s="72" t="s">
        <v>414</v>
      </c>
      <c r="AL76" s="72" t="s">
        <v>414</v>
      </c>
      <c r="AM76" s="72">
        <v>16.95</v>
      </c>
      <c r="AN76" s="72" t="s">
        <v>775</v>
      </c>
      <c r="AO76" s="72" t="s">
        <v>776</v>
      </c>
      <c r="AP76" s="72">
        <v>0.91</v>
      </c>
      <c r="AQ76" s="72">
        <v>1235</v>
      </c>
      <c r="AR76" s="72">
        <v>59</v>
      </c>
      <c r="AS76" s="72">
        <v>4.0000000000000002E-4</v>
      </c>
      <c r="AT76" s="72">
        <v>2</v>
      </c>
      <c r="AU76" s="72">
        <v>4.92</v>
      </c>
      <c r="AV76" s="72">
        <v>1.2</v>
      </c>
      <c r="AW76" s="72" t="s">
        <v>777</v>
      </c>
      <c r="AX76" s="72">
        <v>0.85</v>
      </c>
      <c r="AY76" s="72">
        <v>30.88</v>
      </c>
      <c r="AZ76" s="72">
        <v>40.700000000000003</v>
      </c>
      <c r="BA76" s="72">
        <v>2.15</v>
      </c>
      <c r="BB76" s="72">
        <v>4.03</v>
      </c>
      <c r="BC76" s="72">
        <v>1.48</v>
      </c>
      <c r="BD76" s="72">
        <v>2.93</v>
      </c>
      <c r="BE76" s="72">
        <v>0.92</v>
      </c>
      <c r="BF76" s="72">
        <v>-0.9</v>
      </c>
      <c r="BG76" s="72">
        <v>1.59</v>
      </c>
      <c r="BH76" s="72">
        <v>0.16</v>
      </c>
      <c r="BI76" s="72">
        <v>20200829</v>
      </c>
      <c r="BJ76" s="72">
        <v>19970110</v>
      </c>
      <c r="BK76" s="72">
        <v>16.97</v>
      </c>
      <c r="BL76" s="72" t="s">
        <v>414</v>
      </c>
      <c r="BM76" s="72" t="s">
        <v>414</v>
      </c>
      <c r="BN76" s="72">
        <v>186.39</v>
      </c>
      <c r="BO76" s="72">
        <v>52.79</v>
      </c>
      <c r="BP76" s="72">
        <v>17.21</v>
      </c>
      <c r="BQ76" s="72">
        <v>62.45</v>
      </c>
      <c r="BR76" s="72">
        <v>32.04</v>
      </c>
      <c r="BS76" s="72">
        <v>20</v>
      </c>
      <c r="BT76" s="72">
        <v>17.32</v>
      </c>
      <c r="BU76" s="72">
        <v>65.75</v>
      </c>
      <c r="BV76" s="72">
        <v>6.11</v>
      </c>
      <c r="BW76" s="72">
        <v>0.76</v>
      </c>
      <c r="BX76" s="72">
        <v>27.96</v>
      </c>
      <c r="BY76" s="72">
        <v>14.89</v>
      </c>
      <c r="BZ76" s="72">
        <v>9.15</v>
      </c>
      <c r="CA76" s="72">
        <v>3.96</v>
      </c>
      <c r="CB76" s="72">
        <v>1.57</v>
      </c>
      <c r="CC76" s="72">
        <v>3.94</v>
      </c>
      <c r="CD76" s="72">
        <v>2.64</v>
      </c>
      <c r="CE76" s="72">
        <v>1.9</v>
      </c>
      <c r="CF76" s="72">
        <v>5.04</v>
      </c>
      <c r="CG76" s="72">
        <v>1.84</v>
      </c>
      <c r="CH76" s="72">
        <v>-8.93</v>
      </c>
      <c r="CI76" s="72">
        <v>73000</v>
      </c>
      <c r="CJ76" s="72">
        <v>8355</v>
      </c>
      <c r="CK76" s="72" t="s">
        <v>507</v>
      </c>
      <c r="CL76" s="72">
        <v>107.64</v>
      </c>
      <c r="CM76" s="72">
        <v>10.81</v>
      </c>
      <c r="CN76" s="72">
        <v>2.4700000000000002</v>
      </c>
      <c r="CO76" s="72">
        <v>70.790000000000006</v>
      </c>
      <c r="CP76" s="72">
        <v>8.74</v>
      </c>
      <c r="CQ76" s="72">
        <v>0.81</v>
      </c>
      <c r="CR76" s="72" t="s">
        <v>778</v>
      </c>
      <c r="CS76" s="72">
        <v>3.11</v>
      </c>
      <c r="CT76" s="72">
        <v>0</v>
      </c>
      <c r="CU76" s="72">
        <v>1.65</v>
      </c>
      <c r="CV76" s="72">
        <v>0.3</v>
      </c>
      <c r="CW76" s="72">
        <v>28.32</v>
      </c>
      <c r="CX76" s="72" t="s">
        <v>779</v>
      </c>
      <c r="CY76" s="72">
        <v>38.6</v>
      </c>
      <c r="CZ76" s="72">
        <v>26.56</v>
      </c>
      <c r="DA76" s="72">
        <v>12.78</v>
      </c>
      <c r="DB76" s="72">
        <v>61</v>
      </c>
    </row>
    <row r="77" spans="7:106" x14ac:dyDescent="0.25">
      <c r="G77" s="72">
        <v>157</v>
      </c>
      <c r="H77" s="72" t="s">
        <v>408</v>
      </c>
      <c r="I77" s="72">
        <v>1.2</v>
      </c>
      <c r="J77" s="72">
        <v>1.83</v>
      </c>
      <c r="K77" s="72">
        <v>8.42</v>
      </c>
      <c r="L77" s="72">
        <v>0.1</v>
      </c>
      <c r="M77" s="72">
        <v>8.41</v>
      </c>
      <c r="N77" s="72">
        <v>8.42</v>
      </c>
      <c r="O77" s="72">
        <v>299441</v>
      </c>
      <c r="P77" s="72">
        <v>76</v>
      </c>
      <c r="Q77" s="72">
        <v>0.72</v>
      </c>
      <c r="R77" s="72">
        <v>0.47</v>
      </c>
      <c r="S77" s="72">
        <v>8.32</v>
      </c>
      <c r="T77" s="72">
        <v>8.42</v>
      </c>
      <c r="U77" s="72">
        <v>8.2799999999999994</v>
      </c>
      <c r="V77" s="72">
        <v>8.32</v>
      </c>
      <c r="W77" s="72">
        <v>8.2799999999999994</v>
      </c>
      <c r="X77" s="114">
        <v>250000000</v>
      </c>
      <c r="Y77" s="72" t="s">
        <v>383</v>
      </c>
      <c r="Z77" s="72" t="s">
        <v>384</v>
      </c>
      <c r="AA77" s="72">
        <v>1.68</v>
      </c>
      <c r="AB77" s="72">
        <v>8.36</v>
      </c>
      <c r="AC77" s="72">
        <v>157505</v>
      </c>
      <c r="AD77" s="72">
        <v>141936</v>
      </c>
      <c r="AE77" s="72">
        <v>1.1100000000000001</v>
      </c>
      <c r="AF77" s="72">
        <v>337</v>
      </c>
      <c r="AG77" s="72">
        <v>480</v>
      </c>
      <c r="AH77" s="72" t="s">
        <v>414</v>
      </c>
      <c r="AI77" s="72">
        <v>2597500</v>
      </c>
      <c r="AJ77" s="72">
        <v>0.01</v>
      </c>
      <c r="AK77" s="72" t="s">
        <v>414</v>
      </c>
      <c r="AL77" s="72" t="s">
        <v>414</v>
      </c>
      <c r="AM77" s="72">
        <v>64.36</v>
      </c>
      <c r="AN77" s="72" t="s">
        <v>780</v>
      </c>
      <c r="AO77" s="72" t="s">
        <v>781</v>
      </c>
      <c r="AP77" s="72">
        <v>-0.98</v>
      </c>
      <c r="AQ77" s="72">
        <v>1793</v>
      </c>
      <c r="AR77" s="72">
        <v>167</v>
      </c>
      <c r="AS77" s="72">
        <v>2.9999999999999997E-4</v>
      </c>
      <c r="AT77" s="72">
        <v>3</v>
      </c>
      <c r="AU77" s="72">
        <v>5.12</v>
      </c>
      <c r="AV77" s="72">
        <v>0.65</v>
      </c>
      <c r="AW77" s="72" t="s">
        <v>782</v>
      </c>
      <c r="AX77" s="72">
        <v>0.86</v>
      </c>
      <c r="AY77" s="72">
        <v>11.3</v>
      </c>
      <c r="AZ77" s="72">
        <v>15.03</v>
      </c>
      <c r="BA77" s="72">
        <v>0</v>
      </c>
      <c r="BB77" s="72">
        <v>1.2</v>
      </c>
      <c r="BC77" s="72">
        <v>-0.48</v>
      </c>
      <c r="BD77" s="72">
        <v>0.5</v>
      </c>
      <c r="BE77" s="72">
        <v>1.2</v>
      </c>
      <c r="BF77" s="72">
        <v>0</v>
      </c>
      <c r="BG77" s="72">
        <v>1.69</v>
      </c>
      <c r="BH77" s="72">
        <v>0.7</v>
      </c>
      <c r="BI77" s="72">
        <v>20200914</v>
      </c>
      <c r="BJ77" s="72">
        <v>20001012</v>
      </c>
      <c r="BK77" s="72">
        <v>78.989999999999995</v>
      </c>
      <c r="BL77" s="72" t="s">
        <v>414</v>
      </c>
      <c r="BM77" s="72">
        <v>13.88</v>
      </c>
      <c r="BN77" s="72">
        <v>1083.74</v>
      </c>
      <c r="BO77" s="72">
        <v>443.11</v>
      </c>
      <c r="BP77" s="72">
        <v>9.2799999999999994</v>
      </c>
      <c r="BQ77" s="72">
        <v>58.26</v>
      </c>
      <c r="BR77" s="72">
        <v>750.06</v>
      </c>
      <c r="BS77" s="72">
        <v>56.43</v>
      </c>
      <c r="BT77" s="72">
        <v>39.619999999999997</v>
      </c>
      <c r="BU77" s="72">
        <v>416.17</v>
      </c>
      <c r="BV77" s="72">
        <v>132.80000000000001</v>
      </c>
      <c r="BW77" s="72">
        <v>285.75</v>
      </c>
      <c r="BX77" s="72">
        <v>129.12</v>
      </c>
      <c r="BY77" s="72">
        <v>288.27</v>
      </c>
      <c r="BZ77" s="72">
        <v>203.64</v>
      </c>
      <c r="CA77" s="72">
        <v>47.01</v>
      </c>
      <c r="CB77" s="72">
        <v>2.83</v>
      </c>
      <c r="CC77" s="72">
        <v>47.19</v>
      </c>
      <c r="CD77" s="72">
        <v>40.51</v>
      </c>
      <c r="CE77" s="72">
        <v>40.18</v>
      </c>
      <c r="CF77" s="72">
        <v>214.49</v>
      </c>
      <c r="CG77" s="72">
        <v>14.79</v>
      </c>
      <c r="CH77" s="72">
        <v>22.03</v>
      </c>
      <c r="CI77" s="72">
        <v>231777</v>
      </c>
      <c r="CJ77" s="72">
        <v>20018</v>
      </c>
      <c r="CK77" s="72" t="s">
        <v>783</v>
      </c>
      <c r="CL77" s="72">
        <v>55.97</v>
      </c>
      <c r="CM77" s="72">
        <v>29.49</v>
      </c>
      <c r="CN77" s="72">
        <v>1.5</v>
      </c>
      <c r="CO77" s="72">
        <v>44.96</v>
      </c>
      <c r="CP77" s="72">
        <v>2.31</v>
      </c>
      <c r="CQ77" s="72">
        <v>2.52</v>
      </c>
      <c r="CR77" s="72" t="s">
        <v>613</v>
      </c>
      <c r="CS77" s="72">
        <v>5.61</v>
      </c>
      <c r="CT77" s="72">
        <v>0</v>
      </c>
      <c r="CU77" s="72">
        <v>1.63</v>
      </c>
      <c r="CV77" s="72">
        <v>2.72</v>
      </c>
      <c r="CW77" s="72">
        <v>40.89</v>
      </c>
      <c r="CX77" s="72" t="s">
        <v>784</v>
      </c>
      <c r="CY77" s="72">
        <v>29.36</v>
      </c>
      <c r="CZ77" s="72">
        <v>16.309999999999999</v>
      </c>
      <c r="DA77" s="72">
        <v>13.94</v>
      </c>
      <c r="DB77" s="72">
        <v>157</v>
      </c>
    </row>
    <row r="78" spans="7:106" x14ac:dyDescent="0.25">
      <c r="G78" s="72">
        <v>166</v>
      </c>
      <c r="H78" s="72" t="s">
        <v>410</v>
      </c>
      <c r="I78" s="72">
        <v>2.77</v>
      </c>
      <c r="J78" s="72">
        <v>2.77</v>
      </c>
      <c r="K78" s="72">
        <v>5.56</v>
      </c>
      <c r="L78" s="72">
        <v>0.15</v>
      </c>
      <c r="M78" s="72">
        <v>5.55</v>
      </c>
      <c r="N78" s="72">
        <v>5.56</v>
      </c>
      <c r="O78" s="72">
        <v>733486</v>
      </c>
      <c r="P78" s="72">
        <v>4</v>
      </c>
      <c r="Q78" s="72">
        <v>0.18</v>
      </c>
      <c r="R78" s="72">
        <v>0.33</v>
      </c>
      <c r="S78" s="72">
        <v>5.43</v>
      </c>
      <c r="T78" s="72">
        <v>5.58</v>
      </c>
      <c r="U78" s="72">
        <v>5.43</v>
      </c>
      <c r="V78" s="72">
        <v>5.41</v>
      </c>
      <c r="W78" s="72">
        <v>17.25</v>
      </c>
      <c r="X78" s="114">
        <v>405000000</v>
      </c>
      <c r="Y78" s="72" t="s">
        <v>411</v>
      </c>
      <c r="Z78" s="72" t="s">
        <v>380</v>
      </c>
      <c r="AA78" s="72">
        <v>2.77</v>
      </c>
      <c r="AB78" s="72">
        <v>5.53</v>
      </c>
      <c r="AC78" s="72">
        <v>339578</v>
      </c>
      <c r="AD78" s="72">
        <v>393908</v>
      </c>
      <c r="AE78" s="72">
        <v>0.86</v>
      </c>
      <c r="AF78" s="72">
        <v>663</v>
      </c>
      <c r="AG78" s="72">
        <v>5898</v>
      </c>
      <c r="AH78" s="72" t="s">
        <v>414</v>
      </c>
      <c r="AI78" s="72">
        <v>1514200</v>
      </c>
      <c r="AJ78" s="72">
        <v>0</v>
      </c>
      <c r="AK78" s="72" t="s">
        <v>414</v>
      </c>
      <c r="AL78" s="72" t="s">
        <v>414</v>
      </c>
      <c r="AM78" s="72">
        <v>225.36</v>
      </c>
      <c r="AN78" s="72" t="s">
        <v>785</v>
      </c>
      <c r="AO78" s="72" t="s">
        <v>786</v>
      </c>
      <c r="AP78" s="72">
        <v>0.6</v>
      </c>
      <c r="AQ78" s="72">
        <v>1775</v>
      </c>
      <c r="AR78" s="72">
        <v>413</v>
      </c>
      <c r="AS78" s="72">
        <v>2.0000000000000001E-4</v>
      </c>
      <c r="AT78" s="72">
        <v>2</v>
      </c>
      <c r="AU78" s="72">
        <v>2.39</v>
      </c>
      <c r="AV78" s="72">
        <v>0.74</v>
      </c>
      <c r="AW78" s="72" t="s">
        <v>787</v>
      </c>
      <c r="AX78" s="72">
        <v>0.89</v>
      </c>
      <c r="AY78" s="72">
        <v>20.62</v>
      </c>
      <c r="AZ78" s="72">
        <v>23.62</v>
      </c>
      <c r="BA78" s="72">
        <v>0.37</v>
      </c>
      <c r="BB78" s="72">
        <v>3.14</v>
      </c>
      <c r="BC78" s="72">
        <v>0.37</v>
      </c>
      <c r="BD78" s="72">
        <v>2.1800000000000002</v>
      </c>
      <c r="BE78" s="72">
        <v>2.39</v>
      </c>
      <c r="BF78" s="72">
        <v>-0.36</v>
      </c>
      <c r="BG78" s="72">
        <v>2.39</v>
      </c>
      <c r="BH78" s="72">
        <v>0.6</v>
      </c>
      <c r="BI78" s="72">
        <v>20200903</v>
      </c>
      <c r="BJ78" s="72">
        <v>20150126</v>
      </c>
      <c r="BK78" s="72">
        <v>250.4</v>
      </c>
      <c r="BL78" s="72" t="s">
        <v>414</v>
      </c>
      <c r="BM78" s="72">
        <v>25.04</v>
      </c>
      <c r="BN78" s="72">
        <v>4416.34</v>
      </c>
      <c r="BO78" s="72">
        <v>846.34</v>
      </c>
      <c r="BP78" s="72">
        <v>16.670000000000002</v>
      </c>
      <c r="BQ78" s="72">
        <v>80.459999999999994</v>
      </c>
      <c r="BR78" s="72">
        <v>0</v>
      </c>
      <c r="BS78" s="72">
        <v>11.49</v>
      </c>
      <c r="BT78" s="72">
        <v>1.36</v>
      </c>
      <c r="BU78" s="72">
        <v>0</v>
      </c>
      <c r="BV78" s="72">
        <v>0</v>
      </c>
      <c r="BW78" s="72">
        <v>0</v>
      </c>
      <c r="BX78" s="72">
        <v>193.67</v>
      </c>
      <c r="BY78" s="72">
        <v>133.86000000000001</v>
      </c>
      <c r="BZ78" s="72">
        <v>0</v>
      </c>
      <c r="CA78" s="72">
        <v>49.93</v>
      </c>
      <c r="CB78" s="72">
        <v>30.02</v>
      </c>
      <c r="CC78" s="72">
        <v>49.56</v>
      </c>
      <c r="CD78" s="72">
        <v>40.81</v>
      </c>
      <c r="CE78" s="72">
        <v>40.35</v>
      </c>
      <c r="CF78" s="72">
        <v>254.91</v>
      </c>
      <c r="CG78" s="72">
        <v>99.09</v>
      </c>
      <c r="CH78" s="72">
        <v>102.37</v>
      </c>
      <c r="CI78" s="72">
        <v>289637</v>
      </c>
      <c r="CJ78" s="72">
        <v>34248</v>
      </c>
      <c r="CK78" s="72" t="s">
        <v>788</v>
      </c>
      <c r="CL78" s="72">
        <v>26.03</v>
      </c>
      <c r="CM78" s="72">
        <v>27.68</v>
      </c>
      <c r="CN78" s="72">
        <v>1.64</v>
      </c>
      <c r="CO78" s="72">
        <v>14.05</v>
      </c>
      <c r="CP78" s="72">
        <v>10.4</v>
      </c>
      <c r="CQ78" s="72">
        <v>1.33</v>
      </c>
      <c r="CR78" s="72" t="s">
        <v>789</v>
      </c>
      <c r="CS78" s="72">
        <v>3.38</v>
      </c>
      <c r="CT78" s="72">
        <v>0</v>
      </c>
      <c r="CU78" s="72">
        <v>0.77</v>
      </c>
      <c r="CV78" s="72">
        <v>1.02</v>
      </c>
      <c r="CW78" s="72">
        <v>19.16</v>
      </c>
      <c r="CX78" s="72" t="s">
        <v>790</v>
      </c>
      <c r="CY78" s="72" t="s">
        <v>414</v>
      </c>
      <c r="CZ78" s="72">
        <v>37.299999999999997</v>
      </c>
      <c r="DA78" s="72">
        <v>30.14</v>
      </c>
      <c r="DB78" s="72">
        <v>166</v>
      </c>
    </row>
    <row r="79" spans="7:106" x14ac:dyDescent="0.25">
      <c r="G79" s="72">
        <v>505</v>
      </c>
      <c r="H79" s="72" t="s">
        <v>791</v>
      </c>
      <c r="I79" s="72">
        <v>2.62</v>
      </c>
      <c r="J79" s="72">
        <v>1.19</v>
      </c>
      <c r="K79" s="72">
        <v>10.56</v>
      </c>
      <c r="L79" s="72">
        <v>0.27</v>
      </c>
      <c r="M79" s="72">
        <v>10.56</v>
      </c>
      <c r="N79" s="72">
        <v>10.57</v>
      </c>
      <c r="O79" s="72">
        <v>179586</v>
      </c>
      <c r="P79" s="72">
        <v>1</v>
      </c>
      <c r="Q79" s="72">
        <v>-0.08</v>
      </c>
      <c r="R79" s="72">
        <v>4.42</v>
      </c>
      <c r="S79" s="72">
        <v>10.37</v>
      </c>
      <c r="T79" s="72">
        <v>10.6</v>
      </c>
      <c r="U79" s="72">
        <v>10.3</v>
      </c>
      <c r="V79" s="72">
        <v>10.29</v>
      </c>
      <c r="W79" s="72">
        <v>52.04</v>
      </c>
      <c r="X79" s="114">
        <v>188000000</v>
      </c>
      <c r="Y79" s="72" t="s">
        <v>356</v>
      </c>
      <c r="Z79" s="72" t="s">
        <v>792</v>
      </c>
      <c r="AA79" s="72">
        <v>2.92</v>
      </c>
      <c r="AB79" s="72">
        <v>10.48</v>
      </c>
      <c r="AC79" s="72">
        <v>74608</v>
      </c>
      <c r="AD79" s="72">
        <v>104978</v>
      </c>
      <c r="AE79" s="72">
        <v>0.71</v>
      </c>
      <c r="AF79" s="72">
        <v>285</v>
      </c>
      <c r="AG79" s="72">
        <v>294</v>
      </c>
      <c r="AH79" s="72" t="s">
        <v>414</v>
      </c>
      <c r="AI79" s="72">
        <v>1588700</v>
      </c>
      <c r="AJ79" s="72">
        <v>0.05</v>
      </c>
      <c r="AK79" s="72" t="s">
        <v>414</v>
      </c>
      <c r="AL79" s="72" t="s">
        <v>414</v>
      </c>
      <c r="AM79" s="72">
        <v>4.0599999999999996</v>
      </c>
      <c r="AN79" s="72" t="s">
        <v>793</v>
      </c>
      <c r="AO79" s="72" t="s">
        <v>794</v>
      </c>
      <c r="AP79" s="72">
        <v>0.45</v>
      </c>
      <c r="AQ79" s="72">
        <v>1750</v>
      </c>
      <c r="AR79" s="72">
        <v>103</v>
      </c>
      <c r="AS79" s="72">
        <v>2.5000000000000001E-3</v>
      </c>
      <c r="AT79" s="72">
        <v>2</v>
      </c>
      <c r="AU79" s="72">
        <v>3.63</v>
      </c>
      <c r="AV79" s="72">
        <v>6.36</v>
      </c>
      <c r="AW79" s="72" t="s">
        <v>795</v>
      </c>
      <c r="AX79" s="72">
        <v>0.91</v>
      </c>
      <c r="AY79" s="72">
        <v>48.08</v>
      </c>
      <c r="AZ79" s="72">
        <v>56.1</v>
      </c>
      <c r="BA79" s="72">
        <v>0.78</v>
      </c>
      <c r="BB79" s="72">
        <v>3.01</v>
      </c>
      <c r="BC79" s="72">
        <v>0.1</v>
      </c>
      <c r="BD79" s="72">
        <v>1.84</v>
      </c>
      <c r="BE79" s="72">
        <v>1.83</v>
      </c>
      <c r="BF79" s="72">
        <v>-0.38</v>
      </c>
      <c r="BG79" s="72">
        <v>2.52</v>
      </c>
      <c r="BH79" s="72">
        <v>0.79</v>
      </c>
      <c r="BI79" s="72">
        <v>20200822</v>
      </c>
      <c r="BJ79" s="72">
        <v>19921221</v>
      </c>
      <c r="BK79" s="72">
        <v>7.27</v>
      </c>
      <c r="BL79" s="72">
        <v>0.65</v>
      </c>
      <c r="BM79" s="72" t="s">
        <v>414</v>
      </c>
      <c r="BN79" s="72">
        <v>53.34</v>
      </c>
      <c r="BO79" s="72">
        <v>26.05</v>
      </c>
      <c r="BP79" s="72">
        <v>3.67</v>
      </c>
      <c r="BQ79" s="72">
        <v>44.28</v>
      </c>
      <c r="BR79" s="72">
        <v>31.3</v>
      </c>
      <c r="BS79" s="72">
        <v>11.66</v>
      </c>
      <c r="BT79" s="72">
        <v>3.61</v>
      </c>
      <c r="BU79" s="72">
        <v>22.4</v>
      </c>
      <c r="BV79" s="72">
        <v>9.08</v>
      </c>
      <c r="BW79" s="72">
        <v>0.55000000000000004</v>
      </c>
      <c r="BX79" s="72">
        <v>16.8</v>
      </c>
      <c r="BY79" s="72">
        <v>37.51</v>
      </c>
      <c r="BZ79" s="72">
        <v>33.56</v>
      </c>
      <c r="CA79" s="72">
        <v>1.2</v>
      </c>
      <c r="CB79" s="72">
        <v>0.17</v>
      </c>
      <c r="CC79" s="72">
        <v>1.2</v>
      </c>
      <c r="CD79" s="72">
        <v>0.95</v>
      </c>
      <c r="CE79" s="72">
        <v>0.74</v>
      </c>
      <c r="CF79" s="72">
        <v>0.76</v>
      </c>
      <c r="CG79" s="72">
        <v>1.87</v>
      </c>
      <c r="CH79" s="72">
        <v>0.25</v>
      </c>
      <c r="CI79" s="72">
        <v>59539</v>
      </c>
      <c r="CJ79" s="72">
        <v>5837</v>
      </c>
      <c r="CK79" s="72" t="s">
        <v>796</v>
      </c>
      <c r="CL79" s="72">
        <v>43.2</v>
      </c>
      <c r="CM79" s="72">
        <v>14.24</v>
      </c>
      <c r="CN79" s="72">
        <v>2.95</v>
      </c>
      <c r="CO79" s="72">
        <v>41.03</v>
      </c>
      <c r="CP79" s="72">
        <v>2.0499999999999998</v>
      </c>
      <c r="CQ79" s="72">
        <v>0</v>
      </c>
      <c r="CR79" s="72" t="s">
        <v>576</v>
      </c>
      <c r="CS79" s="72">
        <v>3.58</v>
      </c>
      <c r="CT79" s="72">
        <v>0</v>
      </c>
      <c r="CU79" s="72">
        <v>2.31</v>
      </c>
      <c r="CV79" s="72">
        <v>0.1</v>
      </c>
      <c r="CW79" s="72">
        <v>48.84</v>
      </c>
      <c r="CX79" s="72" t="s">
        <v>797</v>
      </c>
      <c r="CY79" s="72">
        <v>10.52</v>
      </c>
      <c r="CZ79" s="72">
        <v>3.21</v>
      </c>
      <c r="DA79" s="72">
        <v>1.97</v>
      </c>
      <c r="DB79" s="72">
        <v>505</v>
      </c>
    </row>
    <row r="80" spans="7:106" x14ac:dyDescent="0.25">
      <c r="G80" s="72">
        <v>529</v>
      </c>
      <c r="H80" s="72" t="s">
        <v>798</v>
      </c>
      <c r="I80" s="72">
        <v>1.8</v>
      </c>
      <c r="J80" s="72">
        <v>1.4</v>
      </c>
      <c r="K80" s="72">
        <v>7.92</v>
      </c>
      <c r="L80" s="72">
        <v>0.14000000000000001</v>
      </c>
      <c r="M80" s="72">
        <v>7.91</v>
      </c>
      <c r="N80" s="72">
        <v>7.92</v>
      </c>
      <c r="O80" s="72">
        <v>30345</v>
      </c>
      <c r="P80" s="72">
        <v>17</v>
      </c>
      <c r="Q80" s="72">
        <v>0.38</v>
      </c>
      <c r="R80" s="72">
        <v>0.53</v>
      </c>
      <c r="S80" s="72">
        <v>7.84</v>
      </c>
      <c r="T80" s="72">
        <v>7.92</v>
      </c>
      <c r="U80" s="72">
        <v>7.76</v>
      </c>
      <c r="V80" s="72">
        <v>7.78</v>
      </c>
      <c r="W80" s="72">
        <v>14.8</v>
      </c>
      <c r="X80" s="72">
        <v>23848668</v>
      </c>
      <c r="Y80" s="72" t="s">
        <v>356</v>
      </c>
      <c r="Z80" s="72" t="s">
        <v>364</v>
      </c>
      <c r="AA80" s="72">
        <v>2.06</v>
      </c>
      <c r="AB80" s="72">
        <v>7.86</v>
      </c>
      <c r="AC80" s="72">
        <v>10299</v>
      </c>
      <c r="AD80" s="72">
        <v>20046</v>
      </c>
      <c r="AE80" s="72">
        <v>0.51</v>
      </c>
      <c r="AF80" s="72">
        <v>147</v>
      </c>
      <c r="AG80" s="72">
        <v>101</v>
      </c>
      <c r="AH80" s="72" t="s">
        <v>414</v>
      </c>
      <c r="AI80" s="72">
        <v>119200</v>
      </c>
      <c r="AJ80" s="72">
        <v>0.01</v>
      </c>
      <c r="AK80" s="72" t="s">
        <v>414</v>
      </c>
      <c r="AL80" s="72" t="s">
        <v>414</v>
      </c>
      <c r="AM80" s="72">
        <v>5.7</v>
      </c>
      <c r="AN80" s="72" t="s">
        <v>799</v>
      </c>
      <c r="AO80" s="72" t="s">
        <v>800</v>
      </c>
      <c r="AP80" s="72">
        <v>-0.38</v>
      </c>
      <c r="AQ80" s="72">
        <v>1005</v>
      </c>
      <c r="AR80" s="72">
        <v>30</v>
      </c>
      <c r="AS80" s="72">
        <v>5.0000000000000001E-4</v>
      </c>
      <c r="AT80" s="72">
        <v>2</v>
      </c>
      <c r="AU80" s="72">
        <v>2.99</v>
      </c>
      <c r="AV80" s="72">
        <v>1.17</v>
      </c>
      <c r="AW80" s="72" t="s">
        <v>801</v>
      </c>
      <c r="AX80" s="72">
        <v>1.1499999999999999</v>
      </c>
      <c r="AY80" s="72">
        <v>13.68</v>
      </c>
      <c r="AZ80" s="72">
        <v>18.45</v>
      </c>
      <c r="BA80" s="72">
        <v>0.77</v>
      </c>
      <c r="BB80" s="72">
        <v>1.8</v>
      </c>
      <c r="BC80" s="72">
        <v>-0.26</v>
      </c>
      <c r="BD80" s="72">
        <v>1.02</v>
      </c>
      <c r="BE80" s="72">
        <v>1.02</v>
      </c>
      <c r="BF80" s="72">
        <v>0</v>
      </c>
      <c r="BG80" s="72">
        <v>2.06</v>
      </c>
      <c r="BH80" s="72">
        <v>0.78</v>
      </c>
      <c r="BI80" s="72">
        <v>20200822</v>
      </c>
      <c r="BJ80" s="72">
        <v>19931118</v>
      </c>
      <c r="BK80" s="72">
        <v>5.84</v>
      </c>
      <c r="BL80" s="72" t="s">
        <v>414</v>
      </c>
      <c r="BM80" s="72" t="s">
        <v>414</v>
      </c>
      <c r="BN80" s="72">
        <v>30.97</v>
      </c>
      <c r="BO80" s="72">
        <v>18</v>
      </c>
      <c r="BP80" s="72">
        <v>0.93</v>
      </c>
      <c r="BQ80" s="72">
        <v>38.909999999999997</v>
      </c>
      <c r="BR80" s="72">
        <v>24.67</v>
      </c>
      <c r="BS80" s="72">
        <v>1.65</v>
      </c>
      <c r="BT80" s="72">
        <v>1.05</v>
      </c>
      <c r="BU80" s="72">
        <v>9.94</v>
      </c>
      <c r="BV80" s="72">
        <v>4.63</v>
      </c>
      <c r="BW80" s="72">
        <v>2.63</v>
      </c>
      <c r="BX80" s="72">
        <v>5.71</v>
      </c>
      <c r="BY80" s="72">
        <v>15.27</v>
      </c>
      <c r="BZ80" s="72">
        <v>11.36</v>
      </c>
      <c r="CA80" s="72">
        <v>1.96</v>
      </c>
      <c r="CB80" s="72">
        <v>0.01</v>
      </c>
      <c r="CC80" s="72">
        <v>2.0499999999999998</v>
      </c>
      <c r="CD80" s="72">
        <v>1.78</v>
      </c>
      <c r="CE80" s="72">
        <v>1.56</v>
      </c>
      <c r="CF80" s="72">
        <v>5.3</v>
      </c>
      <c r="CG80" s="72">
        <v>2.09</v>
      </c>
      <c r="CH80" s="72">
        <v>2.2200000000000002</v>
      </c>
      <c r="CI80" s="72">
        <v>39411</v>
      </c>
      <c r="CJ80" s="72">
        <v>6579</v>
      </c>
      <c r="CK80" s="72" t="s">
        <v>802</v>
      </c>
      <c r="CL80" s="72">
        <v>122.24</v>
      </c>
      <c r="CM80" s="72">
        <v>16.09</v>
      </c>
      <c r="CN80" s="72">
        <v>2.57</v>
      </c>
      <c r="CO80" s="72">
        <v>22.09</v>
      </c>
      <c r="CP80" s="72">
        <v>3.03</v>
      </c>
      <c r="CQ80" s="72">
        <v>1.29</v>
      </c>
      <c r="CR80" s="72" t="s">
        <v>803</v>
      </c>
      <c r="CS80" s="72">
        <v>3.08</v>
      </c>
      <c r="CT80" s="72">
        <v>0</v>
      </c>
      <c r="CU80" s="72">
        <v>0.98</v>
      </c>
      <c r="CV80" s="72">
        <v>0.91</v>
      </c>
      <c r="CW80" s="72">
        <v>58.1</v>
      </c>
      <c r="CX80" s="72" t="s">
        <v>804</v>
      </c>
      <c r="CY80" s="72">
        <v>25.61</v>
      </c>
      <c r="CZ80" s="72">
        <v>12.86</v>
      </c>
      <c r="DA80" s="72">
        <v>10.23</v>
      </c>
      <c r="DB80" s="72">
        <v>529</v>
      </c>
    </row>
    <row r="81" spans="7:106" x14ac:dyDescent="0.25">
      <c r="G81" s="72">
        <v>531</v>
      </c>
      <c r="H81" s="72" t="s">
        <v>413</v>
      </c>
      <c r="I81" s="72">
        <v>4.5</v>
      </c>
      <c r="J81" s="72">
        <v>4.12</v>
      </c>
      <c r="K81" s="72">
        <v>9.75</v>
      </c>
      <c r="L81" s="72">
        <v>0.42</v>
      </c>
      <c r="M81" s="72">
        <v>9.74</v>
      </c>
      <c r="N81" s="72">
        <v>9.75</v>
      </c>
      <c r="O81" s="72">
        <v>46410</v>
      </c>
      <c r="P81" s="72">
        <v>5</v>
      </c>
      <c r="Q81" s="72">
        <v>0.41</v>
      </c>
      <c r="R81" s="72">
        <v>0.68</v>
      </c>
      <c r="S81" s="72">
        <v>9.3800000000000008</v>
      </c>
      <c r="T81" s="72">
        <v>9.77</v>
      </c>
      <c r="U81" s="72">
        <v>9.3800000000000008</v>
      </c>
      <c r="V81" s="72">
        <v>9.33</v>
      </c>
      <c r="W81" s="72">
        <v>5.44</v>
      </c>
      <c r="X81" s="72">
        <v>44647928</v>
      </c>
      <c r="Y81" s="72" t="s">
        <v>354</v>
      </c>
      <c r="Z81" s="72" t="s">
        <v>364</v>
      </c>
      <c r="AA81" s="72">
        <v>4.18</v>
      </c>
      <c r="AB81" s="72">
        <v>9.6199999999999992</v>
      </c>
      <c r="AC81" s="72">
        <v>17123</v>
      </c>
      <c r="AD81" s="72">
        <v>29287</v>
      </c>
      <c r="AE81" s="72">
        <v>0.57999999999999996</v>
      </c>
      <c r="AF81" s="72">
        <v>16</v>
      </c>
      <c r="AG81" s="72">
        <v>23</v>
      </c>
      <c r="AH81" s="72" t="s">
        <v>414</v>
      </c>
      <c r="AI81" s="72">
        <v>204500</v>
      </c>
      <c r="AJ81" s="72">
        <v>0.01</v>
      </c>
      <c r="AK81" s="72" t="s">
        <v>414</v>
      </c>
      <c r="AL81" s="72" t="s">
        <v>414</v>
      </c>
      <c r="AM81" s="72">
        <v>6.85</v>
      </c>
      <c r="AN81" s="72" t="s">
        <v>805</v>
      </c>
      <c r="AO81" s="72" t="s">
        <v>805</v>
      </c>
      <c r="AP81" s="72">
        <v>2.3199999999999998</v>
      </c>
      <c r="AQ81" s="72">
        <v>896</v>
      </c>
      <c r="AR81" s="72">
        <v>52</v>
      </c>
      <c r="AS81" s="72">
        <v>8.0000000000000004E-4</v>
      </c>
      <c r="AT81" s="72">
        <v>2</v>
      </c>
      <c r="AU81" s="72">
        <v>7.26</v>
      </c>
      <c r="AV81" s="72">
        <v>1.61</v>
      </c>
      <c r="AW81" s="72" t="s">
        <v>806</v>
      </c>
      <c r="AX81" s="72">
        <v>1.1599999999999999</v>
      </c>
      <c r="AY81" s="72">
        <v>8.34</v>
      </c>
      <c r="AZ81" s="72">
        <v>15.56</v>
      </c>
      <c r="BA81" s="72">
        <v>0.54</v>
      </c>
      <c r="BB81" s="72">
        <v>4.72</v>
      </c>
      <c r="BC81" s="72">
        <v>0.54</v>
      </c>
      <c r="BD81" s="72">
        <v>3.11</v>
      </c>
      <c r="BE81" s="72">
        <v>3.94</v>
      </c>
      <c r="BF81" s="72">
        <v>-0.2</v>
      </c>
      <c r="BG81" s="72">
        <v>3.94</v>
      </c>
      <c r="BH81" s="72">
        <v>1.39</v>
      </c>
      <c r="BI81" s="72">
        <v>20200827</v>
      </c>
      <c r="BJ81" s="72">
        <v>19940106</v>
      </c>
      <c r="BK81" s="72">
        <v>6.85</v>
      </c>
      <c r="BL81" s="72" t="s">
        <v>414</v>
      </c>
      <c r="BM81" s="72" t="s">
        <v>414</v>
      </c>
      <c r="BN81" s="72">
        <v>116.7</v>
      </c>
      <c r="BO81" s="72">
        <v>48.95</v>
      </c>
      <c r="BP81" s="72">
        <v>6.22</v>
      </c>
      <c r="BQ81" s="72">
        <v>52.72</v>
      </c>
      <c r="BR81" s="72">
        <v>35.74</v>
      </c>
      <c r="BS81" s="72">
        <v>28.32</v>
      </c>
      <c r="BT81" s="72">
        <v>3.06</v>
      </c>
      <c r="BU81" s="72">
        <v>55.85</v>
      </c>
      <c r="BV81" s="72">
        <v>7.83</v>
      </c>
      <c r="BW81" s="72">
        <v>3.17</v>
      </c>
      <c r="BX81" s="72">
        <v>11.31</v>
      </c>
      <c r="BY81" s="72">
        <v>16.34</v>
      </c>
      <c r="BZ81" s="72">
        <v>11.85</v>
      </c>
      <c r="CA81" s="72">
        <v>6.86</v>
      </c>
      <c r="CB81" s="72">
        <v>4.78</v>
      </c>
      <c r="CC81" s="72">
        <v>7.19</v>
      </c>
      <c r="CD81" s="72">
        <v>6.63</v>
      </c>
      <c r="CE81" s="72">
        <v>6.14</v>
      </c>
      <c r="CF81" s="72">
        <v>26.72</v>
      </c>
      <c r="CG81" s="72">
        <v>4.2699999999999996</v>
      </c>
      <c r="CH81" s="72">
        <v>-9.57</v>
      </c>
      <c r="CI81" s="72">
        <v>28493</v>
      </c>
      <c r="CJ81" s="72">
        <v>10113</v>
      </c>
      <c r="CK81" s="72" t="s">
        <v>807</v>
      </c>
      <c r="CL81" s="72">
        <v>137.44</v>
      </c>
      <c r="CM81" s="72">
        <v>15.59</v>
      </c>
      <c r="CN81" s="72">
        <v>1.36</v>
      </c>
      <c r="CO81" s="72">
        <v>15.64</v>
      </c>
      <c r="CP81" s="72">
        <v>4.09</v>
      </c>
      <c r="CQ81" s="72">
        <v>1.07</v>
      </c>
      <c r="CR81" s="72" t="s">
        <v>808</v>
      </c>
      <c r="CS81" s="72">
        <v>7.15</v>
      </c>
      <c r="CT81" s="72">
        <v>0</v>
      </c>
      <c r="CU81" s="72">
        <v>1.65</v>
      </c>
      <c r="CV81" s="72">
        <v>3.9</v>
      </c>
      <c r="CW81" s="72">
        <v>41.95</v>
      </c>
      <c r="CX81" s="72" t="s">
        <v>809</v>
      </c>
      <c r="CY81" s="72">
        <v>27.45</v>
      </c>
      <c r="CZ81" s="72">
        <v>42</v>
      </c>
      <c r="DA81" s="72">
        <v>37.58</v>
      </c>
      <c r="DB81" s="72">
        <v>531</v>
      </c>
    </row>
    <row r="82" spans="7:106" x14ac:dyDescent="0.25">
      <c r="G82" s="72">
        <v>544</v>
      </c>
      <c r="H82" s="72" t="s">
        <v>810</v>
      </c>
      <c r="I82" s="72">
        <v>1.76</v>
      </c>
      <c r="J82" s="72">
        <v>1.96</v>
      </c>
      <c r="K82" s="72">
        <v>6.92</v>
      </c>
      <c r="L82" s="72">
        <v>0.12</v>
      </c>
      <c r="M82" s="72">
        <v>6.91</v>
      </c>
      <c r="N82" s="72">
        <v>6.92</v>
      </c>
      <c r="O82" s="72">
        <v>17459</v>
      </c>
      <c r="P82" s="72">
        <v>25</v>
      </c>
      <c r="Q82" s="72">
        <v>-0.13</v>
      </c>
      <c r="R82" s="72">
        <v>0.18</v>
      </c>
      <c r="S82" s="72">
        <v>6.81</v>
      </c>
      <c r="T82" s="72">
        <v>6.93</v>
      </c>
      <c r="U82" s="72">
        <v>6.8</v>
      </c>
      <c r="V82" s="72">
        <v>6.8</v>
      </c>
      <c r="W82" s="72">
        <v>12.36</v>
      </c>
      <c r="X82" s="72">
        <v>12004222</v>
      </c>
      <c r="Y82" s="72" t="s">
        <v>381</v>
      </c>
      <c r="Z82" s="72" t="s">
        <v>379</v>
      </c>
      <c r="AA82" s="72">
        <v>1.91</v>
      </c>
      <c r="AB82" s="72">
        <v>6.88</v>
      </c>
      <c r="AC82" s="72">
        <v>6564</v>
      </c>
      <c r="AD82" s="72">
        <v>10895</v>
      </c>
      <c r="AE82" s="72">
        <v>0.6</v>
      </c>
      <c r="AF82" s="72">
        <v>153</v>
      </c>
      <c r="AG82" s="72">
        <v>27</v>
      </c>
      <c r="AH82" s="72" t="s">
        <v>414</v>
      </c>
      <c r="AI82" s="72">
        <v>95700</v>
      </c>
      <c r="AJ82" s="72">
        <v>0</v>
      </c>
      <c r="AK82" s="72" t="s">
        <v>414</v>
      </c>
      <c r="AL82" s="72" t="s">
        <v>414</v>
      </c>
      <c r="AM82" s="72">
        <v>9.75</v>
      </c>
      <c r="AN82" s="72" t="s">
        <v>811</v>
      </c>
      <c r="AO82" s="72" t="s">
        <v>811</v>
      </c>
      <c r="AP82" s="72">
        <v>-0.41</v>
      </c>
      <c r="AQ82" s="72">
        <v>515</v>
      </c>
      <c r="AR82" s="72">
        <v>34</v>
      </c>
      <c r="AS82" s="72">
        <v>2.9999999999999997E-4</v>
      </c>
      <c r="AT82" s="72">
        <v>2</v>
      </c>
      <c r="AU82" s="72">
        <v>2.98</v>
      </c>
      <c r="AV82" s="72">
        <v>0.56999999999999995</v>
      </c>
      <c r="AW82" s="72" t="s">
        <v>812</v>
      </c>
      <c r="AX82" s="72">
        <v>0.73</v>
      </c>
      <c r="AY82" s="72">
        <v>11.71</v>
      </c>
      <c r="AZ82" s="72">
        <v>14.27</v>
      </c>
      <c r="BA82" s="72">
        <v>0.15</v>
      </c>
      <c r="BB82" s="72">
        <v>1.91</v>
      </c>
      <c r="BC82" s="72">
        <v>0</v>
      </c>
      <c r="BD82" s="72">
        <v>1.1100000000000001</v>
      </c>
      <c r="BE82" s="72">
        <v>1.62</v>
      </c>
      <c r="BF82" s="72">
        <v>-0.14000000000000001</v>
      </c>
      <c r="BG82" s="72">
        <v>1.76</v>
      </c>
      <c r="BH82" s="72">
        <v>0.65</v>
      </c>
      <c r="BI82" s="72">
        <v>20200822</v>
      </c>
      <c r="BJ82" s="72">
        <v>19931208</v>
      </c>
      <c r="BK82" s="72">
        <v>9.75</v>
      </c>
      <c r="BL82" s="72" t="s">
        <v>414</v>
      </c>
      <c r="BM82" s="72" t="s">
        <v>414</v>
      </c>
      <c r="BN82" s="72">
        <v>136.91999999999999</v>
      </c>
      <c r="BO82" s="72">
        <v>59.93</v>
      </c>
      <c r="BP82" s="72">
        <v>5.04</v>
      </c>
      <c r="BQ82" s="72">
        <v>52.55</v>
      </c>
      <c r="BR82" s="72">
        <v>42.17</v>
      </c>
      <c r="BS82" s="72">
        <v>30.17</v>
      </c>
      <c r="BT82" s="72">
        <v>18.38</v>
      </c>
      <c r="BU82" s="72">
        <v>28.68</v>
      </c>
      <c r="BV82" s="72">
        <v>0.52</v>
      </c>
      <c r="BW82" s="72">
        <v>3.65</v>
      </c>
      <c r="BX82" s="72">
        <v>38.700000000000003</v>
      </c>
      <c r="BY82" s="72">
        <v>8.8000000000000007</v>
      </c>
      <c r="BZ82" s="72">
        <v>5.12</v>
      </c>
      <c r="CA82" s="72">
        <v>3.47</v>
      </c>
      <c r="CB82" s="72">
        <v>0.05</v>
      </c>
      <c r="CC82" s="72">
        <v>3.46</v>
      </c>
      <c r="CD82" s="72">
        <v>2.81</v>
      </c>
      <c r="CE82" s="72">
        <v>2.73</v>
      </c>
      <c r="CF82" s="72">
        <v>8.89</v>
      </c>
      <c r="CG82" s="72">
        <v>2.0099999999999998</v>
      </c>
      <c r="CH82" s="72">
        <v>12.97</v>
      </c>
      <c r="CI82" s="72">
        <v>30682</v>
      </c>
      <c r="CJ82" s="72">
        <v>9935</v>
      </c>
      <c r="CK82" s="72" t="s">
        <v>813</v>
      </c>
      <c r="CL82" s="72">
        <v>59.15</v>
      </c>
      <c r="CM82" s="72">
        <v>17.71</v>
      </c>
      <c r="CN82" s="72">
        <v>1.1299999999999999</v>
      </c>
      <c r="CO82" s="72">
        <v>33.590000000000003</v>
      </c>
      <c r="CP82" s="72">
        <v>7.66</v>
      </c>
      <c r="CQ82" s="72">
        <v>3.68</v>
      </c>
      <c r="CR82" s="72" t="s">
        <v>814</v>
      </c>
      <c r="CS82" s="72">
        <v>6.15</v>
      </c>
      <c r="CT82" s="72">
        <v>0</v>
      </c>
      <c r="CU82" s="72">
        <v>3.97</v>
      </c>
      <c r="CV82" s="72">
        <v>0.91</v>
      </c>
      <c r="CW82" s="72">
        <v>43.77</v>
      </c>
      <c r="CX82" s="72" t="s">
        <v>516</v>
      </c>
      <c r="CY82" s="72">
        <v>41.83</v>
      </c>
      <c r="CZ82" s="72">
        <v>39.44</v>
      </c>
      <c r="DA82" s="72">
        <v>31</v>
      </c>
      <c r="DB82" s="72">
        <v>544</v>
      </c>
    </row>
    <row r="83" spans="7:106" x14ac:dyDescent="0.25">
      <c r="G83" s="72">
        <v>591</v>
      </c>
      <c r="H83" s="72" t="s">
        <v>815</v>
      </c>
      <c r="I83" s="72">
        <v>0.39</v>
      </c>
      <c r="J83" s="72">
        <v>4.62</v>
      </c>
      <c r="K83" s="72">
        <v>5.1100000000000003</v>
      </c>
      <c r="L83" s="72">
        <v>0.02</v>
      </c>
      <c r="M83" s="72">
        <v>5.0999999999999996</v>
      </c>
      <c r="N83" s="72">
        <v>5.1100000000000003</v>
      </c>
      <c r="O83" s="72">
        <v>1306666</v>
      </c>
      <c r="P83" s="72">
        <v>64</v>
      </c>
      <c r="Q83" s="72">
        <v>0.2</v>
      </c>
      <c r="R83" s="72">
        <v>6.41</v>
      </c>
      <c r="S83" s="72">
        <v>5.18</v>
      </c>
      <c r="T83" s="72">
        <v>5.18</v>
      </c>
      <c r="U83" s="72">
        <v>4.95</v>
      </c>
      <c r="V83" s="72">
        <v>5.09</v>
      </c>
      <c r="W83" s="72">
        <v>12.7</v>
      </c>
      <c r="X83" s="114">
        <v>661000000</v>
      </c>
      <c r="Y83" s="72" t="s">
        <v>392</v>
      </c>
      <c r="Z83" s="72" t="s">
        <v>376</v>
      </c>
      <c r="AA83" s="72">
        <v>4.5199999999999996</v>
      </c>
      <c r="AB83" s="72">
        <v>5.0599999999999996</v>
      </c>
      <c r="AC83" s="72">
        <v>626543</v>
      </c>
      <c r="AD83" s="72">
        <v>680123</v>
      </c>
      <c r="AE83" s="72">
        <v>0.92</v>
      </c>
      <c r="AF83" s="72">
        <v>1680</v>
      </c>
      <c r="AG83" s="72">
        <v>8158</v>
      </c>
      <c r="AH83" s="72" t="s">
        <v>414</v>
      </c>
      <c r="AI83" s="72">
        <v>31193400</v>
      </c>
      <c r="AJ83" s="72">
        <v>0.3</v>
      </c>
      <c r="AK83" s="72" t="s">
        <v>414</v>
      </c>
      <c r="AL83" s="72" t="s">
        <v>414</v>
      </c>
      <c r="AM83" s="72">
        <v>20.37</v>
      </c>
      <c r="AN83" s="72" t="s">
        <v>816</v>
      </c>
      <c r="AO83" s="72" t="s">
        <v>817</v>
      </c>
      <c r="AP83" s="72">
        <v>-1.78</v>
      </c>
      <c r="AQ83" s="72">
        <v>1844</v>
      </c>
      <c r="AR83" s="72">
        <v>709</v>
      </c>
      <c r="AS83" s="72">
        <v>3.5000000000000001E-3</v>
      </c>
      <c r="AT83" s="72">
        <v>3</v>
      </c>
      <c r="AU83" s="72">
        <v>18.3</v>
      </c>
      <c r="AV83" s="72">
        <v>6.55</v>
      </c>
      <c r="AW83" s="72" t="s">
        <v>818</v>
      </c>
      <c r="AX83" s="72">
        <v>1.01</v>
      </c>
      <c r="AY83" s="72">
        <v>13.45</v>
      </c>
      <c r="AZ83" s="72">
        <v>16.8</v>
      </c>
      <c r="BA83" s="72">
        <v>1.77</v>
      </c>
      <c r="BB83" s="72">
        <v>1.77</v>
      </c>
      <c r="BC83" s="72">
        <v>-2.75</v>
      </c>
      <c r="BD83" s="72">
        <v>-0.6</v>
      </c>
      <c r="BE83" s="72">
        <v>-1.35</v>
      </c>
      <c r="BF83" s="72">
        <v>-1.35</v>
      </c>
      <c r="BG83" s="72">
        <v>3.23</v>
      </c>
      <c r="BH83" s="72">
        <v>0.99</v>
      </c>
      <c r="BI83" s="72">
        <v>20200829</v>
      </c>
      <c r="BJ83" s="72">
        <v>19960208</v>
      </c>
      <c r="BK83" s="72">
        <v>30.07</v>
      </c>
      <c r="BL83" s="72" t="s">
        <v>414</v>
      </c>
      <c r="BM83" s="72" t="s">
        <v>414</v>
      </c>
      <c r="BN83" s="72">
        <v>387.16</v>
      </c>
      <c r="BO83" s="72">
        <v>136.06</v>
      </c>
      <c r="BP83" s="72">
        <v>1.37</v>
      </c>
      <c r="BQ83" s="72">
        <v>64.5</v>
      </c>
      <c r="BR83" s="72">
        <v>98.27</v>
      </c>
      <c r="BS83" s="72">
        <v>256.97000000000003</v>
      </c>
      <c r="BT83" s="72">
        <v>5.21</v>
      </c>
      <c r="BU83" s="72">
        <v>63.76</v>
      </c>
      <c r="BV83" s="72">
        <v>1.24</v>
      </c>
      <c r="BW83" s="72">
        <v>81.03</v>
      </c>
      <c r="BX83" s="72">
        <v>66.930000000000007</v>
      </c>
      <c r="BY83" s="72">
        <v>23.55</v>
      </c>
      <c r="BZ83" s="72">
        <v>10.119999999999999</v>
      </c>
      <c r="CA83" s="72">
        <v>6.93</v>
      </c>
      <c r="CB83" s="72">
        <v>0.03</v>
      </c>
      <c r="CC83" s="72">
        <v>6.98</v>
      </c>
      <c r="CD83" s="72">
        <v>6.04</v>
      </c>
      <c r="CE83" s="72">
        <v>6.05</v>
      </c>
      <c r="CF83" s="72">
        <v>37.69</v>
      </c>
      <c r="CG83" s="72">
        <v>1.62</v>
      </c>
      <c r="CH83" s="72">
        <v>1.46</v>
      </c>
      <c r="CI83" s="72">
        <v>62291</v>
      </c>
      <c r="CJ83" s="72">
        <v>32029</v>
      </c>
      <c r="CK83" s="72" t="s">
        <v>819</v>
      </c>
      <c r="CL83" s="72">
        <v>60.24</v>
      </c>
      <c r="CM83" s="72">
        <v>15.27</v>
      </c>
      <c r="CN83" s="72">
        <v>1.1299999999999999</v>
      </c>
      <c r="CO83" s="72">
        <v>95.04</v>
      </c>
      <c r="CP83" s="72">
        <v>6.53</v>
      </c>
      <c r="CQ83" s="72">
        <v>2.16</v>
      </c>
      <c r="CR83" s="72" t="s">
        <v>820</v>
      </c>
      <c r="CS83" s="72">
        <v>4.5199999999999996</v>
      </c>
      <c r="CT83" s="72">
        <v>0</v>
      </c>
      <c r="CU83" s="72">
        <v>2.23</v>
      </c>
      <c r="CV83" s="72">
        <v>1.25</v>
      </c>
      <c r="CW83" s="72">
        <v>35.14</v>
      </c>
      <c r="CX83" s="72" t="s">
        <v>821</v>
      </c>
      <c r="CY83" s="72">
        <v>57.03</v>
      </c>
      <c r="CZ83" s="72">
        <v>29.44</v>
      </c>
      <c r="DA83" s="72">
        <v>25.69</v>
      </c>
      <c r="DB83" s="72">
        <v>591</v>
      </c>
    </row>
    <row r="84" spans="7:106" x14ac:dyDescent="0.25">
      <c r="G84" s="72">
        <v>598</v>
      </c>
      <c r="H84" s="72" t="s">
        <v>822</v>
      </c>
      <c r="I84" s="72">
        <v>0.78</v>
      </c>
      <c r="J84" s="72">
        <v>1.56</v>
      </c>
      <c r="K84" s="72">
        <v>5.15</v>
      </c>
      <c r="L84" s="72">
        <v>0.04</v>
      </c>
      <c r="M84" s="72">
        <v>5.15</v>
      </c>
      <c r="N84" s="72">
        <v>5.16</v>
      </c>
      <c r="O84" s="72">
        <v>63301</v>
      </c>
      <c r="P84" s="72">
        <v>30</v>
      </c>
      <c r="Q84" s="72">
        <v>0</v>
      </c>
      <c r="R84" s="72">
        <v>0.21</v>
      </c>
      <c r="S84" s="72">
        <v>5.12</v>
      </c>
      <c r="T84" s="72">
        <v>5.17</v>
      </c>
      <c r="U84" s="72">
        <v>5.12</v>
      </c>
      <c r="V84" s="72">
        <v>5.1100000000000003</v>
      </c>
      <c r="W84" s="72">
        <v>11.6</v>
      </c>
      <c r="X84" s="72">
        <v>32567892</v>
      </c>
      <c r="Y84" s="72" t="s">
        <v>389</v>
      </c>
      <c r="Z84" s="72" t="s">
        <v>395</v>
      </c>
      <c r="AA84" s="72">
        <v>0.98</v>
      </c>
      <c r="AB84" s="72">
        <v>5.14</v>
      </c>
      <c r="AC84" s="72">
        <v>32514</v>
      </c>
      <c r="AD84" s="72">
        <v>30787</v>
      </c>
      <c r="AE84" s="72">
        <v>1.06</v>
      </c>
      <c r="AF84" s="72">
        <v>1103</v>
      </c>
      <c r="AG84" s="72">
        <v>6906</v>
      </c>
      <c r="AH84" s="72" t="s">
        <v>414</v>
      </c>
      <c r="AI84" s="72">
        <v>205000</v>
      </c>
      <c r="AJ84" s="72">
        <v>0</v>
      </c>
      <c r="AK84" s="72" t="s">
        <v>414</v>
      </c>
      <c r="AL84" s="72" t="s">
        <v>414</v>
      </c>
      <c r="AM84" s="72">
        <v>29.86</v>
      </c>
      <c r="AN84" s="72" t="s">
        <v>823</v>
      </c>
      <c r="AO84" s="72" t="s">
        <v>823</v>
      </c>
      <c r="AP84" s="72">
        <v>-1.39</v>
      </c>
      <c r="AQ84" s="72">
        <v>1226</v>
      </c>
      <c r="AR84" s="72">
        <v>52</v>
      </c>
      <c r="AS84" s="72">
        <v>2.0000000000000001E-4</v>
      </c>
      <c r="AT84" s="72">
        <v>6</v>
      </c>
      <c r="AU84" s="72">
        <v>1.19</v>
      </c>
      <c r="AV84" s="72">
        <v>0.44</v>
      </c>
      <c r="AW84" s="72" t="s">
        <v>824</v>
      </c>
      <c r="AX84" s="72">
        <v>0.51</v>
      </c>
      <c r="AY84" s="72">
        <v>13.28</v>
      </c>
      <c r="AZ84" s="72">
        <v>14.11</v>
      </c>
      <c r="BA84" s="72">
        <v>0.2</v>
      </c>
      <c r="BB84" s="72">
        <v>1.17</v>
      </c>
      <c r="BC84" s="72">
        <v>0.2</v>
      </c>
      <c r="BD84" s="72">
        <v>0.68</v>
      </c>
      <c r="BE84" s="72">
        <v>0.59</v>
      </c>
      <c r="BF84" s="72">
        <v>-0.39</v>
      </c>
      <c r="BG84" s="72">
        <v>0.59</v>
      </c>
      <c r="BH84" s="72">
        <v>0.1</v>
      </c>
      <c r="BI84" s="72">
        <v>20200827</v>
      </c>
      <c r="BJ84" s="72">
        <v>19960529</v>
      </c>
      <c r="BK84" s="72">
        <v>29.86</v>
      </c>
      <c r="BL84" s="72" t="s">
        <v>414</v>
      </c>
      <c r="BM84" s="72" t="s">
        <v>414</v>
      </c>
      <c r="BN84" s="72">
        <v>267.14999999999998</v>
      </c>
      <c r="BO84" s="72">
        <v>116.4</v>
      </c>
      <c r="BP84" s="72">
        <v>8.0299999999999994</v>
      </c>
      <c r="BQ84" s="72">
        <v>53.42</v>
      </c>
      <c r="BR84" s="72">
        <v>57.86</v>
      </c>
      <c r="BS84" s="72">
        <v>85.37</v>
      </c>
      <c r="BT84" s="72">
        <v>63.13</v>
      </c>
      <c r="BU84" s="72">
        <v>64.48</v>
      </c>
      <c r="BV84" s="72">
        <v>3.46</v>
      </c>
      <c r="BW84" s="72">
        <v>14.79</v>
      </c>
      <c r="BX84" s="72">
        <v>17.8</v>
      </c>
      <c r="BY84" s="72">
        <v>23.35</v>
      </c>
      <c r="BZ84" s="72">
        <v>12.99</v>
      </c>
      <c r="CA84" s="72">
        <v>7.93</v>
      </c>
      <c r="CB84" s="72">
        <v>0</v>
      </c>
      <c r="CC84" s="72">
        <v>7.96</v>
      </c>
      <c r="CD84" s="72">
        <v>6.75</v>
      </c>
      <c r="CE84" s="72">
        <v>6.63</v>
      </c>
      <c r="CF84" s="72">
        <v>65.349999999999994</v>
      </c>
      <c r="CG84" s="72">
        <v>8.6199999999999992</v>
      </c>
      <c r="CH84" s="72">
        <v>0.13</v>
      </c>
      <c r="CI84" s="72">
        <v>121270</v>
      </c>
      <c r="CJ84" s="72">
        <v>11775</v>
      </c>
      <c r="CK84" s="72" t="s">
        <v>825</v>
      </c>
      <c r="CL84" s="72">
        <v>11.42</v>
      </c>
      <c r="CM84" s="72">
        <v>10.5</v>
      </c>
      <c r="CN84" s="72">
        <v>1.32</v>
      </c>
      <c r="CO84" s="72">
        <v>17.850000000000001</v>
      </c>
      <c r="CP84" s="72">
        <v>6.58</v>
      </c>
      <c r="CQ84" s="72">
        <v>1.75</v>
      </c>
      <c r="CR84" s="72" t="s">
        <v>826</v>
      </c>
      <c r="CS84" s="72">
        <v>3.9</v>
      </c>
      <c r="CT84" s="72">
        <v>0</v>
      </c>
      <c r="CU84" s="72">
        <v>0.6</v>
      </c>
      <c r="CV84" s="72">
        <v>2.19</v>
      </c>
      <c r="CW84" s="72">
        <v>43.57</v>
      </c>
      <c r="CX84" s="72" t="s">
        <v>827</v>
      </c>
      <c r="CY84" s="72">
        <v>44.37</v>
      </c>
      <c r="CZ84" s="72">
        <v>33.96</v>
      </c>
      <c r="DA84" s="72">
        <v>28.39</v>
      </c>
      <c r="DB84" s="72">
        <v>598</v>
      </c>
    </row>
    <row r="85" spans="7:106" x14ac:dyDescent="0.25">
      <c r="G85" s="72">
        <v>690</v>
      </c>
      <c r="H85" s="72" t="s">
        <v>828</v>
      </c>
      <c r="I85" s="72">
        <v>0.88</v>
      </c>
      <c r="J85" s="72">
        <v>1.64</v>
      </c>
      <c r="K85" s="72">
        <v>6.85</v>
      </c>
      <c r="L85" s="72">
        <v>0.06</v>
      </c>
      <c r="M85" s="72">
        <v>6.85</v>
      </c>
      <c r="N85" s="72">
        <v>6.86</v>
      </c>
      <c r="O85" s="72">
        <v>71591</v>
      </c>
      <c r="P85" s="72">
        <v>3</v>
      </c>
      <c r="Q85" s="72">
        <v>0</v>
      </c>
      <c r="R85" s="72">
        <v>0.34</v>
      </c>
      <c r="S85" s="72">
        <v>6.8</v>
      </c>
      <c r="T85" s="72">
        <v>6.89</v>
      </c>
      <c r="U85" s="72">
        <v>6.76</v>
      </c>
      <c r="V85" s="72">
        <v>6.79</v>
      </c>
      <c r="W85" s="72">
        <v>11.68</v>
      </c>
      <c r="X85" s="72">
        <v>48952944</v>
      </c>
      <c r="Y85" s="72" t="s">
        <v>354</v>
      </c>
      <c r="Z85" s="72" t="s">
        <v>364</v>
      </c>
      <c r="AA85" s="72">
        <v>1.91</v>
      </c>
      <c r="AB85" s="72">
        <v>6.84</v>
      </c>
      <c r="AC85" s="72">
        <v>35223</v>
      </c>
      <c r="AD85" s="72">
        <v>36368</v>
      </c>
      <c r="AE85" s="72">
        <v>0.97</v>
      </c>
      <c r="AF85" s="72">
        <v>298</v>
      </c>
      <c r="AG85" s="72">
        <v>40</v>
      </c>
      <c r="AH85" s="72" t="s">
        <v>414</v>
      </c>
      <c r="AI85" s="72">
        <v>491000</v>
      </c>
      <c r="AJ85" s="72">
        <v>0</v>
      </c>
      <c r="AK85" s="72" t="s">
        <v>414</v>
      </c>
      <c r="AL85" s="72" t="s">
        <v>414</v>
      </c>
      <c r="AM85" s="72">
        <v>20.84</v>
      </c>
      <c r="AN85" s="72" t="s">
        <v>829</v>
      </c>
      <c r="AO85" s="72" t="s">
        <v>830</v>
      </c>
      <c r="AP85" s="72">
        <v>-1.29</v>
      </c>
      <c r="AQ85" s="72">
        <v>1297</v>
      </c>
      <c r="AR85" s="72">
        <v>55</v>
      </c>
      <c r="AS85" s="72">
        <v>2.9999999999999997E-4</v>
      </c>
      <c r="AT85" s="72">
        <v>2</v>
      </c>
      <c r="AU85" s="72">
        <v>5.38</v>
      </c>
      <c r="AV85" s="72">
        <v>0.45</v>
      </c>
      <c r="AW85" s="72" t="s">
        <v>831</v>
      </c>
      <c r="AX85" s="72">
        <v>0.72</v>
      </c>
      <c r="AY85" s="72">
        <v>12.27</v>
      </c>
      <c r="AZ85" s="72">
        <v>16.73</v>
      </c>
      <c r="BA85" s="72">
        <v>0.15</v>
      </c>
      <c r="BB85" s="72">
        <v>1.47</v>
      </c>
      <c r="BC85" s="72">
        <v>-0.44</v>
      </c>
      <c r="BD85" s="72">
        <v>0.7</v>
      </c>
      <c r="BE85" s="72">
        <v>0.74</v>
      </c>
      <c r="BF85" s="72">
        <v>-0.57999999999999996</v>
      </c>
      <c r="BG85" s="72">
        <v>1.33</v>
      </c>
      <c r="BH85" s="72">
        <v>0.18</v>
      </c>
      <c r="BI85" s="72">
        <v>20200820</v>
      </c>
      <c r="BJ85" s="72">
        <v>19970128</v>
      </c>
      <c r="BK85" s="72">
        <v>21.76</v>
      </c>
      <c r="BL85" s="72" t="s">
        <v>414</v>
      </c>
      <c r="BM85" s="72" t="s">
        <v>414</v>
      </c>
      <c r="BN85" s="72">
        <v>192.49</v>
      </c>
      <c r="BO85" s="72">
        <v>97.2</v>
      </c>
      <c r="BP85" s="72">
        <v>0.01</v>
      </c>
      <c r="BQ85" s="72">
        <v>49.5</v>
      </c>
      <c r="BR85" s="72">
        <v>53.14</v>
      </c>
      <c r="BS85" s="72">
        <v>94.75</v>
      </c>
      <c r="BT85" s="72">
        <v>6.3</v>
      </c>
      <c r="BU85" s="72">
        <v>36.07</v>
      </c>
      <c r="BV85" s="72">
        <v>2.59</v>
      </c>
      <c r="BW85" s="72">
        <v>8.73</v>
      </c>
      <c r="BX85" s="72">
        <v>29.37</v>
      </c>
      <c r="BY85" s="72">
        <v>32.18</v>
      </c>
      <c r="BZ85" s="72">
        <v>18.12</v>
      </c>
      <c r="CA85" s="72">
        <v>9.9700000000000006</v>
      </c>
      <c r="CB85" s="72">
        <v>-1.94</v>
      </c>
      <c r="CC85" s="72">
        <v>9.4</v>
      </c>
      <c r="CD85" s="72">
        <v>6.38</v>
      </c>
      <c r="CE85" s="72">
        <v>6.38</v>
      </c>
      <c r="CF85" s="72">
        <v>36.51</v>
      </c>
      <c r="CG85" s="72">
        <v>15.34</v>
      </c>
      <c r="CH85" s="72">
        <v>5.3</v>
      </c>
      <c r="CI85" s="72">
        <v>78931</v>
      </c>
      <c r="CJ85" s="72">
        <v>20213</v>
      </c>
      <c r="CK85" s="72" t="s">
        <v>832</v>
      </c>
      <c r="CL85" s="72">
        <v>101.35</v>
      </c>
      <c r="CM85" s="72">
        <v>49.61</v>
      </c>
      <c r="CN85" s="72">
        <v>1.53</v>
      </c>
      <c r="CO85" s="72">
        <v>9.7200000000000006</v>
      </c>
      <c r="CP85" s="72">
        <v>4.63</v>
      </c>
      <c r="CQ85" s="72">
        <v>2.95</v>
      </c>
      <c r="CR85" s="72" t="s">
        <v>833</v>
      </c>
      <c r="CS85" s="72">
        <v>4.47</v>
      </c>
      <c r="CT85" s="72">
        <v>0</v>
      </c>
      <c r="CU85" s="72">
        <v>1.35</v>
      </c>
      <c r="CV85" s="72">
        <v>1.68</v>
      </c>
      <c r="CW85" s="72">
        <v>50.5</v>
      </c>
      <c r="CX85" s="72" t="s">
        <v>834</v>
      </c>
      <c r="CY85" s="72">
        <v>43.68</v>
      </c>
      <c r="CZ85" s="72">
        <v>30.97</v>
      </c>
      <c r="DA85" s="72">
        <v>19.84</v>
      </c>
      <c r="DB85" s="72">
        <v>690</v>
      </c>
    </row>
    <row r="86" spans="7:106" x14ac:dyDescent="0.25">
      <c r="G86" s="72">
        <v>712</v>
      </c>
      <c r="H86" s="72" t="s">
        <v>835</v>
      </c>
      <c r="I86" s="72">
        <v>2.48</v>
      </c>
      <c r="J86" s="72">
        <v>1.69</v>
      </c>
      <c r="K86" s="72">
        <v>15.28</v>
      </c>
      <c r="L86" s="72">
        <v>0.37</v>
      </c>
      <c r="M86" s="72">
        <v>15.28</v>
      </c>
      <c r="N86" s="72">
        <v>15.29</v>
      </c>
      <c r="O86" s="72">
        <v>75100</v>
      </c>
      <c r="P86" s="72">
        <v>3</v>
      </c>
      <c r="Q86" s="72">
        <v>0.2</v>
      </c>
      <c r="R86" s="72">
        <v>0.94</v>
      </c>
      <c r="S86" s="72">
        <v>15</v>
      </c>
      <c r="T86" s="72">
        <v>15.36</v>
      </c>
      <c r="U86" s="72">
        <v>14.95</v>
      </c>
      <c r="V86" s="72">
        <v>14.91</v>
      </c>
      <c r="W86" s="72">
        <v>42.03</v>
      </c>
      <c r="X86" s="114">
        <v>114000000</v>
      </c>
      <c r="Y86" s="72" t="s">
        <v>411</v>
      </c>
      <c r="Z86" s="72" t="s">
        <v>364</v>
      </c>
      <c r="AA86" s="72">
        <v>2.75</v>
      </c>
      <c r="AB86" s="72">
        <v>15.22</v>
      </c>
      <c r="AC86" s="72">
        <v>34908</v>
      </c>
      <c r="AD86" s="72">
        <v>40192</v>
      </c>
      <c r="AE86" s="72">
        <v>0.87</v>
      </c>
      <c r="AF86" s="72">
        <v>150</v>
      </c>
      <c r="AG86" s="72">
        <v>83</v>
      </c>
      <c r="AH86" s="72" t="s">
        <v>414</v>
      </c>
      <c r="AI86" s="72">
        <v>1215000</v>
      </c>
      <c r="AJ86" s="72">
        <v>0.02</v>
      </c>
      <c r="AK86" s="72" t="s">
        <v>414</v>
      </c>
      <c r="AL86" s="72" t="s">
        <v>414</v>
      </c>
      <c r="AM86" s="72">
        <v>7.96</v>
      </c>
      <c r="AN86" s="72" t="s">
        <v>836</v>
      </c>
      <c r="AO86" s="72" t="s">
        <v>837</v>
      </c>
      <c r="AP86" s="72">
        <v>0.3</v>
      </c>
      <c r="AQ86" s="72">
        <v>1436</v>
      </c>
      <c r="AR86" s="72">
        <v>52</v>
      </c>
      <c r="AS86" s="72">
        <v>6.9999999999999999E-4</v>
      </c>
      <c r="AT86" s="72">
        <v>2</v>
      </c>
      <c r="AU86" s="72">
        <v>2.14</v>
      </c>
      <c r="AV86" s="72">
        <v>1.68</v>
      </c>
      <c r="AW86" s="72" t="s">
        <v>838</v>
      </c>
      <c r="AX86" s="72">
        <v>1.08</v>
      </c>
      <c r="AY86" s="72">
        <v>86.04</v>
      </c>
      <c r="AZ86" s="72">
        <v>189.29</v>
      </c>
      <c r="BA86" s="72">
        <v>0.6</v>
      </c>
      <c r="BB86" s="72">
        <v>3.02</v>
      </c>
      <c r="BC86" s="72">
        <v>0.27</v>
      </c>
      <c r="BD86" s="72">
        <v>2.1</v>
      </c>
      <c r="BE86" s="72">
        <v>1.87</v>
      </c>
      <c r="BF86" s="72">
        <v>-0.52</v>
      </c>
      <c r="BG86" s="72">
        <v>2.21</v>
      </c>
      <c r="BH86" s="72">
        <v>0.38</v>
      </c>
      <c r="BI86" s="72">
        <v>20200820</v>
      </c>
      <c r="BJ86" s="72">
        <v>19970415</v>
      </c>
      <c r="BK86" s="72">
        <v>8.9600000000000009</v>
      </c>
      <c r="BL86" s="72" t="s">
        <v>414</v>
      </c>
      <c r="BM86" s="72" t="s">
        <v>414</v>
      </c>
      <c r="BN86" s="72">
        <v>252.74</v>
      </c>
      <c r="BO86" s="72">
        <v>35.159999999999997</v>
      </c>
      <c r="BP86" s="72">
        <v>19.89</v>
      </c>
      <c r="BQ86" s="72">
        <v>78.22</v>
      </c>
      <c r="BR86" s="72">
        <v>0</v>
      </c>
      <c r="BS86" s="72">
        <v>1</v>
      </c>
      <c r="BT86" s="72">
        <v>4.2</v>
      </c>
      <c r="BU86" s="72">
        <v>0</v>
      </c>
      <c r="BV86" s="72">
        <v>0</v>
      </c>
      <c r="BW86" s="72">
        <v>0</v>
      </c>
      <c r="BX86" s="72">
        <v>7.08</v>
      </c>
      <c r="BY86" s="72">
        <v>11.75</v>
      </c>
      <c r="BZ86" s="72">
        <v>0</v>
      </c>
      <c r="CA86" s="72">
        <v>3.41</v>
      </c>
      <c r="CB86" s="72">
        <v>4.6100000000000003</v>
      </c>
      <c r="CC86" s="72">
        <v>3.69</v>
      </c>
      <c r="CD86" s="72">
        <v>2.6</v>
      </c>
      <c r="CE86" s="72">
        <v>1.63</v>
      </c>
      <c r="CF86" s="72">
        <v>16.82</v>
      </c>
      <c r="CG86" s="72">
        <v>16.100000000000001</v>
      </c>
      <c r="CH86" s="72">
        <v>10.49</v>
      </c>
      <c r="CI86" s="72">
        <v>51840</v>
      </c>
      <c r="CJ86" s="72">
        <v>8616</v>
      </c>
      <c r="CK86" s="72" t="s">
        <v>839</v>
      </c>
      <c r="CL86" s="72">
        <v>108.33</v>
      </c>
      <c r="CM86" s="72">
        <v>42.61</v>
      </c>
      <c r="CN86" s="72">
        <v>3.89</v>
      </c>
      <c r="CO86" s="72">
        <v>8.5</v>
      </c>
      <c r="CP86" s="72">
        <v>11.65</v>
      </c>
      <c r="CQ86" s="72">
        <v>0</v>
      </c>
      <c r="CR86" s="72" t="s">
        <v>840</v>
      </c>
      <c r="CS86" s="72">
        <v>3.92</v>
      </c>
      <c r="CT86" s="72">
        <v>0</v>
      </c>
      <c r="CU86" s="72">
        <v>0.79</v>
      </c>
      <c r="CV86" s="72">
        <v>1.88</v>
      </c>
      <c r="CW86" s="72">
        <v>13.91</v>
      </c>
      <c r="CX86" s="72" t="s">
        <v>841</v>
      </c>
      <c r="CY86" s="72" t="s">
        <v>414</v>
      </c>
      <c r="CZ86" s="72">
        <v>29.05</v>
      </c>
      <c r="DA86" s="72">
        <v>13.86</v>
      </c>
      <c r="DB86" s="72">
        <v>712</v>
      </c>
    </row>
    <row r="87" spans="7:106" x14ac:dyDescent="0.25">
      <c r="G87" s="72">
        <v>728</v>
      </c>
      <c r="H87" s="72" t="s">
        <v>842</v>
      </c>
      <c r="I87" s="72">
        <v>1.95</v>
      </c>
      <c r="J87" s="72">
        <v>2.59</v>
      </c>
      <c r="K87" s="72">
        <v>11</v>
      </c>
      <c r="L87" s="72">
        <v>0.21</v>
      </c>
      <c r="M87" s="72">
        <v>10.99</v>
      </c>
      <c r="N87" s="72">
        <v>11</v>
      </c>
      <c r="O87" s="72">
        <v>1349193</v>
      </c>
      <c r="P87" s="72">
        <v>79</v>
      </c>
      <c r="Q87" s="72">
        <v>0.27</v>
      </c>
      <c r="R87" s="72">
        <v>4.58</v>
      </c>
      <c r="S87" s="72">
        <v>10.65</v>
      </c>
      <c r="T87" s="72">
        <v>11.05</v>
      </c>
      <c r="U87" s="72">
        <v>10.59</v>
      </c>
      <c r="V87" s="72">
        <v>10.79</v>
      </c>
      <c r="W87" s="72">
        <v>29.97</v>
      </c>
      <c r="X87" s="114">
        <v>1460000000</v>
      </c>
      <c r="Y87" s="72" t="s">
        <v>411</v>
      </c>
      <c r="Z87" s="72" t="s">
        <v>360</v>
      </c>
      <c r="AA87" s="72">
        <v>4.26</v>
      </c>
      <c r="AB87" s="72">
        <v>10.84</v>
      </c>
      <c r="AC87" s="72">
        <v>702906</v>
      </c>
      <c r="AD87" s="72">
        <v>646287</v>
      </c>
      <c r="AE87" s="72">
        <v>1.0900000000000001</v>
      </c>
      <c r="AF87" s="72">
        <v>2272</v>
      </c>
      <c r="AG87" s="72">
        <v>1152</v>
      </c>
      <c r="AH87" s="72" t="s">
        <v>414</v>
      </c>
      <c r="AI87" s="72">
        <v>59258100</v>
      </c>
      <c r="AJ87" s="72">
        <v>0.3</v>
      </c>
      <c r="AK87" s="72" t="s">
        <v>414</v>
      </c>
      <c r="AL87" s="72" t="s">
        <v>414</v>
      </c>
      <c r="AM87" s="72">
        <v>29.46</v>
      </c>
      <c r="AN87" s="72" t="s">
        <v>843</v>
      </c>
      <c r="AO87" s="72" t="s">
        <v>844</v>
      </c>
      <c r="AP87" s="72">
        <v>-0.23</v>
      </c>
      <c r="AQ87" s="72">
        <v>1876</v>
      </c>
      <c r="AR87" s="72">
        <v>719</v>
      </c>
      <c r="AS87" s="72">
        <v>2.3999999999999998E-3</v>
      </c>
      <c r="AT87" s="72">
        <v>1</v>
      </c>
      <c r="AU87" s="72">
        <v>-8.26</v>
      </c>
      <c r="AV87" s="72">
        <v>7.33</v>
      </c>
      <c r="AW87" s="72" t="s">
        <v>845</v>
      </c>
      <c r="AX87" s="72">
        <v>0.62</v>
      </c>
      <c r="AY87" s="72">
        <v>33.03</v>
      </c>
      <c r="AZ87" s="72">
        <v>39.71</v>
      </c>
      <c r="BA87" s="72">
        <v>-1.3</v>
      </c>
      <c r="BB87" s="72">
        <v>2.41</v>
      </c>
      <c r="BC87" s="72">
        <v>-1.85</v>
      </c>
      <c r="BD87" s="72">
        <v>0.49</v>
      </c>
      <c r="BE87" s="72">
        <v>3.29</v>
      </c>
      <c r="BF87" s="72">
        <v>-0.45</v>
      </c>
      <c r="BG87" s="72">
        <v>3.87</v>
      </c>
      <c r="BH87" s="72">
        <v>1.46</v>
      </c>
      <c r="BI87" s="72">
        <v>20200922</v>
      </c>
      <c r="BJ87" s="72">
        <v>19970616</v>
      </c>
      <c r="BK87" s="72">
        <v>33.65</v>
      </c>
      <c r="BL87" s="72" t="s">
        <v>414</v>
      </c>
      <c r="BM87" s="72" t="s">
        <v>414</v>
      </c>
      <c r="BN87" s="72">
        <v>872.3</v>
      </c>
      <c r="BO87" s="72">
        <v>250.47</v>
      </c>
      <c r="BP87" s="72">
        <v>0.12</v>
      </c>
      <c r="BQ87" s="72">
        <v>71.27</v>
      </c>
      <c r="BR87" s="72">
        <v>0</v>
      </c>
      <c r="BS87" s="72">
        <v>12.88</v>
      </c>
      <c r="BT87" s="72">
        <v>0.62</v>
      </c>
      <c r="BU87" s="72">
        <v>0</v>
      </c>
      <c r="BV87" s="72">
        <v>0</v>
      </c>
      <c r="BW87" s="72">
        <v>0</v>
      </c>
      <c r="BX87" s="72">
        <v>126.1</v>
      </c>
      <c r="BY87" s="72">
        <v>21.15</v>
      </c>
      <c r="BZ87" s="72">
        <v>0</v>
      </c>
      <c r="CA87" s="72">
        <v>7.84</v>
      </c>
      <c r="CB87" s="72">
        <v>2.56</v>
      </c>
      <c r="CC87" s="72">
        <v>7.79</v>
      </c>
      <c r="CD87" s="72">
        <v>6.18</v>
      </c>
      <c r="CE87" s="72">
        <v>6.18</v>
      </c>
      <c r="CF87" s="72">
        <v>46.78</v>
      </c>
      <c r="CG87" s="72">
        <v>48.13</v>
      </c>
      <c r="CH87" s="72">
        <v>42.73</v>
      </c>
      <c r="CI87" s="72">
        <v>96617</v>
      </c>
      <c r="CJ87" s="72">
        <v>19063</v>
      </c>
      <c r="CK87" s="72" t="s">
        <v>846</v>
      </c>
      <c r="CL87" s="72">
        <v>42.77</v>
      </c>
      <c r="CM87" s="72">
        <v>33.44</v>
      </c>
      <c r="CN87" s="72">
        <v>1.48</v>
      </c>
      <c r="CO87" s="72">
        <v>7.69</v>
      </c>
      <c r="CP87" s="72">
        <v>17.5</v>
      </c>
      <c r="CQ87" s="72">
        <v>1.39</v>
      </c>
      <c r="CR87" s="72" t="s">
        <v>847</v>
      </c>
      <c r="CS87" s="72">
        <v>7.44</v>
      </c>
      <c r="CT87" s="72">
        <v>0</v>
      </c>
      <c r="CU87" s="72">
        <v>3.75</v>
      </c>
      <c r="CV87" s="72">
        <v>1.39</v>
      </c>
      <c r="CW87" s="72">
        <v>28.71</v>
      </c>
      <c r="CX87" s="72" t="s">
        <v>499</v>
      </c>
      <c r="CY87" s="72" t="s">
        <v>414</v>
      </c>
      <c r="CZ87" s="72">
        <v>37.049999999999997</v>
      </c>
      <c r="DA87" s="72">
        <v>29.2</v>
      </c>
      <c r="DB87" s="72">
        <v>728</v>
      </c>
    </row>
    <row r="88" spans="7:106" x14ac:dyDescent="0.25">
      <c r="G88" s="72">
        <v>789</v>
      </c>
      <c r="H88" s="72" t="s">
        <v>417</v>
      </c>
      <c r="I88" s="72">
        <v>1.29</v>
      </c>
      <c r="J88" s="72">
        <v>2.33</v>
      </c>
      <c r="K88" s="72">
        <v>15.67</v>
      </c>
      <c r="L88" s="72">
        <v>0.2</v>
      </c>
      <c r="M88" s="72">
        <v>15.67</v>
      </c>
      <c r="N88" s="72">
        <v>15.68</v>
      </c>
      <c r="O88" s="72">
        <v>103000</v>
      </c>
      <c r="P88" s="72">
        <v>1</v>
      </c>
      <c r="Q88" s="72">
        <v>0.26</v>
      </c>
      <c r="R88" s="72">
        <v>1.29</v>
      </c>
      <c r="S88" s="72">
        <v>15.52</v>
      </c>
      <c r="T88" s="72">
        <v>15.73</v>
      </c>
      <c r="U88" s="72">
        <v>15.41</v>
      </c>
      <c r="V88" s="72">
        <v>15.47</v>
      </c>
      <c r="W88" s="72">
        <v>9.1999999999999993</v>
      </c>
      <c r="X88" s="114">
        <v>161000000</v>
      </c>
      <c r="Y88" s="72" t="s">
        <v>633</v>
      </c>
      <c r="Z88" s="72" t="s">
        <v>387</v>
      </c>
      <c r="AA88" s="72">
        <v>2.0699999999999998</v>
      </c>
      <c r="AB88" s="72">
        <v>15.6</v>
      </c>
      <c r="AC88" s="72">
        <v>52470</v>
      </c>
      <c r="AD88" s="72">
        <v>50530</v>
      </c>
      <c r="AE88" s="72">
        <v>1.04</v>
      </c>
      <c r="AF88" s="72">
        <v>270</v>
      </c>
      <c r="AG88" s="72">
        <v>257</v>
      </c>
      <c r="AH88" s="72" t="s">
        <v>414</v>
      </c>
      <c r="AI88" s="72">
        <v>1196600</v>
      </c>
      <c r="AJ88" s="72">
        <v>0.02</v>
      </c>
      <c r="AK88" s="72" t="s">
        <v>414</v>
      </c>
      <c r="AL88" s="72" t="s">
        <v>414</v>
      </c>
      <c r="AM88" s="72">
        <v>7.97</v>
      </c>
      <c r="AN88" s="72" t="s">
        <v>848</v>
      </c>
      <c r="AO88" s="72" t="s">
        <v>848</v>
      </c>
      <c r="AP88" s="72">
        <v>-0.88</v>
      </c>
      <c r="AQ88" s="72">
        <v>1530</v>
      </c>
      <c r="AR88" s="72">
        <v>67</v>
      </c>
      <c r="AS88" s="72">
        <v>8.0000000000000004E-4</v>
      </c>
      <c r="AT88" s="72">
        <v>2</v>
      </c>
      <c r="AU88" s="72">
        <v>2.82</v>
      </c>
      <c r="AV88" s="72">
        <v>2.46</v>
      </c>
      <c r="AW88" s="72" t="s">
        <v>849</v>
      </c>
      <c r="AX88" s="72">
        <v>1.0900000000000001</v>
      </c>
      <c r="AY88" s="72">
        <v>8.5399999999999991</v>
      </c>
      <c r="AZ88" s="72">
        <v>9.01</v>
      </c>
      <c r="BA88" s="72">
        <v>0.32</v>
      </c>
      <c r="BB88" s="72">
        <v>1.68</v>
      </c>
      <c r="BC88" s="72">
        <v>-0.39</v>
      </c>
      <c r="BD88" s="72">
        <v>0.83</v>
      </c>
      <c r="BE88" s="72">
        <v>0.97</v>
      </c>
      <c r="BF88" s="72">
        <v>-0.38</v>
      </c>
      <c r="BG88" s="72">
        <v>1.69</v>
      </c>
      <c r="BH88" s="72">
        <v>0.47</v>
      </c>
      <c r="BI88" s="72">
        <v>20200820</v>
      </c>
      <c r="BJ88" s="72">
        <v>19970923</v>
      </c>
      <c r="BK88" s="72">
        <v>7.97</v>
      </c>
      <c r="BL88" s="72" t="s">
        <v>414</v>
      </c>
      <c r="BM88" s="72" t="s">
        <v>414</v>
      </c>
      <c r="BN88" s="72">
        <v>134.44</v>
      </c>
      <c r="BO88" s="72">
        <v>53.5</v>
      </c>
      <c r="BP88" s="72">
        <v>25</v>
      </c>
      <c r="BQ88" s="72">
        <v>41.61</v>
      </c>
      <c r="BR88" s="72">
        <v>55.23</v>
      </c>
      <c r="BS88" s="72">
        <v>35.94</v>
      </c>
      <c r="BT88" s="72">
        <v>16.440000000000001</v>
      </c>
      <c r="BU88" s="72">
        <v>32.06</v>
      </c>
      <c r="BV88" s="72">
        <v>7.06</v>
      </c>
      <c r="BW88" s="72">
        <v>7.47</v>
      </c>
      <c r="BX88" s="72">
        <v>0.56999999999999995</v>
      </c>
      <c r="BY88" s="72">
        <v>53.33</v>
      </c>
      <c r="BZ88" s="72">
        <v>36.840000000000003</v>
      </c>
      <c r="CA88" s="72">
        <v>13.56</v>
      </c>
      <c r="CB88" s="72">
        <v>0.28999999999999998</v>
      </c>
      <c r="CC88" s="72">
        <v>13.4</v>
      </c>
      <c r="CD88" s="72">
        <v>10.39</v>
      </c>
      <c r="CE88" s="72">
        <v>6.79</v>
      </c>
      <c r="CF88" s="72">
        <v>38.1</v>
      </c>
      <c r="CG88" s="72">
        <v>3.02</v>
      </c>
      <c r="CH88" s="72">
        <v>2.25</v>
      </c>
      <c r="CI88" s="72">
        <v>48726</v>
      </c>
      <c r="CJ88" s="72">
        <v>8595</v>
      </c>
      <c r="CK88" s="72" t="s">
        <v>850</v>
      </c>
      <c r="CL88" s="72">
        <v>12.6</v>
      </c>
      <c r="CM88" s="72">
        <v>20.64</v>
      </c>
      <c r="CN88" s="72">
        <v>2.4</v>
      </c>
      <c r="CO88" s="72">
        <v>41.41</v>
      </c>
      <c r="CP88" s="72">
        <v>2.34</v>
      </c>
      <c r="CQ88" s="72">
        <v>4.5199999999999996</v>
      </c>
      <c r="CR88" s="72" t="s">
        <v>851</v>
      </c>
      <c r="CS88" s="72">
        <v>6.52</v>
      </c>
      <c r="CT88" s="72">
        <v>6.52</v>
      </c>
      <c r="CU88" s="72">
        <v>7.0000000000000007E-2</v>
      </c>
      <c r="CV88" s="72">
        <v>4.78</v>
      </c>
      <c r="CW88" s="72">
        <v>39.79</v>
      </c>
      <c r="CX88" s="72" t="s">
        <v>852</v>
      </c>
      <c r="CY88" s="72">
        <v>30.92</v>
      </c>
      <c r="CZ88" s="72">
        <v>25.43</v>
      </c>
      <c r="DA88" s="72">
        <v>12.74</v>
      </c>
      <c r="DB88" s="72">
        <v>789</v>
      </c>
    </row>
    <row r="89" spans="7:106" x14ac:dyDescent="0.25">
      <c r="G89" s="72">
        <v>800</v>
      </c>
      <c r="H89" s="72" t="s">
        <v>853</v>
      </c>
      <c r="I89" s="72">
        <v>2.2999999999999998</v>
      </c>
      <c r="J89" s="72">
        <v>2.17</v>
      </c>
      <c r="K89" s="72">
        <v>12.48</v>
      </c>
      <c r="L89" s="72">
        <v>0.28000000000000003</v>
      </c>
      <c r="M89" s="72">
        <v>12.47</v>
      </c>
      <c r="N89" s="72">
        <v>12.48</v>
      </c>
      <c r="O89" s="72">
        <v>165046</v>
      </c>
      <c r="P89" s="72">
        <v>27</v>
      </c>
      <c r="Q89" s="72">
        <v>0.16</v>
      </c>
      <c r="R89" s="72">
        <v>2.16</v>
      </c>
      <c r="S89" s="72">
        <v>12.3</v>
      </c>
      <c r="T89" s="72">
        <v>12.52</v>
      </c>
      <c r="U89" s="72">
        <v>12.23</v>
      </c>
      <c r="V89" s="72">
        <v>12.2</v>
      </c>
      <c r="W89" s="72">
        <v>13.38</v>
      </c>
      <c r="X89" s="114">
        <v>204000000</v>
      </c>
      <c r="Y89" s="72" t="s">
        <v>375</v>
      </c>
      <c r="Z89" s="72" t="s">
        <v>355</v>
      </c>
      <c r="AA89" s="72">
        <v>2.38</v>
      </c>
      <c r="AB89" s="72">
        <v>12.39</v>
      </c>
      <c r="AC89" s="72">
        <v>61953</v>
      </c>
      <c r="AD89" s="72">
        <v>103093</v>
      </c>
      <c r="AE89" s="72">
        <v>0.6</v>
      </c>
      <c r="AF89" s="72">
        <v>139</v>
      </c>
      <c r="AG89" s="72">
        <v>186</v>
      </c>
      <c r="AH89" s="72" t="s">
        <v>414</v>
      </c>
      <c r="AI89" s="72">
        <v>1120600</v>
      </c>
      <c r="AJ89" s="72">
        <v>0.01</v>
      </c>
      <c r="AK89" s="72" t="s">
        <v>414</v>
      </c>
      <c r="AL89" s="72" t="s">
        <v>414</v>
      </c>
      <c r="AM89" s="72">
        <v>7.65</v>
      </c>
      <c r="AN89" s="72" t="s">
        <v>854</v>
      </c>
      <c r="AO89" s="72" t="s">
        <v>855</v>
      </c>
      <c r="AP89" s="72">
        <v>0.12</v>
      </c>
      <c r="AQ89" s="72">
        <v>1711</v>
      </c>
      <c r="AR89" s="72">
        <v>96</v>
      </c>
      <c r="AS89" s="72">
        <v>1.2999999999999999E-3</v>
      </c>
      <c r="AT89" s="72">
        <v>2</v>
      </c>
      <c r="AU89" s="72">
        <v>2.21</v>
      </c>
      <c r="AV89" s="72">
        <v>2.16</v>
      </c>
      <c r="AW89" s="72" t="s">
        <v>854</v>
      </c>
      <c r="AX89" s="72">
        <v>0.82</v>
      </c>
      <c r="AY89" s="72">
        <v>138.05000000000001</v>
      </c>
      <c r="AZ89" s="72">
        <v>1065.72</v>
      </c>
      <c r="BA89" s="72">
        <v>0.82</v>
      </c>
      <c r="BB89" s="72">
        <v>2.62</v>
      </c>
      <c r="BC89" s="72">
        <v>0.25</v>
      </c>
      <c r="BD89" s="72">
        <v>1.54</v>
      </c>
      <c r="BE89" s="72">
        <v>1.46</v>
      </c>
      <c r="BF89" s="72">
        <v>-0.32</v>
      </c>
      <c r="BG89" s="72">
        <v>2.04</v>
      </c>
      <c r="BH89" s="72">
        <v>0.76</v>
      </c>
      <c r="BI89" s="72">
        <v>20200921</v>
      </c>
      <c r="BJ89" s="72">
        <v>19970618</v>
      </c>
      <c r="BK89" s="72">
        <v>46.1</v>
      </c>
      <c r="BL89" s="72" t="s">
        <v>414</v>
      </c>
      <c r="BM89" s="72" t="s">
        <v>414</v>
      </c>
      <c r="BN89" s="72">
        <v>963.32</v>
      </c>
      <c r="BO89" s="72">
        <v>240.36</v>
      </c>
      <c r="BP89" s="72">
        <v>0</v>
      </c>
      <c r="BQ89" s="72">
        <v>75.05</v>
      </c>
      <c r="BR89" s="72">
        <v>792.58</v>
      </c>
      <c r="BS89" s="72">
        <v>77.19</v>
      </c>
      <c r="BT89" s="72">
        <v>26.09</v>
      </c>
      <c r="BU89" s="72">
        <v>674.27</v>
      </c>
      <c r="BV89" s="72">
        <v>67.739999999999995</v>
      </c>
      <c r="BW89" s="72">
        <v>12.47</v>
      </c>
      <c r="BX89" s="72">
        <v>101.06</v>
      </c>
      <c r="BY89" s="72">
        <v>690.9</v>
      </c>
      <c r="BZ89" s="72">
        <v>611.76</v>
      </c>
      <c r="CA89" s="72">
        <v>29.37</v>
      </c>
      <c r="CB89" s="72">
        <v>3.45</v>
      </c>
      <c r="CC89" s="72">
        <v>29.46</v>
      </c>
      <c r="CD89" s="72">
        <v>21.19</v>
      </c>
      <c r="CE89" s="72">
        <v>21.5</v>
      </c>
      <c r="CF89" s="72">
        <v>80.83</v>
      </c>
      <c r="CG89" s="72">
        <v>84.86</v>
      </c>
      <c r="CH89" s="72">
        <v>63.6</v>
      </c>
      <c r="CI89" s="72">
        <v>68639</v>
      </c>
      <c r="CJ89" s="72">
        <v>11138</v>
      </c>
      <c r="CK89" s="72" t="s">
        <v>856</v>
      </c>
      <c r="CL89" s="72">
        <v>19.75</v>
      </c>
      <c r="CM89" s="72">
        <v>16.079999999999998</v>
      </c>
      <c r="CN89" s="72">
        <v>2.39</v>
      </c>
      <c r="CO89" s="72">
        <v>6.78</v>
      </c>
      <c r="CP89" s="72">
        <v>0.83</v>
      </c>
      <c r="CQ89" s="72">
        <v>0</v>
      </c>
      <c r="CR89" s="72" t="s">
        <v>857</v>
      </c>
      <c r="CS89" s="72">
        <v>5.21</v>
      </c>
      <c r="CT89" s="72">
        <v>0</v>
      </c>
      <c r="CU89" s="72">
        <v>2.19</v>
      </c>
      <c r="CV89" s="72">
        <v>1.75</v>
      </c>
      <c r="CW89" s="72">
        <v>24.95</v>
      </c>
      <c r="CX89" s="72" t="s">
        <v>858</v>
      </c>
      <c r="CY89" s="72">
        <v>11.45</v>
      </c>
      <c r="CZ89" s="72">
        <v>4.25</v>
      </c>
      <c r="DA89" s="72">
        <v>3.11</v>
      </c>
      <c r="DB89" s="72">
        <v>800</v>
      </c>
    </row>
    <row r="90" spans="7:106" x14ac:dyDescent="0.25">
      <c r="G90" s="72">
        <v>807</v>
      </c>
      <c r="H90" s="72" t="s">
        <v>859</v>
      </c>
      <c r="I90" s="72">
        <v>0.37</v>
      </c>
      <c r="J90" s="72">
        <v>3.27</v>
      </c>
      <c r="K90" s="72">
        <v>5.48</v>
      </c>
      <c r="L90" s="72">
        <v>0.02</v>
      </c>
      <c r="M90" s="72">
        <v>5.47</v>
      </c>
      <c r="N90" s="72">
        <v>5.48</v>
      </c>
      <c r="O90" s="72">
        <v>611770</v>
      </c>
      <c r="P90" s="72">
        <v>18</v>
      </c>
      <c r="Q90" s="72">
        <v>0</v>
      </c>
      <c r="R90" s="72">
        <v>2.35</v>
      </c>
      <c r="S90" s="72">
        <v>5.46</v>
      </c>
      <c r="T90" s="72">
        <v>5.53</v>
      </c>
      <c r="U90" s="72">
        <v>5.22</v>
      </c>
      <c r="V90" s="72">
        <v>5.46</v>
      </c>
      <c r="W90" s="72">
        <v>35.229999999999997</v>
      </c>
      <c r="X90" s="114">
        <v>331000000</v>
      </c>
      <c r="Y90" s="72" t="s">
        <v>378</v>
      </c>
      <c r="Z90" s="72" t="s">
        <v>352</v>
      </c>
      <c r="AA90" s="72">
        <v>5.68</v>
      </c>
      <c r="AB90" s="72">
        <v>5.41</v>
      </c>
      <c r="AC90" s="72">
        <v>261987</v>
      </c>
      <c r="AD90" s="72">
        <v>349783</v>
      </c>
      <c r="AE90" s="72">
        <v>0.75</v>
      </c>
      <c r="AF90" s="72">
        <v>170</v>
      </c>
      <c r="AG90" s="72">
        <v>251</v>
      </c>
      <c r="AH90" s="72" t="s">
        <v>414</v>
      </c>
      <c r="AI90" s="72">
        <v>9219200</v>
      </c>
      <c r="AJ90" s="72">
        <v>0.11</v>
      </c>
      <c r="AK90" s="72" t="s">
        <v>414</v>
      </c>
      <c r="AL90" s="72" t="s">
        <v>414</v>
      </c>
      <c r="AM90" s="72">
        <v>26.07</v>
      </c>
      <c r="AN90" s="72" t="s">
        <v>860</v>
      </c>
      <c r="AO90" s="72" t="s">
        <v>861</v>
      </c>
      <c r="AP90" s="72">
        <v>-1.81</v>
      </c>
      <c r="AQ90" s="72">
        <v>1721</v>
      </c>
      <c r="AR90" s="72">
        <v>355</v>
      </c>
      <c r="AS90" s="72">
        <v>1.4E-3</v>
      </c>
      <c r="AT90" s="72">
        <v>2</v>
      </c>
      <c r="AU90" s="72">
        <v>1.85</v>
      </c>
      <c r="AV90" s="72">
        <v>4.09</v>
      </c>
      <c r="AW90" s="72" t="s">
        <v>862</v>
      </c>
      <c r="AX90" s="72">
        <v>1.32</v>
      </c>
      <c r="AY90" s="72">
        <v>29.56</v>
      </c>
      <c r="AZ90" s="72">
        <v>34.49</v>
      </c>
      <c r="BA90" s="72">
        <v>0</v>
      </c>
      <c r="BB90" s="72">
        <v>1.28</v>
      </c>
      <c r="BC90" s="72">
        <v>-4.4000000000000004</v>
      </c>
      <c r="BD90" s="72">
        <v>-1.01</v>
      </c>
      <c r="BE90" s="72">
        <v>0.37</v>
      </c>
      <c r="BF90" s="72">
        <v>-0.9</v>
      </c>
      <c r="BG90" s="72">
        <v>4.9800000000000004</v>
      </c>
      <c r="BH90" s="72">
        <v>1.37</v>
      </c>
      <c r="BI90" s="72">
        <v>20200825</v>
      </c>
      <c r="BJ90" s="72">
        <v>19980408</v>
      </c>
      <c r="BK90" s="72">
        <v>31.28</v>
      </c>
      <c r="BL90" s="72" t="s">
        <v>414</v>
      </c>
      <c r="BM90" s="72" t="s">
        <v>414</v>
      </c>
      <c r="BN90" s="72">
        <v>406.56</v>
      </c>
      <c r="BO90" s="72">
        <v>111.38</v>
      </c>
      <c r="BP90" s="72">
        <v>17.88</v>
      </c>
      <c r="BQ90" s="72">
        <v>68.209999999999994</v>
      </c>
      <c r="BR90" s="72">
        <v>69.42</v>
      </c>
      <c r="BS90" s="72">
        <v>238.11</v>
      </c>
      <c r="BT90" s="72">
        <v>26.75</v>
      </c>
      <c r="BU90" s="72">
        <v>201.9</v>
      </c>
      <c r="BV90" s="72">
        <v>37.43</v>
      </c>
      <c r="BW90" s="72">
        <v>1.78</v>
      </c>
      <c r="BX90" s="72">
        <v>80.23</v>
      </c>
      <c r="BY90" s="72">
        <v>120.68</v>
      </c>
      <c r="BZ90" s="72">
        <v>105.46</v>
      </c>
      <c r="CA90" s="72">
        <v>4.0999999999999996</v>
      </c>
      <c r="CB90" s="72">
        <v>-0.05</v>
      </c>
      <c r="CC90" s="72">
        <v>3.99</v>
      </c>
      <c r="CD90" s="72">
        <v>3.54</v>
      </c>
      <c r="CE90" s="72">
        <v>2.4300000000000002</v>
      </c>
      <c r="CF90" s="72">
        <v>-3.61</v>
      </c>
      <c r="CG90" s="72">
        <v>21.47</v>
      </c>
      <c r="CH90" s="72">
        <v>-25.15</v>
      </c>
      <c r="CI90" s="72">
        <v>132823</v>
      </c>
      <c r="CJ90" s="72">
        <v>11270</v>
      </c>
      <c r="CK90" s="72" t="s">
        <v>863</v>
      </c>
      <c r="CL90" s="72">
        <v>51.38</v>
      </c>
      <c r="CM90" s="72">
        <v>11.28</v>
      </c>
      <c r="CN90" s="72">
        <v>1.54</v>
      </c>
      <c r="CO90" s="72">
        <v>7.99</v>
      </c>
      <c r="CP90" s="72">
        <v>1.42</v>
      </c>
      <c r="CQ90" s="72">
        <v>0</v>
      </c>
      <c r="CR90" s="72" t="s">
        <v>864</v>
      </c>
      <c r="CS90" s="72">
        <v>3.56</v>
      </c>
      <c r="CT90" s="72">
        <v>0</v>
      </c>
      <c r="CU90" s="72">
        <v>2.56</v>
      </c>
      <c r="CV90" s="72">
        <v>-0.12</v>
      </c>
      <c r="CW90" s="72">
        <v>27.39</v>
      </c>
      <c r="CX90" s="72" t="s">
        <v>865</v>
      </c>
      <c r="CY90" s="72">
        <v>12.62</v>
      </c>
      <c r="CZ90" s="72">
        <v>3.39</v>
      </c>
      <c r="DA90" s="72">
        <v>2.02</v>
      </c>
      <c r="DB90" s="72">
        <v>807</v>
      </c>
    </row>
    <row r="91" spans="7:106" x14ac:dyDescent="0.25">
      <c r="G91" s="72">
        <v>829</v>
      </c>
      <c r="H91" s="72" t="s">
        <v>866</v>
      </c>
      <c r="I91" s="72">
        <v>2.08</v>
      </c>
      <c r="J91" s="72">
        <v>2.72</v>
      </c>
      <c r="K91" s="72">
        <v>6.88</v>
      </c>
      <c r="L91" s="72">
        <v>0.14000000000000001</v>
      </c>
      <c r="M91" s="72">
        <v>6.87</v>
      </c>
      <c r="N91" s="72">
        <v>6.88</v>
      </c>
      <c r="O91" s="72">
        <v>62742</v>
      </c>
      <c r="P91" s="72">
        <v>1</v>
      </c>
      <c r="Q91" s="72">
        <v>0.28999999999999998</v>
      </c>
      <c r="R91" s="72">
        <v>0.68</v>
      </c>
      <c r="S91" s="72">
        <v>6.79</v>
      </c>
      <c r="T91" s="72">
        <v>6.93</v>
      </c>
      <c r="U91" s="72">
        <v>6.79</v>
      </c>
      <c r="V91" s="72">
        <v>6.74</v>
      </c>
      <c r="W91" s="72">
        <v>48.74</v>
      </c>
      <c r="X91" s="72">
        <v>43155276</v>
      </c>
      <c r="Y91" s="72" t="s">
        <v>867</v>
      </c>
      <c r="Z91" s="72" t="s">
        <v>387</v>
      </c>
      <c r="AA91" s="72">
        <v>2.08</v>
      </c>
      <c r="AB91" s="72">
        <v>6.88</v>
      </c>
      <c r="AC91" s="72">
        <v>27374</v>
      </c>
      <c r="AD91" s="72">
        <v>35368</v>
      </c>
      <c r="AE91" s="72">
        <v>0.77</v>
      </c>
      <c r="AF91" s="72">
        <v>527</v>
      </c>
      <c r="AG91" s="72">
        <v>70</v>
      </c>
      <c r="AH91" s="72" t="s">
        <v>414</v>
      </c>
      <c r="AI91" s="72">
        <v>186700</v>
      </c>
      <c r="AJ91" s="72">
        <v>0</v>
      </c>
      <c r="AK91" s="72" t="s">
        <v>414</v>
      </c>
      <c r="AL91" s="72" t="s">
        <v>414</v>
      </c>
      <c r="AM91" s="72">
        <v>9.2899999999999991</v>
      </c>
      <c r="AN91" s="72" t="s">
        <v>868</v>
      </c>
      <c r="AO91" s="72" t="s">
        <v>869</v>
      </c>
      <c r="AP91" s="72">
        <v>-0.1</v>
      </c>
      <c r="AQ91" s="72">
        <v>891</v>
      </c>
      <c r="AR91" s="72">
        <v>70</v>
      </c>
      <c r="AS91" s="72">
        <v>8.0000000000000004E-4</v>
      </c>
      <c r="AT91" s="72">
        <v>2</v>
      </c>
      <c r="AU91" s="72">
        <v>4.88</v>
      </c>
      <c r="AV91" s="72">
        <v>1.1200000000000001</v>
      </c>
      <c r="AW91" s="72" t="s">
        <v>870</v>
      </c>
      <c r="AX91" s="72">
        <v>1.3</v>
      </c>
      <c r="AY91" s="72">
        <v>62.76</v>
      </c>
      <c r="AZ91" s="72">
        <v>137.32</v>
      </c>
      <c r="BA91" s="72">
        <v>0.74</v>
      </c>
      <c r="BB91" s="72">
        <v>2.82</v>
      </c>
      <c r="BC91" s="72">
        <v>0.74</v>
      </c>
      <c r="BD91" s="72">
        <v>2.0499999999999998</v>
      </c>
      <c r="BE91" s="72">
        <v>1.33</v>
      </c>
      <c r="BF91" s="72">
        <v>-0.72</v>
      </c>
      <c r="BG91" s="72">
        <v>1.33</v>
      </c>
      <c r="BH91" s="72">
        <v>0.03</v>
      </c>
      <c r="BI91" s="72">
        <v>20200822</v>
      </c>
      <c r="BJ91" s="72">
        <v>19971202</v>
      </c>
      <c r="BK91" s="72">
        <v>10.33</v>
      </c>
      <c r="BL91" s="72" t="s">
        <v>414</v>
      </c>
      <c r="BM91" s="72" t="s">
        <v>414</v>
      </c>
      <c r="BN91" s="72">
        <v>137.19999999999999</v>
      </c>
      <c r="BO91" s="72">
        <v>24.6</v>
      </c>
      <c r="BP91" s="72">
        <v>0.46</v>
      </c>
      <c r="BQ91" s="72">
        <v>81.73</v>
      </c>
      <c r="BR91" s="72">
        <v>100.69</v>
      </c>
      <c r="BS91" s="72">
        <v>1.22</v>
      </c>
      <c r="BT91" s="72">
        <v>13.36</v>
      </c>
      <c r="BU91" s="72">
        <v>106.14</v>
      </c>
      <c r="BV91" s="72">
        <v>32</v>
      </c>
      <c r="BW91" s="72">
        <v>9.75</v>
      </c>
      <c r="BX91" s="72">
        <v>4.17</v>
      </c>
      <c r="BY91" s="72">
        <v>296.56</v>
      </c>
      <c r="BZ91" s="72">
        <v>288.55</v>
      </c>
      <c r="CA91" s="72">
        <v>0.78</v>
      </c>
      <c r="CB91" s="72">
        <v>1.7</v>
      </c>
      <c r="CC91" s="72">
        <v>0.75</v>
      </c>
      <c r="CD91" s="72">
        <v>0.72</v>
      </c>
      <c r="CE91" s="72">
        <v>0.73</v>
      </c>
      <c r="CF91" s="72">
        <v>8.98</v>
      </c>
      <c r="CG91" s="72">
        <v>4.2</v>
      </c>
      <c r="CH91" s="72">
        <v>4.4000000000000004</v>
      </c>
      <c r="CI91" s="72">
        <v>65639</v>
      </c>
      <c r="CJ91" s="72">
        <v>8560</v>
      </c>
      <c r="CK91" s="72" t="s">
        <v>871</v>
      </c>
      <c r="CL91" s="72">
        <v>475.42</v>
      </c>
      <c r="CM91" s="72">
        <v>28.37</v>
      </c>
      <c r="CN91" s="72">
        <v>2.89</v>
      </c>
      <c r="CO91" s="72">
        <v>16.91</v>
      </c>
      <c r="CP91" s="72">
        <v>0.24</v>
      </c>
      <c r="CQ91" s="72">
        <v>0.45</v>
      </c>
      <c r="CR91" s="72" t="s">
        <v>872</v>
      </c>
      <c r="CS91" s="72">
        <v>2.38</v>
      </c>
      <c r="CT91" s="72">
        <v>0</v>
      </c>
      <c r="CU91" s="72">
        <v>0.4</v>
      </c>
      <c r="CV91" s="72">
        <v>0.87</v>
      </c>
      <c r="CW91" s="72">
        <v>17.93</v>
      </c>
      <c r="CX91" s="72" t="s">
        <v>873</v>
      </c>
      <c r="CY91" s="72">
        <v>2.7</v>
      </c>
      <c r="CZ91" s="72">
        <v>0.26</v>
      </c>
      <c r="DA91" s="72">
        <v>0.25</v>
      </c>
      <c r="DB91" s="72">
        <v>829</v>
      </c>
    </row>
    <row r="92" spans="7:106" x14ac:dyDescent="0.25">
      <c r="G92" s="72">
        <v>838</v>
      </c>
      <c r="H92" s="72" t="s">
        <v>874</v>
      </c>
      <c r="I92" s="72">
        <v>1.34</v>
      </c>
      <c r="J92" s="72">
        <v>1.34</v>
      </c>
      <c r="K92" s="72">
        <v>3.03</v>
      </c>
      <c r="L92" s="72">
        <v>0.04</v>
      </c>
      <c r="M92" s="72">
        <v>3.03</v>
      </c>
      <c r="N92" s="72">
        <v>3.04</v>
      </c>
      <c r="O92" s="72">
        <v>39462</v>
      </c>
      <c r="P92" s="72">
        <v>35</v>
      </c>
      <c r="Q92" s="72">
        <v>-0.32</v>
      </c>
      <c r="R92" s="72">
        <v>0.47</v>
      </c>
      <c r="S92" s="72">
        <v>3.01</v>
      </c>
      <c r="T92" s="72">
        <v>3.05</v>
      </c>
      <c r="U92" s="72">
        <v>3</v>
      </c>
      <c r="V92" s="72">
        <v>2.99</v>
      </c>
      <c r="W92" s="72">
        <v>68.760000000000005</v>
      </c>
      <c r="X92" s="114">
        <v>11936033</v>
      </c>
      <c r="Y92" s="72" t="s">
        <v>388</v>
      </c>
      <c r="Z92" s="72" t="s">
        <v>376</v>
      </c>
      <c r="AA92" s="72">
        <v>1.67</v>
      </c>
      <c r="AB92" s="72">
        <v>3.02</v>
      </c>
      <c r="AC92" s="72">
        <v>15186</v>
      </c>
      <c r="AD92" s="72">
        <v>24276</v>
      </c>
      <c r="AE92" s="72">
        <v>0.63</v>
      </c>
      <c r="AF92" s="72">
        <v>2044</v>
      </c>
      <c r="AG92" s="72">
        <v>3399</v>
      </c>
      <c r="AH92" s="72" t="s">
        <v>414</v>
      </c>
      <c r="AI92" s="72">
        <v>126400</v>
      </c>
      <c r="AJ92" s="72">
        <v>0.01</v>
      </c>
      <c r="AK92" s="72" t="s">
        <v>414</v>
      </c>
      <c r="AL92" s="72" t="s">
        <v>414</v>
      </c>
      <c r="AM92" s="72">
        <v>8.4600000000000009</v>
      </c>
      <c r="AN92" s="72" t="s">
        <v>875</v>
      </c>
      <c r="AO92" s="72" t="s">
        <v>876</v>
      </c>
      <c r="AP92" s="72">
        <v>-0.84</v>
      </c>
      <c r="AQ92" s="72">
        <v>579</v>
      </c>
      <c r="AR92" s="72">
        <v>68</v>
      </c>
      <c r="AS92" s="72">
        <v>8.0000000000000004E-4</v>
      </c>
      <c r="AT92" s="72">
        <v>2</v>
      </c>
      <c r="AU92" s="72">
        <v>1.68</v>
      </c>
      <c r="AV92" s="72">
        <v>0.94</v>
      </c>
      <c r="AW92" s="72" t="s">
        <v>877</v>
      </c>
      <c r="AX92" s="72">
        <v>0.63</v>
      </c>
      <c r="AY92" s="72">
        <v>19.84</v>
      </c>
      <c r="AZ92" s="72">
        <v>30.31</v>
      </c>
      <c r="BA92" s="72">
        <v>0.67</v>
      </c>
      <c r="BB92" s="72">
        <v>2.0099999999999998</v>
      </c>
      <c r="BC92" s="72">
        <v>0.33</v>
      </c>
      <c r="BD92" s="72">
        <v>1.1599999999999999</v>
      </c>
      <c r="BE92" s="72">
        <v>0.66</v>
      </c>
      <c r="BF92" s="72">
        <v>-0.66</v>
      </c>
      <c r="BG92" s="72">
        <v>1</v>
      </c>
      <c r="BH92" s="72">
        <v>0.18</v>
      </c>
      <c r="BI92" s="72">
        <v>20200828</v>
      </c>
      <c r="BJ92" s="72">
        <v>19970626</v>
      </c>
      <c r="BK92" s="72">
        <v>11</v>
      </c>
      <c r="BL92" s="72" t="s">
        <v>414</v>
      </c>
      <c r="BM92" s="72" t="s">
        <v>414</v>
      </c>
      <c r="BN92" s="72">
        <v>185.69</v>
      </c>
      <c r="BO92" s="72">
        <v>18.8</v>
      </c>
      <c r="BP92" s="72">
        <v>8.64</v>
      </c>
      <c r="BQ92" s="72">
        <v>85.22</v>
      </c>
      <c r="BR92" s="72">
        <v>181.72</v>
      </c>
      <c r="BS92" s="72">
        <v>1.6</v>
      </c>
      <c r="BT92" s="72">
        <v>0.1</v>
      </c>
      <c r="BU92" s="72">
        <v>133.30000000000001</v>
      </c>
      <c r="BV92" s="72">
        <v>141.62</v>
      </c>
      <c r="BW92" s="72">
        <v>0.87</v>
      </c>
      <c r="BX92" s="72">
        <v>2.57</v>
      </c>
      <c r="BY92" s="72">
        <v>15.59</v>
      </c>
      <c r="BZ92" s="72">
        <v>12.95</v>
      </c>
      <c r="CA92" s="72">
        <v>0.96</v>
      </c>
      <c r="CB92" s="72">
        <v>0</v>
      </c>
      <c r="CC92" s="72">
        <v>0.97</v>
      </c>
      <c r="CD92" s="72">
        <v>0.57999999999999996</v>
      </c>
      <c r="CE92" s="72">
        <v>0.24</v>
      </c>
      <c r="CF92" s="72">
        <v>4.83</v>
      </c>
      <c r="CG92" s="72">
        <v>3.44</v>
      </c>
      <c r="CH92" s="72">
        <v>-5.66</v>
      </c>
      <c r="CI92" s="72">
        <v>57723</v>
      </c>
      <c r="CJ92" s="72">
        <v>7293</v>
      </c>
      <c r="CK92" s="72" t="s">
        <v>878</v>
      </c>
      <c r="CL92" s="72">
        <v>173.43</v>
      </c>
      <c r="CM92" s="72">
        <v>220.81</v>
      </c>
      <c r="CN92" s="72">
        <v>1.77</v>
      </c>
      <c r="CO92" s="72">
        <v>9.69</v>
      </c>
      <c r="CP92" s="72">
        <v>2.14</v>
      </c>
      <c r="CQ92" s="72">
        <v>4.41</v>
      </c>
      <c r="CR92" s="72" t="s">
        <v>879</v>
      </c>
      <c r="CS92" s="72">
        <v>1.71</v>
      </c>
      <c r="CT92" s="72">
        <v>0</v>
      </c>
      <c r="CU92" s="72">
        <v>0.23</v>
      </c>
      <c r="CV92" s="72">
        <v>0.44</v>
      </c>
      <c r="CW92" s="72">
        <v>10.130000000000001</v>
      </c>
      <c r="CX92" s="72" t="s">
        <v>880</v>
      </c>
      <c r="CY92" s="72">
        <v>16.95</v>
      </c>
      <c r="CZ92" s="72">
        <v>6.16</v>
      </c>
      <c r="DA92" s="72">
        <v>1.55</v>
      </c>
      <c r="DB92" s="72">
        <v>838</v>
      </c>
    </row>
    <row r="93" spans="7:106" x14ac:dyDescent="0.25">
      <c r="G93" s="72">
        <v>875</v>
      </c>
      <c r="H93" s="72" t="s">
        <v>353</v>
      </c>
      <c r="I93" s="72">
        <v>1.21</v>
      </c>
      <c r="J93" s="72">
        <v>2.37</v>
      </c>
      <c r="K93" s="72">
        <v>4.17</v>
      </c>
      <c r="L93" s="72">
        <v>0.05</v>
      </c>
      <c r="M93" s="72">
        <v>4.17</v>
      </c>
      <c r="N93" s="72">
        <v>4.18</v>
      </c>
      <c r="O93" s="72">
        <v>139183</v>
      </c>
      <c r="P93" s="72">
        <v>704</v>
      </c>
      <c r="Q93" s="72">
        <v>0</v>
      </c>
      <c r="R93" s="72">
        <v>0.65</v>
      </c>
      <c r="S93" s="72">
        <v>4.1500000000000004</v>
      </c>
      <c r="T93" s="72">
        <v>4.1900000000000004</v>
      </c>
      <c r="U93" s="72">
        <v>4.13</v>
      </c>
      <c r="V93" s="72">
        <v>4.12</v>
      </c>
      <c r="W93" s="72">
        <v>9.66</v>
      </c>
      <c r="X93" s="72">
        <v>57866328</v>
      </c>
      <c r="Y93" s="72" t="s">
        <v>354</v>
      </c>
      <c r="Z93" s="72" t="s">
        <v>355</v>
      </c>
      <c r="AA93" s="72">
        <v>1.46</v>
      </c>
      <c r="AB93" s="72">
        <v>4.16</v>
      </c>
      <c r="AC93" s="72">
        <v>73552</v>
      </c>
      <c r="AD93" s="72">
        <v>65631</v>
      </c>
      <c r="AE93" s="72">
        <v>1.1200000000000001</v>
      </c>
      <c r="AF93" s="72">
        <v>143</v>
      </c>
      <c r="AG93" s="72">
        <v>9015</v>
      </c>
      <c r="AH93" s="72" t="s">
        <v>414</v>
      </c>
      <c r="AI93" s="72">
        <v>1217600</v>
      </c>
      <c r="AJ93" s="72">
        <v>0.02</v>
      </c>
      <c r="AK93" s="72" t="s">
        <v>414</v>
      </c>
      <c r="AL93" s="72" t="s">
        <v>414</v>
      </c>
      <c r="AM93" s="72">
        <v>21.46</v>
      </c>
      <c r="AN93" s="72" t="s">
        <v>881</v>
      </c>
      <c r="AO93" s="72" t="s">
        <v>881</v>
      </c>
      <c r="AP93" s="72">
        <v>-0.96</v>
      </c>
      <c r="AQ93" s="72">
        <v>1141</v>
      </c>
      <c r="AR93" s="72">
        <v>122</v>
      </c>
      <c r="AS93" s="72">
        <v>5.9999999999999995E-4</v>
      </c>
      <c r="AT93" s="72">
        <v>2</v>
      </c>
      <c r="AU93" s="72">
        <v>5.04</v>
      </c>
      <c r="AV93" s="72">
        <v>0.9</v>
      </c>
      <c r="AW93" s="72" t="s">
        <v>882</v>
      </c>
      <c r="AX93" s="72">
        <v>0.41</v>
      </c>
      <c r="AY93" s="72">
        <v>22.96</v>
      </c>
      <c r="AZ93" s="72">
        <v>59.89</v>
      </c>
      <c r="BA93" s="72">
        <v>0.73</v>
      </c>
      <c r="BB93" s="72">
        <v>1.7</v>
      </c>
      <c r="BC93" s="72">
        <v>0.24</v>
      </c>
      <c r="BD93" s="72">
        <v>0.91</v>
      </c>
      <c r="BE93" s="72">
        <v>0.48</v>
      </c>
      <c r="BF93" s="72">
        <v>-0.48</v>
      </c>
      <c r="BG93" s="72">
        <v>0.97</v>
      </c>
      <c r="BH93" s="72">
        <v>0.3</v>
      </c>
      <c r="BI93" s="72">
        <v>20200921</v>
      </c>
      <c r="BJ93" s="72">
        <v>20020926</v>
      </c>
      <c r="BK93" s="72">
        <v>21.46</v>
      </c>
      <c r="BL93" s="72" t="s">
        <v>414</v>
      </c>
      <c r="BM93" s="72" t="s">
        <v>414</v>
      </c>
      <c r="BN93" s="72">
        <v>480.3</v>
      </c>
      <c r="BO93" s="72">
        <v>78.02</v>
      </c>
      <c r="BP93" s="72">
        <v>34.69</v>
      </c>
      <c r="BQ93" s="72">
        <v>76.53</v>
      </c>
      <c r="BR93" s="72">
        <v>82.97</v>
      </c>
      <c r="BS93" s="72">
        <v>325.95999999999998</v>
      </c>
      <c r="BT93" s="72">
        <v>6.37</v>
      </c>
      <c r="BU93" s="72">
        <v>140</v>
      </c>
      <c r="BV93" s="72">
        <v>1.19</v>
      </c>
      <c r="BW93" s="72">
        <v>56.98</v>
      </c>
      <c r="BX93" s="72">
        <v>55.09</v>
      </c>
      <c r="BY93" s="72">
        <v>46.05</v>
      </c>
      <c r="BZ93" s="72">
        <v>32.369999999999997</v>
      </c>
      <c r="CA93" s="72">
        <v>7.17</v>
      </c>
      <c r="CB93" s="72">
        <v>0.01</v>
      </c>
      <c r="CC93" s="72">
        <v>7.52</v>
      </c>
      <c r="CD93" s="72">
        <v>6.41</v>
      </c>
      <c r="CE93" s="72">
        <v>4.63</v>
      </c>
      <c r="CF93" s="72">
        <v>0.48</v>
      </c>
      <c r="CG93" s="72">
        <v>11.7</v>
      </c>
      <c r="CH93" s="72">
        <v>-3.18</v>
      </c>
      <c r="CI93" s="72">
        <v>169167</v>
      </c>
      <c r="CJ93" s="72">
        <v>9115</v>
      </c>
      <c r="CK93" s="72" t="s">
        <v>883</v>
      </c>
      <c r="CL93" s="72">
        <v>105.35</v>
      </c>
      <c r="CM93" s="72">
        <v>11.87</v>
      </c>
      <c r="CN93" s="72">
        <v>1.1499999999999999</v>
      </c>
      <c r="CO93" s="72">
        <v>7.65</v>
      </c>
      <c r="CP93" s="72">
        <v>1.94</v>
      </c>
      <c r="CQ93" s="72">
        <v>0</v>
      </c>
      <c r="CR93" s="72" t="s">
        <v>884</v>
      </c>
      <c r="CS93" s="72">
        <v>3.64</v>
      </c>
      <c r="CT93" s="72">
        <v>0</v>
      </c>
      <c r="CU93" s="72">
        <v>2.57</v>
      </c>
      <c r="CV93" s="72">
        <v>0.02</v>
      </c>
      <c r="CW93" s="72">
        <v>16.239999999999998</v>
      </c>
      <c r="CX93" s="72" t="s">
        <v>885</v>
      </c>
      <c r="CY93" s="72">
        <v>29.7</v>
      </c>
      <c r="CZ93" s="72">
        <v>15.57</v>
      </c>
      <c r="DA93" s="72">
        <v>10.050000000000001</v>
      </c>
      <c r="DB93" s="72">
        <v>875</v>
      </c>
    </row>
    <row r="94" spans="7:106" x14ac:dyDescent="0.25">
      <c r="G94" s="72">
        <v>897</v>
      </c>
      <c r="H94" s="72" t="s">
        <v>886</v>
      </c>
      <c r="I94" s="72">
        <v>1.93</v>
      </c>
      <c r="J94" s="72">
        <v>1.44</v>
      </c>
      <c r="K94" s="72">
        <v>2.64</v>
      </c>
      <c r="L94" s="72">
        <v>0.05</v>
      </c>
      <c r="M94" s="72">
        <v>2.63</v>
      </c>
      <c r="N94" s="72">
        <v>2.64</v>
      </c>
      <c r="O94" s="72">
        <v>75519</v>
      </c>
      <c r="P94" s="72">
        <v>1</v>
      </c>
      <c r="Q94" s="72">
        <v>0</v>
      </c>
      <c r="R94" s="72">
        <v>0.47</v>
      </c>
      <c r="S94" s="72">
        <v>2.6</v>
      </c>
      <c r="T94" s="72">
        <v>2.65</v>
      </c>
      <c r="U94" s="72">
        <v>2.6</v>
      </c>
      <c r="V94" s="72">
        <v>2.59</v>
      </c>
      <c r="W94" s="72">
        <v>12.9</v>
      </c>
      <c r="X94" s="114">
        <v>19800024</v>
      </c>
      <c r="Y94" s="72" t="s">
        <v>388</v>
      </c>
      <c r="Z94" s="72" t="s">
        <v>374</v>
      </c>
      <c r="AA94" s="72">
        <v>1.93</v>
      </c>
      <c r="AB94" s="72">
        <v>2.62</v>
      </c>
      <c r="AC94" s="72">
        <v>30411</v>
      </c>
      <c r="AD94" s="72">
        <v>45108</v>
      </c>
      <c r="AE94" s="72">
        <v>0.67</v>
      </c>
      <c r="AF94" s="72">
        <v>5923</v>
      </c>
      <c r="AG94" s="72">
        <v>90</v>
      </c>
      <c r="AH94" s="72" t="s">
        <v>414</v>
      </c>
      <c r="AI94" s="72">
        <v>554800</v>
      </c>
      <c r="AJ94" s="72">
        <v>0.02</v>
      </c>
      <c r="AK94" s="72" t="s">
        <v>414</v>
      </c>
      <c r="AL94" s="72" t="s">
        <v>414</v>
      </c>
      <c r="AM94" s="72">
        <v>16.170000000000002</v>
      </c>
      <c r="AN94" s="72" t="s">
        <v>887</v>
      </c>
      <c r="AO94" s="72" t="s">
        <v>887</v>
      </c>
      <c r="AP94" s="72">
        <v>-0.25</v>
      </c>
      <c r="AQ94" s="72">
        <v>871</v>
      </c>
      <c r="AR94" s="72">
        <v>87</v>
      </c>
      <c r="AS94" s="72">
        <v>5.0000000000000001E-4</v>
      </c>
      <c r="AT94" s="72">
        <v>2</v>
      </c>
      <c r="AU94" s="72">
        <v>3.94</v>
      </c>
      <c r="AV94" s="72">
        <v>0.61</v>
      </c>
      <c r="AW94" s="72" t="s">
        <v>888</v>
      </c>
      <c r="AX94" s="72">
        <v>0.43</v>
      </c>
      <c r="AY94" s="72">
        <v>11.62</v>
      </c>
      <c r="AZ94" s="72">
        <v>24.06</v>
      </c>
      <c r="BA94" s="72">
        <v>0.39</v>
      </c>
      <c r="BB94" s="72">
        <v>2.3199999999999998</v>
      </c>
      <c r="BC94" s="72">
        <v>0.39</v>
      </c>
      <c r="BD94" s="72">
        <v>1.23</v>
      </c>
      <c r="BE94" s="72">
        <v>1.54</v>
      </c>
      <c r="BF94" s="72">
        <v>-0.38</v>
      </c>
      <c r="BG94" s="72">
        <v>1.54</v>
      </c>
      <c r="BH94" s="72">
        <v>0.7</v>
      </c>
      <c r="BI94" s="72">
        <v>20200829</v>
      </c>
      <c r="BJ94" s="72">
        <v>19990422</v>
      </c>
      <c r="BK94" s="72">
        <v>16.170000000000002</v>
      </c>
      <c r="BL94" s="72" t="s">
        <v>414</v>
      </c>
      <c r="BM94" s="72" t="s">
        <v>414</v>
      </c>
      <c r="BN94" s="72">
        <v>66.78</v>
      </c>
      <c r="BO94" s="72">
        <v>13.88</v>
      </c>
      <c r="BP94" s="72">
        <v>0.91</v>
      </c>
      <c r="BQ94" s="72">
        <v>77.86</v>
      </c>
      <c r="BR94" s="72">
        <v>64.52</v>
      </c>
      <c r="BS94" s="72">
        <v>7.0000000000000007E-2</v>
      </c>
      <c r="BT94" s="72">
        <v>0.01</v>
      </c>
      <c r="BU94" s="72">
        <v>51.93</v>
      </c>
      <c r="BV94" s="72">
        <v>51.8</v>
      </c>
      <c r="BW94" s="72">
        <v>0.82</v>
      </c>
      <c r="BX94" s="72">
        <v>3.1</v>
      </c>
      <c r="BY94" s="72">
        <v>8.0500000000000007</v>
      </c>
      <c r="BZ94" s="72">
        <v>6.55</v>
      </c>
      <c r="CA94" s="72">
        <v>2.15</v>
      </c>
      <c r="CB94" s="72">
        <v>0.69</v>
      </c>
      <c r="CC94" s="72">
        <v>2.0099999999999998</v>
      </c>
      <c r="CD94" s="72">
        <v>1.82</v>
      </c>
      <c r="CE94" s="72">
        <v>1.65</v>
      </c>
      <c r="CF94" s="72">
        <v>-6.04</v>
      </c>
      <c r="CG94" s="72">
        <v>2.48</v>
      </c>
      <c r="CH94" s="72">
        <v>1.55</v>
      </c>
      <c r="CI94" s="72">
        <v>107159</v>
      </c>
      <c r="CJ94" s="72">
        <v>11632</v>
      </c>
      <c r="CK94" s="72" t="s">
        <v>889</v>
      </c>
      <c r="CL94" s="72">
        <v>889.65</v>
      </c>
      <c r="CM94" s="72">
        <v>743.72</v>
      </c>
      <c r="CN94" s="72">
        <v>3.08</v>
      </c>
      <c r="CO94" s="72">
        <v>17.23</v>
      </c>
      <c r="CP94" s="72">
        <v>5.3</v>
      </c>
      <c r="CQ94" s="72">
        <v>0</v>
      </c>
      <c r="CR94" s="72" t="s">
        <v>890</v>
      </c>
      <c r="CS94" s="72">
        <v>0.86</v>
      </c>
      <c r="CT94" s="72">
        <v>0</v>
      </c>
      <c r="CU94" s="72">
        <v>0.19</v>
      </c>
      <c r="CV94" s="72">
        <v>-0.37</v>
      </c>
      <c r="CW94" s="72">
        <v>20.78</v>
      </c>
      <c r="CX94" s="72" t="s">
        <v>891</v>
      </c>
      <c r="CY94" s="72">
        <v>18.61</v>
      </c>
      <c r="CZ94" s="72">
        <v>26.68</v>
      </c>
      <c r="DA94" s="72">
        <v>20.55</v>
      </c>
      <c r="DB94" s="72">
        <v>897</v>
      </c>
    </row>
    <row r="95" spans="7:106" x14ac:dyDescent="0.25">
      <c r="G95" s="72">
        <v>903</v>
      </c>
      <c r="H95" s="72" t="s">
        <v>892</v>
      </c>
      <c r="I95" s="72">
        <v>2.2999999999999998</v>
      </c>
      <c r="J95" s="72">
        <v>2.14</v>
      </c>
      <c r="K95" s="72">
        <v>6.68</v>
      </c>
      <c r="L95" s="72">
        <v>0.15</v>
      </c>
      <c r="M95" s="72">
        <v>6.68</v>
      </c>
      <c r="N95" s="72">
        <v>6.69</v>
      </c>
      <c r="O95" s="72">
        <v>186771</v>
      </c>
      <c r="P95" s="72">
        <v>10</v>
      </c>
      <c r="Q95" s="72">
        <v>0</v>
      </c>
      <c r="R95" s="72">
        <v>1.06</v>
      </c>
      <c r="S95" s="72">
        <v>6.61</v>
      </c>
      <c r="T95" s="72">
        <v>6.78</v>
      </c>
      <c r="U95" s="72">
        <v>6.55</v>
      </c>
      <c r="V95" s="72">
        <v>6.53</v>
      </c>
      <c r="W95" s="72">
        <v>40.409999999999997</v>
      </c>
      <c r="X95" s="114">
        <v>125000000</v>
      </c>
      <c r="Y95" s="72" t="s">
        <v>361</v>
      </c>
      <c r="Z95" s="72" t="s">
        <v>352</v>
      </c>
      <c r="AA95" s="72">
        <v>3.52</v>
      </c>
      <c r="AB95" s="72">
        <v>6.69</v>
      </c>
      <c r="AC95" s="72">
        <v>80379</v>
      </c>
      <c r="AD95" s="72">
        <v>106392</v>
      </c>
      <c r="AE95" s="72">
        <v>0.76</v>
      </c>
      <c r="AF95" s="72">
        <v>407</v>
      </c>
      <c r="AG95" s="72">
        <v>2108</v>
      </c>
      <c r="AH95" s="72" t="s">
        <v>414</v>
      </c>
      <c r="AI95" s="72">
        <v>1494100</v>
      </c>
      <c r="AJ95" s="72">
        <v>0.02</v>
      </c>
      <c r="AK95" s="72" t="s">
        <v>414</v>
      </c>
      <c r="AL95" s="72" t="s">
        <v>414</v>
      </c>
      <c r="AM95" s="72">
        <v>17.670000000000002</v>
      </c>
      <c r="AN95" s="72" t="s">
        <v>893</v>
      </c>
      <c r="AO95" s="72" t="s">
        <v>894</v>
      </c>
      <c r="AP95" s="72">
        <v>0.12</v>
      </c>
      <c r="AQ95" s="72">
        <v>1294</v>
      </c>
      <c r="AR95" s="72">
        <v>144</v>
      </c>
      <c r="AS95" s="72">
        <v>8.0000000000000004E-4</v>
      </c>
      <c r="AT95" s="72">
        <v>3</v>
      </c>
      <c r="AU95" s="72">
        <v>7.92</v>
      </c>
      <c r="AV95" s="72">
        <v>1.57</v>
      </c>
      <c r="AW95" s="72" t="s">
        <v>895</v>
      </c>
      <c r="AX95" s="72">
        <v>1.1499999999999999</v>
      </c>
      <c r="AY95" s="72">
        <v>63.68</v>
      </c>
      <c r="AZ95" s="72">
        <v>68.98</v>
      </c>
      <c r="BA95" s="72">
        <v>1.23</v>
      </c>
      <c r="BB95" s="72">
        <v>3.83</v>
      </c>
      <c r="BC95" s="72">
        <v>0.31</v>
      </c>
      <c r="BD95" s="72">
        <v>2.39</v>
      </c>
      <c r="BE95" s="72">
        <v>1.06</v>
      </c>
      <c r="BF95" s="72">
        <v>-1.47</v>
      </c>
      <c r="BG95" s="72">
        <v>1.98</v>
      </c>
      <c r="BH95" s="72">
        <v>-0.09</v>
      </c>
      <c r="BI95" s="72">
        <v>20200820</v>
      </c>
      <c r="BJ95" s="72">
        <v>19990415</v>
      </c>
      <c r="BK95" s="72">
        <v>19.71</v>
      </c>
      <c r="BL95" s="72" t="s">
        <v>414</v>
      </c>
      <c r="BM95" s="72" t="s">
        <v>414</v>
      </c>
      <c r="BN95" s="72">
        <v>147.94999999999999</v>
      </c>
      <c r="BO95" s="72">
        <v>56.82</v>
      </c>
      <c r="BP95" s="72">
        <v>0.11</v>
      </c>
      <c r="BQ95" s="72">
        <v>61.52</v>
      </c>
      <c r="BR95" s="72">
        <v>91.8</v>
      </c>
      <c r="BS95" s="72">
        <v>31.86</v>
      </c>
      <c r="BT95" s="72">
        <v>6.96</v>
      </c>
      <c r="BU95" s="72">
        <v>82.98</v>
      </c>
      <c r="BV95" s="72">
        <v>17.579999999999998</v>
      </c>
      <c r="BW95" s="72">
        <v>25.96</v>
      </c>
      <c r="BX95" s="72">
        <v>23.43</v>
      </c>
      <c r="BY95" s="72">
        <v>44.08</v>
      </c>
      <c r="BZ95" s="72">
        <v>38.89</v>
      </c>
      <c r="CA95" s="72">
        <v>1.93</v>
      </c>
      <c r="CB95" s="72">
        <v>0.01</v>
      </c>
      <c r="CC95" s="72">
        <v>1.94</v>
      </c>
      <c r="CD95" s="72">
        <v>1.64</v>
      </c>
      <c r="CE95" s="72">
        <v>1.63</v>
      </c>
      <c r="CF95" s="72">
        <v>11.03</v>
      </c>
      <c r="CG95" s="72">
        <v>10.57</v>
      </c>
      <c r="CH95" s="72">
        <v>4.84</v>
      </c>
      <c r="CI95" s="72">
        <v>72107</v>
      </c>
      <c r="CJ95" s="72">
        <v>16453</v>
      </c>
      <c r="CK95" s="72" t="s">
        <v>896</v>
      </c>
      <c r="CL95" s="72">
        <v>10.54</v>
      </c>
      <c r="CM95" s="72">
        <v>29.4</v>
      </c>
      <c r="CN95" s="72">
        <v>2.3199999999999998</v>
      </c>
      <c r="CO95" s="72">
        <v>12.46</v>
      </c>
      <c r="CP95" s="72">
        <v>2.99</v>
      </c>
      <c r="CQ95" s="72">
        <v>0.45</v>
      </c>
      <c r="CR95" s="72" t="s">
        <v>897</v>
      </c>
      <c r="CS95" s="72">
        <v>2.88</v>
      </c>
      <c r="CT95" s="72">
        <v>0</v>
      </c>
      <c r="CU95" s="72">
        <v>1.19</v>
      </c>
      <c r="CV95" s="72">
        <v>0.56000000000000005</v>
      </c>
      <c r="CW95" s="72">
        <v>38.409999999999997</v>
      </c>
      <c r="CX95" s="72" t="s">
        <v>898</v>
      </c>
      <c r="CY95" s="72">
        <v>11.76</v>
      </c>
      <c r="CZ95" s="72">
        <v>4.38</v>
      </c>
      <c r="DA95" s="72">
        <v>3.7</v>
      </c>
      <c r="DB95" s="72">
        <v>903</v>
      </c>
    </row>
    <row r="96" spans="7:106" x14ac:dyDescent="0.25">
      <c r="G96" s="72">
        <v>951</v>
      </c>
      <c r="H96" s="72" t="s">
        <v>899</v>
      </c>
      <c r="I96" s="72">
        <v>1.47</v>
      </c>
      <c r="J96" s="72">
        <v>0.84</v>
      </c>
      <c r="K96" s="72">
        <v>33.770000000000003</v>
      </c>
      <c r="L96" s="72">
        <v>0.49</v>
      </c>
      <c r="M96" s="72">
        <v>33.770000000000003</v>
      </c>
      <c r="N96" s="72">
        <v>33.78</v>
      </c>
      <c r="O96" s="72">
        <v>26802</v>
      </c>
      <c r="P96" s="72">
        <v>1</v>
      </c>
      <c r="Q96" s="72">
        <v>0</v>
      </c>
      <c r="R96" s="72">
        <v>0.4</v>
      </c>
      <c r="S96" s="72">
        <v>33.5</v>
      </c>
      <c r="T96" s="72">
        <v>34.56</v>
      </c>
      <c r="U96" s="72">
        <v>33.4</v>
      </c>
      <c r="V96" s="72">
        <v>33.28</v>
      </c>
      <c r="W96" s="72">
        <v>15.56</v>
      </c>
      <c r="X96" s="72">
        <v>91024752</v>
      </c>
      <c r="Y96" s="72" t="s">
        <v>375</v>
      </c>
      <c r="Z96" s="72" t="s">
        <v>349</v>
      </c>
      <c r="AA96" s="72">
        <v>3.49</v>
      </c>
      <c r="AB96" s="72">
        <v>33.96</v>
      </c>
      <c r="AC96" s="72">
        <v>14989</v>
      </c>
      <c r="AD96" s="72">
        <v>11813</v>
      </c>
      <c r="AE96" s="72">
        <v>1.27</v>
      </c>
      <c r="AF96" s="72">
        <v>2</v>
      </c>
      <c r="AG96" s="72">
        <v>5</v>
      </c>
      <c r="AH96" s="72" t="s">
        <v>414</v>
      </c>
      <c r="AI96" s="72">
        <v>340700</v>
      </c>
      <c r="AJ96" s="72">
        <v>0</v>
      </c>
      <c r="AK96" s="72" t="s">
        <v>414</v>
      </c>
      <c r="AL96" s="72" t="s">
        <v>414</v>
      </c>
      <c r="AM96" s="72">
        <v>6.71</v>
      </c>
      <c r="AN96" s="72" t="s">
        <v>900</v>
      </c>
      <c r="AO96" s="72" t="s">
        <v>901</v>
      </c>
      <c r="AP96" s="72">
        <v>-0.71</v>
      </c>
      <c r="AQ96" s="72">
        <v>1492</v>
      </c>
      <c r="AR96" s="72">
        <v>18</v>
      </c>
      <c r="AS96" s="72">
        <v>2.9999999999999997E-4</v>
      </c>
      <c r="AT96" s="72">
        <v>3</v>
      </c>
      <c r="AU96" s="72">
        <v>6.86</v>
      </c>
      <c r="AV96" s="72">
        <v>1.1299999999999999</v>
      </c>
      <c r="AW96" s="72" t="s">
        <v>902</v>
      </c>
      <c r="AX96" s="72">
        <v>0.91</v>
      </c>
      <c r="AY96" s="72">
        <v>17.03</v>
      </c>
      <c r="AZ96" s="72">
        <v>18.260000000000002</v>
      </c>
      <c r="BA96" s="72">
        <v>0.66</v>
      </c>
      <c r="BB96" s="72">
        <v>3.85</v>
      </c>
      <c r="BC96" s="72">
        <v>0.36</v>
      </c>
      <c r="BD96" s="72">
        <v>2.0499999999999998</v>
      </c>
      <c r="BE96" s="72">
        <v>0.81</v>
      </c>
      <c r="BF96" s="72">
        <v>-2.29</v>
      </c>
      <c r="BG96" s="72">
        <v>1.1100000000000001</v>
      </c>
      <c r="BH96" s="72">
        <v>-0.57999999999999996</v>
      </c>
      <c r="BI96" s="72">
        <v>20200829</v>
      </c>
      <c r="BJ96" s="72">
        <v>19991125</v>
      </c>
      <c r="BK96" s="72">
        <v>6.71</v>
      </c>
      <c r="BL96" s="72" t="s">
        <v>414</v>
      </c>
      <c r="BM96" s="72" t="s">
        <v>414</v>
      </c>
      <c r="BN96" s="72">
        <v>304.54000000000002</v>
      </c>
      <c r="BO96" s="72">
        <v>73.48</v>
      </c>
      <c r="BP96" s="72">
        <v>7.87</v>
      </c>
      <c r="BQ96" s="72">
        <v>73.290000000000006</v>
      </c>
      <c r="BR96" s="72">
        <v>274.83</v>
      </c>
      <c r="BS96" s="72">
        <v>12.35</v>
      </c>
      <c r="BT96" s="72">
        <v>6.46</v>
      </c>
      <c r="BU96" s="72">
        <v>219.57</v>
      </c>
      <c r="BV96" s="72">
        <v>83.83</v>
      </c>
      <c r="BW96" s="72">
        <v>55.33</v>
      </c>
      <c r="BX96" s="72">
        <v>4.32</v>
      </c>
      <c r="BY96" s="72">
        <v>266.14999999999998</v>
      </c>
      <c r="BZ96" s="72">
        <v>237.69</v>
      </c>
      <c r="CA96" s="72">
        <v>12.67</v>
      </c>
      <c r="CB96" s="72">
        <v>0</v>
      </c>
      <c r="CC96" s="72">
        <v>12.9</v>
      </c>
      <c r="CD96" s="72">
        <v>9.8000000000000007</v>
      </c>
      <c r="CE96" s="72">
        <v>7.28</v>
      </c>
      <c r="CF96" s="72">
        <v>54.53</v>
      </c>
      <c r="CG96" s="72">
        <v>24.25</v>
      </c>
      <c r="CH96" s="72">
        <v>-5.6</v>
      </c>
      <c r="CI96" s="72">
        <v>15484</v>
      </c>
      <c r="CJ96" s="72">
        <v>15355</v>
      </c>
      <c r="CK96" s="72" t="s">
        <v>903</v>
      </c>
      <c r="CL96" s="72">
        <v>13.77</v>
      </c>
      <c r="CM96" s="72">
        <v>18.46</v>
      </c>
      <c r="CN96" s="72">
        <v>3.08</v>
      </c>
      <c r="CO96" s="72">
        <v>9.35</v>
      </c>
      <c r="CP96" s="72">
        <v>0.85</v>
      </c>
      <c r="CQ96" s="72">
        <v>1.65</v>
      </c>
      <c r="CR96" s="72" t="s">
        <v>904</v>
      </c>
      <c r="CS96" s="72">
        <v>10.95</v>
      </c>
      <c r="CT96" s="72">
        <v>0</v>
      </c>
      <c r="CU96" s="72">
        <v>0.64</v>
      </c>
      <c r="CV96" s="72">
        <v>8.1300000000000008</v>
      </c>
      <c r="CW96" s="72">
        <v>24.13</v>
      </c>
      <c r="CX96" s="72" t="s">
        <v>905</v>
      </c>
      <c r="CY96" s="72">
        <v>10.69</v>
      </c>
      <c r="CZ96" s="72">
        <v>4.76</v>
      </c>
      <c r="DA96" s="72">
        <v>2.74</v>
      </c>
      <c r="DB96" s="72">
        <v>951</v>
      </c>
    </row>
    <row r="97" spans="7:106" x14ac:dyDescent="0.25">
      <c r="G97" s="72">
        <v>961</v>
      </c>
      <c r="H97" s="72" t="s">
        <v>370</v>
      </c>
      <c r="I97" s="72">
        <v>1.72</v>
      </c>
      <c r="J97" s="72">
        <v>1.34</v>
      </c>
      <c r="K97" s="72">
        <v>9.4600000000000009</v>
      </c>
      <c r="L97" s="72">
        <v>0.16</v>
      </c>
      <c r="M97" s="72">
        <v>9.4600000000000009</v>
      </c>
      <c r="N97" s="72">
        <v>9.4700000000000006</v>
      </c>
      <c r="O97" s="72">
        <v>99533</v>
      </c>
      <c r="P97" s="72">
        <v>5</v>
      </c>
      <c r="Q97" s="72">
        <v>-0.2</v>
      </c>
      <c r="R97" s="72">
        <v>0.26</v>
      </c>
      <c r="S97" s="72">
        <v>9.34</v>
      </c>
      <c r="T97" s="72">
        <v>9.5399999999999991</v>
      </c>
      <c r="U97" s="72">
        <v>9.3000000000000007</v>
      </c>
      <c r="V97" s="72">
        <v>9.3000000000000007</v>
      </c>
      <c r="W97" s="72">
        <v>8.7200000000000006</v>
      </c>
      <c r="X97" s="114">
        <v>93977584</v>
      </c>
      <c r="Y97" s="72" t="s">
        <v>371</v>
      </c>
      <c r="Z97" s="72" t="s">
        <v>368</v>
      </c>
      <c r="AA97" s="72">
        <v>2.58</v>
      </c>
      <c r="AB97" s="72">
        <v>9.44</v>
      </c>
      <c r="AC97" s="72">
        <v>45074</v>
      </c>
      <c r="AD97" s="72">
        <v>54459</v>
      </c>
      <c r="AE97" s="72">
        <v>0.83</v>
      </c>
      <c r="AF97" s="72">
        <v>967</v>
      </c>
      <c r="AG97" s="72">
        <v>78</v>
      </c>
      <c r="AH97" s="72" t="s">
        <v>414</v>
      </c>
      <c r="AI97" s="72">
        <v>1165600</v>
      </c>
      <c r="AJ97" s="72">
        <v>0.01</v>
      </c>
      <c r="AK97" s="72" t="s">
        <v>414</v>
      </c>
      <c r="AL97" s="72" t="s">
        <v>414</v>
      </c>
      <c r="AM97" s="72">
        <v>37.68</v>
      </c>
      <c r="AN97" s="72" t="s">
        <v>906</v>
      </c>
      <c r="AO97" s="72" t="s">
        <v>907</v>
      </c>
      <c r="AP97" s="72">
        <v>-0.46</v>
      </c>
      <c r="AQ97" s="72">
        <v>1524</v>
      </c>
      <c r="AR97" s="72">
        <v>65</v>
      </c>
      <c r="AS97" s="72">
        <v>2.0000000000000001E-4</v>
      </c>
      <c r="AT97" s="72">
        <v>2</v>
      </c>
      <c r="AU97" s="72">
        <v>2.0499999999999998</v>
      </c>
      <c r="AV97" s="72">
        <v>0.57999999999999996</v>
      </c>
      <c r="AW97" s="72" t="s">
        <v>908</v>
      </c>
      <c r="AX97" s="72">
        <v>0.4</v>
      </c>
      <c r="AY97" s="72">
        <v>7.17</v>
      </c>
      <c r="AZ97" s="72">
        <v>8.44</v>
      </c>
      <c r="BA97" s="72">
        <v>0.43</v>
      </c>
      <c r="BB97" s="72">
        <v>2.58</v>
      </c>
      <c r="BC97" s="72">
        <v>0</v>
      </c>
      <c r="BD97" s="72">
        <v>1.52</v>
      </c>
      <c r="BE97" s="72">
        <v>1.28</v>
      </c>
      <c r="BF97" s="72">
        <v>-0.84</v>
      </c>
      <c r="BG97" s="72">
        <v>1.72</v>
      </c>
      <c r="BH97" s="72">
        <v>0.2</v>
      </c>
      <c r="BI97" s="72">
        <v>20200912</v>
      </c>
      <c r="BJ97" s="72">
        <v>20000301</v>
      </c>
      <c r="BK97" s="72">
        <v>37.799999999999997</v>
      </c>
      <c r="BL97" s="72" t="s">
        <v>414</v>
      </c>
      <c r="BM97" s="72" t="s">
        <v>414</v>
      </c>
      <c r="BN97" s="72">
        <v>3229.03</v>
      </c>
      <c r="BO97" s="72">
        <v>227.52</v>
      </c>
      <c r="BP97" s="72">
        <v>112.15</v>
      </c>
      <c r="BQ97" s="72">
        <v>89.48</v>
      </c>
      <c r="BR97" s="72">
        <v>2783.48</v>
      </c>
      <c r="BS97" s="72">
        <v>31.78</v>
      </c>
      <c r="BT97" s="72">
        <v>6.5</v>
      </c>
      <c r="BU97" s="72">
        <v>2333.83</v>
      </c>
      <c r="BV97" s="72">
        <v>1690.56</v>
      </c>
      <c r="BW97" s="72">
        <v>109.17</v>
      </c>
      <c r="BX97" s="72">
        <v>30.76</v>
      </c>
      <c r="BY97" s="72">
        <v>296.93</v>
      </c>
      <c r="BZ97" s="72">
        <v>245.63</v>
      </c>
      <c r="CA97" s="72">
        <v>32.33</v>
      </c>
      <c r="CB97" s="72">
        <v>17.670000000000002</v>
      </c>
      <c r="CC97" s="72">
        <v>31.67</v>
      </c>
      <c r="CD97" s="72">
        <v>23.7</v>
      </c>
      <c r="CE97" s="72">
        <v>20.5</v>
      </c>
      <c r="CF97" s="72">
        <v>140.16999999999999</v>
      </c>
      <c r="CG97" s="72">
        <v>20.34</v>
      </c>
      <c r="CH97" s="72">
        <v>34.14</v>
      </c>
      <c r="CI97" s="72">
        <v>38900</v>
      </c>
      <c r="CJ97" s="72">
        <v>43982</v>
      </c>
      <c r="CK97" s="72" t="s">
        <v>909</v>
      </c>
      <c r="CL97" s="72">
        <v>56.2</v>
      </c>
      <c r="CM97" s="72">
        <v>27.32</v>
      </c>
      <c r="CN97" s="72">
        <v>1.57</v>
      </c>
      <c r="CO97" s="72">
        <v>17.579999999999998</v>
      </c>
      <c r="CP97" s="72">
        <v>1.2</v>
      </c>
      <c r="CQ97" s="72">
        <v>3.01</v>
      </c>
      <c r="CR97" s="72" t="s">
        <v>910</v>
      </c>
      <c r="CS97" s="72">
        <v>6.04</v>
      </c>
      <c r="CT97" s="72">
        <v>6.04</v>
      </c>
      <c r="CU97" s="72">
        <v>0.81</v>
      </c>
      <c r="CV97" s="72">
        <v>3.71</v>
      </c>
      <c r="CW97" s="72">
        <v>7.05</v>
      </c>
      <c r="CX97" s="72" t="s">
        <v>911</v>
      </c>
      <c r="CY97" s="72">
        <v>17.28</v>
      </c>
      <c r="CZ97" s="72">
        <v>10.89</v>
      </c>
      <c r="DA97" s="72">
        <v>6.9</v>
      </c>
      <c r="DB97" s="72">
        <v>961</v>
      </c>
    </row>
    <row r="98" spans="7:106" x14ac:dyDescent="0.25">
      <c r="G98" s="72">
        <v>975</v>
      </c>
      <c r="H98" s="72" t="s">
        <v>912</v>
      </c>
      <c r="I98" s="72">
        <v>2.2599999999999998</v>
      </c>
      <c r="J98" s="72">
        <v>2.33</v>
      </c>
      <c r="K98" s="72">
        <v>10.86</v>
      </c>
      <c r="L98" s="72">
        <v>0.24</v>
      </c>
      <c r="M98" s="72">
        <v>10.86</v>
      </c>
      <c r="N98" s="72">
        <v>10.87</v>
      </c>
      <c r="O98" s="72">
        <v>216495</v>
      </c>
      <c r="P98" s="72">
        <v>6</v>
      </c>
      <c r="Q98" s="72">
        <v>0.18</v>
      </c>
      <c r="R98" s="72">
        <v>1.25</v>
      </c>
      <c r="S98" s="72">
        <v>10.73</v>
      </c>
      <c r="T98" s="72">
        <v>10.95</v>
      </c>
      <c r="U98" s="72">
        <v>10.73</v>
      </c>
      <c r="V98" s="72">
        <v>10.62</v>
      </c>
      <c r="W98" s="72">
        <v>24.72</v>
      </c>
      <c r="X98" s="114">
        <v>235000000</v>
      </c>
      <c r="Y98" s="72" t="s">
        <v>512</v>
      </c>
      <c r="Z98" s="72" t="s">
        <v>357</v>
      </c>
      <c r="AA98" s="72">
        <v>2.0699999999999998</v>
      </c>
      <c r="AB98" s="72">
        <v>10.86</v>
      </c>
      <c r="AC98" s="72">
        <v>108222</v>
      </c>
      <c r="AD98" s="72">
        <v>108273</v>
      </c>
      <c r="AE98" s="72">
        <v>1</v>
      </c>
      <c r="AF98" s="72">
        <v>86</v>
      </c>
      <c r="AG98" s="72">
        <v>26</v>
      </c>
      <c r="AH98" s="72" t="s">
        <v>414</v>
      </c>
      <c r="AI98" s="72">
        <v>3362400</v>
      </c>
      <c r="AJ98" s="72">
        <v>0.03</v>
      </c>
      <c r="AK98" s="72" t="s">
        <v>414</v>
      </c>
      <c r="AL98" s="72" t="s">
        <v>414</v>
      </c>
      <c r="AM98" s="72">
        <v>17.34</v>
      </c>
      <c r="AN98" s="72" t="s">
        <v>913</v>
      </c>
      <c r="AO98" s="72" t="s">
        <v>914</v>
      </c>
      <c r="AP98" s="72">
        <v>0.08</v>
      </c>
      <c r="AQ98" s="72">
        <v>1713</v>
      </c>
      <c r="AR98" s="72">
        <v>126</v>
      </c>
      <c r="AS98" s="72">
        <v>6.9999999999999999E-4</v>
      </c>
      <c r="AT98" s="72">
        <v>4</v>
      </c>
      <c r="AU98" s="72">
        <v>4.83</v>
      </c>
      <c r="AV98" s="72">
        <v>1.87</v>
      </c>
      <c r="AW98" s="72" t="s">
        <v>915</v>
      </c>
      <c r="AX98" s="72">
        <v>0.89</v>
      </c>
      <c r="AY98" s="72">
        <v>28.46</v>
      </c>
      <c r="AZ98" s="72">
        <v>34.119999999999997</v>
      </c>
      <c r="BA98" s="72">
        <v>1.04</v>
      </c>
      <c r="BB98" s="72">
        <v>3.11</v>
      </c>
      <c r="BC98" s="72">
        <v>1.04</v>
      </c>
      <c r="BD98" s="72">
        <v>2.2400000000000002</v>
      </c>
      <c r="BE98" s="72">
        <v>1.21</v>
      </c>
      <c r="BF98" s="72">
        <v>-0.82</v>
      </c>
      <c r="BG98" s="72">
        <v>1.21</v>
      </c>
      <c r="BH98" s="72">
        <v>0.02</v>
      </c>
      <c r="BI98" s="72">
        <v>20200923</v>
      </c>
      <c r="BJ98" s="72">
        <v>20000608</v>
      </c>
      <c r="BK98" s="72">
        <v>27.77</v>
      </c>
      <c r="BL98" s="72" t="s">
        <v>414</v>
      </c>
      <c r="BM98" s="72" t="s">
        <v>414</v>
      </c>
      <c r="BN98" s="72">
        <v>125.12</v>
      </c>
      <c r="BO98" s="72">
        <v>92.77</v>
      </c>
      <c r="BP98" s="72">
        <v>10.96</v>
      </c>
      <c r="BQ98" s="72">
        <v>17.09</v>
      </c>
      <c r="BR98" s="72">
        <v>35.130000000000003</v>
      </c>
      <c r="BS98" s="72">
        <v>23.73</v>
      </c>
      <c r="BT98" s="72">
        <v>54.42</v>
      </c>
      <c r="BU98" s="72">
        <v>14.62</v>
      </c>
      <c r="BV98" s="72">
        <v>8.01</v>
      </c>
      <c r="BW98" s="72">
        <v>0.56999999999999995</v>
      </c>
      <c r="BX98" s="72">
        <v>52.25</v>
      </c>
      <c r="BY98" s="72">
        <v>38.020000000000003</v>
      </c>
      <c r="BZ98" s="72">
        <v>27.83</v>
      </c>
      <c r="CA98" s="72">
        <v>8.27</v>
      </c>
      <c r="CB98" s="72">
        <v>0.33</v>
      </c>
      <c r="CC98" s="72">
        <v>8.4700000000000006</v>
      </c>
      <c r="CD98" s="72">
        <v>6.43</v>
      </c>
      <c r="CE98" s="72">
        <v>6.1</v>
      </c>
      <c r="CF98" s="72">
        <v>16.2</v>
      </c>
      <c r="CG98" s="72">
        <v>12.56</v>
      </c>
      <c r="CH98" s="72">
        <v>-0.45</v>
      </c>
      <c r="CI98" s="72">
        <v>56564</v>
      </c>
      <c r="CJ98" s="72">
        <v>20425</v>
      </c>
      <c r="CK98" s="72" t="s">
        <v>916</v>
      </c>
      <c r="CL98" s="72">
        <v>39.26</v>
      </c>
      <c r="CM98" s="72">
        <v>50.4</v>
      </c>
      <c r="CN98" s="72">
        <v>3.25</v>
      </c>
      <c r="CO98" s="72">
        <v>24.01</v>
      </c>
      <c r="CP98" s="72">
        <v>7.93</v>
      </c>
      <c r="CQ98" s="72">
        <v>1.35</v>
      </c>
      <c r="CR98" s="72" t="s">
        <v>543</v>
      </c>
      <c r="CS98" s="72">
        <v>3.34</v>
      </c>
      <c r="CT98" s="72">
        <v>0</v>
      </c>
      <c r="CU98" s="72">
        <v>1.88</v>
      </c>
      <c r="CV98" s="72">
        <v>0.57999999999999996</v>
      </c>
      <c r="CW98" s="72">
        <v>74.14</v>
      </c>
      <c r="CX98" s="72" t="s">
        <v>917</v>
      </c>
      <c r="CY98" s="72">
        <v>26.81</v>
      </c>
      <c r="CZ98" s="72">
        <v>21.76</v>
      </c>
      <c r="DA98" s="72">
        <v>16.04</v>
      </c>
      <c r="DB98" s="72">
        <v>975</v>
      </c>
    </row>
    <row r="99" spans="7:106" x14ac:dyDescent="0.25">
      <c r="G99" s="72">
        <v>981</v>
      </c>
      <c r="H99" s="72" t="s">
        <v>918</v>
      </c>
      <c r="I99" s="72">
        <v>1.6</v>
      </c>
      <c r="J99" s="72">
        <v>1.51</v>
      </c>
      <c r="K99" s="72">
        <v>1.9</v>
      </c>
      <c r="L99" s="72">
        <v>0.03</v>
      </c>
      <c r="M99" s="72">
        <v>1.89</v>
      </c>
      <c r="N99" s="72">
        <v>1.9</v>
      </c>
      <c r="O99" s="72">
        <v>58612</v>
      </c>
      <c r="P99" s="72">
        <v>20</v>
      </c>
      <c r="Q99" s="72">
        <v>0</v>
      </c>
      <c r="R99" s="72">
        <v>0.23</v>
      </c>
      <c r="S99" s="72">
        <v>1.88</v>
      </c>
      <c r="T99" s="72">
        <v>1.9</v>
      </c>
      <c r="U99" s="72">
        <v>1.86</v>
      </c>
      <c r="V99" s="72">
        <v>1.87</v>
      </c>
      <c r="W99" s="72">
        <v>168.96</v>
      </c>
      <c r="X99" s="72">
        <v>11053013</v>
      </c>
      <c r="Y99" s="72" t="s">
        <v>398</v>
      </c>
      <c r="Z99" s="72" t="s">
        <v>396</v>
      </c>
      <c r="AA99" s="72">
        <v>2.14</v>
      </c>
      <c r="AB99" s="72">
        <v>1.89</v>
      </c>
      <c r="AC99" s="72">
        <v>21551</v>
      </c>
      <c r="AD99" s="72">
        <v>37061</v>
      </c>
      <c r="AE99" s="72">
        <v>0.57999999999999996</v>
      </c>
      <c r="AF99" s="72">
        <v>5170</v>
      </c>
      <c r="AG99" s="72">
        <v>5787</v>
      </c>
      <c r="AH99" s="72" t="s">
        <v>414</v>
      </c>
      <c r="AI99" s="72">
        <v>229000</v>
      </c>
      <c r="AJ99" s="72">
        <v>0.01</v>
      </c>
      <c r="AK99" s="72" t="s">
        <v>414</v>
      </c>
      <c r="AL99" s="72" t="s">
        <v>414</v>
      </c>
      <c r="AM99" s="72">
        <v>25.74</v>
      </c>
      <c r="AN99" s="72" t="s">
        <v>919</v>
      </c>
      <c r="AO99" s="72" t="s">
        <v>920</v>
      </c>
      <c r="AP99" s="72">
        <v>-0.56999999999999995</v>
      </c>
      <c r="AQ99" s="72">
        <v>248</v>
      </c>
      <c r="AR99" s="72">
        <v>236</v>
      </c>
      <c r="AS99" s="72">
        <v>8.9999999999999998E-4</v>
      </c>
      <c r="AT99" s="72">
        <v>1</v>
      </c>
      <c r="AU99" s="72">
        <v>2.7</v>
      </c>
      <c r="AV99" s="72">
        <v>0.63</v>
      </c>
      <c r="AW99" s="72" t="s">
        <v>921</v>
      </c>
      <c r="AX99" s="72">
        <v>0.28000000000000003</v>
      </c>
      <c r="AY99" s="72" t="s">
        <v>414</v>
      </c>
      <c r="AZ99" s="72" t="s">
        <v>414</v>
      </c>
      <c r="BA99" s="72">
        <v>0.53</v>
      </c>
      <c r="BB99" s="72">
        <v>1.6</v>
      </c>
      <c r="BC99" s="72">
        <v>-0.53</v>
      </c>
      <c r="BD99" s="72">
        <v>0.84</v>
      </c>
      <c r="BE99" s="72">
        <v>1.06</v>
      </c>
      <c r="BF99" s="72">
        <v>0</v>
      </c>
      <c r="BG99" s="72">
        <v>2.15</v>
      </c>
      <c r="BH99" s="72">
        <v>0.76</v>
      </c>
      <c r="BI99" s="72">
        <v>20200831</v>
      </c>
      <c r="BJ99" s="72">
        <v>20000622</v>
      </c>
      <c r="BK99" s="72">
        <v>40.28</v>
      </c>
      <c r="BL99" s="72" t="s">
        <v>414</v>
      </c>
      <c r="BM99" s="72" t="s">
        <v>414</v>
      </c>
      <c r="BN99" s="72">
        <v>228.43</v>
      </c>
      <c r="BO99" s="72">
        <v>66.739999999999995</v>
      </c>
      <c r="BP99" s="72">
        <v>3.88</v>
      </c>
      <c r="BQ99" s="72">
        <v>69.08</v>
      </c>
      <c r="BR99" s="72">
        <v>85.41</v>
      </c>
      <c r="BS99" s="72">
        <v>38.799999999999997</v>
      </c>
      <c r="BT99" s="72">
        <v>34.28</v>
      </c>
      <c r="BU99" s="72">
        <v>131.56</v>
      </c>
      <c r="BV99" s="72">
        <v>43.33</v>
      </c>
      <c r="BW99" s="72">
        <v>6.93</v>
      </c>
      <c r="BX99" s="72">
        <v>91.01</v>
      </c>
      <c r="BY99" s="72">
        <v>49.48</v>
      </c>
      <c r="BZ99" s="72">
        <v>38.4</v>
      </c>
      <c r="CA99" s="72">
        <v>1.22</v>
      </c>
      <c r="CB99" s="72">
        <v>0.25</v>
      </c>
      <c r="CC99" s="72">
        <v>1.1399999999999999</v>
      </c>
      <c r="CD99" s="72">
        <v>0.38</v>
      </c>
      <c r="CE99" s="72">
        <v>0.23</v>
      </c>
      <c r="CF99" s="72">
        <v>-49.01</v>
      </c>
      <c r="CG99" s="72">
        <v>1.91</v>
      </c>
      <c r="CH99" s="72">
        <v>-0.94</v>
      </c>
      <c r="CI99" s="72">
        <v>36685</v>
      </c>
      <c r="CJ99" s="72">
        <v>25384</v>
      </c>
      <c r="CK99" s="72" t="s">
        <v>922</v>
      </c>
      <c r="CL99" s="72">
        <v>108.24</v>
      </c>
      <c r="CM99" s="72">
        <v>28.16</v>
      </c>
      <c r="CN99" s="72">
        <v>1.1499999999999999</v>
      </c>
      <c r="CO99" s="72">
        <v>39.97</v>
      </c>
      <c r="CP99" s="72">
        <v>1.55</v>
      </c>
      <c r="CQ99" s="72">
        <v>0</v>
      </c>
      <c r="CR99" s="72" t="s">
        <v>923</v>
      </c>
      <c r="CS99" s="72">
        <v>1.66</v>
      </c>
      <c r="CT99" s="72">
        <v>0</v>
      </c>
      <c r="CU99" s="72">
        <v>2.2599999999999998</v>
      </c>
      <c r="CV99" s="72">
        <v>-1.22</v>
      </c>
      <c r="CW99" s="72">
        <v>29.22</v>
      </c>
      <c r="CX99" s="72" t="s">
        <v>924</v>
      </c>
      <c r="CY99" s="72">
        <v>22.39</v>
      </c>
      <c r="CZ99" s="72">
        <v>2.46</v>
      </c>
      <c r="DA99" s="72">
        <v>0.46</v>
      </c>
      <c r="DB99" s="72">
        <v>981</v>
      </c>
    </row>
    <row r="100" spans="7:106" x14ac:dyDescent="0.25">
      <c r="G100" s="72">
        <v>1696</v>
      </c>
      <c r="H100" s="72" t="s">
        <v>925</v>
      </c>
      <c r="I100" s="72">
        <v>1.56</v>
      </c>
      <c r="J100" s="72">
        <v>1.66</v>
      </c>
      <c r="K100" s="72">
        <v>8.49</v>
      </c>
      <c r="L100" s="72">
        <v>0.13</v>
      </c>
      <c r="M100" s="72">
        <v>8.49</v>
      </c>
      <c r="N100" s="72">
        <v>8.5</v>
      </c>
      <c r="O100" s="72">
        <v>95031</v>
      </c>
      <c r="P100" s="72">
        <v>1</v>
      </c>
      <c r="Q100" s="72">
        <v>0</v>
      </c>
      <c r="R100" s="72">
        <v>1.08</v>
      </c>
      <c r="S100" s="72">
        <v>8.44</v>
      </c>
      <c r="T100" s="72">
        <v>8.52</v>
      </c>
      <c r="U100" s="72">
        <v>8.39</v>
      </c>
      <c r="V100" s="72">
        <v>8.36</v>
      </c>
      <c r="W100" s="72">
        <v>14.47</v>
      </c>
      <c r="X100" s="72">
        <v>80342048</v>
      </c>
      <c r="Y100" s="72" t="s">
        <v>926</v>
      </c>
      <c r="Z100" s="72" t="s">
        <v>376</v>
      </c>
      <c r="AA100" s="72">
        <v>1.56</v>
      </c>
      <c r="AB100" s="72">
        <v>8.4499999999999993</v>
      </c>
      <c r="AC100" s="72">
        <v>47673</v>
      </c>
      <c r="AD100" s="72">
        <v>47358</v>
      </c>
      <c r="AE100" s="72">
        <v>1.01</v>
      </c>
      <c r="AF100" s="72">
        <v>444</v>
      </c>
      <c r="AG100" s="72">
        <v>84</v>
      </c>
      <c r="AH100" s="72" t="s">
        <v>414</v>
      </c>
      <c r="AI100" s="72">
        <v>903900</v>
      </c>
      <c r="AJ100" s="72">
        <v>0.02</v>
      </c>
      <c r="AK100" s="72" t="s">
        <v>414</v>
      </c>
      <c r="AL100" s="72" t="s">
        <v>414</v>
      </c>
      <c r="AM100" s="72">
        <v>8.7899999999999991</v>
      </c>
      <c r="AN100" s="72" t="s">
        <v>927</v>
      </c>
      <c r="AO100" s="72" t="s">
        <v>928</v>
      </c>
      <c r="AP100" s="72">
        <v>-0.62</v>
      </c>
      <c r="AQ100" s="72">
        <v>1308</v>
      </c>
      <c r="AR100" s="72">
        <v>73</v>
      </c>
      <c r="AS100" s="72">
        <v>8.0000000000000004E-4</v>
      </c>
      <c r="AT100" s="72">
        <v>2</v>
      </c>
      <c r="AU100" s="72">
        <v>4.9400000000000004</v>
      </c>
      <c r="AV100" s="72">
        <v>1.48</v>
      </c>
      <c r="AW100" s="72" t="s">
        <v>929</v>
      </c>
      <c r="AX100" s="72">
        <v>1.35</v>
      </c>
      <c r="AY100" s="72">
        <v>17.63</v>
      </c>
      <c r="AZ100" s="72">
        <v>22.68</v>
      </c>
      <c r="BA100" s="72">
        <v>0.96</v>
      </c>
      <c r="BB100" s="72">
        <v>1.91</v>
      </c>
      <c r="BC100" s="72">
        <v>0.36</v>
      </c>
      <c r="BD100" s="72">
        <v>1.1299999999999999</v>
      </c>
      <c r="BE100" s="72">
        <v>0.59</v>
      </c>
      <c r="BF100" s="72">
        <v>-0.35</v>
      </c>
      <c r="BG100" s="72">
        <v>1.19</v>
      </c>
      <c r="BH100" s="72">
        <v>0.43</v>
      </c>
      <c r="BI100" s="72">
        <v>20200831</v>
      </c>
      <c r="BJ100" s="72">
        <v>19970306</v>
      </c>
      <c r="BK100" s="72">
        <v>11.45</v>
      </c>
      <c r="BL100" s="72" t="s">
        <v>414</v>
      </c>
      <c r="BM100" s="72" t="s">
        <v>414</v>
      </c>
      <c r="BN100" s="72">
        <v>85.52</v>
      </c>
      <c r="BO100" s="72">
        <v>42.53</v>
      </c>
      <c r="BP100" s="72">
        <v>4.95</v>
      </c>
      <c r="BQ100" s="72">
        <v>44.49</v>
      </c>
      <c r="BR100" s="72">
        <v>45.25</v>
      </c>
      <c r="BS100" s="72">
        <v>7.79</v>
      </c>
      <c r="BT100" s="72">
        <v>1.78</v>
      </c>
      <c r="BU100" s="72">
        <v>28.95</v>
      </c>
      <c r="BV100" s="72">
        <v>6.3</v>
      </c>
      <c r="BW100" s="72">
        <v>14.65</v>
      </c>
      <c r="BX100" s="72">
        <v>5.57</v>
      </c>
      <c r="BY100" s="72">
        <v>33.97</v>
      </c>
      <c r="BZ100" s="72">
        <v>28</v>
      </c>
      <c r="CA100" s="72">
        <v>4.03</v>
      </c>
      <c r="CB100" s="72">
        <v>0.33</v>
      </c>
      <c r="CC100" s="72">
        <v>4.0199999999999996</v>
      </c>
      <c r="CD100" s="72">
        <v>3.58</v>
      </c>
      <c r="CE100" s="72">
        <v>3.36</v>
      </c>
      <c r="CF100" s="72">
        <v>21.49</v>
      </c>
      <c r="CG100" s="72">
        <v>3.65</v>
      </c>
      <c r="CH100" s="72">
        <v>-2.69</v>
      </c>
      <c r="CI100" s="72">
        <v>84749</v>
      </c>
      <c r="CJ100" s="72">
        <v>7569</v>
      </c>
      <c r="CK100" s="72" t="s">
        <v>930</v>
      </c>
      <c r="CL100" s="72">
        <v>56.34</v>
      </c>
      <c r="CM100" s="72">
        <v>30.08</v>
      </c>
      <c r="CN100" s="72">
        <v>2.29</v>
      </c>
      <c r="CO100" s="72">
        <v>26.65</v>
      </c>
      <c r="CP100" s="72">
        <v>2.86</v>
      </c>
      <c r="CQ100" s="72">
        <v>3.59</v>
      </c>
      <c r="CR100" s="72" t="s">
        <v>833</v>
      </c>
      <c r="CS100" s="72">
        <v>3.71</v>
      </c>
      <c r="CT100" s="72">
        <v>0</v>
      </c>
      <c r="CU100" s="72">
        <v>0.49</v>
      </c>
      <c r="CV100" s="72">
        <v>1.88</v>
      </c>
      <c r="CW100" s="72">
        <v>49.73</v>
      </c>
      <c r="CX100" s="72" t="s">
        <v>931</v>
      </c>
      <c r="CY100" s="72">
        <v>17.59</v>
      </c>
      <c r="CZ100" s="72">
        <v>11.87</v>
      </c>
      <c r="DA100" s="72">
        <v>9.89</v>
      </c>
      <c r="DB100" s="72">
        <v>1696</v>
      </c>
    </row>
    <row r="101" spans="7:106" x14ac:dyDescent="0.25">
      <c r="G101" s="72">
        <v>2001</v>
      </c>
      <c r="H101" s="72" t="s">
        <v>932</v>
      </c>
      <c r="I101" s="72">
        <v>1.55</v>
      </c>
      <c r="J101" s="72">
        <v>1.94</v>
      </c>
      <c r="K101" s="72">
        <v>30.86</v>
      </c>
      <c r="L101" s="72">
        <v>0.47</v>
      </c>
      <c r="M101" s="72">
        <v>30.85</v>
      </c>
      <c r="N101" s="72">
        <v>30.93</v>
      </c>
      <c r="O101" s="72">
        <v>124902</v>
      </c>
      <c r="P101" s="72">
        <v>126</v>
      </c>
      <c r="Q101" s="72">
        <v>-0.12</v>
      </c>
      <c r="R101" s="72">
        <v>0.59</v>
      </c>
      <c r="S101" s="72">
        <v>30.39</v>
      </c>
      <c r="T101" s="72">
        <v>30.93</v>
      </c>
      <c r="U101" s="72">
        <v>30.25</v>
      </c>
      <c r="V101" s="72">
        <v>30.39</v>
      </c>
      <c r="W101" s="72">
        <v>14.99</v>
      </c>
      <c r="X101" s="114">
        <v>382000000</v>
      </c>
      <c r="Y101" s="72" t="s">
        <v>399</v>
      </c>
      <c r="Z101" s="72" t="s">
        <v>358</v>
      </c>
      <c r="AA101" s="72">
        <v>2.2400000000000002</v>
      </c>
      <c r="AB101" s="72">
        <v>30.62</v>
      </c>
      <c r="AC101" s="72">
        <v>65623</v>
      </c>
      <c r="AD101" s="72">
        <v>59279</v>
      </c>
      <c r="AE101" s="72">
        <v>1.1100000000000001</v>
      </c>
      <c r="AF101" s="72">
        <v>1475</v>
      </c>
      <c r="AG101" s="72">
        <v>132</v>
      </c>
      <c r="AH101" s="72" t="s">
        <v>414</v>
      </c>
      <c r="AI101" s="72">
        <v>5506700</v>
      </c>
      <c r="AJ101" s="72">
        <v>0.02</v>
      </c>
      <c r="AK101" s="72" t="s">
        <v>414</v>
      </c>
      <c r="AL101" s="72" t="s">
        <v>414</v>
      </c>
      <c r="AM101" s="72">
        <v>21.21</v>
      </c>
      <c r="AN101" s="72" t="s">
        <v>933</v>
      </c>
      <c r="AO101" s="72" t="s">
        <v>934</v>
      </c>
      <c r="AP101" s="72">
        <v>-0.63</v>
      </c>
      <c r="AQ101" s="72">
        <v>1843</v>
      </c>
      <c r="AR101" s="72">
        <v>68</v>
      </c>
      <c r="AS101" s="72">
        <v>2.9999999999999997E-4</v>
      </c>
      <c r="AT101" s="72">
        <v>4</v>
      </c>
      <c r="AU101" s="72">
        <v>4.22</v>
      </c>
      <c r="AV101" s="72">
        <v>1.1599999999999999</v>
      </c>
      <c r="AW101" s="72" t="s">
        <v>935</v>
      </c>
      <c r="AX101" s="72">
        <v>1.1100000000000001</v>
      </c>
      <c r="AY101" s="72">
        <v>20.25</v>
      </c>
      <c r="AZ101" s="72">
        <v>30.11</v>
      </c>
      <c r="BA101" s="72">
        <v>0</v>
      </c>
      <c r="BB101" s="72">
        <v>1.78</v>
      </c>
      <c r="BC101" s="72">
        <v>-0.46</v>
      </c>
      <c r="BD101" s="72">
        <v>0.76</v>
      </c>
      <c r="BE101" s="72">
        <v>1.55</v>
      </c>
      <c r="BF101" s="72">
        <v>-0.23</v>
      </c>
      <c r="BG101" s="72">
        <v>2.02</v>
      </c>
      <c r="BH101" s="72">
        <v>0.79</v>
      </c>
      <c r="BI101" s="72">
        <v>20201009</v>
      </c>
      <c r="BJ101" s="72">
        <v>20040625</v>
      </c>
      <c r="BK101" s="72">
        <v>21.49</v>
      </c>
      <c r="BL101" s="72" t="s">
        <v>414</v>
      </c>
      <c r="BM101" s="72" t="s">
        <v>414</v>
      </c>
      <c r="BN101" s="72">
        <v>293.95</v>
      </c>
      <c r="BO101" s="72">
        <v>179.99</v>
      </c>
      <c r="BP101" s="72">
        <v>0.59</v>
      </c>
      <c r="BQ101" s="72">
        <v>38.57</v>
      </c>
      <c r="BR101" s="72">
        <v>129.04</v>
      </c>
      <c r="BS101" s="72">
        <v>81.069999999999993</v>
      </c>
      <c r="BT101" s="72">
        <v>13.95</v>
      </c>
      <c r="BU101" s="72">
        <v>68.760000000000005</v>
      </c>
      <c r="BV101" s="72">
        <v>22.77</v>
      </c>
      <c r="BW101" s="72">
        <v>20.67</v>
      </c>
      <c r="BX101" s="72">
        <v>45.28</v>
      </c>
      <c r="BY101" s="72">
        <v>52.9</v>
      </c>
      <c r="BZ101" s="72">
        <v>21.33</v>
      </c>
      <c r="CA101" s="72">
        <v>25.74</v>
      </c>
      <c r="CB101" s="72">
        <v>0.69</v>
      </c>
      <c r="CC101" s="72">
        <v>25.63</v>
      </c>
      <c r="CD101" s="72">
        <v>22.17</v>
      </c>
      <c r="CE101" s="72">
        <v>22.12</v>
      </c>
      <c r="CF101" s="72">
        <v>103.14</v>
      </c>
      <c r="CG101" s="72">
        <v>11.47</v>
      </c>
      <c r="CH101" s="72">
        <v>19.97</v>
      </c>
      <c r="CI101" s="72">
        <v>75600</v>
      </c>
      <c r="CJ101" s="72">
        <v>14262</v>
      </c>
      <c r="CK101" s="72" t="s">
        <v>936</v>
      </c>
      <c r="CL101" s="72">
        <v>91.41</v>
      </c>
      <c r="CM101" s="72">
        <v>36.79</v>
      </c>
      <c r="CN101" s="72">
        <v>3.68</v>
      </c>
      <c r="CO101" s="72">
        <v>57.81</v>
      </c>
      <c r="CP101" s="72">
        <v>12.53</v>
      </c>
      <c r="CQ101" s="72">
        <v>1.65</v>
      </c>
      <c r="CR101" s="72" t="s">
        <v>937</v>
      </c>
      <c r="CS101" s="72">
        <v>8.3800000000000008</v>
      </c>
      <c r="CT101" s="72">
        <v>0</v>
      </c>
      <c r="CU101" s="72">
        <v>2.11</v>
      </c>
      <c r="CV101" s="72">
        <v>4.8</v>
      </c>
      <c r="CW101" s="72">
        <v>61.23</v>
      </c>
      <c r="CX101" s="72" t="s">
        <v>938</v>
      </c>
      <c r="CY101" s="72">
        <v>59.68</v>
      </c>
      <c r="CZ101" s="72">
        <v>48.66</v>
      </c>
      <c r="DA101" s="72">
        <v>41.81</v>
      </c>
      <c r="DB101" s="72">
        <v>2001</v>
      </c>
    </row>
    <row r="102" spans="7:106" x14ac:dyDescent="0.25">
      <c r="G102" s="72">
        <v>2019</v>
      </c>
      <c r="H102" s="72" t="s">
        <v>939</v>
      </c>
      <c r="I102" s="72">
        <v>1.71</v>
      </c>
      <c r="J102" s="72">
        <v>2.27</v>
      </c>
      <c r="K102" s="72">
        <v>25.56</v>
      </c>
      <c r="L102" s="72">
        <v>0.43</v>
      </c>
      <c r="M102" s="72">
        <v>25.55</v>
      </c>
      <c r="N102" s="72">
        <v>25.56</v>
      </c>
      <c r="O102" s="72">
        <v>104440</v>
      </c>
      <c r="P102" s="72">
        <v>39</v>
      </c>
      <c r="Q102" s="72">
        <v>-0.22</v>
      </c>
      <c r="R102" s="72">
        <v>1.27</v>
      </c>
      <c r="S102" s="72">
        <v>25.13</v>
      </c>
      <c r="T102" s="72">
        <v>25.83</v>
      </c>
      <c r="U102" s="72">
        <v>25.1</v>
      </c>
      <c r="V102" s="72">
        <v>25.13</v>
      </c>
      <c r="W102" s="72">
        <v>21.97</v>
      </c>
      <c r="X102" s="114">
        <v>267000000</v>
      </c>
      <c r="Y102" s="72" t="s">
        <v>399</v>
      </c>
      <c r="Z102" s="72" t="s">
        <v>358</v>
      </c>
      <c r="AA102" s="72">
        <v>2.9</v>
      </c>
      <c r="AB102" s="72">
        <v>25.55</v>
      </c>
      <c r="AC102" s="72">
        <v>47407</v>
      </c>
      <c r="AD102" s="72">
        <v>57033</v>
      </c>
      <c r="AE102" s="72">
        <v>0.83</v>
      </c>
      <c r="AF102" s="72">
        <v>119</v>
      </c>
      <c r="AG102" s="72">
        <v>1</v>
      </c>
      <c r="AH102" s="72" t="s">
        <v>414</v>
      </c>
      <c r="AI102" s="72">
        <v>1223800</v>
      </c>
      <c r="AJ102" s="72">
        <v>0.01</v>
      </c>
      <c r="AK102" s="72" t="s">
        <v>414</v>
      </c>
      <c r="AL102" s="72" t="s">
        <v>414</v>
      </c>
      <c r="AM102" s="72">
        <v>8.25</v>
      </c>
      <c r="AN102" s="72" t="s">
        <v>940</v>
      </c>
      <c r="AO102" s="72" t="s">
        <v>941</v>
      </c>
      <c r="AP102" s="72">
        <v>-0.47</v>
      </c>
      <c r="AQ102" s="72">
        <v>1734</v>
      </c>
      <c r="AR102" s="72">
        <v>60</v>
      </c>
      <c r="AS102" s="72">
        <v>6.9999999999999999E-4</v>
      </c>
      <c r="AT102" s="72">
        <v>4</v>
      </c>
      <c r="AU102" s="72">
        <v>3.31</v>
      </c>
      <c r="AV102" s="72">
        <v>1.5</v>
      </c>
      <c r="AW102" s="72" t="s">
        <v>942</v>
      </c>
      <c r="AX102" s="72">
        <v>1.32</v>
      </c>
      <c r="AY102" s="72">
        <v>27.3</v>
      </c>
      <c r="AZ102" s="72">
        <v>34.340000000000003</v>
      </c>
      <c r="BA102" s="72">
        <v>0</v>
      </c>
      <c r="BB102" s="72">
        <v>2.79</v>
      </c>
      <c r="BC102" s="72">
        <v>-0.12</v>
      </c>
      <c r="BD102" s="72">
        <v>1.66</v>
      </c>
      <c r="BE102" s="72">
        <v>1.71</v>
      </c>
      <c r="BF102" s="72">
        <v>-1.05</v>
      </c>
      <c r="BG102" s="72">
        <v>1.83</v>
      </c>
      <c r="BH102" s="72">
        <v>0.05</v>
      </c>
      <c r="BI102" s="72">
        <v>20200924</v>
      </c>
      <c r="BJ102" s="72">
        <v>20040713</v>
      </c>
      <c r="BK102" s="72">
        <v>12.35</v>
      </c>
      <c r="BL102" s="72" t="s">
        <v>414</v>
      </c>
      <c r="BM102" s="72" t="s">
        <v>414</v>
      </c>
      <c r="BN102" s="72">
        <v>118.11</v>
      </c>
      <c r="BO102" s="72">
        <v>81.900000000000006</v>
      </c>
      <c r="BP102" s="72">
        <v>3.05</v>
      </c>
      <c r="BQ102" s="72">
        <v>28.08</v>
      </c>
      <c r="BR102" s="72">
        <v>40.56</v>
      </c>
      <c r="BS102" s="72">
        <v>8.66</v>
      </c>
      <c r="BT102" s="72">
        <v>6.9</v>
      </c>
      <c r="BU102" s="72">
        <v>25.9</v>
      </c>
      <c r="BV102" s="72">
        <v>6.28</v>
      </c>
      <c r="BW102" s="72">
        <v>10.42</v>
      </c>
      <c r="BX102" s="72">
        <v>30.24</v>
      </c>
      <c r="BY102" s="72">
        <v>28.11</v>
      </c>
      <c r="BZ102" s="72">
        <v>13.22</v>
      </c>
      <c r="CA102" s="72">
        <v>8.4499999999999993</v>
      </c>
      <c r="CB102" s="72">
        <v>-0.03</v>
      </c>
      <c r="CC102" s="72">
        <v>8.4499999999999993</v>
      </c>
      <c r="CD102" s="72">
        <v>7.02</v>
      </c>
      <c r="CE102" s="72">
        <v>7.18</v>
      </c>
      <c r="CF102" s="72">
        <v>41.05</v>
      </c>
      <c r="CG102" s="72">
        <v>7.47</v>
      </c>
      <c r="CH102" s="72">
        <v>2.0299999999999998</v>
      </c>
      <c r="CI102" s="72">
        <v>53192</v>
      </c>
      <c r="CJ102" s="72">
        <v>13055</v>
      </c>
      <c r="CK102" s="72" t="s">
        <v>943</v>
      </c>
      <c r="CL102" s="72">
        <v>47.98</v>
      </c>
      <c r="CM102" s="72">
        <v>11.63</v>
      </c>
      <c r="CN102" s="72">
        <v>3.85</v>
      </c>
      <c r="CO102" s="72">
        <v>42.23</v>
      </c>
      <c r="CP102" s="72">
        <v>11.23</v>
      </c>
      <c r="CQ102" s="72">
        <v>0.4</v>
      </c>
      <c r="CR102" s="72" t="s">
        <v>944</v>
      </c>
      <c r="CS102" s="72">
        <v>6.63</v>
      </c>
      <c r="CT102" s="72">
        <v>0</v>
      </c>
      <c r="CU102" s="72">
        <v>2.4500000000000002</v>
      </c>
      <c r="CV102" s="72">
        <v>3.32</v>
      </c>
      <c r="CW102" s="72">
        <v>69.34</v>
      </c>
      <c r="CX102" s="72" t="s">
        <v>945</v>
      </c>
      <c r="CY102" s="72">
        <v>52.96</v>
      </c>
      <c r="CZ102" s="72">
        <v>30.06</v>
      </c>
      <c r="DA102" s="72">
        <v>25.56</v>
      </c>
      <c r="DB102" s="72">
        <v>2019</v>
      </c>
    </row>
    <row r="103" spans="7:106" x14ac:dyDescent="0.25">
      <c r="G103" s="72">
        <v>2022</v>
      </c>
      <c r="H103" s="72" t="s">
        <v>946</v>
      </c>
      <c r="I103" s="72">
        <v>0.91</v>
      </c>
      <c r="J103" s="72">
        <v>1.74</v>
      </c>
      <c r="K103" s="72">
        <v>18.82</v>
      </c>
      <c r="L103" s="72">
        <v>0.17</v>
      </c>
      <c r="M103" s="72">
        <v>18.82</v>
      </c>
      <c r="N103" s="72">
        <v>18.829999999999998</v>
      </c>
      <c r="O103" s="72">
        <v>55548</v>
      </c>
      <c r="P103" s="72">
        <v>21</v>
      </c>
      <c r="Q103" s="72">
        <v>0.16</v>
      </c>
      <c r="R103" s="72">
        <v>1.08</v>
      </c>
      <c r="S103" s="72">
        <v>18.93</v>
      </c>
      <c r="T103" s="72">
        <v>19.149999999999999</v>
      </c>
      <c r="U103" s="72">
        <v>18.739999999999998</v>
      </c>
      <c r="V103" s="72">
        <v>18.649999999999999</v>
      </c>
      <c r="W103" s="72">
        <v>25.14</v>
      </c>
      <c r="X103" s="114">
        <v>105000000</v>
      </c>
      <c r="Y103" s="72" t="s">
        <v>506</v>
      </c>
      <c r="Z103" s="72" t="s">
        <v>365</v>
      </c>
      <c r="AA103" s="72">
        <v>2.2000000000000002</v>
      </c>
      <c r="AB103" s="72">
        <v>18.920000000000002</v>
      </c>
      <c r="AC103" s="72">
        <v>31247</v>
      </c>
      <c r="AD103" s="72">
        <v>24301</v>
      </c>
      <c r="AE103" s="72">
        <v>1.29</v>
      </c>
      <c r="AF103" s="72">
        <v>151</v>
      </c>
      <c r="AG103" s="72">
        <v>28</v>
      </c>
      <c r="AH103" s="72" t="s">
        <v>414</v>
      </c>
      <c r="AI103" s="72">
        <v>1075200</v>
      </c>
      <c r="AJ103" s="72">
        <v>0.01</v>
      </c>
      <c r="AK103" s="72" t="s">
        <v>414</v>
      </c>
      <c r="AL103" s="72" t="s">
        <v>414</v>
      </c>
      <c r="AM103" s="72">
        <v>5.14</v>
      </c>
      <c r="AN103" s="72" t="s">
        <v>947</v>
      </c>
      <c r="AO103" s="72" t="s">
        <v>948</v>
      </c>
      <c r="AP103" s="72">
        <v>-1.27</v>
      </c>
      <c r="AQ103" s="72">
        <v>1425</v>
      </c>
      <c r="AR103" s="72">
        <v>39</v>
      </c>
      <c r="AS103" s="72">
        <v>8.0000000000000004E-4</v>
      </c>
      <c r="AT103" s="72">
        <v>4</v>
      </c>
      <c r="AU103" s="72">
        <v>5.37</v>
      </c>
      <c r="AV103" s="72">
        <v>1.46</v>
      </c>
      <c r="AW103" s="72" t="s">
        <v>949</v>
      </c>
      <c r="AX103" s="72">
        <v>1.18</v>
      </c>
      <c r="AY103" s="72">
        <v>37.450000000000003</v>
      </c>
      <c r="AZ103" s="72">
        <v>47.42</v>
      </c>
      <c r="BA103" s="72">
        <v>1.5</v>
      </c>
      <c r="BB103" s="72">
        <v>2.68</v>
      </c>
      <c r="BC103" s="72">
        <v>0.48</v>
      </c>
      <c r="BD103" s="72">
        <v>1.44</v>
      </c>
      <c r="BE103" s="72">
        <v>-0.57999999999999996</v>
      </c>
      <c r="BF103" s="72">
        <v>-1.72</v>
      </c>
      <c r="BG103" s="72">
        <v>0.43</v>
      </c>
      <c r="BH103" s="72">
        <v>-0.53</v>
      </c>
      <c r="BI103" s="72">
        <v>20200828</v>
      </c>
      <c r="BJ103" s="72">
        <v>20040721</v>
      </c>
      <c r="BK103" s="72">
        <v>5.15</v>
      </c>
      <c r="BL103" s="72" t="s">
        <v>414</v>
      </c>
      <c r="BM103" s="72" t="s">
        <v>414</v>
      </c>
      <c r="BN103" s="72">
        <v>43.94</v>
      </c>
      <c r="BO103" s="72">
        <v>25.59</v>
      </c>
      <c r="BP103" s="72">
        <v>4.5599999999999996</v>
      </c>
      <c r="BQ103" s="72">
        <v>31.39</v>
      </c>
      <c r="BR103" s="72">
        <v>24.89</v>
      </c>
      <c r="BS103" s="72">
        <v>3.98</v>
      </c>
      <c r="BT103" s="72">
        <v>3.01</v>
      </c>
      <c r="BU103" s="72">
        <v>10.07</v>
      </c>
      <c r="BV103" s="72">
        <v>6.67</v>
      </c>
      <c r="BW103" s="72">
        <v>7.1</v>
      </c>
      <c r="BX103" s="72">
        <v>3.1</v>
      </c>
      <c r="BY103" s="72">
        <v>14.6</v>
      </c>
      <c r="BZ103" s="72">
        <v>6.69</v>
      </c>
      <c r="CA103" s="72">
        <v>3.76</v>
      </c>
      <c r="CB103" s="72">
        <v>0</v>
      </c>
      <c r="CC103" s="72">
        <v>3.76</v>
      </c>
      <c r="CD103" s="72">
        <v>3.14</v>
      </c>
      <c r="CE103" s="72">
        <v>1.93</v>
      </c>
      <c r="CF103" s="72">
        <v>14.89</v>
      </c>
      <c r="CG103" s="72">
        <v>3.16</v>
      </c>
      <c r="CH103" s="72">
        <v>3.66</v>
      </c>
      <c r="CI103" s="72">
        <v>64892</v>
      </c>
      <c r="CJ103" s="72">
        <v>5873</v>
      </c>
      <c r="CK103" s="72" t="s">
        <v>950</v>
      </c>
      <c r="CL103" s="72">
        <v>38.82</v>
      </c>
      <c r="CM103" s="72">
        <v>29.88</v>
      </c>
      <c r="CN103" s="72">
        <v>3.79</v>
      </c>
      <c r="CO103" s="72">
        <v>30.65</v>
      </c>
      <c r="CP103" s="72">
        <v>6.63</v>
      </c>
      <c r="CQ103" s="72">
        <v>0.35</v>
      </c>
      <c r="CR103" s="72" t="s">
        <v>951</v>
      </c>
      <c r="CS103" s="72">
        <v>4.97</v>
      </c>
      <c r="CT103" s="72">
        <v>0</v>
      </c>
      <c r="CU103" s="72">
        <v>0.6</v>
      </c>
      <c r="CV103" s="72">
        <v>2.89</v>
      </c>
      <c r="CW103" s="72">
        <v>58.24</v>
      </c>
      <c r="CX103" s="72" t="s">
        <v>952</v>
      </c>
      <c r="CY103" s="72">
        <v>54.21</v>
      </c>
      <c r="CZ103" s="72">
        <v>25.75</v>
      </c>
      <c r="DA103" s="72">
        <v>13.19</v>
      </c>
      <c r="DB103" s="72">
        <v>2022</v>
      </c>
    </row>
    <row r="104" spans="7:106" x14ac:dyDescent="0.25">
      <c r="G104" s="72">
        <v>2039</v>
      </c>
      <c r="H104" s="72" t="s">
        <v>953</v>
      </c>
      <c r="I104" s="72">
        <v>0.9</v>
      </c>
      <c r="J104" s="72">
        <v>3.2</v>
      </c>
      <c r="K104" s="72">
        <v>15.73</v>
      </c>
      <c r="L104" s="72">
        <v>0.14000000000000001</v>
      </c>
      <c r="M104" s="72">
        <v>15.72</v>
      </c>
      <c r="N104" s="72">
        <v>15.73</v>
      </c>
      <c r="O104" s="72">
        <v>11781</v>
      </c>
      <c r="P104" s="72">
        <v>22</v>
      </c>
      <c r="Q104" s="72">
        <v>0</v>
      </c>
      <c r="R104" s="72">
        <v>0.39</v>
      </c>
      <c r="S104" s="72">
        <v>15.66</v>
      </c>
      <c r="T104" s="72">
        <v>15.8</v>
      </c>
      <c r="U104" s="72">
        <v>15.62</v>
      </c>
      <c r="V104" s="72">
        <v>15.59</v>
      </c>
      <c r="W104" s="72">
        <v>15.01</v>
      </c>
      <c r="X104" s="72">
        <v>18526008</v>
      </c>
      <c r="Y104" s="72" t="s">
        <v>351</v>
      </c>
      <c r="Z104" s="72" t="s">
        <v>621</v>
      </c>
      <c r="AA104" s="72">
        <v>1.1499999999999999</v>
      </c>
      <c r="AB104" s="72">
        <v>15.72</v>
      </c>
      <c r="AC104" s="72">
        <v>5167</v>
      </c>
      <c r="AD104" s="72">
        <v>6614</v>
      </c>
      <c r="AE104" s="72">
        <v>0.78</v>
      </c>
      <c r="AF104" s="72">
        <v>42</v>
      </c>
      <c r="AG104" s="72">
        <v>133</v>
      </c>
      <c r="AH104" s="72" t="s">
        <v>414</v>
      </c>
      <c r="AI104" s="72">
        <v>125300</v>
      </c>
      <c r="AJ104" s="72">
        <v>0</v>
      </c>
      <c r="AK104" s="72" t="s">
        <v>414</v>
      </c>
      <c r="AL104" s="72" t="s">
        <v>414</v>
      </c>
      <c r="AM104" s="72">
        <v>3.05</v>
      </c>
      <c r="AN104" s="72" t="s">
        <v>954</v>
      </c>
      <c r="AO104" s="72" t="s">
        <v>954</v>
      </c>
      <c r="AP104" s="72">
        <v>-1.28</v>
      </c>
      <c r="AQ104" s="72">
        <v>482</v>
      </c>
      <c r="AR104" s="72">
        <v>24</v>
      </c>
      <c r="AS104" s="72">
        <v>8.0000000000000004E-4</v>
      </c>
      <c r="AT104" s="72">
        <v>5</v>
      </c>
      <c r="AU104" s="72">
        <v>2.95</v>
      </c>
      <c r="AV104" s="72">
        <v>0.6</v>
      </c>
      <c r="AW104" s="72" t="s">
        <v>955</v>
      </c>
      <c r="AX104" s="72">
        <v>0.45</v>
      </c>
      <c r="AY104" s="72">
        <v>13.36</v>
      </c>
      <c r="AZ104" s="72">
        <v>16.41</v>
      </c>
      <c r="BA104" s="72">
        <v>0.45</v>
      </c>
      <c r="BB104" s="72">
        <v>1.35</v>
      </c>
      <c r="BC104" s="72">
        <v>0.19</v>
      </c>
      <c r="BD104" s="72">
        <v>0.87</v>
      </c>
      <c r="BE104" s="72">
        <v>0.45</v>
      </c>
      <c r="BF104" s="72">
        <v>-0.44</v>
      </c>
      <c r="BG104" s="72">
        <v>0.7</v>
      </c>
      <c r="BH104" s="72">
        <v>0.03</v>
      </c>
      <c r="BI104" s="72">
        <v>20200914</v>
      </c>
      <c r="BJ104" s="72">
        <v>20050303</v>
      </c>
      <c r="BK104" s="72">
        <v>3.05</v>
      </c>
      <c r="BL104" s="72" t="s">
        <v>414</v>
      </c>
      <c r="BM104" s="72" t="s">
        <v>414</v>
      </c>
      <c r="BN104" s="72">
        <v>156.26</v>
      </c>
      <c r="BO104" s="72">
        <v>28.94</v>
      </c>
      <c r="BP104" s="72">
        <v>22.19</v>
      </c>
      <c r="BQ104" s="72">
        <v>67.28</v>
      </c>
      <c r="BR104" s="72">
        <v>9.7799999999999994</v>
      </c>
      <c r="BS104" s="72">
        <v>144.86000000000001</v>
      </c>
      <c r="BT104" s="72">
        <v>0.35</v>
      </c>
      <c r="BU104" s="72">
        <v>34.21</v>
      </c>
      <c r="BV104" s="72">
        <v>0</v>
      </c>
      <c r="BW104" s="72">
        <v>3.59</v>
      </c>
      <c r="BX104" s="72">
        <v>11.44</v>
      </c>
      <c r="BY104" s="72">
        <v>10.07</v>
      </c>
      <c r="BZ104" s="72">
        <v>4.25</v>
      </c>
      <c r="CA104" s="72">
        <v>3.05</v>
      </c>
      <c r="CB104" s="72">
        <v>0.04</v>
      </c>
      <c r="CC104" s="72">
        <v>3.03</v>
      </c>
      <c r="CD104" s="72">
        <v>2.61</v>
      </c>
      <c r="CE104" s="72">
        <v>1.6</v>
      </c>
      <c r="CF104" s="72">
        <v>12.29</v>
      </c>
      <c r="CG104" s="72">
        <v>6.8</v>
      </c>
      <c r="CH104" s="72">
        <v>2.56</v>
      </c>
      <c r="CI104" s="72">
        <v>16000</v>
      </c>
      <c r="CJ104" s="72">
        <v>12278</v>
      </c>
      <c r="CK104" s="72" t="s">
        <v>956</v>
      </c>
      <c r="CL104" s="72">
        <v>70.52</v>
      </c>
      <c r="CM104" s="72">
        <v>19.3</v>
      </c>
      <c r="CN104" s="72">
        <v>1.66</v>
      </c>
      <c r="CO104" s="72">
        <v>7.07</v>
      </c>
      <c r="CP104" s="72">
        <v>4.7699999999999996</v>
      </c>
      <c r="CQ104" s="72">
        <v>2.12</v>
      </c>
      <c r="CR104" s="72" t="s">
        <v>957</v>
      </c>
      <c r="CS104" s="72">
        <v>9.4700000000000006</v>
      </c>
      <c r="CT104" s="72">
        <v>0</v>
      </c>
      <c r="CU104" s="72">
        <v>3.75</v>
      </c>
      <c r="CV104" s="72">
        <v>4.0199999999999996</v>
      </c>
      <c r="CW104" s="72">
        <v>18.52</v>
      </c>
      <c r="CX104" s="72" t="s">
        <v>958</v>
      </c>
      <c r="CY104" s="72">
        <v>57.76</v>
      </c>
      <c r="CZ104" s="72">
        <v>30.26</v>
      </c>
      <c r="DA104" s="72">
        <v>15.89</v>
      </c>
      <c r="DB104" s="72">
        <v>2039</v>
      </c>
    </row>
    <row r="105" spans="7:106" x14ac:dyDescent="0.25">
      <c r="G105" s="72">
        <v>2080</v>
      </c>
      <c r="H105" s="72" t="s">
        <v>959</v>
      </c>
      <c r="I105" s="72">
        <v>-0.51</v>
      </c>
      <c r="J105" s="72">
        <v>2.1</v>
      </c>
      <c r="K105" s="72">
        <v>21.56</v>
      </c>
      <c r="L105" s="72">
        <v>-0.11</v>
      </c>
      <c r="M105" s="72">
        <v>21.55</v>
      </c>
      <c r="N105" s="72">
        <v>21.56</v>
      </c>
      <c r="O105" s="72">
        <v>162128</v>
      </c>
      <c r="P105" s="72">
        <v>25</v>
      </c>
      <c r="Q105" s="72">
        <v>0.14000000000000001</v>
      </c>
      <c r="R105" s="72">
        <v>0.97</v>
      </c>
      <c r="S105" s="72">
        <v>21.95</v>
      </c>
      <c r="T105" s="72">
        <v>22.38</v>
      </c>
      <c r="U105" s="72">
        <v>21.5</v>
      </c>
      <c r="V105" s="72">
        <v>21.67</v>
      </c>
      <c r="W105" s="72">
        <v>19.600000000000001</v>
      </c>
      <c r="X105" s="114">
        <v>354000000</v>
      </c>
      <c r="Y105" s="72" t="s">
        <v>405</v>
      </c>
      <c r="Z105" s="72" t="s">
        <v>368</v>
      </c>
      <c r="AA105" s="72">
        <v>4.0599999999999996</v>
      </c>
      <c r="AB105" s="72">
        <v>21.84</v>
      </c>
      <c r="AC105" s="72">
        <v>87362</v>
      </c>
      <c r="AD105" s="72">
        <v>74766</v>
      </c>
      <c r="AE105" s="72">
        <v>1.17</v>
      </c>
      <c r="AF105" s="72">
        <v>14</v>
      </c>
      <c r="AG105" s="72">
        <v>42</v>
      </c>
      <c r="AH105" s="72" t="s">
        <v>414</v>
      </c>
      <c r="AI105" s="72">
        <v>7171100</v>
      </c>
      <c r="AJ105" s="72">
        <v>0.05</v>
      </c>
      <c r="AK105" s="72" t="s">
        <v>414</v>
      </c>
      <c r="AL105" s="72" t="s">
        <v>414</v>
      </c>
      <c r="AM105" s="72">
        <v>16.78</v>
      </c>
      <c r="AN105" s="72" t="s">
        <v>960</v>
      </c>
      <c r="AO105" s="72" t="s">
        <v>960</v>
      </c>
      <c r="AP105" s="72">
        <v>-2.69</v>
      </c>
      <c r="AQ105" s="72">
        <v>1832</v>
      </c>
      <c r="AR105" s="72">
        <v>88</v>
      </c>
      <c r="AS105" s="72">
        <v>5.0000000000000001E-4</v>
      </c>
      <c r="AT105" s="72">
        <v>-1</v>
      </c>
      <c r="AU105" s="72">
        <v>8.07</v>
      </c>
      <c r="AV105" s="72">
        <v>2.4300000000000002</v>
      </c>
      <c r="AW105" s="72" t="s">
        <v>961</v>
      </c>
      <c r="AX105" s="72">
        <v>1.04</v>
      </c>
      <c r="AY105" s="72">
        <v>22.07</v>
      </c>
      <c r="AZ105" s="72">
        <v>26.35</v>
      </c>
      <c r="BA105" s="72">
        <v>1.29</v>
      </c>
      <c r="BB105" s="72">
        <v>3.28</v>
      </c>
      <c r="BC105" s="72">
        <v>-0.78</v>
      </c>
      <c r="BD105" s="72">
        <v>0.77</v>
      </c>
      <c r="BE105" s="72">
        <v>-1.78</v>
      </c>
      <c r="BF105" s="72">
        <v>-3.66</v>
      </c>
      <c r="BG105" s="72">
        <v>0.28000000000000003</v>
      </c>
      <c r="BH105" s="72">
        <v>-1.28</v>
      </c>
      <c r="BI105" s="72">
        <v>20200820</v>
      </c>
      <c r="BJ105" s="72">
        <v>20061120</v>
      </c>
      <c r="BK105" s="72">
        <v>16.78</v>
      </c>
      <c r="BL105" s="72" t="s">
        <v>414</v>
      </c>
      <c r="BM105" s="72" t="s">
        <v>414</v>
      </c>
      <c r="BN105" s="72">
        <v>315.7</v>
      </c>
      <c r="BO105" s="72">
        <v>120.58</v>
      </c>
      <c r="BP105" s="72">
        <v>9.8800000000000008</v>
      </c>
      <c r="BQ105" s="72">
        <v>58.68</v>
      </c>
      <c r="BR105" s="72">
        <v>117.45</v>
      </c>
      <c r="BS105" s="72">
        <v>136.07</v>
      </c>
      <c r="BT105" s="72">
        <v>13.52</v>
      </c>
      <c r="BU105" s="72">
        <v>121.35</v>
      </c>
      <c r="BV105" s="72">
        <v>22.94</v>
      </c>
      <c r="BW105" s="72">
        <v>38.64</v>
      </c>
      <c r="BX105" s="72">
        <v>48.29</v>
      </c>
      <c r="BY105" s="72">
        <v>75.87</v>
      </c>
      <c r="BZ105" s="72">
        <v>54.55</v>
      </c>
      <c r="CA105" s="72">
        <v>10.95</v>
      </c>
      <c r="CB105" s="72">
        <v>0.02</v>
      </c>
      <c r="CC105" s="72">
        <v>11.23</v>
      </c>
      <c r="CD105" s="72">
        <v>9.33</v>
      </c>
      <c r="CE105" s="72">
        <v>9.23</v>
      </c>
      <c r="CF105" s="72">
        <v>41.6</v>
      </c>
      <c r="CG105" s="72">
        <v>5.71</v>
      </c>
      <c r="CH105" s="72">
        <v>-2.2999999999999998</v>
      </c>
      <c r="CI105" s="72">
        <v>26189</v>
      </c>
      <c r="CJ105" s="72">
        <v>25478</v>
      </c>
      <c r="CK105" s="72" t="s">
        <v>962</v>
      </c>
      <c r="CL105" s="72">
        <v>40.869999999999997</v>
      </c>
      <c r="CM105" s="72">
        <v>25.07</v>
      </c>
      <c r="CN105" s="72">
        <v>3.3</v>
      </c>
      <c r="CO105" s="72">
        <v>63.36</v>
      </c>
      <c r="CP105" s="72">
        <v>4.7699999999999996</v>
      </c>
      <c r="CQ105" s="72">
        <v>1.2</v>
      </c>
      <c r="CR105" s="72" t="s">
        <v>963</v>
      </c>
      <c r="CS105" s="72">
        <v>6.53</v>
      </c>
      <c r="CT105" s="72">
        <v>6.53</v>
      </c>
      <c r="CU105" s="72">
        <v>2.88</v>
      </c>
      <c r="CV105" s="72">
        <v>2.48</v>
      </c>
      <c r="CW105" s="72">
        <v>38.19</v>
      </c>
      <c r="CX105" s="72" t="s">
        <v>964</v>
      </c>
      <c r="CY105" s="72">
        <v>28.1</v>
      </c>
      <c r="CZ105" s="72">
        <v>14.43</v>
      </c>
      <c r="DA105" s="72">
        <v>12.17</v>
      </c>
      <c r="DB105" s="72">
        <v>2080</v>
      </c>
    </row>
    <row r="106" spans="7:106" x14ac:dyDescent="0.25">
      <c r="G106" s="72">
        <v>2097</v>
      </c>
      <c r="H106" s="72" t="s">
        <v>965</v>
      </c>
      <c r="I106" s="72">
        <v>1.1299999999999999</v>
      </c>
      <c r="J106" s="72">
        <v>1.95</v>
      </c>
      <c r="K106" s="72">
        <v>8.93</v>
      </c>
      <c r="L106" s="72">
        <v>0.1</v>
      </c>
      <c r="M106" s="72">
        <v>8.91</v>
      </c>
      <c r="N106" s="72">
        <v>8.93</v>
      </c>
      <c r="O106" s="72">
        <v>178635</v>
      </c>
      <c r="P106" s="72">
        <v>19</v>
      </c>
      <c r="Q106" s="72">
        <v>0.45</v>
      </c>
      <c r="R106" s="72">
        <v>1.94</v>
      </c>
      <c r="S106" s="72">
        <v>8.85</v>
      </c>
      <c r="T106" s="72">
        <v>8.9499999999999993</v>
      </c>
      <c r="U106" s="72">
        <v>8.7200000000000006</v>
      </c>
      <c r="V106" s="72">
        <v>8.83</v>
      </c>
      <c r="W106" s="72">
        <v>12.18</v>
      </c>
      <c r="X106" s="114">
        <v>158000000</v>
      </c>
      <c r="Y106" s="72" t="s">
        <v>383</v>
      </c>
      <c r="Z106" s="72" t="s">
        <v>384</v>
      </c>
      <c r="AA106" s="72">
        <v>2.6</v>
      </c>
      <c r="AB106" s="72">
        <v>8.82</v>
      </c>
      <c r="AC106" s="72">
        <v>88458</v>
      </c>
      <c r="AD106" s="72">
        <v>90177</v>
      </c>
      <c r="AE106" s="72">
        <v>0.98</v>
      </c>
      <c r="AF106" s="72">
        <v>132</v>
      </c>
      <c r="AG106" s="72">
        <v>273</v>
      </c>
      <c r="AH106" s="72" t="s">
        <v>414</v>
      </c>
      <c r="AI106" s="72">
        <v>1298300</v>
      </c>
      <c r="AJ106" s="72">
        <v>0.02</v>
      </c>
      <c r="AK106" s="72" t="s">
        <v>414</v>
      </c>
      <c r="AL106" s="72" t="s">
        <v>414</v>
      </c>
      <c r="AM106" s="72">
        <v>9.23</v>
      </c>
      <c r="AN106" s="72" t="s">
        <v>966</v>
      </c>
      <c r="AO106" s="72" t="s">
        <v>967</v>
      </c>
      <c r="AP106" s="72">
        <v>-1.04</v>
      </c>
      <c r="AQ106" s="72">
        <v>1569</v>
      </c>
      <c r="AR106" s="72">
        <v>114</v>
      </c>
      <c r="AS106" s="72">
        <v>1.1999999999999999E-3</v>
      </c>
      <c r="AT106" s="72">
        <v>4</v>
      </c>
      <c r="AU106" s="72">
        <v>5.18</v>
      </c>
      <c r="AV106" s="72">
        <v>2.71</v>
      </c>
      <c r="AW106" s="72" t="s">
        <v>968</v>
      </c>
      <c r="AX106" s="72">
        <v>0.77</v>
      </c>
      <c r="AY106" s="72">
        <v>16.41</v>
      </c>
      <c r="AZ106" s="72">
        <v>19.100000000000001</v>
      </c>
      <c r="BA106" s="72">
        <v>0.23</v>
      </c>
      <c r="BB106" s="72">
        <v>1.36</v>
      </c>
      <c r="BC106" s="72">
        <v>-1.25</v>
      </c>
      <c r="BD106" s="72">
        <v>-0.11</v>
      </c>
      <c r="BE106" s="72">
        <v>0.9</v>
      </c>
      <c r="BF106" s="72">
        <v>-0.22</v>
      </c>
      <c r="BG106" s="72">
        <v>2.41</v>
      </c>
      <c r="BH106" s="72">
        <v>1.25</v>
      </c>
      <c r="BI106" s="72">
        <v>20200930</v>
      </c>
      <c r="BJ106" s="72">
        <v>20061222</v>
      </c>
      <c r="BK106" s="72">
        <v>10.87</v>
      </c>
      <c r="BL106" s="72" t="s">
        <v>414</v>
      </c>
      <c r="BM106" s="72" t="s">
        <v>414</v>
      </c>
      <c r="BN106" s="72">
        <v>174.42</v>
      </c>
      <c r="BO106" s="72">
        <v>53.55</v>
      </c>
      <c r="BP106" s="72">
        <v>0.86</v>
      </c>
      <c r="BQ106" s="72">
        <v>68.81</v>
      </c>
      <c r="BR106" s="72">
        <v>113.87</v>
      </c>
      <c r="BS106" s="72">
        <v>43.84</v>
      </c>
      <c r="BT106" s="72">
        <v>4.8899999999999997</v>
      </c>
      <c r="BU106" s="72">
        <v>90.25</v>
      </c>
      <c r="BV106" s="72">
        <v>26.36</v>
      </c>
      <c r="BW106" s="72">
        <v>44.09</v>
      </c>
      <c r="BX106" s="72">
        <v>23.48</v>
      </c>
      <c r="BY106" s="72">
        <v>43.8</v>
      </c>
      <c r="BZ106" s="72">
        <v>31.29</v>
      </c>
      <c r="CA106" s="72">
        <v>4.74</v>
      </c>
      <c r="CB106" s="72">
        <v>-0.02</v>
      </c>
      <c r="CC106" s="72">
        <v>4.7699999999999996</v>
      </c>
      <c r="CD106" s="72">
        <v>4.0199999999999996</v>
      </c>
      <c r="CE106" s="72">
        <v>3.99</v>
      </c>
      <c r="CF106" s="72">
        <v>16.59</v>
      </c>
      <c r="CG106" s="72">
        <v>2.69</v>
      </c>
      <c r="CH106" s="72">
        <v>10.18</v>
      </c>
      <c r="CI106" s="72">
        <v>82111</v>
      </c>
      <c r="CJ106" s="72">
        <v>8014</v>
      </c>
      <c r="CK106" s="72" t="s">
        <v>969</v>
      </c>
      <c r="CL106" s="72">
        <v>26.07</v>
      </c>
      <c r="CM106" s="72">
        <v>20.68</v>
      </c>
      <c r="CN106" s="72">
        <v>1.81</v>
      </c>
      <c r="CO106" s="72">
        <v>36.07</v>
      </c>
      <c r="CP106" s="72">
        <v>2.2200000000000002</v>
      </c>
      <c r="CQ106" s="72">
        <v>1.1299999999999999</v>
      </c>
      <c r="CR106" s="72" t="s">
        <v>970</v>
      </c>
      <c r="CS106" s="72">
        <v>4.92</v>
      </c>
      <c r="CT106" s="72">
        <v>0</v>
      </c>
      <c r="CU106" s="72">
        <v>2.16</v>
      </c>
      <c r="CV106" s="72">
        <v>1.53</v>
      </c>
      <c r="CW106" s="72">
        <v>30.7</v>
      </c>
      <c r="CX106" s="72" t="s">
        <v>971</v>
      </c>
      <c r="CY106" s="72">
        <v>28.56</v>
      </c>
      <c r="CZ106" s="72">
        <v>10.82</v>
      </c>
      <c r="DA106" s="72">
        <v>9.1</v>
      </c>
      <c r="DB106" s="72">
        <v>2097</v>
      </c>
    </row>
    <row r="107" spans="7:106" x14ac:dyDescent="0.25">
      <c r="G107" s="72">
        <v>2100</v>
      </c>
      <c r="H107" s="72" t="s">
        <v>972</v>
      </c>
      <c r="I107" s="72">
        <v>1.5</v>
      </c>
      <c r="J107" s="72">
        <v>2.11</v>
      </c>
      <c r="K107" s="72">
        <v>14.92</v>
      </c>
      <c r="L107" s="72">
        <v>0.22</v>
      </c>
      <c r="M107" s="72">
        <v>14.92</v>
      </c>
      <c r="N107" s="72">
        <v>14.93</v>
      </c>
      <c r="O107" s="72">
        <v>106297</v>
      </c>
      <c r="P107" s="72">
        <v>41</v>
      </c>
      <c r="Q107" s="72">
        <v>-0.06</v>
      </c>
      <c r="R107" s="72">
        <v>0.99</v>
      </c>
      <c r="S107" s="72">
        <v>14.7</v>
      </c>
      <c r="T107" s="72">
        <v>14.95</v>
      </c>
      <c r="U107" s="72">
        <v>14.55</v>
      </c>
      <c r="V107" s="72">
        <v>14.7</v>
      </c>
      <c r="W107" s="72">
        <v>9.6199999999999992</v>
      </c>
      <c r="X107" s="114">
        <v>157000000</v>
      </c>
      <c r="Y107" s="72" t="s">
        <v>504</v>
      </c>
      <c r="Z107" s="72" t="s">
        <v>380</v>
      </c>
      <c r="AA107" s="72">
        <v>2.72</v>
      </c>
      <c r="AB107" s="72">
        <v>14.77</v>
      </c>
      <c r="AC107" s="72">
        <v>48323</v>
      </c>
      <c r="AD107" s="72">
        <v>57974</v>
      </c>
      <c r="AE107" s="72">
        <v>0.83</v>
      </c>
      <c r="AF107" s="72">
        <v>1073</v>
      </c>
      <c r="AG107" s="72">
        <v>106</v>
      </c>
      <c r="AH107" s="72" t="s">
        <v>414</v>
      </c>
      <c r="AI107" s="72">
        <v>1346500</v>
      </c>
      <c r="AJ107" s="72">
        <v>0.01</v>
      </c>
      <c r="AK107" s="72" t="s">
        <v>414</v>
      </c>
      <c r="AL107" s="72" t="s">
        <v>414</v>
      </c>
      <c r="AM107" s="72">
        <v>10.75</v>
      </c>
      <c r="AN107" s="72" t="s">
        <v>973</v>
      </c>
      <c r="AO107" s="72" t="s">
        <v>973</v>
      </c>
      <c r="AP107" s="72">
        <v>-0.68</v>
      </c>
      <c r="AQ107" s="72">
        <v>1556</v>
      </c>
      <c r="AR107" s="72">
        <v>68</v>
      </c>
      <c r="AS107" s="72">
        <v>5.9999999999999995E-4</v>
      </c>
      <c r="AT107" s="72">
        <v>2</v>
      </c>
      <c r="AU107" s="72">
        <v>2.89</v>
      </c>
      <c r="AV107" s="72">
        <v>1.61</v>
      </c>
      <c r="AW107" s="72" t="s">
        <v>974</v>
      </c>
      <c r="AX107" s="72">
        <v>1.0900000000000001</v>
      </c>
      <c r="AY107" s="72">
        <v>11.29</v>
      </c>
      <c r="AZ107" s="72">
        <v>24.49</v>
      </c>
      <c r="BA107" s="72">
        <v>0</v>
      </c>
      <c r="BB107" s="72">
        <v>1.7</v>
      </c>
      <c r="BC107" s="72">
        <v>-1.02</v>
      </c>
      <c r="BD107" s="72">
        <v>0.47</v>
      </c>
      <c r="BE107" s="72">
        <v>1.5</v>
      </c>
      <c r="BF107" s="72">
        <v>-0.2</v>
      </c>
      <c r="BG107" s="72">
        <v>2.54</v>
      </c>
      <c r="BH107" s="72">
        <v>1.03</v>
      </c>
      <c r="BI107" s="72">
        <v>20201010</v>
      </c>
      <c r="BJ107" s="72">
        <v>20061226</v>
      </c>
      <c r="BK107" s="72">
        <v>10.75</v>
      </c>
      <c r="BL107" s="72" t="s">
        <v>414</v>
      </c>
      <c r="BM107" s="72" t="s">
        <v>414</v>
      </c>
      <c r="BN107" s="72">
        <v>111.06</v>
      </c>
      <c r="BO107" s="72">
        <v>52.9</v>
      </c>
      <c r="BP107" s="72">
        <v>5.55</v>
      </c>
      <c r="BQ107" s="72">
        <v>47.37</v>
      </c>
      <c r="BR107" s="72">
        <v>65.09</v>
      </c>
      <c r="BS107" s="72">
        <v>33.82</v>
      </c>
      <c r="BT107" s="72">
        <v>2.33</v>
      </c>
      <c r="BU107" s="72">
        <v>40.26</v>
      </c>
      <c r="BV107" s="72">
        <v>30.61</v>
      </c>
      <c r="BW107" s="72">
        <v>4.9800000000000004</v>
      </c>
      <c r="BX107" s="72">
        <v>14.47</v>
      </c>
      <c r="BY107" s="72">
        <v>47.03</v>
      </c>
      <c r="BZ107" s="72">
        <v>31.94</v>
      </c>
      <c r="CA107" s="72">
        <v>8.2899999999999991</v>
      </c>
      <c r="CB107" s="72">
        <v>-0.01</v>
      </c>
      <c r="CC107" s="72">
        <v>8.2799999999999994</v>
      </c>
      <c r="CD107" s="72">
        <v>8.17</v>
      </c>
      <c r="CE107" s="72">
        <v>8.34</v>
      </c>
      <c r="CF107" s="72">
        <v>25.79</v>
      </c>
      <c r="CG107" s="72">
        <v>12.23</v>
      </c>
      <c r="CH107" s="72">
        <v>-0.18</v>
      </c>
      <c r="CI107" s="72">
        <v>76366</v>
      </c>
      <c r="CJ107" s="72">
        <v>8641</v>
      </c>
      <c r="CK107" s="72" t="s">
        <v>975</v>
      </c>
      <c r="CL107" s="72">
        <v>942.09</v>
      </c>
      <c r="CM107" s="72">
        <v>73.290000000000006</v>
      </c>
      <c r="CN107" s="72">
        <v>3.03</v>
      </c>
      <c r="CO107" s="72">
        <v>13.11</v>
      </c>
      <c r="CP107" s="72">
        <v>3.41</v>
      </c>
      <c r="CQ107" s="72">
        <v>1.35</v>
      </c>
      <c r="CR107" s="72" t="s">
        <v>976</v>
      </c>
      <c r="CS107" s="72">
        <v>4.92</v>
      </c>
      <c r="CT107" s="72">
        <v>4.92</v>
      </c>
      <c r="CU107" s="72">
        <v>1.35</v>
      </c>
      <c r="CV107" s="72">
        <v>2.4</v>
      </c>
      <c r="CW107" s="72">
        <v>47.63</v>
      </c>
      <c r="CX107" s="72" t="s">
        <v>977</v>
      </c>
      <c r="CY107" s="72">
        <v>32.08</v>
      </c>
      <c r="CZ107" s="72">
        <v>17.63</v>
      </c>
      <c r="DA107" s="72">
        <v>17.73</v>
      </c>
      <c r="DB107" s="72">
        <v>2100</v>
      </c>
    </row>
    <row r="108" spans="7:106" x14ac:dyDescent="0.25">
      <c r="G108" s="72">
        <v>2139</v>
      </c>
      <c r="H108" s="72" t="s">
        <v>978</v>
      </c>
      <c r="I108" s="72">
        <v>2.0699999999999998</v>
      </c>
      <c r="J108" s="72">
        <v>2.5499999999999998</v>
      </c>
      <c r="K108" s="72">
        <v>6.91</v>
      </c>
      <c r="L108" s="72">
        <v>0.14000000000000001</v>
      </c>
      <c r="M108" s="72">
        <v>6.9</v>
      </c>
      <c r="N108" s="72">
        <v>6.91</v>
      </c>
      <c r="O108" s="72">
        <v>137971</v>
      </c>
      <c r="P108" s="72">
        <v>1</v>
      </c>
      <c r="Q108" s="72">
        <v>0.14000000000000001</v>
      </c>
      <c r="R108" s="72">
        <v>1.66</v>
      </c>
      <c r="S108" s="72">
        <v>6.82</v>
      </c>
      <c r="T108" s="72">
        <v>6.93</v>
      </c>
      <c r="U108" s="72">
        <v>6.82</v>
      </c>
      <c r="V108" s="72">
        <v>6.77</v>
      </c>
      <c r="W108" s="72">
        <v>17.05</v>
      </c>
      <c r="X108" s="72">
        <v>94818432</v>
      </c>
      <c r="Y108" s="72" t="s">
        <v>979</v>
      </c>
      <c r="Z108" s="72" t="s">
        <v>385</v>
      </c>
      <c r="AA108" s="72">
        <v>1.62</v>
      </c>
      <c r="AB108" s="72">
        <v>6.87</v>
      </c>
      <c r="AC108" s="72">
        <v>55638</v>
      </c>
      <c r="AD108" s="72">
        <v>82333</v>
      </c>
      <c r="AE108" s="72">
        <v>0.68</v>
      </c>
      <c r="AF108" s="72">
        <v>1588</v>
      </c>
      <c r="AG108" s="72">
        <v>1169</v>
      </c>
      <c r="AH108" s="72" t="s">
        <v>414</v>
      </c>
      <c r="AI108" s="72">
        <v>607700</v>
      </c>
      <c r="AJ108" s="72">
        <v>0.01</v>
      </c>
      <c r="AK108" s="72" t="s">
        <v>414</v>
      </c>
      <c r="AL108" s="72" t="s">
        <v>414</v>
      </c>
      <c r="AM108" s="72">
        <v>8.33</v>
      </c>
      <c r="AN108" s="72" t="s">
        <v>980</v>
      </c>
      <c r="AO108" s="72" t="s">
        <v>981</v>
      </c>
      <c r="AP108" s="72">
        <v>-0.11</v>
      </c>
      <c r="AQ108" s="72">
        <v>1438</v>
      </c>
      <c r="AR108" s="72">
        <v>96</v>
      </c>
      <c r="AS108" s="72">
        <v>1.1999999999999999E-3</v>
      </c>
      <c r="AT108" s="72">
        <v>4</v>
      </c>
      <c r="AU108" s="72">
        <v>5.18</v>
      </c>
      <c r="AV108" s="72">
        <v>1.77</v>
      </c>
      <c r="AW108" s="72" t="s">
        <v>982</v>
      </c>
      <c r="AX108" s="72">
        <v>0.98</v>
      </c>
      <c r="AY108" s="72">
        <v>19.57</v>
      </c>
      <c r="AZ108" s="72">
        <v>21.09</v>
      </c>
      <c r="BA108" s="72">
        <v>0.74</v>
      </c>
      <c r="BB108" s="72">
        <v>2.36</v>
      </c>
      <c r="BC108" s="72">
        <v>0.74</v>
      </c>
      <c r="BD108" s="72">
        <v>1.51</v>
      </c>
      <c r="BE108" s="72">
        <v>1.32</v>
      </c>
      <c r="BF108" s="72">
        <v>-0.28999999999999998</v>
      </c>
      <c r="BG108" s="72">
        <v>1.32</v>
      </c>
      <c r="BH108" s="72">
        <v>0.56000000000000005</v>
      </c>
      <c r="BI108" s="72">
        <v>20201010</v>
      </c>
      <c r="BJ108" s="72">
        <v>20070629</v>
      </c>
      <c r="BK108" s="72">
        <v>10.31</v>
      </c>
      <c r="BL108" s="72" t="s">
        <v>414</v>
      </c>
      <c r="BM108" s="72" t="s">
        <v>414</v>
      </c>
      <c r="BN108" s="72">
        <v>55.69</v>
      </c>
      <c r="BO108" s="72">
        <v>26.93</v>
      </c>
      <c r="BP108" s="72">
        <v>1.33</v>
      </c>
      <c r="BQ108" s="72">
        <v>49.26</v>
      </c>
      <c r="BR108" s="72">
        <v>36.299999999999997</v>
      </c>
      <c r="BS108" s="72">
        <v>9.36</v>
      </c>
      <c r="BT108" s="72">
        <v>3.18</v>
      </c>
      <c r="BU108" s="72">
        <v>20.13</v>
      </c>
      <c r="BV108" s="72">
        <v>7.88</v>
      </c>
      <c r="BW108" s="72">
        <v>13.23</v>
      </c>
      <c r="BX108" s="72">
        <v>4.9400000000000004</v>
      </c>
      <c r="BY108" s="72">
        <v>19.97</v>
      </c>
      <c r="BZ108" s="72">
        <v>15.26</v>
      </c>
      <c r="CA108" s="72">
        <v>2.5099999999999998</v>
      </c>
      <c r="CB108" s="72">
        <v>0.77</v>
      </c>
      <c r="CC108" s="72">
        <v>2.4900000000000002</v>
      </c>
      <c r="CD108" s="72">
        <v>2.21</v>
      </c>
      <c r="CE108" s="72">
        <v>2.09</v>
      </c>
      <c r="CF108" s="72">
        <v>10.24</v>
      </c>
      <c r="CG108" s="72">
        <v>1.19</v>
      </c>
      <c r="CH108" s="72">
        <v>0.86</v>
      </c>
      <c r="CI108" s="72">
        <v>54840</v>
      </c>
      <c r="CJ108" s="72">
        <v>14222</v>
      </c>
      <c r="CK108" s="72" t="s">
        <v>983</v>
      </c>
      <c r="CL108" s="72">
        <v>14.05</v>
      </c>
      <c r="CM108" s="72">
        <v>13.82</v>
      </c>
      <c r="CN108" s="72">
        <v>2.75</v>
      </c>
      <c r="CO108" s="72">
        <v>59.81</v>
      </c>
      <c r="CP108" s="72">
        <v>3.57</v>
      </c>
      <c r="CQ108" s="72">
        <v>0.73</v>
      </c>
      <c r="CR108" s="72" t="s">
        <v>570</v>
      </c>
      <c r="CS108" s="72">
        <v>2.5099999999999998</v>
      </c>
      <c r="CT108" s="72">
        <v>2.5099999999999998</v>
      </c>
      <c r="CU108" s="72">
        <v>0.48</v>
      </c>
      <c r="CV108" s="72">
        <v>0.99</v>
      </c>
      <c r="CW108" s="72">
        <v>48.36</v>
      </c>
      <c r="CX108" s="72" t="s">
        <v>984</v>
      </c>
      <c r="CY108" s="72">
        <v>23.6</v>
      </c>
      <c r="CZ108" s="72">
        <v>12.55</v>
      </c>
      <c r="DA108" s="72">
        <v>10.46</v>
      </c>
      <c r="DB108" s="72">
        <v>2139</v>
      </c>
    </row>
    <row r="109" spans="7:106" x14ac:dyDescent="0.25">
      <c r="G109" s="72">
        <v>2142</v>
      </c>
      <c r="H109" s="72" t="s">
        <v>377</v>
      </c>
      <c r="I109" s="72">
        <v>4.83</v>
      </c>
      <c r="J109" s="72">
        <v>2.31</v>
      </c>
      <c r="K109" s="72">
        <v>33</v>
      </c>
      <c r="L109" s="72">
        <v>1.52</v>
      </c>
      <c r="M109" s="72">
        <v>32.979999999999997</v>
      </c>
      <c r="N109" s="72">
        <v>33</v>
      </c>
      <c r="O109" s="72">
        <v>276429</v>
      </c>
      <c r="P109" s="72">
        <v>13</v>
      </c>
      <c r="Q109" s="72">
        <v>0.18</v>
      </c>
      <c r="R109" s="72">
        <v>0.49</v>
      </c>
      <c r="S109" s="72">
        <v>31.5</v>
      </c>
      <c r="T109" s="72">
        <v>33</v>
      </c>
      <c r="U109" s="72">
        <v>31.39</v>
      </c>
      <c r="V109" s="72">
        <v>31.48</v>
      </c>
      <c r="W109" s="72">
        <v>12.64</v>
      </c>
      <c r="X109" s="114">
        <v>892000000</v>
      </c>
      <c r="Y109" s="72" t="s">
        <v>373</v>
      </c>
      <c r="Z109" s="72" t="s">
        <v>358</v>
      </c>
      <c r="AA109" s="72">
        <v>5.1100000000000003</v>
      </c>
      <c r="AB109" s="72">
        <v>32.270000000000003</v>
      </c>
      <c r="AC109" s="72">
        <v>108723</v>
      </c>
      <c r="AD109" s="72">
        <v>167706</v>
      </c>
      <c r="AE109" s="72">
        <v>0.65</v>
      </c>
      <c r="AF109" s="72">
        <v>20</v>
      </c>
      <c r="AG109" s="72">
        <v>2277</v>
      </c>
      <c r="AH109" s="72" t="s">
        <v>414</v>
      </c>
      <c r="AI109" s="72">
        <v>4766400</v>
      </c>
      <c r="AJ109" s="72">
        <v>0.01</v>
      </c>
      <c r="AK109" s="72" t="s">
        <v>414</v>
      </c>
      <c r="AL109" s="72" t="s">
        <v>414</v>
      </c>
      <c r="AM109" s="72">
        <v>56.21</v>
      </c>
      <c r="AN109" s="72" t="s">
        <v>985</v>
      </c>
      <c r="AO109" s="72" t="s">
        <v>986</v>
      </c>
      <c r="AP109" s="72">
        <v>2.65</v>
      </c>
      <c r="AQ109" s="72">
        <v>1867</v>
      </c>
      <c r="AR109" s="72">
        <v>148</v>
      </c>
      <c r="AS109" s="72">
        <v>2.9999999999999997E-4</v>
      </c>
      <c r="AT109" s="72">
        <v>1</v>
      </c>
      <c r="AU109" s="72">
        <v>1.82</v>
      </c>
      <c r="AV109" s="72">
        <v>1.1100000000000001</v>
      </c>
      <c r="AW109" s="72" t="s">
        <v>987</v>
      </c>
      <c r="AX109" s="72">
        <v>0.43</v>
      </c>
      <c r="AY109" s="72">
        <v>12.85</v>
      </c>
      <c r="AZ109" s="72">
        <v>13.79</v>
      </c>
      <c r="BA109" s="72">
        <v>0.06</v>
      </c>
      <c r="BB109" s="72">
        <v>4.83</v>
      </c>
      <c r="BC109" s="72">
        <v>-0.28999999999999998</v>
      </c>
      <c r="BD109" s="72">
        <v>2.5</v>
      </c>
      <c r="BE109" s="72">
        <v>4.76</v>
      </c>
      <c r="BF109" s="72">
        <v>0</v>
      </c>
      <c r="BG109" s="72">
        <v>5.13</v>
      </c>
      <c r="BH109" s="72">
        <v>2.3199999999999998</v>
      </c>
      <c r="BI109" s="72">
        <v>20200829</v>
      </c>
      <c r="BJ109" s="72">
        <v>20070719</v>
      </c>
      <c r="BK109" s="72">
        <v>60.08</v>
      </c>
      <c r="BL109" s="72" t="s">
        <v>414</v>
      </c>
      <c r="BM109" s="72" t="s">
        <v>414</v>
      </c>
      <c r="BN109" s="72">
        <v>15104.7</v>
      </c>
      <c r="BO109" s="72">
        <v>1168.98</v>
      </c>
      <c r="BP109" s="72">
        <v>4.78</v>
      </c>
      <c r="BQ109" s="72">
        <v>92.23</v>
      </c>
      <c r="BR109" s="72">
        <v>0</v>
      </c>
      <c r="BS109" s="72">
        <v>71.13</v>
      </c>
      <c r="BT109" s="72">
        <v>4.8</v>
      </c>
      <c r="BU109" s="72">
        <v>0</v>
      </c>
      <c r="BV109" s="72">
        <v>0</v>
      </c>
      <c r="BW109" s="72">
        <v>0</v>
      </c>
      <c r="BX109" s="72">
        <v>264.02999999999997</v>
      </c>
      <c r="BY109" s="72">
        <v>199.81</v>
      </c>
      <c r="BZ109" s="72">
        <v>0</v>
      </c>
      <c r="CA109" s="72">
        <v>83.86</v>
      </c>
      <c r="CB109" s="72">
        <v>35.57</v>
      </c>
      <c r="CC109" s="72">
        <v>83.71</v>
      </c>
      <c r="CD109" s="72">
        <v>78.94</v>
      </c>
      <c r="CE109" s="72">
        <v>78.430000000000007</v>
      </c>
      <c r="CF109" s="72">
        <v>459.22</v>
      </c>
      <c r="CG109" s="72">
        <v>988.78</v>
      </c>
      <c r="CH109" s="72">
        <v>-60.13</v>
      </c>
      <c r="CI109" s="72">
        <v>94005</v>
      </c>
      <c r="CJ109" s="72">
        <v>26552</v>
      </c>
      <c r="CK109" s="72" t="s">
        <v>988</v>
      </c>
      <c r="CL109" s="72">
        <v>14.6</v>
      </c>
      <c r="CM109" s="72">
        <v>23.4</v>
      </c>
      <c r="CN109" s="72">
        <v>1.94</v>
      </c>
      <c r="CO109" s="72">
        <v>2.0099999999999998</v>
      </c>
      <c r="CP109" s="72">
        <v>9.92</v>
      </c>
      <c r="CQ109" s="72">
        <v>1.59</v>
      </c>
      <c r="CR109" s="72" t="s">
        <v>989</v>
      </c>
      <c r="CS109" s="72">
        <v>16.989999999999998</v>
      </c>
      <c r="CT109" s="72">
        <v>16.989999999999998</v>
      </c>
      <c r="CU109" s="72">
        <v>4.3899999999999997</v>
      </c>
      <c r="CV109" s="72">
        <v>7.64</v>
      </c>
      <c r="CW109" s="72">
        <v>7.74</v>
      </c>
      <c r="CX109" s="72" t="s">
        <v>990</v>
      </c>
      <c r="CY109" s="72" t="s">
        <v>414</v>
      </c>
      <c r="CZ109" s="72">
        <v>41.97</v>
      </c>
      <c r="DA109" s="72">
        <v>39.25</v>
      </c>
      <c r="DB109" s="72">
        <v>2142</v>
      </c>
    </row>
    <row r="110" spans="7:106" x14ac:dyDescent="0.25">
      <c r="G110" s="72">
        <v>2158</v>
      </c>
      <c r="H110" s="72" t="s">
        <v>991</v>
      </c>
      <c r="I110" s="72">
        <v>2.52</v>
      </c>
      <c r="J110" s="72">
        <v>2.66</v>
      </c>
      <c r="K110" s="72">
        <v>13.02</v>
      </c>
      <c r="L110" s="72">
        <v>0.32</v>
      </c>
      <c r="M110" s="72">
        <v>13.01</v>
      </c>
      <c r="N110" s="72">
        <v>13.02</v>
      </c>
      <c r="O110" s="72">
        <v>34892</v>
      </c>
      <c r="P110" s="72">
        <v>30</v>
      </c>
      <c r="Q110" s="72">
        <v>0.08</v>
      </c>
      <c r="R110" s="72">
        <v>0.66</v>
      </c>
      <c r="S110" s="72">
        <v>12.82</v>
      </c>
      <c r="T110" s="72">
        <v>13.07</v>
      </c>
      <c r="U110" s="72">
        <v>12.72</v>
      </c>
      <c r="V110" s="72">
        <v>12.7</v>
      </c>
      <c r="W110" s="72">
        <v>29.73</v>
      </c>
      <c r="X110" s="72">
        <v>45229540</v>
      </c>
      <c r="Y110" s="72" t="s">
        <v>383</v>
      </c>
      <c r="Z110" s="72" t="s">
        <v>365</v>
      </c>
      <c r="AA110" s="72">
        <v>2.76</v>
      </c>
      <c r="AB110" s="72">
        <v>12.96</v>
      </c>
      <c r="AC110" s="72">
        <v>14687</v>
      </c>
      <c r="AD110" s="72">
        <v>20205</v>
      </c>
      <c r="AE110" s="72">
        <v>0.73</v>
      </c>
      <c r="AF110" s="72">
        <v>105</v>
      </c>
      <c r="AG110" s="72">
        <v>7</v>
      </c>
      <c r="AH110" s="72" t="s">
        <v>414</v>
      </c>
      <c r="AI110" s="72">
        <v>430800</v>
      </c>
      <c r="AJ110" s="72">
        <v>0.02</v>
      </c>
      <c r="AK110" s="72" t="s">
        <v>414</v>
      </c>
      <c r="AL110" s="72" t="s">
        <v>414</v>
      </c>
      <c r="AM110" s="72">
        <v>5.3</v>
      </c>
      <c r="AN110" s="72" t="s">
        <v>992</v>
      </c>
      <c r="AO110" s="72" t="s">
        <v>993</v>
      </c>
      <c r="AP110" s="72">
        <v>0.34</v>
      </c>
      <c r="AQ110" s="72">
        <v>979</v>
      </c>
      <c r="AR110" s="72">
        <v>36</v>
      </c>
      <c r="AS110" s="72">
        <v>6.9999999999999999E-4</v>
      </c>
      <c r="AT110" s="72">
        <v>2</v>
      </c>
      <c r="AU110" s="72">
        <v>6.2</v>
      </c>
      <c r="AV110" s="72">
        <v>1.73</v>
      </c>
      <c r="AW110" s="72" t="s">
        <v>994</v>
      </c>
      <c r="AX110" s="72">
        <v>1.1399999999999999</v>
      </c>
      <c r="AY110" s="72">
        <v>25.34</v>
      </c>
      <c r="AZ110" s="72">
        <v>27.59</v>
      </c>
      <c r="BA110" s="72">
        <v>0.94</v>
      </c>
      <c r="BB110" s="72">
        <v>2.91</v>
      </c>
      <c r="BC110" s="72">
        <v>0.16</v>
      </c>
      <c r="BD110" s="72">
        <v>2.0699999999999998</v>
      </c>
      <c r="BE110" s="72">
        <v>1.56</v>
      </c>
      <c r="BF110" s="72">
        <v>-0.38</v>
      </c>
      <c r="BG110" s="72">
        <v>2.36</v>
      </c>
      <c r="BH110" s="72">
        <v>0.45</v>
      </c>
      <c r="BI110" s="72">
        <v>20200822</v>
      </c>
      <c r="BJ110" s="72">
        <v>20070817</v>
      </c>
      <c r="BK110" s="72">
        <v>5.35</v>
      </c>
      <c r="BL110" s="72" t="s">
        <v>414</v>
      </c>
      <c r="BM110" s="72" t="s">
        <v>414</v>
      </c>
      <c r="BN110" s="72">
        <v>36.020000000000003</v>
      </c>
      <c r="BO110" s="72">
        <v>20.27</v>
      </c>
      <c r="BP110" s="72">
        <v>0.15</v>
      </c>
      <c r="BQ110" s="72">
        <v>43.33</v>
      </c>
      <c r="BR110" s="72">
        <v>25.25</v>
      </c>
      <c r="BS110" s="72">
        <v>7.45</v>
      </c>
      <c r="BT110" s="72">
        <v>0.73</v>
      </c>
      <c r="BU110" s="72">
        <v>13.32</v>
      </c>
      <c r="BV110" s="72">
        <v>5.54</v>
      </c>
      <c r="BW110" s="72">
        <v>4.13</v>
      </c>
      <c r="BX110" s="72">
        <v>4.4000000000000004</v>
      </c>
      <c r="BY110" s="72">
        <v>8.7799999999999994</v>
      </c>
      <c r="BZ110" s="72">
        <v>5.75</v>
      </c>
      <c r="CA110" s="72">
        <v>1.48</v>
      </c>
      <c r="CB110" s="72">
        <v>0.14000000000000001</v>
      </c>
      <c r="CC110" s="72">
        <v>1.48</v>
      </c>
      <c r="CD110" s="72">
        <v>1.18</v>
      </c>
      <c r="CE110" s="72">
        <v>1.17</v>
      </c>
      <c r="CF110" s="72">
        <v>8.7899999999999991</v>
      </c>
      <c r="CG110" s="72">
        <v>0.69</v>
      </c>
      <c r="CH110" s="72">
        <v>0.69</v>
      </c>
      <c r="CI110" s="72">
        <v>39843</v>
      </c>
      <c r="CJ110" s="72">
        <v>5063</v>
      </c>
      <c r="CK110" s="72" t="s">
        <v>995</v>
      </c>
      <c r="CL110" s="72">
        <v>22.98</v>
      </c>
      <c r="CM110" s="72">
        <v>18.21</v>
      </c>
      <c r="CN110" s="72">
        <v>3.44</v>
      </c>
      <c r="CO110" s="72">
        <v>100.95</v>
      </c>
      <c r="CP110" s="72">
        <v>7.94</v>
      </c>
      <c r="CQ110" s="72">
        <v>1.97</v>
      </c>
      <c r="CR110" s="72" t="s">
        <v>996</v>
      </c>
      <c r="CS110" s="72">
        <v>3.79</v>
      </c>
      <c r="CT110" s="72">
        <v>0</v>
      </c>
      <c r="CU110" s="72">
        <v>0.82</v>
      </c>
      <c r="CV110" s="72">
        <v>1.64</v>
      </c>
      <c r="CW110" s="72">
        <v>56.27</v>
      </c>
      <c r="CX110" s="72" t="s">
        <v>997</v>
      </c>
      <c r="CY110" s="72">
        <v>34.46</v>
      </c>
      <c r="CZ110" s="72">
        <v>16.87</v>
      </c>
      <c r="DA110" s="72">
        <v>13.35</v>
      </c>
      <c r="DB110" s="72">
        <v>2158</v>
      </c>
    </row>
    <row r="111" spans="7:106" x14ac:dyDescent="0.25">
      <c r="G111" s="72">
        <v>2174</v>
      </c>
      <c r="H111" s="72" t="s">
        <v>998</v>
      </c>
      <c r="I111" s="72">
        <v>1.94</v>
      </c>
      <c r="J111" s="72">
        <v>2.08</v>
      </c>
      <c r="K111" s="72">
        <v>18.41</v>
      </c>
      <c r="L111" s="72">
        <v>0.35</v>
      </c>
      <c r="M111" s="72">
        <v>18.39</v>
      </c>
      <c r="N111" s="72">
        <v>18.41</v>
      </c>
      <c r="O111" s="72">
        <v>93400</v>
      </c>
      <c r="P111" s="72">
        <v>38</v>
      </c>
      <c r="Q111" s="72">
        <v>0.22</v>
      </c>
      <c r="R111" s="72">
        <v>1.35</v>
      </c>
      <c r="S111" s="72">
        <v>18.149999999999999</v>
      </c>
      <c r="T111" s="72">
        <v>18.45</v>
      </c>
      <c r="U111" s="72">
        <v>18.09</v>
      </c>
      <c r="V111" s="72">
        <v>18.059999999999999</v>
      </c>
      <c r="W111" s="72">
        <v>17.04</v>
      </c>
      <c r="X111" s="114">
        <v>171000000</v>
      </c>
      <c r="Y111" s="72" t="s">
        <v>404</v>
      </c>
      <c r="Z111" s="72" t="s">
        <v>400</v>
      </c>
      <c r="AA111" s="72">
        <v>1.99</v>
      </c>
      <c r="AB111" s="72">
        <v>18.28</v>
      </c>
      <c r="AC111" s="72">
        <v>39933</v>
      </c>
      <c r="AD111" s="72">
        <v>53467</v>
      </c>
      <c r="AE111" s="72">
        <v>0.75</v>
      </c>
      <c r="AF111" s="72">
        <v>72</v>
      </c>
      <c r="AG111" s="72">
        <v>68</v>
      </c>
      <c r="AH111" s="72" t="s">
        <v>414</v>
      </c>
      <c r="AI111" s="72">
        <v>1482900</v>
      </c>
      <c r="AJ111" s="72">
        <v>0.01</v>
      </c>
      <c r="AK111" s="72" t="s">
        <v>414</v>
      </c>
      <c r="AL111" s="72" t="s">
        <v>414</v>
      </c>
      <c r="AM111" s="72">
        <v>6.92</v>
      </c>
      <c r="AN111" s="72" t="s">
        <v>999</v>
      </c>
      <c r="AO111" s="72" t="s">
        <v>1000</v>
      </c>
      <c r="AP111" s="72">
        <v>-0.24</v>
      </c>
      <c r="AQ111" s="72">
        <v>1546</v>
      </c>
      <c r="AR111" s="72">
        <v>60</v>
      </c>
      <c r="AS111" s="72">
        <v>8.9999999999999998E-4</v>
      </c>
      <c r="AT111" s="72">
        <v>2</v>
      </c>
      <c r="AU111" s="72">
        <v>2.68</v>
      </c>
      <c r="AV111" s="72">
        <v>1.64</v>
      </c>
      <c r="AW111" s="72" t="s">
        <v>1001</v>
      </c>
      <c r="AX111" s="72">
        <v>1.29</v>
      </c>
      <c r="AY111" s="72">
        <v>48.05</v>
      </c>
      <c r="AZ111" s="72">
        <v>64.47</v>
      </c>
      <c r="BA111" s="72">
        <v>0.5</v>
      </c>
      <c r="BB111" s="72">
        <v>2.16</v>
      </c>
      <c r="BC111" s="72">
        <v>0.17</v>
      </c>
      <c r="BD111" s="72">
        <v>1.2</v>
      </c>
      <c r="BE111" s="72">
        <v>1.43</v>
      </c>
      <c r="BF111" s="72">
        <v>-0.22</v>
      </c>
      <c r="BG111" s="72">
        <v>1.77</v>
      </c>
      <c r="BH111" s="72">
        <v>0.74</v>
      </c>
      <c r="BI111" s="72">
        <v>20201010</v>
      </c>
      <c r="BJ111" s="72">
        <v>20070925</v>
      </c>
      <c r="BK111" s="72">
        <v>9.16</v>
      </c>
      <c r="BL111" s="72" t="s">
        <v>414</v>
      </c>
      <c r="BM111" s="72" t="s">
        <v>414</v>
      </c>
      <c r="BN111" s="72">
        <v>93.85</v>
      </c>
      <c r="BO111" s="72">
        <v>56.79</v>
      </c>
      <c r="BP111" s="72">
        <v>-0.02</v>
      </c>
      <c r="BQ111" s="72">
        <v>39.51</v>
      </c>
      <c r="BR111" s="72">
        <v>37.32</v>
      </c>
      <c r="BS111" s="72">
        <v>7.32</v>
      </c>
      <c r="BT111" s="72">
        <v>3.76</v>
      </c>
      <c r="BU111" s="72">
        <v>28.15</v>
      </c>
      <c r="BV111" s="72">
        <v>0</v>
      </c>
      <c r="BW111" s="72">
        <v>10.35</v>
      </c>
      <c r="BX111" s="72">
        <v>9.3699999999999992</v>
      </c>
      <c r="BY111" s="72">
        <v>25.17</v>
      </c>
      <c r="BZ111" s="72">
        <v>15.41</v>
      </c>
      <c r="CA111" s="72">
        <v>5.07</v>
      </c>
      <c r="CB111" s="72">
        <v>0.23</v>
      </c>
      <c r="CC111" s="72">
        <v>5.04</v>
      </c>
      <c r="CD111" s="72">
        <v>4.96</v>
      </c>
      <c r="CE111" s="72">
        <v>4.95</v>
      </c>
      <c r="CF111" s="72">
        <v>38.86</v>
      </c>
      <c r="CG111" s="72">
        <v>5.47</v>
      </c>
      <c r="CH111" s="72">
        <v>1.59</v>
      </c>
      <c r="CI111" s="72">
        <v>80805</v>
      </c>
      <c r="CJ111" s="72">
        <v>7037</v>
      </c>
      <c r="CK111" s="72" t="s">
        <v>603</v>
      </c>
      <c r="CL111" s="72">
        <v>21.54</v>
      </c>
      <c r="CM111" s="72">
        <v>45.49</v>
      </c>
      <c r="CN111" s="72">
        <v>2.99</v>
      </c>
      <c r="CO111" s="72">
        <v>30.83</v>
      </c>
      <c r="CP111" s="72">
        <v>6.7</v>
      </c>
      <c r="CQ111" s="72">
        <v>0.48</v>
      </c>
      <c r="CR111" s="72" t="s">
        <v>963</v>
      </c>
      <c r="CS111" s="72">
        <v>6.15</v>
      </c>
      <c r="CT111" s="72">
        <v>6.15</v>
      </c>
      <c r="CU111" s="72">
        <v>1.02</v>
      </c>
      <c r="CV111" s="72">
        <v>4.24</v>
      </c>
      <c r="CW111" s="72">
        <v>60.51</v>
      </c>
      <c r="CX111" s="72" t="s">
        <v>502</v>
      </c>
      <c r="CY111" s="72">
        <v>38.770000000000003</v>
      </c>
      <c r="CZ111" s="72">
        <v>20.16</v>
      </c>
      <c r="DA111" s="72">
        <v>19.66</v>
      </c>
      <c r="DB111" s="72">
        <v>2174</v>
      </c>
    </row>
    <row r="112" spans="7:106" x14ac:dyDescent="0.25">
      <c r="G112" s="72">
        <v>2218</v>
      </c>
      <c r="H112" s="72" t="s">
        <v>1002</v>
      </c>
      <c r="I112" s="72">
        <v>1.83</v>
      </c>
      <c r="J112" s="72">
        <v>3.85</v>
      </c>
      <c r="K112" s="72">
        <v>5.01</v>
      </c>
      <c r="L112" s="72">
        <v>0.09</v>
      </c>
      <c r="M112" s="72">
        <v>5</v>
      </c>
      <c r="N112" s="72">
        <v>5.01</v>
      </c>
      <c r="O112" s="72">
        <v>1025031</v>
      </c>
      <c r="P112" s="72">
        <v>144</v>
      </c>
      <c r="Q112" s="72">
        <v>-0.59</v>
      </c>
      <c r="R112" s="72">
        <v>8.43</v>
      </c>
      <c r="S112" s="72">
        <v>5.12</v>
      </c>
      <c r="T112" s="72">
        <v>5.12</v>
      </c>
      <c r="U112" s="72">
        <v>4.75</v>
      </c>
      <c r="V112" s="72">
        <v>4.92</v>
      </c>
      <c r="W112" s="72">
        <v>33.15</v>
      </c>
      <c r="X112" s="114">
        <v>506000000</v>
      </c>
      <c r="Y112" s="72" t="s">
        <v>412</v>
      </c>
      <c r="Z112" s="72" t="s">
        <v>385</v>
      </c>
      <c r="AA112" s="72">
        <v>7.52</v>
      </c>
      <c r="AB112" s="72">
        <v>4.9400000000000004</v>
      </c>
      <c r="AC112" s="72">
        <v>492858</v>
      </c>
      <c r="AD112" s="72">
        <v>532173</v>
      </c>
      <c r="AE112" s="72">
        <v>0.93</v>
      </c>
      <c r="AF112" s="72">
        <v>2042</v>
      </c>
      <c r="AG112" s="72">
        <v>378</v>
      </c>
      <c r="AH112" s="72" t="s">
        <v>414</v>
      </c>
      <c r="AI112" s="72">
        <v>19873300</v>
      </c>
      <c r="AJ112" s="72">
        <v>0.56999999999999995</v>
      </c>
      <c r="AK112" s="72" t="s">
        <v>414</v>
      </c>
      <c r="AL112" s="72" t="s">
        <v>414</v>
      </c>
      <c r="AM112" s="72">
        <v>12.16</v>
      </c>
      <c r="AN112" s="72" t="s">
        <v>1003</v>
      </c>
      <c r="AO112" s="72" t="s">
        <v>1004</v>
      </c>
      <c r="AP112" s="72">
        <v>-0.35</v>
      </c>
      <c r="AQ112" s="72">
        <v>1841</v>
      </c>
      <c r="AR112" s="72">
        <v>557</v>
      </c>
      <c r="AS112" s="72">
        <v>4.5999999999999999E-3</v>
      </c>
      <c r="AT112" s="72">
        <v>3</v>
      </c>
      <c r="AU112" s="72">
        <v>17.059999999999999</v>
      </c>
      <c r="AV112" s="72">
        <v>15.03</v>
      </c>
      <c r="AW112" s="72" t="s">
        <v>1005</v>
      </c>
      <c r="AX112" s="72">
        <v>0.99</v>
      </c>
      <c r="AY112" s="72">
        <v>47.53</v>
      </c>
      <c r="AZ112" s="72">
        <v>78.040000000000006</v>
      </c>
      <c r="BA112" s="72">
        <v>4.07</v>
      </c>
      <c r="BB112" s="72">
        <v>4.07</v>
      </c>
      <c r="BC112" s="72">
        <v>-3.46</v>
      </c>
      <c r="BD112" s="72">
        <v>0.41</v>
      </c>
      <c r="BE112" s="72">
        <v>-2.15</v>
      </c>
      <c r="BF112" s="72">
        <v>-2.15</v>
      </c>
      <c r="BG112" s="72">
        <v>5.47</v>
      </c>
      <c r="BH112" s="72">
        <v>1.42</v>
      </c>
      <c r="BI112" s="72">
        <v>20201009</v>
      </c>
      <c r="BJ112" s="72">
        <v>20080228</v>
      </c>
      <c r="BK112" s="72">
        <v>12.36</v>
      </c>
      <c r="BL112" s="72" t="s">
        <v>414</v>
      </c>
      <c r="BM112" s="72" t="s">
        <v>414</v>
      </c>
      <c r="BN112" s="72">
        <v>65.3</v>
      </c>
      <c r="BO112" s="72">
        <v>30.54</v>
      </c>
      <c r="BP112" s="72">
        <v>0</v>
      </c>
      <c r="BQ112" s="72">
        <v>53.23</v>
      </c>
      <c r="BR112" s="72">
        <v>24.59</v>
      </c>
      <c r="BS112" s="72">
        <v>31.04</v>
      </c>
      <c r="BT112" s="72">
        <v>4.1100000000000003</v>
      </c>
      <c r="BU112" s="72">
        <v>27.11</v>
      </c>
      <c r="BV112" s="72">
        <v>3.32</v>
      </c>
      <c r="BW112" s="72">
        <v>12.12</v>
      </c>
      <c r="BX112" s="72">
        <v>13.16</v>
      </c>
      <c r="BY112" s="72">
        <v>6.38</v>
      </c>
      <c r="BZ112" s="72">
        <v>4.45</v>
      </c>
      <c r="CA112" s="72">
        <v>0.57999999999999996</v>
      </c>
      <c r="CB112" s="72">
        <v>0.04</v>
      </c>
      <c r="CC112" s="72">
        <v>1.06</v>
      </c>
      <c r="CD112" s="72">
        <v>0.93</v>
      </c>
      <c r="CE112" s="72">
        <v>0.93</v>
      </c>
      <c r="CF112" s="72">
        <v>4.8899999999999997</v>
      </c>
      <c r="CG112" s="72">
        <v>0.88</v>
      </c>
      <c r="CH112" s="72">
        <v>0.25</v>
      </c>
      <c r="CI112" s="72">
        <v>72608</v>
      </c>
      <c r="CJ112" s="72">
        <v>9395</v>
      </c>
      <c r="CK112" s="72" t="s">
        <v>1006</v>
      </c>
      <c r="CL112" s="72">
        <v>115.36</v>
      </c>
      <c r="CM112" s="72">
        <v>43.05</v>
      </c>
      <c r="CN112" s="72">
        <v>2.0299999999999998</v>
      </c>
      <c r="CO112" s="72">
        <v>70.099999999999994</v>
      </c>
      <c r="CP112" s="72">
        <v>9.7100000000000009</v>
      </c>
      <c r="CQ112" s="72">
        <v>0.51</v>
      </c>
      <c r="CR112" s="72" t="s">
        <v>1007</v>
      </c>
      <c r="CS112" s="72">
        <v>2.4700000000000002</v>
      </c>
      <c r="CT112" s="72">
        <v>0</v>
      </c>
      <c r="CU112" s="72">
        <v>1.06</v>
      </c>
      <c r="CV112" s="72">
        <v>0.4</v>
      </c>
      <c r="CW112" s="72">
        <v>46.77</v>
      </c>
      <c r="CX112" s="72" t="s">
        <v>1008</v>
      </c>
      <c r="CY112" s="72">
        <v>30.17</v>
      </c>
      <c r="CZ112" s="72">
        <v>9.06</v>
      </c>
      <c r="DA112" s="72">
        <v>14.65</v>
      </c>
      <c r="DB112" s="72">
        <v>2218</v>
      </c>
    </row>
    <row r="113" spans="7:106" x14ac:dyDescent="0.25">
      <c r="G113" s="72">
        <v>2244</v>
      </c>
      <c r="H113" s="72" t="s">
        <v>1009</v>
      </c>
      <c r="I113" s="72">
        <v>2.71</v>
      </c>
      <c r="J113" s="72">
        <v>1.55</v>
      </c>
      <c r="K113" s="72">
        <v>4.93</v>
      </c>
      <c r="L113" s="72">
        <v>0.13</v>
      </c>
      <c r="M113" s="72">
        <v>4.92</v>
      </c>
      <c r="N113" s="72">
        <v>4.93</v>
      </c>
      <c r="O113" s="72">
        <v>103541</v>
      </c>
      <c r="P113" s="72">
        <v>118</v>
      </c>
      <c r="Q113" s="72">
        <v>0.2</v>
      </c>
      <c r="R113" s="72">
        <v>0.38</v>
      </c>
      <c r="S113" s="72">
        <v>4.8099999999999996</v>
      </c>
      <c r="T113" s="72">
        <v>4.9400000000000004</v>
      </c>
      <c r="U113" s="72">
        <v>4.79</v>
      </c>
      <c r="V113" s="72">
        <v>4.8</v>
      </c>
      <c r="W113" s="72">
        <v>8.86</v>
      </c>
      <c r="X113" s="72">
        <v>50378396</v>
      </c>
      <c r="Y113" s="72" t="s">
        <v>388</v>
      </c>
      <c r="Z113" s="72" t="s">
        <v>358</v>
      </c>
      <c r="AA113" s="72">
        <v>3.13</v>
      </c>
      <c r="AB113" s="72">
        <v>4.87</v>
      </c>
      <c r="AC113" s="72">
        <v>36497</v>
      </c>
      <c r="AD113" s="72">
        <v>67044</v>
      </c>
      <c r="AE113" s="72">
        <v>0.54</v>
      </c>
      <c r="AF113" s="72">
        <v>369</v>
      </c>
      <c r="AG113" s="72">
        <v>847</v>
      </c>
      <c r="AH113" s="72" t="s">
        <v>414</v>
      </c>
      <c r="AI113" s="72">
        <v>752800</v>
      </c>
      <c r="AJ113" s="72">
        <v>0.01</v>
      </c>
      <c r="AK113" s="72" t="s">
        <v>414</v>
      </c>
      <c r="AL113" s="72" t="s">
        <v>414</v>
      </c>
      <c r="AM113" s="72">
        <v>26.92</v>
      </c>
      <c r="AN113" s="72" t="s">
        <v>1010</v>
      </c>
      <c r="AO113" s="72" t="s">
        <v>1011</v>
      </c>
      <c r="AP113" s="72">
        <v>0.53</v>
      </c>
      <c r="AQ113" s="72">
        <v>1317</v>
      </c>
      <c r="AR113" s="72">
        <v>79</v>
      </c>
      <c r="AS113" s="72">
        <v>2.9999999999999997E-4</v>
      </c>
      <c r="AT113" s="72">
        <v>2</v>
      </c>
      <c r="AU113" s="72">
        <v>2.29</v>
      </c>
      <c r="AV113" s="72">
        <v>0.82</v>
      </c>
      <c r="AW113" s="72" t="s">
        <v>1012</v>
      </c>
      <c r="AX113" s="72">
        <v>0.56000000000000005</v>
      </c>
      <c r="AY113" s="72">
        <v>7.94</v>
      </c>
      <c r="AZ113" s="72">
        <v>9.16</v>
      </c>
      <c r="BA113" s="72">
        <v>0.21</v>
      </c>
      <c r="BB113" s="72">
        <v>2.92</v>
      </c>
      <c r="BC113" s="72">
        <v>-0.21</v>
      </c>
      <c r="BD113" s="72">
        <v>1.37</v>
      </c>
      <c r="BE113" s="72">
        <v>2.4900000000000002</v>
      </c>
      <c r="BF113" s="72">
        <v>-0.2</v>
      </c>
      <c r="BG113" s="72">
        <v>2.92</v>
      </c>
      <c r="BH113" s="72">
        <v>1.34</v>
      </c>
      <c r="BI113" s="72">
        <v>20200828</v>
      </c>
      <c r="BJ113" s="72">
        <v>20080529</v>
      </c>
      <c r="BK113" s="72">
        <v>31.11</v>
      </c>
      <c r="BL113" s="72" t="s">
        <v>414</v>
      </c>
      <c r="BM113" s="72" t="s">
        <v>414</v>
      </c>
      <c r="BN113" s="72">
        <v>1518.17</v>
      </c>
      <c r="BO113" s="72">
        <v>170.31</v>
      </c>
      <c r="BP113" s="72">
        <v>59.03</v>
      </c>
      <c r="BQ113" s="72">
        <v>84.89</v>
      </c>
      <c r="BR113" s="72">
        <v>1384.16</v>
      </c>
      <c r="BS113" s="72">
        <v>5.77</v>
      </c>
      <c r="BT113" s="72">
        <v>1.49</v>
      </c>
      <c r="BU113" s="72">
        <v>989.43</v>
      </c>
      <c r="BV113" s="72">
        <v>909.95</v>
      </c>
      <c r="BW113" s="72">
        <v>3.87</v>
      </c>
      <c r="BX113" s="72">
        <v>21.98</v>
      </c>
      <c r="BY113" s="72">
        <v>103.07</v>
      </c>
      <c r="BZ113" s="72">
        <v>65.540000000000006</v>
      </c>
      <c r="CA113" s="72">
        <v>22.09</v>
      </c>
      <c r="CB113" s="72">
        <v>1.84</v>
      </c>
      <c r="CC113" s="72">
        <v>21.77</v>
      </c>
      <c r="CD113" s="72">
        <v>15.71</v>
      </c>
      <c r="CE113" s="72">
        <v>8.65</v>
      </c>
      <c r="CF113" s="72">
        <v>106.27</v>
      </c>
      <c r="CG113" s="72">
        <v>15.84</v>
      </c>
      <c r="CH113" s="72">
        <v>44.09</v>
      </c>
      <c r="CI113" s="72">
        <v>37942</v>
      </c>
      <c r="CJ113" s="72">
        <v>33377</v>
      </c>
      <c r="CK113" s="72" t="s">
        <v>1013</v>
      </c>
      <c r="CL113" s="72">
        <v>40.380000000000003</v>
      </c>
      <c r="CM113" s="72">
        <v>95.74</v>
      </c>
      <c r="CN113" s="72">
        <v>0.9</v>
      </c>
      <c r="CO113" s="72">
        <v>9.68</v>
      </c>
      <c r="CP113" s="72">
        <v>1.49</v>
      </c>
      <c r="CQ113" s="72">
        <v>2.75</v>
      </c>
      <c r="CR113" s="72" t="s">
        <v>659</v>
      </c>
      <c r="CS113" s="72">
        <v>5.47</v>
      </c>
      <c r="CT113" s="72">
        <v>0</v>
      </c>
      <c r="CU113" s="72">
        <v>0.71</v>
      </c>
      <c r="CV113" s="72">
        <v>3.42</v>
      </c>
      <c r="CW113" s="72">
        <v>11.22</v>
      </c>
      <c r="CX113" s="72" t="s">
        <v>1014</v>
      </c>
      <c r="CY113" s="72">
        <v>36.409999999999997</v>
      </c>
      <c r="CZ113" s="72">
        <v>21.43</v>
      </c>
      <c r="DA113" s="72">
        <v>8.39</v>
      </c>
      <c r="DB113" s="72">
        <v>2244</v>
      </c>
    </row>
    <row r="114" spans="7:106" x14ac:dyDescent="0.25">
      <c r="G114" s="72">
        <v>2258</v>
      </c>
      <c r="H114" s="72" t="s">
        <v>1015</v>
      </c>
      <c r="I114" s="72">
        <v>3.05</v>
      </c>
      <c r="J114" s="72">
        <v>1.79</v>
      </c>
      <c r="K114" s="72">
        <v>20.58</v>
      </c>
      <c r="L114" s="72">
        <v>0.61</v>
      </c>
      <c r="M114" s="72">
        <v>20.57</v>
      </c>
      <c r="N114" s="72">
        <v>20.58</v>
      </c>
      <c r="O114" s="72">
        <v>41066</v>
      </c>
      <c r="P114" s="72">
        <v>3</v>
      </c>
      <c r="Q114" s="72">
        <v>0.05</v>
      </c>
      <c r="R114" s="72">
        <v>0.79</v>
      </c>
      <c r="S114" s="72">
        <v>20</v>
      </c>
      <c r="T114" s="72">
        <v>20.63</v>
      </c>
      <c r="U114" s="72">
        <v>20</v>
      </c>
      <c r="V114" s="72">
        <v>19.97</v>
      </c>
      <c r="W114" s="72">
        <v>21.13</v>
      </c>
      <c r="X114" s="72">
        <v>83657056</v>
      </c>
      <c r="Y114" s="72" t="s">
        <v>393</v>
      </c>
      <c r="Z114" s="72" t="s">
        <v>395</v>
      </c>
      <c r="AA114" s="72">
        <v>3.15</v>
      </c>
      <c r="AB114" s="72">
        <v>20.37</v>
      </c>
      <c r="AC114" s="72">
        <v>18193</v>
      </c>
      <c r="AD114" s="72">
        <v>22873</v>
      </c>
      <c r="AE114" s="72">
        <v>0.8</v>
      </c>
      <c r="AF114" s="72">
        <v>4</v>
      </c>
      <c r="AG114" s="72">
        <v>3</v>
      </c>
      <c r="AH114" s="72" t="s">
        <v>414</v>
      </c>
      <c r="AI114" s="72">
        <v>1943200</v>
      </c>
      <c r="AJ114" s="72">
        <v>0.04</v>
      </c>
      <c r="AK114" s="72" t="s">
        <v>414</v>
      </c>
      <c r="AL114" s="72" t="s">
        <v>414</v>
      </c>
      <c r="AM114" s="72">
        <v>5.22</v>
      </c>
      <c r="AN114" s="72" t="s">
        <v>1016</v>
      </c>
      <c r="AO114" s="72" t="s">
        <v>1017</v>
      </c>
      <c r="AP114" s="72">
        <v>0.88</v>
      </c>
      <c r="AQ114" s="72">
        <v>1526</v>
      </c>
      <c r="AR114" s="72">
        <v>27</v>
      </c>
      <c r="AS114" s="72">
        <v>5.0000000000000001E-4</v>
      </c>
      <c r="AT114" s="72">
        <v>2</v>
      </c>
      <c r="AU114" s="72">
        <v>4.1500000000000004</v>
      </c>
      <c r="AV114" s="72">
        <v>1.6</v>
      </c>
      <c r="AW114" s="72" t="s">
        <v>1018</v>
      </c>
      <c r="AX114" s="72">
        <v>1.29</v>
      </c>
      <c r="AY114" s="72">
        <v>25.73</v>
      </c>
      <c r="AZ114" s="72">
        <v>33.659999999999997</v>
      </c>
      <c r="BA114" s="72">
        <v>0.15</v>
      </c>
      <c r="BB114" s="72">
        <v>3.3</v>
      </c>
      <c r="BC114" s="72">
        <v>0.15</v>
      </c>
      <c r="BD114" s="72">
        <v>2.0099999999999998</v>
      </c>
      <c r="BE114" s="72">
        <v>2.9</v>
      </c>
      <c r="BF114" s="72">
        <v>-0.24</v>
      </c>
      <c r="BG114" s="72">
        <v>2.9</v>
      </c>
      <c r="BH114" s="72">
        <v>1.05</v>
      </c>
      <c r="BI114" s="72">
        <v>20201010</v>
      </c>
      <c r="BJ114" s="72">
        <v>20080708</v>
      </c>
      <c r="BK114" s="72">
        <v>5.24</v>
      </c>
      <c r="BL114" s="72" t="s">
        <v>414</v>
      </c>
      <c r="BM114" s="72" t="s">
        <v>414</v>
      </c>
      <c r="BN114" s="72">
        <v>76.09</v>
      </c>
      <c r="BO114" s="72">
        <v>36.15</v>
      </c>
      <c r="BP114" s="72">
        <v>6.99</v>
      </c>
      <c r="BQ114" s="72">
        <v>43.32</v>
      </c>
      <c r="BR114" s="72">
        <v>27.34</v>
      </c>
      <c r="BS114" s="72">
        <v>26.77</v>
      </c>
      <c r="BT114" s="72">
        <v>4.17</v>
      </c>
      <c r="BU114" s="72">
        <v>20.16</v>
      </c>
      <c r="BV114" s="72">
        <v>8.7899999999999991</v>
      </c>
      <c r="BW114" s="72">
        <v>8.2200000000000006</v>
      </c>
      <c r="BX114" s="72">
        <v>8.1</v>
      </c>
      <c r="BY114" s="72">
        <v>23.49</v>
      </c>
      <c r="BZ114" s="72">
        <v>17.21</v>
      </c>
      <c r="CA114" s="72">
        <v>3.25</v>
      </c>
      <c r="CB114" s="72">
        <v>0.01</v>
      </c>
      <c r="CC114" s="72">
        <v>3.27</v>
      </c>
      <c r="CD114" s="72">
        <v>2.79</v>
      </c>
      <c r="CE114" s="72">
        <v>2.5499999999999998</v>
      </c>
      <c r="CF114" s="72">
        <v>18.57</v>
      </c>
      <c r="CG114" s="72">
        <v>3.01</v>
      </c>
      <c r="CH114" s="72">
        <v>-0.73</v>
      </c>
      <c r="CI114" s="72">
        <v>24913</v>
      </c>
      <c r="CJ114" s="72">
        <v>10301</v>
      </c>
      <c r="CK114" s="72" t="s">
        <v>1019</v>
      </c>
      <c r="CL114" s="72">
        <v>60.11</v>
      </c>
      <c r="CM114" s="72">
        <v>14.44</v>
      </c>
      <c r="CN114" s="72">
        <v>3.16</v>
      </c>
      <c r="CO114" s="72">
        <v>35.85</v>
      </c>
      <c r="CP114" s="72">
        <v>4.59</v>
      </c>
      <c r="CQ114" s="72">
        <v>0</v>
      </c>
      <c r="CR114" s="72" t="s">
        <v>1020</v>
      </c>
      <c r="CS114" s="72">
        <v>6.51</v>
      </c>
      <c r="CT114" s="72">
        <v>6.51</v>
      </c>
      <c r="CU114" s="72">
        <v>1.55</v>
      </c>
      <c r="CV114" s="72">
        <v>3.54</v>
      </c>
      <c r="CW114" s="72">
        <v>47.5</v>
      </c>
      <c r="CX114" s="72" t="s">
        <v>1021</v>
      </c>
      <c r="CY114" s="72">
        <v>26.75</v>
      </c>
      <c r="CZ114" s="72">
        <v>13.85</v>
      </c>
      <c r="DA114" s="72">
        <v>10.87</v>
      </c>
      <c r="DB114" s="72">
        <v>2258</v>
      </c>
    </row>
    <row r="115" spans="7:106" x14ac:dyDescent="0.25">
      <c r="G115" s="72">
        <v>2273</v>
      </c>
      <c r="H115" s="72" t="s">
        <v>1022</v>
      </c>
      <c r="I115" s="72">
        <v>0.91</v>
      </c>
      <c r="J115" s="72">
        <v>1.9</v>
      </c>
      <c r="K115" s="72">
        <v>14.37</v>
      </c>
      <c r="L115" s="72">
        <v>0.13</v>
      </c>
      <c r="M115" s="72">
        <v>14.36</v>
      </c>
      <c r="N115" s="72">
        <v>14.37</v>
      </c>
      <c r="O115" s="72">
        <v>174021</v>
      </c>
      <c r="P115" s="72">
        <v>292</v>
      </c>
      <c r="Q115" s="72">
        <v>0</v>
      </c>
      <c r="R115" s="72">
        <v>1.47</v>
      </c>
      <c r="S115" s="72">
        <v>14.3</v>
      </c>
      <c r="T115" s="72">
        <v>14.38</v>
      </c>
      <c r="U115" s="72">
        <v>14.18</v>
      </c>
      <c r="V115" s="72">
        <v>14.24</v>
      </c>
      <c r="W115" s="72">
        <v>48.66</v>
      </c>
      <c r="X115" s="114">
        <v>248000000</v>
      </c>
      <c r="Y115" s="72" t="s">
        <v>979</v>
      </c>
      <c r="Z115" s="72" t="s">
        <v>358</v>
      </c>
      <c r="AA115" s="72">
        <v>1.4</v>
      </c>
      <c r="AB115" s="72">
        <v>14.27</v>
      </c>
      <c r="AC115" s="72">
        <v>82819</v>
      </c>
      <c r="AD115" s="72">
        <v>91202</v>
      </c>
      <c r="AE115" s="72">
        <v>0.91</v>
      </c>
      <c r="AF115" s="72">
        <v>1138</v>
      </c>
      <c r="AG115" s="72">
        <v>115</v>
      </c>
      <c r="AH115" s="72" t="s">
        <v>414</v>
      </c>
      <c r="AI115" s="72">
        <v>1139700</v>
      </c>
      <c r="AJ115" s="72">
        <v>0.01</v>
      </c>
      <c r="AK115" s="72" t="s">
        <v>414</v>
      </c>
      <c r="AL115" s="72" t="s">
        <v>414</v>
      </c>
      <c r="AM115" s="72">
        <v>11.8</v>
      </c>
      <c r="AN115" s="72" t="s">
        <v>1023</v>
      </c>
      <c r="AO115" s="72" t="s">
        <v>1024</v>
      </c>
      <c r="AP115" s="72">
        <v>-1.26</v>
      </c>
      <c r="AQ115" s="72">
        <v>1688</v>
      </c>
      <c r="AR115" s="72">
        <v>103</v>
      </c>
      <c r="AS115" s="72">
        <v>8.9999999999999998E-4</v>
      </c>
      <c r="AT115" s="72">
        <v>5</v>
      </c>
      <c r="AU115" s="72">
        <v>6.68</v>
      </c>
      <c r="AV115" s="72">
        <v>1.79</v>
      </c>
      <c r="AW115" s="72" t="s">
        <v>1025</v>
      </c>
      <c r="AX115" s="72">
        <v>1.1299999999999999</v>
      </c>
      <c r="AY115" s="72">
        <v>33.89</v>
      </c>
      <c r="AZ115" s="72">
        <v>35.31</v>
      </c>
      <c r="BA115" s="72">
        <v>0.42</v>
      </c>
      <c r="BB115" s="72">
        <v>0.98</v>
      </c>
      <c r="BC115" s="72">
        <v>-0.42</v>
      </c>
      <c r="BD115" s="72">
        <v>0.19</v>
      </c>
      <c r="BE115" s="72">
        <v>0.49</v>
      </c>
      <c r="BF115" s="72">
        <v>-7.0000000000000007E-2</v>
      </c>
      <c r="BG115" s="72">
        <v>1.34</v>
      </c>
      <c r="BH115" s="72">
        <v>0.72</v>
      </c>
      <c r="BI115" s="72">
        <v>20200827</v>
      </c>
      <c r="BJ115" s="72">
        <v>20080919</v>
      </c>
      <c r="BK115" s="72">
        <v>12.18</v>
      </c>
      <c r="BL115" s="72" t="s">
        <v>414</v>
      </c>
      <c r="BM115" s="72" t="s">
        <v>414</v>
      </c>
      <c r="BN115" s="72">
        <v>63.72</v>
      </c>
      <c r="BO115" s="72">
        <v>53.5</v>
      </c>
      <c r="BP115" s="72">
        <v>2.23</v>
      </c>
      <c r="BQ115" s="72">
        <v>12.54</v>
      </c>
      <c r="BR115" s="72">
        <v>26.41</v>
      </c>
      <c r="BS115" s="72">
        <v>22.8</v>
      </c>
      <c r="BT115" s="72">
        <v>2.75</v>
      </c>
      <c r="BU115" s="72">
        <v>6.99</v>
      </c>
      <c r="BV115" s="72">
        <v>3.7</v>
      </c>
      <c r="BW115" s="72">
        <v>5.61</v>
      </c>
      <c r="BX115" s="72">
        <v>22.11</v>
      </c>
      <c r="BY115" s="72">
        <v>13.66</v>
      </c>
      <c r="BZ115" s="72">
        <v>10.24</v>
      </c>
      <c r="CA115" s="72">
        <v>2.14</v>
      </c>
      <c r="CB115" s="72">
        <v>0.33</v>
      </c>
      <c r="CC115" s="72">
        <v>2.12</v>
      </c>
      <c r="CD115" s="72">
        <v>1.87</v>
      </c>
      <c r="CE115" s="72">
        <v>1.8</v>
      </c>
      <c r="CF115" s="72">
        <v>18.239999999999998</v>
      </c>
      <c r="CG115" s="72">
        <v>2.96</v>
      </c>
      <c r="CH115" s="72">
        <v>1.01</v>
      </c>
      <c r="CI115" s="72">
        <v>115011</v>
      </c>
      <c r="CJ115" s="72">
        <v>8461</v>
      </c>
      <c r="CK115" s="72" t="s">
        <v>1026</v>
      </c>
      <c r="CL115" s="72">
        <v>12.93</v>
      </c>
      <c r="CM115" s="72">
        <v>19.100000000000001</v>
      </c>
      <c r="CN115" s="72">
        <v>3.27</v>
      </c>
      <c r="CO115" s="72">
        <v>59.15</v>
      </c>
      <c r="CP115" s="72">
        <v>12.81</v>
      </c>
      <c r="CQ115" s="72">
        <v>0.7</v>
      </c>
      <c r="CR115" s="72" t="s">
        <v>1027</v>
      </c>
      <c r="CS115" s="72">
        <v>4.3899999999999997</v>
      </c>
      <c r="CT115" s="72">
        <v>0</v>
      </c>
      <c r="CU115" s="72">
        <v>1.82</v>
      </c>
      <c r="CV115" s="72">
        <v>1.5</v>
      </c>
      <c r="CW115" s="72">
        <v>83.96</v>
      </c>
      <c r="CX115" s="72" t="s">
        <v>1028</v>
      </c>
      <c r="CY115" s="72">
        <v>25.04</v>
      </c>
      <c r="CZ115" s="72">
        <v>15.67</v>
      </c>
      <c r="DA115" s="72">
        <v>13.16</v>
      </c>
      <c r="DB115" s="72">
        <v>2273</v>
      </c>
    </row>
    <row r="116" spans="7:106" x14ac:dyDescent="0.25">
      <c r="G116" s="72">
        <v>2286</v>
      </c>
      <c r="H116" s="72" t="s">
        <v>1029</v>
      </c>
      <c r="I116" s="72">
        <v>2.44</v>
      </c>
      <c r="J116" s="72">
        <v>1.38</v>
      </c>
      <c r="K116" s="72">
        <v>15.13</v>
      </c>
      <c r="L116" s="72">
        <v>0.36</v>
      </c>
      <c r="M116" s="72">
        <v>15.12</v>
      </c>
      <c r="N116" s="72">
        <v>15.13</v>
      </c>
      <c r="O116" s="72">
        <v>82998</v>
      </c>
      <c r="P116" s="72">
        <v>7</v>
      </c>
      <c r="Q116" s="72">
        <v>0.67</v>
      </c>
      <c r="R116" s="72">
        <v>2.25</v>
      </c>
      <c r="S116" s="72">
        <v>14.9</v>
      </c>
      <c r="T116" s="72">
        <v>15.15</v>
      </c>
      <c r="U116" s="72">
        <v>14.64</v>
      </c>
      <c r="V116" s="72">
        <v>14.77</v>
      </c>
      <c r="W116" s="72">
        <v>64.37</v>
      </c>
      <c r="X116" s="114">
        <v>123000000</v>
      </c>
      <c r="Y116" s="72" t="s">
        <v>356</v>
      </c>
      <c r="Z116" s="72" t="s">
        <v>349</v>
      </c>
      <c r="AA116" s="72">
        <v>3.45</v>
      </c>
      <c r="AB116" s="72">
        <v>14.88</v>
      </c>
      <c r="AC116" s="72">
        <v>34414</v>
      </c>
      <c r="AD116" s="72">
        <v>48584</v>
      </c>
      <c r="AE116" s="72">
        <v>0.71</v>
      </c>
      <c r="AF116" s="72">
        <v>29</v>
      </c>
      <c r="AG116" s="72">
        <v>92</v>
      </c>
      <c r="AH116" s="72" t="s">
        <v>414</v>
      </c>
      <c r="AI116" s="72">
        <v>1396100</v>
      </c>
      <c r="AJ116" s="72">
        <v>0.06</v>
      </c>
      <c r="AK116" s="72" t="s">
        <v>414</v>
      </c>
      <c r="AL116" s="72" t="s">
        <v>414</v>
      </c>
      <c r="AM116" s="72">
        <v>3.69</v>
      </c>
      <c r="AN116" s="72" t="s">
        <v>1030</v>
      </c>
      <c r="AO116" s="72" t="s">
        <v>1030</v>
      </c>
      <c r="AP116" s="72">
        <v>0.26</v>
      </c>
      <c r="AQ116" s="72">
        <v>1584</v>
      </c>
      <c r="AR116" s="72">
        <v>52</v>
      </c>
      <c r="AS116" s="72">
        <v>1.4E-3</v>
      </c>
      <c r="AT116" s="72">
        <v>2</v>
      </c>
      <c r="AU116" s="72">
        <v>6.25</v>
      </c>
      <c r="AV116" s="72">
        <v>5.03</v>
      </c>
      <c r="AW116" s="72" t="s">
        <v>1031</v>
      </c>
      <c r="AX116" s="72">
        <v>1.28</v>
      </c>
      <c r="AY116" s="72">
        <v>100.48</v>
      </c>
      <c r="AZ116" s="72">
        <v>154.79</v>
      </c>
      <c r="BA116" s="72">
        <v>0.88</v>
      </c>
      <c r="BB116" s="72">
        <v>2.57</v>
      </c>
      <c r="BC116" s="72">
        <v>-0.88</v>
      </c>
      <c r="BD116" s="72">
        <v>0.73</v>
      </c>
      <c r="BE116" s="72">
        <v>1.54</v>
      </c>
      <c r="BF116" s="72">
        <v>-0.13</v>
      </c>
      <c r="BG116" s="72">
        <v>3.35</v>
      </c>
      <c r="BH116" s="72">
        <v>1.71</v>
      </c>
      <c r="BI116" s="72">
        <v>20201009</v>
      </c>
      <c r="BJ116" s="72">
        <v>20090828</v>
      </c>
      <c r="BK116" s="72">
        <v>3.69</v>
      </c>
      <c r="BL116" s="72" t="s">
        <v>414</v>
      </c>
      <c r="BM116" s="72" t="s">
        <v>414</v>
      </c>
      <c r="BN116" s="72">
        <v>25.73</v>
      </c>
      <c r="BO116" s="72">
        <v>16</v>
      </c>
      <c r="BP116" s="72">
        <v>0</v>
      </c>
      <c r="BQ116" s="72">
        <v>37.83</v>
      </c>
      <c r="BR116" s="72">
        <v>10.220000000000001</v>
      </c>
      <c r="BS116" s="72">
        <v>11.48</v>
      </c>
      <c r="BT116" s="72">
        <v>1.33</v>
      </c>
      <c r="BU116" s="72">
        <v>9.1999999999999993</v>
      </c>
      <c r="BV116" s="72">
        <v>2.2400000000000002</v>
      </c>
      <c r="BW116" s="72">
        <v>2.7</v>
      </c>
      <c r="BX116" s="72">
        <v>8.01</v>
      </c>
      <c r="BY116" s="72">
        <v>10.17</v>
      </c>
      <c r="BZ116" s="72">
        <v>8.9700000000000006</v>
      </c>
      <c r="CA116" s="72">
        <v>0.51</v>
      </c>
      <c r="CB116" s="72">
        <v>0.04</v>
      </c>
      <c r="CC116" s="72">
        <v>0.51</v>
      </c>
      <c r="CD116" s="72">
        <v>0.43</v>
      </c>
      <c r="CE116" s="72">
        <v>0.43</v>
      </c>
      <c r="CF116" s="72">
        <v>3.69</v>
      </c>
      <c r="CG116" s="72">
        <v>3.61</v>
      </c>
      <c r="CH116" s="72">
        <v>0.59</v>
      </c>
      <c r="CI116" s="72">
        <v>42627</v>
      </c>
      <c r="CJ116" s="72">
        <v>3869</v>
      </c>
      <c r="CK116" s="72" t="s">
        <v>1032</v>
      </c>
      <c r="CL116" s="72">
        <v>78.209999999999994</v>
      </c>
      <c r="CM116" s="72">
        <v>17.239999999999998</v>
      </c>
      <c r="CN116" s="72">
        <v>3.49</v>
      </c>
      <c r="CO116" s="72">
        <v>15.5</v>
      </c>
      <c r="CP116" s="72">
        <v>5.5</v>
      </c>
      <c r="CQ116" s="72">
        <v>0.2</v>
      </c>
      <c r="CR116" s="72" t="s">
        <v>1033</v>
      </c>
      <c r="CS116" s="72">
        <v>4.33</v>
      </c>
      <c r="CT116" s="72">
        <v>0</v>
      </c>
      <c r="CU116" s="72">
        <v>2.17</v>
      </c>
      <c r="CV116" s="72">
        <v>1</v>
      </c>
      <c r="CW116" s="72">
        <v>62.17</v>
      </c>
      <c r="CX116" s="72" t="s">
        <v>1034</v>
      </c>
      <c r="CY116" s="72">
        <v>11.71</v>
      </c>
      <c r="CZ116" s="72">
        <v>5</v>
      </c>
      <c r="DA116" s="72">
        <v>4.2699999999999996</v>
      </c>
      <c r="DB116" s="72">
        <v>2286</v>
      </c>
    </row>
    <row r="117" spans="7:106" x14ac:dyDescent="0.25">
      <c r="G117" s="72">
        <v>2312</v>
      </c>
      <c r="H117" s="72" t="s">
        <v>1035</v>
      </c>
      <c r="I117" s="72">
        <v>2.64</v>
      </c>
      <c r="J117" s="72">
        <v>1.57</v>
      </c>
      <c r="K117" s="72">
        <v>6.62</v>
      </c>
      <c r="L117" s="72">
        <v>0.17</v>
      </c>
      <c r="M117" s="72">
        <v>6.62</v>
      </c>
      <c r="N117" s="72">
        <v>6.63</v>
      </c>
      <c r="O117" s="72">
        <v>143749</v>
      </c>
      <c r="P117" s="72">
        <v>4</v>
      </c>
      <c r="Q117" s="72">
        <v>-0.14000000000000001</v>
      </c>
      <c r="R117" s="72">
        <v>1.0900000000000001</v>
      </c>
      <c r="S117" s="72">
        <v>6.55</v>
      </c>
      <c r="T117" s="72">
        <v>6.65</v>
      </c>
      <c r="U117" s="72">
        <v>6.5</v>
      </c>
      <c r="V117" s="72">
        <v>6.45</v>
      </c>
      <c r="W117" s="72">
        <v>49.37</v>
      </c>
      <c r="X117" s="72">
        <v>94508440</v>
      </c>
      <c r="Y117" s="72" t="s">
        <v>350</v>
      </c>
      <c r="Z117" s="72" t="s">
        <v>395</v>
      </c>
      <c r="AA117" s="72">
        <v>2.33</v>
      </c>
      <c r="AB117" s="72">
        <v>6.57</v>
      </c>
      <c r="AC117" s="72">
        <v>68781</v>
      </c>
      <c r="AD117" s="72">
        <v>74968</v>
      </c>
      <c r="AE117" s="72">
        <v>0.92</v>
      </c>
      <c r="AF117" s="72">
        <v>535</v>
      </c>
      <c r="AG117" s="72">
        <v>747</v>
      </c>
      <c r="AH117" s="72" t="s">
        <v>414</v>
      </c>
      <c r="AI117" s="72">
        <v>1531400</v>
      </c>
      <c r="AJ117" s="72">
        <v>0.03</v>
      </c>
      <c r="AK117" s="72" t="s">
        <v>414</v>
      </c>
      <c r="AL117" s="72" t="s">
        <v>414</v>
      </c>
      <c r="AM117" s="72">
        <v>13.24</v>
      </c>
      <c r="AN117" s="72" t="s">
        <v>1036</v>
      </c>
      <c r="AO117" s="72" t="s">
        <v>1037</v>
      </c>
      <c r="AP117" s="72">
        <v>0.46</v>
      </c>
      <c r="AQ117" s="72">
        <v>1550</v>
      </c>
      <c r="AR117" s="72">
        <v>93</v>
      </c>
      <c r="AS117" s="72">
        <v>6.9999999999999999E-4</v>
      </c>
      <c r="AT117" s="72">
        <v>2</v>
      </c>
      <c r="AU117" s="72">
        <v>6.78</v>
      </c>
      <c r="AV117" s="72">
        <v>1.62</v>
      </c>
      <c r="AW117" s="72" t="s">
        <v>730</v>
      </c>
      <c r="AX117" s="72">
        <v>0.79</v>
      </c>
      <c r="AY117" s="72">
        <v>37.07</v>
      </c>
      <c r="AZ117" s="72">
        <v>104.96</v>
      </c>
      <c r="BA117" s="72">
        <v>1.55</v>
      </c>
      <c r="BB117" s="72">
        <v>3.1</v>
      </c>
      <c r="BC117" s="72">
        <v>0.78</v>
      </c>
      <c r="BD117" s="72">
        <v>1.93</v>
      </c>
      <c r="BE117" s="72">
        <v>1.07</v>
      </c>
      <c r="BF117" s="72">
        <v>-0.45</v>
      </c>
      <c r="BG117" s="72">
        <v>1.85</v>
      </c>
      <c r="BH117" s="72">
        <v>0.7</v>
      </c>
      <c r="BI117" s="72">
        <v>20200925</v>
      </c>
      <c r="BJ117" s="72">
        <v>20091203</v>
      </c>
      <c r="BK117" s="72">
        <v>13.78</v>
      </c>
      <c r="BL117" s="72" t="s">
        <v>414</v>
      </c>
      <c r="BM117" s="72" t="s">
        <v>414</v>
      </c>
      <c r="BN117" s="72">
        <v>68.94</v>
      </c>
      <c r="BO117" s="72">
        <v>32.83</v>
      </c>
      <c r="BP117" s="72">
        <v>0.05</v>
      </c>
      <c r="BQ117" s="72">
        <v>52.3</v>
      </c>
      <c r="BR117" s="72">
        <v>23.41</v>
      </c>
      <c r="BS117" s="72">
        <v>21.05</v>
      </c>
      <c r="BT117" s="72">
        <v>4.79</v>
      </c>
      <c r="BU117" s="72">
        <v>26.16</v>
      </c>
      <c r="BV117" s="72">
        <v>6.19</v>
      </c>
      <c r="BW117" s="72">
        <v>2.68</v>
      </c>
      <c r="BX117" s="72">
        <v>27.76</v>
      </c>
      <c r="BY117" s="72">
        <v>24.5</v>
      </c>
      <c r="BZ117" s="72">
        <v>19.59</v>
      </c>
      <c r="CA117" s="72">
        <v>1.45</v>
      </c>
      <c r="CB117" s="72">
        <v>-0.68</v>
      </c>
      <c r="CC117" s="72">
        <v>1.4</v>
      </c>
      <c r="CD117" s="72">
        <v>0.92</v>
      </c>
      <c r="CE117" s="72">
        <v>0.92</v>
      </c>
      <c r="CF117" s="72">
        <v>-8.41</v>
      </c>
      <c r="CG117" s="72">
        <v>2.06</v>
      </c>
      <c r="CH117" s="72">
        <v>-4.9000000000000004</v>
      </c>
      <c r="CI117" s="72">
        <v>73827</v>
      </c>
      <c r="CJ117" s="72">
        <v>12028</v>
      </c>
      <c r="CK117" s="72" t="s">
        <v>1038</v>
      </c>
      <c r="CL117" s="72">
        <v>247.32</v>
      </c>
      <c r="CM117" s="72">
        <v>554.79999999999995</v>
      </c>
      <c r="CN117" s="72">
        <v>2.78</v>
      </c>
      <c r="CO117" s="72">
        <v>44.27</v>
      </c>
      <c r="CP117" s="72">
        <v>3.72</v>
      </c>
      <c r="CQ117" s="72">
        <v>0</v>
      </c>
      <c r="CR117" s="72" t="s">
        <v>1039</v>
      </c>
      <c r="CS117" s="72">
        <v>2.38</v>
      </c>
      <c r="CT117" s="72">
        <v>0</v>
      </c>
      <c r="CU117" s="72">
        <v>2.0099999999999998</v>
      </c>
      <c r="CV117" s="72">
        <v>-0.61</v>
      </c>
      <c r="CW117" s="72">
        <v>47.63</v>
      </c>
      <c r="CX117" s="72" t="s">
        <v>1040</v>
      </c>
      <c r="CY117" s="72">
        <v>20.059999999999999</v>
      </c>
      <c r="CZ117" s="72">
        <v>5.93</v>
      </c>
      <c r="DA117" s="72">
        <v>3.77</v>
      </c>
      <c r="DB117" s="72">
        <v>2312</v>
      </c>
    </row>
    <row r="118" spans="7:106" x14ac:dyDescent="0.25">
      <c r="G118" s="72">
        <v>2381</v>
      </c>
      <c r="H118" s="72" t="s">
        <v>1041</v>
      </c>
      <c r="I118" s="72">
        <v>3.49</v>
      </c>
      <c r="J118" s="72">
        <v>3.19</v>
      </c>
      <c r="K118" s="72">
        <v>10.09</v>
      </c>
      <c r="L118" s="72">
        <v>0.34</v>
      </c>
      <c r="M118" s="72">
        <v>10.09</v>
      </c>
      <c r="N118" s="72">
        <v>10.1</v>
      </c>
      <c r="O118" s="72">
        <v>35560</v>
      </c>
      <c r="P118" s="72">
        <v>1</v>
      </c>
      <c r="Q118" s="72">
        <v>-0.19</v>
      </c>
      <c r="R118" s="72">
        <v>1.1299999999999999</v>
      </c>
      <c r="S118" s="72">
        <v>9.8000000000000007</v>
      </c>
      <c r="T118" s="72">
        <v>10.28</v>
      </c>
      <c r="U118" s="72">
        <v>9.8000000000000007</v>
      </c>
      <c r="V118" s="72">
        <v>9.75</v>
      </c>
      <c r="W118" s="72">
        <v>14.21</v>
      </c>
      <c r="X118" s="72">
        <v>35872680</v>
      </c>
      <c r="Y118" s="72" t="s">
        <v>359</v>
      </c>
      <c r="Z118" s="72" t="s">
        <v>358</v>
      </c>
      <c r="AA118" s="72">
        <v>4.92</v>
      </c>
      <c r="AB118" s="72">
        <v>10.09</v>
      </c>
      <c r="AC118" s="72">
        <v>13296</v>
      </c>
      <c r="AD118" s="72">
        <v>22264</v>
      </c>
      <c r="AE118" s="72">
        <v>0.6</v>
      </c>
      <c r="AF118" s="72">
        <v>150</v>
      </c>
      <c r="AG118" s="72">
        <v>75</v>
      </c>
      <c r="AH118" s="72" t="s">
        <v>414</v>
      </c>
      <c r="AI118" s="72">
        <v>51900</v>
      </c>
      <c r="AJ118" s="72">
        <v>0</v>
      </c>
      <c r="AK118" s="72" t="s">
        <v>414</v>
      </c>
      <c r="AL118" s="72" t="s">
        <v>414</v>
      </c>
      <c r="AM118" s="72">
        <v>3.15</v>
      </c>
      <c r="AN118" s="72" t="s">
        <v>1042</v>
      </c>
      <c r="AO118" s="72" t="s">
        <v>1043</v>
      </c>
      <c r="AP118" s="72">
        <v>1.31</v>
      </c>
      <c r="AQ118" s="72">
        <v>1027</v>
      </c>
      <c r="AR118" s="72">
        <v>35</v>
      </c>
      <c r="AS118" s="72">
        <v>1.1000000000000001E-3</v>
      </c>
      <c r="AT118" s="72">
        <v>2</v>
      </c>
      <c r="AU118" s="72">
        <v>6.88</v>
      </c>
      <c r="AV118" s="72">
        <v>1.5</v>
      </c>
      <c r="AW118" s="72" t="s">
        <v>1044</v>
      </c>
      <c r="AX118" s="72">
        <v>0.91</v>
      </c>
      <c r="AY118" s="72">
        <v>14.74</v>
      </c>
      <c r="AZ118" s="72">
        <v>16.14</v>
      </c>
      <c r="BA118" s="72">
        <v>0.51</v>
      </c>
      <c r="BB118" s="72">
        <v>5.44</v>
      </c>
      <c r="BC118" s="72">
        <v>0.51</v>
      </c>
      <c r="BD118" s="72">
        <v>3.47</v>
      </c>
      <c r="BE118" s="72">
        <v>2.96</v>
      </c>
      <c r="BF118" s="72">
        <v>-1.85</v>
      </c>
      <c r="BG118" s="72">
        <v>2.96</v>
      </c>
      <c r="BH118" s="72">
        <v>0.02</v>
      </c>
      <c r="BI118" s="72">
        <v>20200820</v>
      </c>
      <c r="BJ118" s="72">
        <v>20100402</v>
      </c>
      <c r="BK118" s="72">
        <v>4.12</v>
      </c>
      <c r="BL118" s="72" t="s">
        <v>414</v>
      </c>
      <c r="BM118" s="72" t="s">
        <v>414</v>
      </c>
      <c r="BN118" s="72">
        <v>23.18</v>
      </c>
      <c r="BO118" s="72">
        <v>17.989999999999998</v>
      </c>
      <c r="BP118" s="72">
        <v>0.08</v>
      </c>
      <c r="BQ118" s="72">
        <v>22.03</v>
      </c>
      <c r="BR118" s="72">
        <v>16.38</v>
      </c>
      <c r="BS118" s="72">
        <v>4.47</v>
      </c>
      <c r="BT118" s="72">
        <v>0.54</v>
      </c>
      <c r="BU118" s="72">
        <v>5.0999999999999996</v>
      </c>
      <c r="BV118" s="72">
        <v>2.75</v>
      </c>
      <c r="BW118" s="72">
        <v>4.47</v>
      </c>
      <c r="BX118" s="72">
        <v>5.69</v>
      </c>
      <c r="BY118" s="72">
        <v>8.14</v>
      </c>
      <c r="BZ118" s="72">
        <v>5.49</v>
      </c>
      <c r="CA118" s="72">
        <v>1.75</v>
      </c>
      <c r="CB118" s="72">
        <v>0.04</v>
      </c>
      <c r="CC118" s="72">
        <v>1.77</v>
      </c>
      <c r="CD118" s="72">
        <v>1.45</v>
      </c>
      <c r="CE118" s="72">
        <v>1.46</v>
      </c>
      <c r="CF118" s="72">
        <v>6.85</v>
      </c>
      <c r="CG118" s="72">
        <v>1.52</v>
      </c>
      <c r="CH118" s="72">
        <v>1.1599999999999999</v>
      </c>
      <c r="CI118" s="72">
        <v>25425</v>
      </c>
      <c r="CJ118" s="72">
        <v>9295</v>
      </c>
      <c r="CK118" s="72" t="s">
        <v>1045</v>
      </c>
      <c r="CL118" s="72">
        <v>19.29</v>
      </c>
      <c r="CM118" s="72">
        <v>13.32</v>
      </c>
      <c r="CN118" s="72">
        <v>2.31</v>
      </c>
      <c r="CO118" s="72">
        <v>27.34</v>
      </c>
      <c r="CP118" s="72">
        <v>5.0999999999999996</v>
      </c>
      <c r="CQ118" s="72">
        <v>3.08</v>
      </c>
      <c r="CR118" s="72" t="s">
        <v>1046</v>
      </c>
      <c r="CS118" s="72">
        <v>4.37</v>
      </c>
      <c r="CT118" s="72">
        <v>0</v>
      </c>
      <c r="CU118" s="72">
        <v>1.38</v>
      </c>
      <c r="CV118" s="72">
        <v>1.66</v>
      </c>
      <c r="CW118" s="72">
        <v>77.63</v>
      </c>
      <c r="CX118" s="72" t="s">
        <v>761</v>
      </c>
      <c r="CY118" s="72">
        <v>32.54</v>
      </c>
      <c r="CZ118" s="72">
        <v>21.51</v>
      </c>
      <c r="DA118" s="72">
        <v>17.96</v>
      </c>
      <c r="DB118" s="72">
        <v>2381</v>
      </c>
    </row>
    <row r="119" spans="7:106" x14ac:dyDescent="0.25">
      <c r="G119" s="72">
        <v>2382</v>
      </c>
      <c r="H119" s="72" t="s">
        <v>1047</v>
      </c>
      <c r="I119" s="72">
        <v>2.87</v>
      </c>
      <c r="J119" s="72">
        <v>1.73</v>
      </c>
      <c r="K119" s="72">
        <v>25.77</v>
      </c>
      <c r="L119" s="72">
        <v>0.72</v>
      </c>
      <c r="M119" s="72">
        <v>25.77</v>
      </c>
      <c r="N119" s="72">
        <v>25.78</v>
      </c>
      <c r="O119" s="72">
        <v>162815</v>
      </c>
      <c r="P119" s="72">
        <v>29</v>
      </c>
      <c r="Q119" s="72">
        <v>0.04</v>
      </c>
      <c r="R119" s="72">
        <v>2.31</v>
      </c>
      <c r="S119" s="72">
        <v>25.2</v>
      </c>
      <c r="T119" s="72">
        <v>25.78</v>
      </c>
      <c r="U119" s="72">
        <v>25.01</v>
      </c>
      <c r="V119" s="72">
        <v>25.05</v>
      </c>
      <c r="W119" s="72">
        <v>19.989999999999998</v>
      </c>
      <c r="X119" s="114">
        <v>413000000</v>
      </c>
      <c r="Y119" s="72" t="s">
        <v>506</v>
      </c>
      <c r="Z119" s="72" t="s">
        <v>349</v>
      </c>
      <c r="AA119" s="72">
        <v>3.07</v>
      </c>
      <c r="AB119" s="72">
        <v>25.36</v>
      </c>
      <c r="AC119" s="72">
        <v>75326</v>
      </c>
      <c r="AD119" s="72">
        <v>87489</v>
      </c>
      <c r="AE119" s="72">
        <v>0.86</v>
      </c>
      <c r="AF119" s="72">
        <v>94</v>
      </c>
      <c r="AG119" s="72">
        <v>227</v>
      </c>
      <c r="AH119" s="72" t="s">
        <v>414</v>
      </c>
      <c r="AI119" s="72">
        <v>6015200</v>
      </c>
      <c r="AJ119" s="72">
        <v>0.06</v>
      </c>
      <c r="AK119" s="72" t="s">
        <v>414</v>
      </c>
      <c r="AL119" s="72" t="s">
        <v>414</v>
      </c>
      <c r="AM119" s="72">
        <v>7.03</v>
      </c>
      <c r="AN119" s="72" t="s">
        <v>1048</v>
      </c>
      <c r="AO119" s="72" t="s">
        <v>1049</v>
      </c>
      <c r="AP119" s="72">
        <v>0.7</v>
      </c>
      <c r="AQ119" s="72">
        <v>1836</v>
      </c>
      <c r="AR119" s="72">
        <v>89</v>
      </c>
      <c r="AS119" s="72">
        <v>1.2999999999999999E-3</v>
      </c>
      <c r="AT119" s="72">
        <v>4</v>
      </c>
      <c r="AU119" s="72">
        <v>8</v>
      </c>
      <c r="AV119" s="72">
        <v>4.1100000000000003</v>
      </c>
      <c r="AW119" s="72" t="s">
        <v>1050</v>
      </c>
      <c r="AX119" s="72">
        <v>1.41</v>
      </c>
      <c r="AY119" s="72">
        <v>27.53</v>
      </c>
      <c r="AZ119" s="72">
        <v>49.25</v>
      </c>
      <c r="BA119" s="72">
        <v>0.6</v>
      </c>
      <c r="BB119" s="72">
        <v>2.91</v>
      </c>
      <c r="BC119" s="72">
        <v>-0.16</v>
      </c>
      <c r="BD119" s="72">
        <v>1.23</v>
      </c>
      <c r="BE119" s="72">
        <v>2.2599999999999998</v>
      </c>
      <c r="BF119" s="72">
        <v>-0.04</v>
      </c>
      <c r="BG119" s="72">
        <v>3.04</v>
      </c>
      <c r="BH119" s="72">
        <v>1.64</v>
      </c>
      <c r="BI119" s="72">
        <v>20200924</v>
      </c>
      <c r="BJ119" s="72">
        <v>20100402</v>
      </c>
      <c r="BK119" s="72">
        <v>9.64</v>
      </c>
      <c r="BL119" s="72" t="s">
        <v>414</v>
      </c>
      <c r="BM119" s="72" t="s">
        <v>414</v>
      </c>
      <c r="BN119" s="72">
        <v>176.67</v>
      </c>
      <c r="BO119" s="72">
        <v>94.57</v>
      </c>
      <c r="BP119" s="72">
        <v>0.36</v>
      </c>
      <c r="BQ119" s="72">
        <v>46.27</v>
      </c>
      <c r="BR119" s="72">
        <v>64.16</v>
      </c>
      <c r="BS119" s="72">
        <v>16.86</v>
      </c>
      <c r="BT119" s="72">
        <v>9.85</v>
      </c>
      <c r="BU119" s="72">
        <v>43.78</v>
      </c>
      <c r="BV119" s="72">
        <v>4.5999999999999996</v>
      </c>
      <c r="BW119" s="72">
        <v>7.04</v>
      </c>
      <c r="BX119" s="72">
        <v>56.67</v>
      </c>
      <c r="BY119" s="72">
        <v>22.84</v>
      </c>
      <c r="BZ119" s="72">
        <v>10.64</v>
      </c>
      <c r="CA119" s="72">
        <v>7.54</v>
      </c>
      <c r="CB119" s="72">
        <v>0.2</v>
      </c>
      <c r="CC119" s="72">
        <v>7.6</v>
      </c>
      <c r="CD119" s="72">
        <v>6.25</v>
      </c>
      <c r="CE119" s="72">
        <v>6.21</v>
      </c>
      <c r="CF119" s="72">
        <v>17.21</v>
      </c>
      <c r="CG119" s="72">
        <v>9.5</v>
      </c>
      <c r="CH119" s="72">
        <v>25</v>
      </c>
      <c r="CI119" s="72">
        <v>66197</v>
      </c>
      <c r="CJ119" s="72">
        <v>5988</v>
      </c>
      <c r="CK119" s="72" t="s">
        <v>1051</v>
      </c>
      <c r="CL119" s="72">
        <v>164.85</v>
      </c>
      <c r="CM119" s="72">
        <v>35.450000000000003</v>
      </c>
      <c r="CN119" s="72">
        <v>2.76</v>
      </c>
      <c r="CO119" s="72">
        <v>26.14</v>
      </c>
      <c r="CP119" s="72">
        <v>10.88</v>
      </c>
      <c r="CQ119" s="72">
        <v>0.4</v>
      </c>
      <c r="CR119" s="72" t="s">
        <v>1052</v>
      </c>
      <c r="CS119" s="72">
        <v>9.33</v>
      </c>
      <c r="CT119" s="72">
        <v>9.33</v>
      </c>
      <c r="CU119" s="72">
        <v>5.88</v>
      </c>
      <c r="CV119" s="72">
        <v>1.79</v>
      </c>
      <c r="CW119" s="72">
        <v>53.53</v>
      </c>
      <c r="CX119" s="72" t="s">
        <v>834</v>
      </c>
      <c r="CY119" s="72">
        <v>53.43</v>
      </c>
      <c r="CZ119" s="72">
        <v>33</v>
      </c>
      <c r="DA119" s="72">
        <v>27.2</v>
      </c>
      <c r="DB119" s="72">
        <v>2382</v>
      </c>
    </row>
    <row r="120" spans="7:106" x14ac:dyDescent="0.25">
      <c r="G120" s="72">
        <v>2385</v>
      </c>
      <c r="H120" s="72" t="s">
        <v>1053</v>
      </c>
      <c r="I120" s="72">
        <v>1.41</v>
      </c>
      <c r="J120" s="72">
        <v>1.78</v>
      </c>
      <c r="K120" s="72">
        <v>9.36</v>
      </c>
      <c r="L120" s="72">
        <v>0.13</v>
      </c>
      <c r="M120" s="72">
        <v>9.35</v>
      </c>
      <c r="N120" s="72">
        <v>9.36</v>
      </c>
      <c r="O120" s="72">
        <v>466825</v>
      </c>
      <c r="P120" s="72">
        <v>25</v>
      </c>
      <c r="Q120" s="72">
        <v>-0.1</v>
      </c>
      <c r="R120" s="72">
        <v>1.62</v>
      </c>
      <c r="S120" s="72">
        <v>9.2799999999999994</v>
      </c>
      <c r="T120" s="72">
        <v>9.3800000000000008</v>
      </c>
      <c r="U120" s="72">
        <v>9.19</v>
      </c>
      <c r="V120" s="72">
        <v>9.23</v>
      </c>
      <c r="W120" s="72">
        <v>21.98</v>
      </c>
      <c r="X120" s="114">
        <v>434000000</v>
      </c>
      <c r="Y120" s="72" t="s">
        <v>504</v>
      </c>
      <c r="Z120" s="72" t="s">
        <v>372</v>
      </c>
      <c r="AA120" s="72">
        <v>2.06</v>
      </c>
      <c r="AB120" s="72">
        <v>9.2899999999999991</v>
      </c>
      <c r="AC120" s="72">
        <v>201441</v>
      </c>
      <c r="AD120" s="72">
        <v>265384</v>
      </c>
      <c r="AE120" s="72">
        <v>0.76</v>
      </c>
      <c r="AF120" s="72">
        <v>1683</v>
      </c>
      <c r="AG120" s="72">
        <v>32</v>
      </c>
      <c r="AH120" s="72" t="s">
        <v>414</v>
      </c>
      <c r="AI120" s="72">
        <v>5083600</v>
      </c>
      <c r="AJ120" s="72">
        <v>0.02</v>
      </c>
      <c r="AK120" s="72" t="s">
        <v>414</v>
      </c>
      <c r="AL120" s="72" t="s">
        <v>414</v>
      </c>
      <c r="AM120" s="72">
        <v>28.85</v>
      </c>
      <c r="AN120" s="72" t="s">
        <v>1054</v>
      </c>
      <c r="AO120" s="72" t="s">
        <v>1055</v>
      </c>
      <c r="AP120" s="72">
        <v>-0.77</v>
      </c>
      <c r="AQ120" s="72">
        <v>1828</v>
      </c>
      <c r="AR120" s="72">
        <v>255</v>
      </c>
      <c r="AS120" s="72">
        <v>8.9999999999999998E-4</v>
      </c>
      <c r="AT120" s="72">
        <v>2</v>
      </c>
      <c r="AU120" s="72">
        <v>2.74</v>
      </c>
      <c r="AV120" s="72">
        <v>1.76</v>
      </c>
      <c r="AW120" s="72" t="s">
        <v>1056</v>
      </c>
      <c r="AX120" s="72">
        <v>0.89</v>
      </c>
      <c r="AY120" s="72">
        <v>28.21</v>
      </c>
      <c r="AZ120" s="72">
        <v>75.44</v>
      </c>
      <c r="BA120" s="72">
        <v>0.54</v>
      </c>
      <c r="BB120" s="72">
        <v>1.63</v>
      </c>
      <c r="BC120" s="72">
        <v>-0.43</v>
      </c>
      <c r="BD120" s="72">
        <v>0.62</v>
      </c>
      <c r="BE120" s="72">
        <v>0.86</v>
      </c>
      <c r="BF120" s="72">
        <v>-0.21</v>
      </c>
      <c r="BG120" s="72">
        <v>1.85</v>
      </c>
      <c r="BH120" s="72">
        <v>0.78</v>
      </c>
      <c r="BI120" s="72">
        <v>20200903</v>
      </c>
      <c r="BJ120" s="72">
        <v>20100409</v>
      </c>
      <c r="BK120" s="72">
        <v>41.95</v>
      </c>
      <c r="BL120" s="72" t="s">
        <v>414</v>
      </c>
      <c r="BM120" s="72" t="s">
        <v>414</v>
      </c>
      <c r="BN120" s="72">
        <v>209.85</v>
      </c>
      <c r="BO120" s="72">
        <v>99.65</v>
      </c>
      <c r="BP120" s="72">
        <v>16.059999999999999</v>
      </c>
      <c r="BQ120" s="72">
        <v>44.86</v>
      </c>
      <c r="BR120" s="72">
        <v>80.319999999999993</v>
      </c>
      <c r="BS120" s="72">
        <v>60.34</v>
      </c>
      <c r="BT120" s="72">
        <v>15.8</v>
      </c>
      <c r="BU120" s="72">
        <v>76.05</v>
      </c>
      <c r="BV120" s="72">
        <v>26.45</v>
      </c>
      <c r="BW120" s="72">
        <v>11.56</v>
      </c>
      <c r="BX120" s="72">
        <v>12.11</v>
      </c>
      <c r="BY120" s="72">
        <v>89.92</v>
      </c>
      <c r="BZ120" s="72">
        <v>68.14</v>
      </c>
      <c r="CA120" s="72">
        <v>12.43</v>
      </c>
      <c r="CB120" s="72">
        <v>2.9</v>
      </c>
      <c r="CC120" s="72">
        <v>12.36</v>
      </c>
      <c r="CD120" s="72">
        <v>11.37</v>
      </c>
      <c r="CE120" s="72">
        <v>8.93</v>
      </c>
      <c r="CF120" s="72">
        <v>46.66</v>
      </c>
      <c r="CG120" s="72">
        <v>5.19</v>
      </c>
      <c r="CH120" s="72">
        <v>8.81</v>
      </c>
      <c r="CI120" s="72">
        <v>220000</v>
      </c>
      <c r="CJ120" s="72">
        <v>12029</v>
      </c>
      <c r="CK120" s="72" t="s">
        <v>1057</v>
      </c>
      <c r="CL120" s="72">
        <v>2556.1999999999998</v>
      </c>
      <c r="CM120" s="72">
        <v>10.43</v>
      </c>
      <c r="CN120" s="72">
        <v>3.94</v>
      </c>
      <c r="CO120" s="72">
        <v>75.680000000000007</v>
      </c>
      <c r="CP120" s="72">
        <v>4.37</v>
      </c>
      <c r="CQ120" s="72">
        <v>2.44</v>
      </c>
      <c r="CR120" s="72" t="s">
        <v>543</v>
      </c>
      <c r="CS120" s="72">
        <v>2.38</v>
      </c>
      <c r="CT120" s="72">
        <v>0</v>
      </c>
      <c r="CU120" s="72">
        <v>0.28999999999999998</v>
      </c>
      <c r="CV120" s="72">
        <v>1.1100000000000001</v>
      </c>
      <c r="CW120" s="72">
        <v>47.49</v>
      </c>
      <c r="CX120" s="72" t="s">
        <v>566</v>
      </c>
      <c r="CY120" s="72">
        <v>24.22</v>
      </c>
      <c r="CZ120" s="72">
        <v>13.83</v>
      </c>
      <c r="DA120" s="72">
        <v>9.93</v>
      </c>
      <c r="DB120" s="72">
        <v>2385</v>
      </c>
    </row>
    <row r="121" spans="7:106" x14ac:dyDescent="0.25">
      <c r="G121" s="72">
        <v>2392</v>
      </c>
      <c r="H121" s="72" t="s">
        <v>1058</v>
      </c>
      <c r="I121" s="72">
        <v>0.16</v>
      </c>
      <c r="J121" s="72">
        <v>1.23</v>
      </c>
      <c r="K121" s="72">
        <v>6.18</v>
      </c>
      <c r="L121" s="72">
        <v>0.01</v>
      </c>
      <c r="M121" s="72">
        <v>6.17</v>
      </c>
      <c r="N121" s="72">
        <v>6.18</v>
      </c>
      <c r="O121" s="72">
        <v>98204</v>
      </c>
      <c r="P121" s="72">
        <v>103</v>
      </c>
      <c r="Q121" s="72">
        <v>0.32</v>
      </c>
      <c r="R121" s="72">
        <v>1.18</v>
      </c>
      <c r="S121" s="72">
        <v>6.21</v>
      </c>
      <c r="T121" s="72">
        <v>6.25</v>
      </c>
      <c r="U121" s="72">
        <v>6.12</v>
      </c>
      <c r="V121" s="72">
        <v>6.17</v>
      </c>
      <c r="W121" s="72">
        <v>15.97</v>
      </c>
      <c r="X121" s="72">
        <v>60652376</v>
      </c>
      <c r="Y121" s="72" t="s">
        <v>1059</v>
      </c>
      <c r="Z121" s="72" t="s">
        <v>372</v>
      </c>
      <c r="AA121" s="72">
        <v>2.11</v>
      </c>
      <c r="AB121" s="72">
        <v>6.18</v>
      </c>
      <c r="AC121" s="72">
        <v>58685</v>
      </c>
      <c r="AD121" s="72">
        <v>39519</v>
      </c>
      <c r="AE121" s="72">
        <v>1.48</v>
      </c>
      <c r="AF121" s="72">
        <v>312</v>
      </c>
      <c r="AG121" s="72">
        <v>309</v>
      </c>
      <c r="AH121" s="72" t="s">
        <v>414</v>
      </c>
      <c r="AI121" s="72">
        <v>637800</v>
      </c>
      <c r="AJ121" s="72">
        <v>0.01</v>
      </c>
      <c r="AK121" s="72" t="s">
        <v>414</v>
      </c>
      <c r="AL121" s="72" t="s">
        <v>414</v>
      </c>
      <c r="AM121" s="72">
        <v>8.32</v>
      </c>
      <c r="AN121" s="72" t="s">
        <v>1060</v>
      </c>
      <c r="AO121" s="72" t="s">
        <v>1061</v>
      </c>
      <c r="AP121" s="72">
        <v>-2.02</v>
      </c>
      <c r="AQ121" s="72">
        <v>1490</v>
      </c>
      <c r="AR121" s="72">
        <v>66</v>
      </c>
      <c r="AS121" s="72">
        <v>8.0000000000000004E-4</v>
      </c>
      <c r="AT121" s="72">
        <v>2</v>
      </c>
      <c r="AU121" s="72">
        <v>5.0999999999999996</v>
      </c>
      <c r="AV121" s="72">
        <v>1.29</v>
      </c>
      <c r="AW121" s="72" t="s">
        <v>1062</v>
      </c>
      <c r="AX121" s="72">
        <v>1.1200000000000001</v>
      </c>
      <c r="AY121" s="72">
        <v>16.440000000000001</v>
      </c>
      <c r="AZ121" s="72">
        <v>17.66</v>
      </c>
      <c r="BA121" s="72">
        <v>0.65</v>
      </c>
      <c r="BB121" s="72">
        <v>1.3</v>
      </c>
      <c r="BC121" s="72">
        <v>-0.81</v>
      </c>
      <c r="BD121" s="72">
        <v>0.1</v>
      </c>
      <c r="BE121" s="72">
        <v>-0.48</v>
      </c>
      <c r="BF121" s="72">
        <v>-1.1200000000000001</v>
      </c>
      <c r="BG121" s="72">
        <v>0.98</v>
      </c>
      <c r="BH121" s="72">
        <v>0.06</v>
      </c>
      <c r="BI121" s="72">
        <v>20200828</v>
      </c>
      <c r="BJ121" s="72">
        <v>20100423</v>
      </c>
      <c r="BK121" s="72">
        <v>11.9</v>
      </c>
      <c r="BL121" s="72" t="s">
        <v>414</v>
      </c>
      <c r="BM121" s="72" t="s">
        <v>414</v>
      </c>
      <c r="BN121" s="72">
        <v>58.44</v>
      </c>
      <c r="BO121" s="72">
        <v>39.64</v>
      </c>
      <c r="BP121" s="72">
        <v>0.09</v>
      </c>
      <c r="BQ121" s="72">
        <v>32.020000000000003</v>
      </c>
      <c r="BR121" s="72">
        <v>41.23</v>
      </c>
      <c r="BS121" s="72">
        <v>6.54</v>
      </c>
      <c r="BT121" s="72">
        <v>4.2300000000000004</v>
      </c>
      <c r="BU121" s="72">
        <v>18.440000000000001</v>
      </c>
      <c r="BV121" s="72">
        <v>6.35</v>
      </c>
      <c r="BW121" s="72">
        <v>13.79</v>
      </c>
      <c r="BX121" s="72">
        <v>9.8800000000000008</v>
      </c>
      <c r="BY121" s="72">
        <v>20.92</v>
      </c>
      <c r="BZ121" s="72">
        <v>15.71</v>
      </c>
      <c r="CA121" s="72">
        <v>2.68</v>
      </c>
      <c r="CB121" s="72">
        <v>0.12</v>
      </c>
      <c r="CC121" s="72">
        <v>2.69</v>
      </c>
      <c r="CD121" s="72">
        <v>2.31</v>
      </c>
      <c r="CE121" s="72">
        <v>2.2999999999999998</v>
      </c>
      <c r="CF121" s="72">
        <v>17.350000000000001</v>
      </c>
      <c r="CG121" s="72">
        <v>2</v>
      </c>
      <c r="CH121" s="72">
        <v>-0.08</v>
      </c>
      <c r="CI121" s="72">
        <v>72157</v>
      </c>
      <c r="CJ121" s="72">
        <v>10532</v>
      </c>
      <c r="CK121" s="72" t="s">
        <v>1063</v>
      </c>
      <c r="CL121" s="72">
        <v>15.42</v>
      </c>
      <c r="CM121" s="72">
        <v>27.09</v>
      </c>
      <c r="CN121" s="72">
        <v>1.86</v>
      </c>
      <c r="CO121" s="72">
        <v>36.81</v>
      </c>
      <c r="CP121" s="72">
        <v>3.52</v>
      </c>
      <c r="CQ121" s="72">
        <v>0.56000000000000005</v>
      </c>
      <c r="CR121" s="72" t="s">
        <v>1064</v>
      </c>
      <c r="CS121" s="72">
        <v>3.33</v>
      </c>
      <c r="CT121" s="72">
        <v>0</v>
      </c>
      <c r="CU121" s="72">
        <v>0.83</v>
      </c>
      <c r="CV121" s="72">
        <v>1.46</v>
      </c>
      <c r="CW121" s="72">
        <v>67.83</v>
      </c>
      <c r="CX121" s="72" t="s">
        <v>1065</v>
      </c>
      <c r="CY121" s="72">
        <v>24.92</v>
      </c>
      <c r="CZ121" s="72">
        <v>12.8</v>
      </c>
      <c r="DA121" s="72">
        <v>11.01</v>
      </c>
      <c r="DB121" s="72">
        <v>2392</v>
      </c>
    </row>
    <row r="122" spans="7:106" x14ac:dyDescent="0.25">
      <c r="G122" s="72">
        <v>2432</v>
      </c>
      <c r="H122" s="72" t="s">
        <v>1066</v>
      </c>
      <c r="I122" s="72">
        <v>3.01</v>
      </c>
      <c r="J122" s="72">
        <v>2.5099999999999998</v>
      </c>
      <c r="K122" s="72">
        <v>11.3</v>
      </c>
      <c r="L122" s="72">
        <v>0.33</v>
      </c>
      <c r="M122" s="72">
        <v>11.29</v>
      </c>
      <c r="N122" s="72">
        <v>11.3</v>
      </c>
      <c r="O122" s="72">
        <v>72906</v>
      </c>
      <c r="P122" s="72">
        <v>7</v>
      </c>
      <c r="Q122" s="72">
        <v>0.18</v>
      </c>
      <c r="R122" s="72">
        <v>1.68</v>
      </c>
      <c r="S122" s="72">
        <v>11.1</v>
      </c>
      <c r="T122" s="72">
        <v>11.37</v>
      </c>
      <c r="U122" s="72">
        <v>11.06</v>
      </c>
      <c r="V122" s="72">
        <v>10.97</v>
      </c>
      <c r="W122" s="72">
        <v>9.49</v>
      </c>
      <c r="X122" s="114">
        <v>82021216</v>
      </c>
      <c r="Y122" s="72" t="s">
        <v>506</v>
      </c>
      <c r="Z122" s="72" t="s">
        <v>374</v>
      </c>
      <c r="AA122" s="72">
        <v>2.83</v>
      </c>
      <c r="AB122" s="72">
        <v>11.25</v>
      </c>
      <c r="AC122" s="72">
        <v>30767</v>
      </c>
      <c r="AD122" s="72">
        <v>42139</v>
      </c>
      <c r="AE122" s="72">
        <v>0.73</v>
      </c>
      <c r="AF122" s="72">
        <v>171</v>
      </c>
      <c r="AG122" s="72">
        <v>664</v>
      </c>
      <c r="AH122" s="72" t="s">
        <v>414</v>
      </c>
      <c r="AI122" s="72">
        <v>500600</v>
      </c>
      <c r="AJ122" s="72">
        <v>0.01</v>
      </c>
      <c r="AK122" s="72" t="s">
        <v>414</v>
      </c>
      <c r="AL122" s="72" t="s">
        <v>414</v>
      </c>
      <c r="AM122" s="72">
        <v>4.33</v>
      </c>
      <c r="AN122" s="72" t="s">
        <v>919</v>
      </c>
      <c r="AO122" s="72" t="s">
        <v>919</v>
      </c>
      <c r="AP122" s="72">
        <v>0.83</v>
      </c>
      <c r="AQ122" s="72">
        <v>1486</v>
      </c>
      <c r="AR122" s="72">
        <v>49</v>
      </c>
      <c r="AS122" s="72">
        <v>1.1000000000000001E-3</v>
      </c>
      <c r="AT122" s="72">
        <v>2</v>
      </c>
      <c r="AU122" s="72">
        <v>7.51</v>
      </c>
      <c r="AV122" s="72">
        <v>2.42</v>
      </c>
      <c r="AW122" s="72" t="s">
        <v>1067</v>
      </c>
      <c r="AX122" s="72">
        <v>1.22</v>
      </c>
      <c r="AY122" s="72">
        <v>12.7</v>
      </c>
      <c r="AZ122" s="72">
        <v>71.45</v>
      </c>
      <c r="BA122" s="72">
        <v>1.19</v>
      </c>
      <c r="BB122" s="72">
        <v>3.65</v>
      </c>
      <c r="BC122" s="72">
        <v>0.82</v>
      </c>
      <c r="BD122" s="72">
        <v>2.56</v>
      </c>
      <c r="BE122" s="72">
        <v>1.8</v>
      </c>
      <c r="BF122" s="72">
        <v>-0.62</v>
      </c>
      <c r="BG122" s="72">
        <v>2.17</v>
      </c>
      <c r="BH122" s="72">
        <v>0.45</v>
      </c>
      <c r="BI122" s="72">
        <v>20200828</v>
      </c>
      <c r="BJ122" s="72">
        <v>20100610</v>
      </c>
      <c r="BK122" s="72">
        <v>4.33</v>
      </c>
      <c r="BL122" s="72" t="s">
        <v>414</v>
      </c>
      <c r="BM122" s="72" t="s">
        <v>414</v>
      </c>
      <c r="BN122" s="72">
        <v>26.12</v>
      </c>
      <c r="BO122" s="72">
        <v>19.36</v>
      </c>
      <c r="BP122" s="72">
        <v>0.03</v>
      </c>
      <c r="BQ122" s="72">
        <v>25.75</v>
      </c>
      <c r="BR122" s="72">
        <v>17.05</v>
      </c>
      <c r="BS122" s="72">
        <v>2.14</v>
      </c>
      <c r="BT122" s="72">
        <v>1.21</v>
      </c>
      <c r="BU122" s="72">
        <v>4.62</v>
      </c>
      <c r="BV122" s="72">
        <v>3.24</v>
      </c>
      <c r="BW122" s="72">
        <v>1.75</v>
      </c>
      <c r="BX122" s="72">
        <v>13.06</v>
      </c>
      <c r="BY122" s="72">
        <v>10.41</v>
      </c>
      <c r="BZ122" s="72">
        <v>4.1100000000000003</v>
      </c>
      <c r="CA122" s="72">
        <v>3.16</v>
      </c>
      <c r="CB122" s="72">
        <v>3.04</v>
      </c>
      <c r="CC122" s="72">
        <v>3.15</v>
      </c>
      <c r="CD122" s="72">
        <v>3.24</v>
      </c>
      <c r="CE122" s="72">
        <v>2.58</v>
      </c>
      <c r="CF122" s="72">
        <v>1.53</v>
      </c>
      <c r="CG122" s="72">
        <v>2.56</v>
      </c>
      <c r="CH122" s="72">
        <v>4.0599999999999996</v>
      </c>
      <c r="CI122" s="72">
        <v>77000</v>
      </c>
      <c r="CJ122" s="72">
        <v>3907</v>
      </c>
      <c r="CK122" s="72" t="s">
        <v>1068</v>
      </c>
      <c r="CL122" s="72">
        <v>618.11</v>
      </c>
      <c r="CM122" s="72">
        <v>222.8</v>
      </c>
      <c r="CN122" s="72">
        <v>2.5299999999999998</v>
      </c>
      <c r="CO122" s="72">
        <v>19.09</v>
      </c>
      <c r="CP122" s="72">
        <v>4.7</v>
      </c>
      <c r="CQ122" s="72">
        <v>0</v>
      </c>
      <c r="CR122" s="72" t="s">
        <v>1069</v>
      </c>
      <c r="CS122" s="72">
        <v>4.47</v>
      </c>
      <c r="CT122" s="72">
        <v>0</v>
      </c>
      <c r="CU122" s="72">
        <v>3.02</v>
      </c>
      <c r="CV122" s="72">
        <v>0.35</v>
      </c>
      <c r="CW122" s="72">
        <v>74.14</v>
      </c>
      <c r="CX122" s="72" t="s">
        <v>1070</v>
      </c>
      <c r="CY122" s="72">
        <v>60.52</v>
      </c>
      <c r="CZ122" s="72">
        <v>30.4</v>
      </c>
      <c r="DA122" s="72">
        <v>24.76</v>
      </c>
      <c r="DB122" s="72">
        <v>2432</v>
      </c>
    </row>
    <row r="123" spans="7:106" x14ac:dyDescent="0.25">
      <c r="G123" s="72">
        <v>2434</v>
      </c>
      <c r="H123" s="72" t="s">
        <v>1071</v>
      </c>
      <c r="I123" s="72">
        <v>0.89</v>
      </c>
      <c r="J123" s="72">
        <v>1.55</v>
      </c>
      <c r="K123" s="72">
        <v>10.17</v>
      </c>
      <c r="L123" s="72">
        <v>0.09</v>
      </c>
      <c r="M123" s="72">
        <v>10.17</v>
      </c>
      <c r="N123" s="72">
        <v>10.18</v>
      </c>
      <c r="O123" s="72">
        <v>70567</v>
      </c>
      <c r="P123" s="72">
        <v>3</v>
      </c>
      <c r="Q123" s="72">
        <v>0.1</v>
      </c>
      <c r="R123" s="72">
        <v>0.6</v>
      </c>
      <c r="S123" s="72">
        <v>10.220000000000001</v>
      </c>
      <c r="T123" s="72">
        <v>10.28</v>
      </c>
      <c r="U123" s="72">
        <v>10.07</v>
      </c>
      <c r="V123" s="72">
        <v>10.08</v>
      </c>
      <c r="W123" s="72">
        <v>24.5</v>
      </c>
      <c r="X123" s="114">
        <v>71723544</v>
      </c>
      <c r="Y123" s="72" t="s">
        <v>398</v>
      </c>
      <c r="Z123" s="72" t="s">
        <v>358</v>
      </c>
      <c r="AA123" s="72">
        <v>2.08</v>
      </c>
      <c r="AB123" s="72">
        <v>10.16</v>
      </c>
      <c r="AC123" s="72">
        <v>34595</v>
      </c>
      <c r="AD123" s="72">
        <v>35972</v>
      </c>
      <c r="AE123" s="72">
        <v>0.96</v>
      </c>
      <c r="AF123" s="72">
        <v>263</v>
      </c>
      <c r="AG123" s="72">
        <v>59</v>
      </c>
      <c r="AH123" s="72" t="s">
        <v>414</v>
      </c>
      <c r="AI123" s="72">
        <v>1261100</v>
      </c>
      <c r="AJ123" s="72">
        <v>0.02</v>
      </c>
      <c r="AK123" s="72" t="s">
        <v>414</v>
      </c>
      <c r="AL123" s="72" t="s">
        <v>414</v>
      </c>
      <c r="AM123" s="72">
        <v>11.74</v>
      </c>
      <c r="AN123" s="72" t="s">
        <v>1072</v>
      </c>
      <c r="AO123" s="72" t="s">
        <v>1073</v>
      </c>
      <c r="AP123" s="72">
        <v>-1.28</v>
      </c>
      <c r="AQ123" s="72">
        <v>1227</v>
      </c>
      <c r="AR123" s="72">
        <v>58</v>
      </c>
      <c r="AS123" s="72">
        <v>5.0000000000000001E-4</v>
      </c>
      <c r="AT123" s="72">
        <v>2</v>
      </c>
      <c r="AU123" s="72">
        <v>3.78</v>
      </c>
      <c r="AV123" s="72">
        <v>1.3</v>
      </c>
      <c r="AW123" s="72" t="s">
        <v>1074</v>
      </c>
      <c r="AX123" s="72">
        <v>1.01</v>
      </c>
      <c r="AY123" s="72">
        <v>30.25</v>
      </c>
      <c r="AZ123" s="72">
        <v>33.74</v>
      </c>
      <c r="BA123" s="72">
        <v>1.39</v>
      </c>
      <c r="BB123" s="72">
        <v>1.98</v>
      </c>
      <c r="BC123" s="72">
        <v>-0.1</v>
      </c>
      <c r="BD123" s="72">
        <v>0.83</v>
      </c>
      <c r="BE123" s="72">
        <v>-0.49</v>
      </c>
      <c r="BF123" s="72">
        <v>-1.07</v>
      </c>
      <c r="BG123" s="72">
        <v>0.99</v>
      </c>
      <c r="BH123" s="72">
        <v>0.06</v>
      </c>
      <c r="BI123" s="72">
        <v>20200912</v>
      </c>
      <c r="BJ123" s="72">
        <v>20100618</v>
      </c>
      <c r="BK123" s="72">
        <v>13.4</v>
      </c>
      <c r="BL123" s="72" t="s">
        <v>414</v>
      </c>
      <c r="BM123" s="72" t="s">
        <v>414</v>
      </c>
      <c r="BN123" s="72">
        <v>112.62</v>
      </c>
      <c r="BO123" s="72">
        <v>63.12</v>
      </c>
      <c r="BP123" s="72">
        <v>0.4</v>
      </c>
      <c r="BQ123" s="72">
        <v>43.6</v>
      </c>
      <c r="BR123" s="72">
        <v>52.26</v>
      </c>
      <c r="BS123" s="72">
        <v>22.8</v>
      </c>
      <c r="BT123" s="72">
        <v>5.03</v>
      </c>
      <c r="BU123" s="72">
        <v>47.19</v>
      </c>
      <c r="BV123" s="72">
        <v>9.08</v>
      </c>
      <c r="BW123" s="72">
        <v>14.84</v>
      </c>
      <c r="BX123" s="72">
        <v>30.36</v>
      </c>
      <c r="BY123" s="72">
        <v>25.52</v>
      </c>
      <c r="BZ123" s="72">
        <v>20.190000000000001</v>
      </c>
      <c r="CA123" s="72">
        <v>3.14</v>
      </c>
      <c r="CB123" s="72">
        <v>-0.26</v>
      </c>
      <c r="CC123" s="72">
        <v>3.12</v>
      </c>
      <c r="CD123" s="72">
        <v>2.74</v>
      </c>
      <c r="CE123" s="72">
        <v>2.78</v>
      </c>
      <c r="CF123" s="72">
        <v>19.190000000000001</v>
      </c>
      <c r="CG123" s="72">
        <v>3.65</v>
      </c>
      <c r="CH123" s="72">
        <v>0.96</v>
      </c>
      <c r="CI123" s="72">
        <v>23724</v>
      </c>
      <c r="CJ123" s="72">
        <v>22793</v>
      </c>
      <c r="CK123" s="72" t="s">
        <v>1075</v>
      </c>
      <c r="CL123" s="72">
        <v>19.91</v>
      </c>
      <c r="CM123" s="72">
        <v>22.47</v>
      </c>
      <c r="CN123" s="72">
        <v>2.16</v>
      </c>
      <c r="CO123" s="72">
        <v>37.29</v>
      </c>
      <c r="CP123" s="72">
        <v>5.34</v>
      </c>
      <c r="CQ123" s="72">
        <v>0.97</v>
      </c>
      <c r="CR123" s="72" t="s">
        <v>1076</v>
      </c>
      <c r="CS123" s="72">
        <v>4.71</v>
      </c>
      <c r="CT123" s="72">
        <v>0</v>
      </c>
      <c r="CU123" s="72">
        <v>2.27</v>
      </c>
      <c r="CV123" s="72">
        <v>1.43</v>
      </c>
      <c r="CW123" s="72">
        <v>56.04</v>
      </c>
      <c r="CX123" s="72" t="s">
        <v>1077</v>
      </c>
      <c r="CY123" s="72">
        <v>20.86</v>
      </c>
      <c r="CZ123" s="72">
        <v>12.3</v>
      </c>
      <c r="DA123" s="72">
        <v>10.9</v>
      </c>
      <c r="DB123" s="72">
        <v>2434</v>
      </c>
    </row>
    <row r="124" spans="7:106" x14ac:dyDescent="0.25">
      <c r="G124" s="72">
        <v>2484</v>
      </c>
      <c r="H124" s="72" t="s">
        <v>1078</v>
      </c>
      <c r="I124" s="72">
        <v>3.62</v>
      </c>
      <c r="J124" s="72">
        <v>2.89</v>
      </c>
      <c r="K124" s="72">
        <v>10.59</v>
      </c>
      <c r="L124" s="72">
        <v>0.37</v>
      </c>
      <c r="M124" s="72">
        <v>10.59</v>
      </c>
      <c r="N124" s="72">
        <v>10.6</v>
      </c>
      <c r="O124" s="72">
        <v>73291</v>
      </c>
      <c r="P124" s="72">
        <v>82</v>
      </c>
      <c r="Q124" s="72">
        <v>0.47</v>
      </c>
      <c r="R124" s="72">
        <v>0.96</v>
      </c>
      <c r="S124" s="72">
        <v>10.25</v>
      </c>
      <c r="T124" s="72">
        <v>10.6</v>
      </c>
      <c r="U124" s="72">
        <v>10.25</v>
      </c>
      <c r="V124" s="72">
        <v>10.220000000000001</v>
      </c>
      <c r="W124" s="72">
        <v>31.1</v>
      </c>
      <c r="X124" s="114">
        <v>76646480</v>
      </c>
      <c r="Y124" s="72" t="s">
        <v>979</v>
      </c>
      <c r="Z124" s="72" t="s">
        <v>368</v>
      </c>
      <c r="AA124" s="72">
        <v>3.42</v>
      </c>
      <c r="AB124" s="72">
        <v>10.46</v>
      </c>
      <c r="AC124" s="72">
        <v>27277</v>
      </c>
      <c r="AD124" s="72">
        <v>46014</v>
      </c>
      <c r="AE124" s="72">
        <v>0.59</v>
      </c>
      <c r="AF124" s="72">
        <v>71</v>
      </c>
      <c r="AG124" s="72">
        <v>967</v>
      </c>
      <c r="AH124" s="72" t="s">
        <v>414</v>
      </c>
      <c r="AI124" s="72">
        <v>943000</v>
      </c>
      <c r="AJ124" s="72">
        <v>0.02</v>
      </c>
      <c r="AK124" s="72" t="s">
        <v>414</v>
      </c>
      <c r="AL124" s="72" t="s">
        <v>414</v>
      </c>
      <c r="AM124" s="72">
        <v>7.66</v>
      </c>
      <c r="AN124" s="72" t="s">
        <v>1079</v>
      </c>
      <c r="AO124" s="72" t="s">
        <v>1080</v>
      </c>
      <c r="AP124" s="72">
        <v>1.44</v>
      </c>
      <c r="AQ124" s="72">
        <v>1379</v>
      </c>
      <c r="AR124" s="72">
        <v>53</v>
      </c>
      <c r="AS124" s="72">
        <v>6.9999999999999999E-4</v>
      </c>
      <c r="AT124" s="72">
        <v>2</v>
      </c>
      <c r="AU124" s="72">
        <v>7.18</v>
      </c>
      <c r="AV124" s="72">
        <v>1.7</v>
      </c>
      <c r="AW124" s="72" t="s">
        <v>1081</v>
      </c>
      <c r="AX124" s="72">
        <v>1.0900000000000001</v>
      </c>
      <c r="AY124" s="72">
        <v>30.29</v>
      </c>
      <c r="AZ124" s="72">
        <v>34.76</v>
      </c>
      <c r="BA124" s="72">
        <v>0.28999999999999998</v>
      </c>
      <c r="BB124" s="72">
        <v>3.72</v>
      </c>
      <c r="BC124" s="72">
        <v>0.28999999999999998</v>
      </c>
      <c r="BD124" s="72">
        <v>2.33</v>
      </c>
      <c r="BE124" s="72">
        <v>3.32</v>
      </c>
      <c r="BF124" s="72">
        <v>-0.09</v>
      </c>
      <c r="BG124" s="72">
        <v>3.32</v>
      </c>
      <c r="BH124" s="72">
        <v>1.29</v>
      </c>
      <c r="BI124" s="72">
        <v>20200930</v>
      </c>
      <c r="BJ124" s="72">
        <v>20100929</v>
      </c>
      <c r="BK124" s="72">
        <v>8.18</v>
      </c>
      <c r="BL124" s="72" t="s">
        <v>414</v>
      </c>
      <c r="BM124" s="72" t="s">
        <v>414</v>
      </c>
      <c r="BN124" s="72">
        <v>46.27</v>
      </c>
      <c r="BO124" s="72">
        <v>35.14</v>
      </c>
      <c r="BP124" s="72">
        <v>1.62</v>
      </c>
      <c r="BQ124" s="72">
        <v>20.55</v>
      </c>
      <c r="BR124" s="72">
        <v>26.79</v>
      </c>
      <c r="BS124" s="72">
        <v>9.2899999999999991</v>
      </c>
      <c r="BT124" s="72">
        <v>1.01</v>
      </c>
      <c r="BU124" s="72">
        <v>8.89</v>
      </c>
      <c r="BV124" s="72">
        <v>5.83</v>
      </c>
      <c r="BW124" s="72">
        <v>7.78</v>
      </c>
      <c r="BX124" s="72">
        <v>13.64</v>
      </c>
      <c r="BY124" s="72">
        <v>10.63</v>
      </c>
      <c r="BZ124" s="72">
        <v>7.39</v>
      </c>
      <c r="CA124" s="72">
        <v>1.67</v>
      </c>
      <c r="CB124" s="72">
        <v>0.01</v>
      </c>
      <c r="CC124" s="72">
        <v>1.66</v>
      </c>
      <c r="CD124" s="72">
        <v>1.44</v>
      </c>
      <c r="CE124" s="72">
        <v>1.39</v>
      </c>
      <c r="CF124" s="72">
        <v>11.1</v>
      </c>
      <c r="CG124" s="72">
        <v>1.63</v>
      </c>
      <c r="CH124" s="72">
        <v>0.56999999999999995</v>
      </c>
      <c r="CI124" s="72">
        <v>28960</v>
      </c>
      <c r="CJ124" s="72">
        <v>14925</v>
      </c>
      <c r="CK124" s="72" t="s">
        <v>1082</v>
      </c>
      <c r="CL124" s="72">
        <v>34.17</v>
      </c>
      <c r="CM124" s="72">
        <v>11.26</v>
      </c>
      <c r="CN124" s="72">
        <v>2.4700000000000002</v>
      </c>
      <c r="CO124" s="72">
        <v>53.12</v>
      </c>
      <c r="CP124" s="72">
        <v>8.15</v>
      </c>
      <c r="CQ124" s="72">
        <v>0.78</v>
      </c>
      <c r="CR124" s="72" t="s">
        <v>1083</v>
      </c>
      <c r="CS124" s="72">
        <v>4.29</v>
      </c>
      <c r="CT124" s="72">
        <v>0</v>
      </c>
      <c r="CU124" s="72">
        <v>1.67</v>
      </c>
      <c r="CV124" s="72">
        <v>1.36</v>
      </c>
      <c r="CW124" s="72">
        <v>75.95</v>
      </c>
      <c r="CX124" s="72" t="s">
        <v>1084</v>
      </c>
      <c r="CY124" s="72">
        <v>30.47</v>
      </c>
      <c r="CZ124" s="72">
        <v>15.69</v>
      </c>
      <c r="DA124" s="72">
        <v>13.1</v>
      </c>
      <c r="DB124" s="72">
        <v>2484</v>
      </c>
    </row>
    <row r="125" spans="7:106" x14ac:dyDescent="0.25">
      <c r="G125" s="72">
        <v>2486</v>
      </c>
      <c r="H125" s="72" t="s">
        <v>1085</v>
      </c>
      <c r="I125" s="72">
        <v>1.65</v>
      </c>
      <c r="J125" s="72">
        <v>1.28</v>
      </c>
      <c r="K125" s="72">
        <v>3.69</v>
      </c>
      <c r="L125" s="72">
        <v>0.06</v>
      </c>
      <c r="M125" s="72">
        <v>3.69</v>
      </c>
      <c r="N125" s="72">
        <v>3.7</v>
      </c>
      <c r="O125" s="72">
        <v>51138</v>
      </c>
      <c r="P125" s="72">
        <v>3</v>
      </c>
      <c r="Q125" s="72">
        <v>0</v>
      </c>
      <c r="R125" s="72">
        <v>0.61</v>
      </c>
      <c r="S125" s="72">
        <v>3.63</v>
      </c>
      <c r="T125" s="72">
        <v>3.72</v>
      </c>
      <c r="U125" s="72">
        <v>3.63</v>
      </c>
      <c r="V125" s="72">
        <v>3.63</v>
      </c>
      <c r="W125" s="72">
        <v>36.07</v>
      </c>
      <c r="X125" s="72">
        <v>18823028</v>
      </c>
      <c r="Y125" s="72" t="s">
        <v>407</v>
      </c>
      <c r="Z125" s="72" t="s">
        <v>365</v>
      </c>
      <c r="AA125" s="72">
        <v>2.48</v>
      </c>
      <c r="AB125" s="72">
        <v>3.68</v>
      </c>
      <c r="AC125" s="72">
        <v>21305</v>
      </c>
      <c r="AD125" s="72">
        <v>29833</v>
      </c>
      <c r="AE125" s="72">
        <v>0.71</v>
      </c>
      <c r="AF125" s="72">
        <v>1738</v>
      </c>
      <c r="AG125" s="72">
        <v>6172</v>
      </c>
      <c r="AH125" s="72" t="s">
        <v>414</v>
      </c>
      <c r="AI125" s="72">
        <v>164100</v>
      </c>
      <c r="AJ125" s="72">
        <v>0.01</v>
      </c>
      <c r="AK125" s="72" t="s">
        <v>414</v>
      </c>
      <c r="AL125" s="72" t="s">
        <v>414</v>
      </c>
      <c r="AM125" s="72">
        <v>8.32</v>
      </c>
      <c r="AN125" s="72" t="s">
        <v>1086</v>
      </c>
      <c r="AO125" s="72" t="s">
        <v>1086</v>
      </c>
      <c r="AP125" s="72">
        <v>-0.52</v>
      </c>
      <c r="AQ125" s="72">
        <v>885</v>
      </c>
      <c r="AR125" s="72">
        <v>58</v>
      </c>
      <c r="AS125" s="72">
        <v>6.9999999999999999E-4</v>
      </c>
      <c r="AT125" s="72">
        <v>2</v>
      </c>
      <c r="AU125" s="72">
        <v>1.93</v>
      </c>
      <c r="AV125" s="72">
        <v>0.8</v>
      </c>
      <c r="AW125" s="72" t="s">
        <v>1087</v>
      </c>
      <c r="AX125" s="72">
        <v>0.59</v>
      </c>
      <c r="AY125" s="72">
        <v>161.44</v>
      </c>
      <c r="AZ125" s="72" t="s">
        <v>414</v>
      </c>
      <c r="BA125" s="72">
        <v>0</v>
      </c>
      <c r="BB125" s="72">
        <v>2.48</v>
      </c>
      <c r="BC125" s="72">
        <v>0</v>
      </c>
      <c r="BD125" s="72">
        <v>1.4</v>
      </c>
      <c r="BE125" s="72">
        <v>1.65</v>
      </c>
      <c r="BF125" s="72">
        <v>-0.81</v>
      </c>
      <c r="BG125" s="72">
        <v>1.65</v>
      </c>
      <c r="BH125" s="72">
        <v>0.25</v>
      </c>
      <c r="BI125" s="72">
        <v>20200831</v>
      </c>
      <c r="BJ125" s="72">
        <v>20101015</v>
      </c>
      <c r="BK125" s="72">
        <v>8.32</v>
      </c>
      <c r="BL125" s="72" t="s">
        <v>414</v>
      </c>
      <c r="BM125" s="72" t="s">
        <v>414</v>
      </c>
      <c r="BN125" s="72">
        <v>12.77</v>
      </c>
      <c r="BO125" s="72">
        <v>9.61</v>
      </c>
      <c r="BP125" s="72">
        <v>0.04</v>
      </c>
      <c r="BQ125" s="72">
        <v>24.41</v>
      </c>
      <c r="BR125" s="72">
        <v>7.61</v>
      </c>
      <c r="BS125" s="72">
        <v>2.79</v>
      </c>
      <c r="BT125" s="72">
        <v>0.11</v>
      </c>
      <c r="BU125" s="72">
        <v>2.86</v>
      </c>
      <c r="BV125" s="72">
        <v>2.44</v>
      </c>
      <c r="BW125" s="72">
        <v>2.29</v>
      </c>
      <c r="BX125" s="72">
        <v>0.02</v>
      </c>
      <c r="BY125" s="72">
        <v>6.03</v>
      </c>
      <c r="BZ125" s="72">
        <v>4.2699999999999996</v>
      </c>
      <c r="CA125" s="72">
        <v>0.56000000000000005</v>
      </c>
      <c r="CB125" s="72">
        <v>-0.25</v>
      </c>
      <c r="CC125" s="72">
        <v>0.56000000000000005</v>
      </c>
      <c r="CD125" s="72">
        <v>0.43</v>
      </c>
      <c r="CE125" s="72">
        <v>0.43</v>
      </c>
      <c r="CF125" s="72">
        <v>1.24</v>
      </c>
      <c r="CG125" s="72">
        <v>1.1499999999999999</v>
      </c>
      <c r="CH125" s="72">
        <v>0.39</v>
      </c>
      <c r="CI125" s="72">
        <v>84631</v>
      </c>
      <c r="CJ125" s="72">
        <v>7593</v>
      </c>
      <c r="CK125" s="72" t="s">
        <v>1088</v>
      </c>
      <c r="CL125" s="72">
        <v>554.23</v>
      </c>
      <c r="CM125" s="72">
        <v>35.799999999999997</v>
      </c>
      <c r="CN125" s="72">
        <v>3.19</v>
      </c>
      <c r="CO125" s="72">
        <v>26.73</v>
      </c>
      <c r="CP125" s="72">
        <v>5.09</v>
      </c>
      <c r="CQ125" s="72">
        <v>0</v>
      </c>
      <c r="CR125" s="72" t="s">
        <v>1089</v>
      </c>
      <c r="CS125" s="72">
        <v>1.1599999999999999</v>
      </c>
      <c r="CT125" s="72">
        <v>0</v>
      </c>
      <c r="CU125" s="72">
        <v>0</v>
      </c>
      <c r="CV125" s="72">
        <v>0.15</v>
      </c>
      <c r="CW125" s="72">
        <v>75.28</v>
      </c>
      <c r="CX125" s="72" t="s">
        <v>1090</v>
      </c>
      <c r="CY125" s="72">
        <v>29.2</v>
      </c>
      <c r="CZ125" s="72">
        <v>9.36</v>
      </c>
      <c r="DA125" s="72">
        <v>7.06</v>
      </c>
      <c r="DB125" s="72">
        <v>2486</v>
      </c>
    </row>
    <row r="126" spans="7:106" x14ac:dyDescent="0.25">
      <c r="G126" s="72">
        <v>2498</v>
      </c>
      <c r="H126" s="72" t="s">
        <v>1091</v>
      </c>
      <c r="I126" s="72">
        <v>8.1999999999999993</v>
      </c>
      <c r="J126" s="72">
        <v>5.0199999999999996</v>
      </c>
      <c r="K126" s="72">
        <v>4.62</v>
      </c>
      <c r="L126" s="72">
        <v>0.35</v>
      </c>
      <c r="M126" s="72">
        <v>4.62</v>
      </c>
      <c r="N126" s="72">
        <v>4.6399999999999997</v>
      </c>
      <c r="O126" s="72">
        <v>422762</v>
      </c>
      <c r="P126" s="72">
        <v>717</v>
      </c>
      <c r="Q126" s="72">
        <v>-0.21</v>
      </c>
      <c r="R126" s="72">
        <v>1.27</v>
      </c>
      <c r="S126" s="72">
        <v>4.3099999999999996</v>
      </c>
      <c r="T126" s="72">
        <v>4.7</v>
      </c>
      <c r="U126" s="72">
        <v>4.3</v>
      </c>
      <c r="V126" s="72">
        <v>4.2699999999999996</v>
      </c>
      <c r="W126" s="72">
        <v>21.89</v>
      </c>
      <c r="X126" s="114">
        <v>192000000</v>
      </c>
      <c r="Y126" s="72" t="s">
        <v>415</v>
      </c>
      <c r="Z126" s="72" t="s">
        <v>349</v>
      </c>
      <c r="AA126" s="72">
        <v>9.3699999999999992</v>
      </c>
      <c r="AB126" s="72">
        <v>4.54</v>
      </c>
      <c r="AC126" s="72">
        <v>163173</v>
      </c>
      <c r="AD126" s="72">
        <v>259589</v>
      </c>
      <c r="AE126" s="72">
        <v>0.63</v>
      </c>
      <c r="AF126" s="72">
        <v>1218</v>
      </c>
      <c r="AG126" s="72">
        <v>3341</v>
      </c>
      <c r="AH126" s="72" t="s">
        <v>414</v>
      </c>
      <c r="AI126" s="72">
        <v>988300</v>
      </c>
      <c r="AJ126" s="72">
        <v>0.02</v>
      </c>
      <c r="AK126" s="72" t="s">
        <v>414</v>
      </c>
      <c r="AL126" s="72" t="s">
        <v>414</v>
      </c>
      <c r="AM126" s="72">
        <v>33.270000000000003</v>
      </c>
      <c r="AN126" s="72" t="s">
        <v>1092</v>
      </c>
      <c r="AO126" s="72" t="s">
        <v>1092</v>
      </c>
      <c r="AP126" s="72">
        <v>6.02</v>
      </c>
      <c r="AQ126" s="72">
        <v>1736</v>
      </c>
      <c r="AR126" s="72">
        <v>244</v>
      </c>
      <c r="AS126" s="72">
        <v>6.9999999999999999E-4</v>
      </c>
      <c r="AT126" s="72">
        <v>4</v>
      </c>
      <c r="AU126" s="72">
        <v>11.86</v>
      </c>
      <c r="AV126" s="72">
        <v>3.8</v>
      </c>
      <c r="AW126" s="72" t="s">
        <v>1093</v>
      </c>
      <c r="AX126" s="72">
        <v>1.1299999999999999</v>
      </c>
      <c r="AY126" s="72">
        <v>24.06</v>
      </c>
      <c r="AZ126" s="72">
        <v>32.619999999999997</v>
      </c>
      <c r="BA126" s="72">
        <v>0.94</v>
      </c>
      <c r="BB126" s="72">
        <v>10.07</v>
      </c>
      <c r="BC126" s="72">
        <v>0.7</v>
      </c>
      <c r="BD126" s="72">
        <v>6.28</v>
      </c>
      <c r="BE126" s="72">
        <v>7.19</v>
      </c>
      <c r="BF126" s="72">
        <v>-1.7</v>
      </c>
      <c r="BG126" s="72">
        <v>7.44</v>
      </c>
      <c r="BH126" s="72">
        <v>1.91</v>
      </c>
      <c r="BI126" s="72">
        <v>20200828</v>
      </c>
      <c r="BJ126" s="72">
        <v>20101109</v>
      </c>
      <c r="BK126" s="72">
        <v>33.270000000000003</v>
      </c>
      <c r="BL126" s="72" t="s">
        <v>414</v>
      </c>
      <c r="BM126" s="72" t="s">
        <v>414</v>
      </c>
      <c r="BN126" s="72">
        <v>72.53</v>
      </c>
      <c r="BO126" s="72">
        <v>53.55</v>
      </c>
      <c r="BP126" s="72">
        <v>0.16</v>
      </c>
      <c r="BQ126" s="72">
        <v>25.95</v>
      </c>
      <c r="BR126" s="72">
        <v>55.89</v>
      </c>
      <c r="BS126" s="72">
        <v>4.17</v>
      </c>
      <c r="BT126" s="72">
        <v>3.32</v>
      </c>
      <c r="BU126" s="72">
        <v>14.94</v>
      </c>
      <c r="BV126" s="72">
        <v>14.34</v>
      </c>
      <c r="BW126" s="72">
        <v>22.96</v>
      </c>
      <c r="BX126" s="72">
        <v>1.48</v>
      </c>
      <c r="BY126" s="72">
        <v>29.63</v>
      </c>
      <c r="BZ126" s="72">
        <v>22.8</v>
      </c>
      <c r="CA126" s="72">
        <v>4.07</v>
      </c>
      <c r="CB126" s="72">
        <v>0.24</v>
      </c>
      <c r="CC126" s="72">
        <v>4.09</v>
      </c>
      <c r="CD126" s="72">
        <v>3.51</v>
      </c>
      <c r="CE126" s="72">
        <v>3.51</v>
      </c>
      <c r="CF126" s="72">
        <v>13.93</v>
      </c>
      <c r="CG126" s="72">
        <v>4.2699999999999996</v>
      </c>
      <c r="CH126" s="72">
        <v>3.55</v>
      </c>
      <c r="CI126" s="72">
        <v>168228</v>
      </c>
      <c r="CJ126" s="72">
        <v>6612</v>
      </c>
      <c r="CK126" s="72" t="s">
        <v>1094</v>
      </c>
      <c r="CL126" s="72">
        <v>78.98</v>
      </c>
      <c r="CM126" s="72">
        <v>13.33</v>
      </c>
      <c r="CN126" s="72">
        <v>2.87</v>
      </c>
      <c r="CO126" s="72">
        <v>36.01</v>
      </c>
      <c r="CP126" s="72">
        <v>5.19</v>
      </c>
      <c r="CQ126" s="72">
        <v>0.84</v>
      </c>
      <c r="CR126" s="72" t="s">
        <v>1095</v>
      </c>
      <c r="CS126" s="72">
        <v>1.61</v>
      </c>
      <c r="CT126" s="72">
        <v>0</v>
      </c>
      <c r="CU126" s="72">
        <v>0.04</v>
      </c>
      <c r="CV126" s="72">
        <v>0.42</v>
      </c>
      <c r="CW126" s="72">
        <v>73.84</v>
      </c>
      <c r="CX126" s="72" t="s">
        <v>1096</v>
      </c>
      <c r="CY126" s="72">
        <v>23.06</v>
      </c>
      <c r="CZ126" s="72">
        <v>13.75</v>
      </c>
      <c r="DA126" s="72">
        <v>11.85</v>
      </c>
      <c r="DB126" s="72">
        <v>2498</v>
      </c>
    </row>
    <row r="127" spans="7:106" x14ac:dyDescent="0.25">
      <c r="G127" s="72">
        <v>2522</v>
      </c>
      <c r="H127" s="72" t="s">
        <v>1097</v>
      </c>
      <c r="I127" s="72">
        <v>0.45</v>
      </c>
      <c r="J127" s="72">
        <v>1.26</v>
      </c>
      <c r="K127" s="72">
        <v>6.71</v>
      </c>
      <c r="L127" s="72">
        <v>0.03</v>
      </c>
      <c r="M127" s="72">
        <v>6.71</v>
      </c>
      <c r="N127" s="72">
        <v>6.72</v>
      </c>
      <c r="O127" s="72">
        <v>45597</v>
      </c>
      <c r="P127" s="72">
        <v>21</v>
      </c>
      <c r="Q127" s="72">
        <v>0</v>
      </c>
      <c r="R127" s="72">
        <v>0.53</v>
      </c>
      <c r="S127" s="72">
        <v>6.65</v>
      </c>
      <c r="T127" s="72">
        <v>6.72</v>
      </c>
      <c r="U127" s="72">
        <v>6.63</v>
      </c>
      <c r="V127" s="72">
        <v>6.68</v>
      </c>
      <c r="W127" s="72">
        <v>45.79</v>
      </c>
      <c r="X127" s="72">
        <v>30455746</v>
      </c>
      <c r="Y127" s="72" t="s">
        <v>680</v>
      </c>
      <c r="Z127" s="72" t="s">
        <v>358</v>
      </c>
      <c r="AA127" s="72">
        <v>1.35</v>
      </c>
      <c r="AB127" s="72">
        <v>6.68</v>
      </c>
      <c r="AC127" s="72">
        <v>24216</v>
      </c>
      <c r="AD127" s="72">
        <v>21381</v>
      </c>
      <c r="AE127" s="72">
        <v>1.1299999999999999</v>
      </c>
      <c r="AF127" s="72">
        <v>67</v>
      </c>
      <c r="AG127" s="72">
        <v>600</v>
      </c>
      <c r="AH127" s="72" t="s">
        <v>414</v>
      </c>
      <c r="AI127" s="72">
        <v>111700</v>
      </c>
      <c r="AJ127" s="72">
        <v>0</v>
      </c>
      <c r="AK127" s="72" t="s">
        <v>414</v>
      </c>
      <c r="AL127" s="72" t="s">
        <v>414</v>
      </c>
      <c r="AM127" s="72">
        <v>8.56</v>
      </c>
      <c r="AN127" s="72" t="s">
        <v>1098</v>
      </c>
      <c r="AO127" s="72" t="s">
        <v>1099</v>
      </c>
      <c r="AP127" s="72">
        <v>-1.73</v>
      </c>
      <c r="AQ127" s="72">
        <v>704</v>
      </c>
      <c r="AR127" s="72">
        <v>65</v>
      </c>
      <c r="AS127" s="72">
        <v>8.0000000000000004E-4</v>
      </c>
      <c r="AT127" s="72">
        <v>6</v>
      </c>
      <c r="AU127" s="72">
        <v>4.1900000000000004</v>
      </c>
      <c r="AV127" s="72">
        <v>0.9</v>
      </c>
      <c r="AW127" s="72" t="s">
        <v>1100</v>
      </c>
      <c r="AX127" s="72">
        <v>0.82</v>
      </c>
      <c r="AY127" s="72">
        <v>70.569999999999993</v>
      </c>
      <c r="AZ127" s="72">
        <v>94.3</v>
      </c>
      <c r="BA127" s="72">
        <v>-0.45</v>
      </c>
      <c r="BB127" s="72">
        <v>0.6</v>
      </c>
      <c r="BC127" s="72">
        <v>-0.75</v>
      </c>
      <c r="BD127" s="72">
        <v>-0.01</v>
      </c>
      <c r="BE127" s="72">
        <v>0.9</v>
      </c>
      <c r="BF127" s="72">
        <v>-0.15</v>
      </c>
      <c r="BG127" s="72">
        <v>1.21</v>
      </c>
      <c r="BH127" s="72">
        <v>0.46</v>
      </c>
      <c r="BI127" s="72">
        <v>20200820</v>
      </c>
      <c r="BJ127" s="72">
        <v>20101210</v>
      </c>
      <c r="BK127" s="72">
        <v>9.06</v>
      </c>
      <c r="BL127" s="72" t="s">
        <v>414</v>
      </c>
      <c r="BM127" s="72" t="s">
        <v>414</v>
      </c>
      <c r="BN127" s="72">
        <v>31.83</v>
      </c>
      <c r="BO127" s="72">
        <v>18.25</v>
      </c>
      <c r="BP127" s="72">
        <v>0.97</v>
      </c>
      <c r="BQ127" s="72">
        <v>39.619999999999997</v>
      </c>
      <c r="BR127" s="72">
        <v>15.02</v>
      </c>
      <c r="BS127" s="72">
        <v>13.86</v>
      </c>
      <c r="BT127" s="72">
        <v>1.04</v>
      </c>
      <c r="BU127" s="72">
        <v>10.77</v>
      </c>
      <c r="BV127" s="72">
        <v>5.15</v>
      </c>
      <c r="BW127" s="72">
        <v>1.06</v>
      </c>
      <c r="BX127" s="72">
        <v>6.3</v>
      </c>
      <c r="BY127" s="72">
        <v>6.47</v>
      </c>
      <c r="BZ127" s="72">
        <v>4.78</v>
      </c>
      <c r="CA127" s="72">
        <v>0.6</v>
      </c>
      <c r="CB127" s="72">
        <v>0.04</v>
      </c>
      <c r="CC127" s="72">
        <v>0.6</v>
      </c>
      <c r="CD127" s="72">
        <v>0.44</v>
      </c>
      <c r="CE127" s="72">
        <v>0.66</v>
      </c>
      <c r="CF127" s="72">
        <v>1.81</v>
      </c>
      <c r="CG127" s="72">
        <v>1.17</v>
      </c>
      <c r="CH127" s="72">
        <v>-3.44</v>
      </c>
      <c r="CI127" s="72">
        <v>37638</v>
      </c>
      <c r="CJ127" s="72">
        <v>13467</v>
      </c>
      <c r="CK127" s="72" t="s">
        <v>1101</v>
      </c>
      <c r="CL127" s="72">
        <v>48.2</v>
      </c>
      <c r="CM127" s="72">
        <v>13.97</v>
      </c>
      <c r="CN127" s="72">
        <v>3.33</v>
      </c>
      <c r="CO127" s="72">
        <v>52.15</v>
      </c>
      <c r="CP127" s="72">
        <v>9.39</v>
      </c>
      <c r="CQ127" s="72">
        <v>1.05</v>
      </c>
      <c r="CR127" s="72" t="s">
        <v>1102</v>
      </c>
      <c r="CS127" s="72">
        <v>2.02</v>
      </c>
      <c r="CT127" s="72">
        <v>0</v>
      </c>
      <c r="CU127" s="72">
        <v>0.7</v>
      </c>
      <c r="CV127" s="72">
        <v>0.2</v>
      </c>
      <c r="CW127" s="72">
        <v>57.34</v>
      </c>
      <c r="CX127" s="72" t="s">
        <v>1103</v>
      </c>
      <c r="CY127" s="72">
        <v>26.17</v>
      </c>
      <c r="CZ127" s="72">
        <v>9.23</v>
      </c>
      <c r="DA127" s="72">
        <v>10.25</v>
      </c>
      <c r="DB127" s="72">
        <v>2522</v>
      </c>
    </row>
    <row r="128" spans="7:106" x14ac:dyDescent="0.25">
      <c r="G128" s="72">
        <v>2534</v>
      </c>
      <c r="H128" s="72" t="s">
        <v>1104</v>
      </c>
      <c r="I128" s="72">
        <v>2.64</v>
      </c>
      <c r="J128" s="72">
        <v>2.97</v>
      </c>
      <c r="K128" s="72">
        <v>9.34</v>
      </c>
      <c r="L128" s="72">
        <v>0.24</v>
      </c>
      <c r="M128" s="72">
        <v>9.34</v>
      </c>
      <c r="N128" s="72">
        <v>9.35</v>
      </c>
      <c r="O128" s="72">
        <v>23367</v>
      </c>
      <c r="P128" s="72">
        <v>12</v>
      </c>
      <c r="Q128" s="72">
        <v>0</v>
      </c>
      <c r="R128" s="72">
        <v>0.32</v>
      </c>
      <c r="S128" s="72">
        <v>9.1</v>
      </c>
      <c r="T128" s="72">
        <v>9.3699999999999992</v>
      </c>
      <c r="U128" s="72">
        <v>9.1</v>
      </c>
      <c r="V128" s="72">
        <v>9.1</v>
      </c>
      <c r="W128" s="72">
        <v>13.75</v>
      </c>
      <c r="X128" s="114">
        <v>21666858</v>
      </c>
      <c r="Y128" s="72" t="s">
        <v>501</v>
      </c>
      <c r="Z128" s="72" t="s">
        <v>358</v>
      </c>
      <c r="AA128" s="72">
        <v>2.97</v>
      </c>
      <c r="AB128" s="72">
        <v>9.27</v>
      </c>
      <c r="AC128" s="72">
        <v>9501</v>
      </c>
      <c r="AD128" s="72">
        <v>13866</v>
      </c>
      <c r="AE128" s="72">
        <v>0.69</v>
      </c>
      <c r="AF128" s="72">
        <v>8</v>
      </c>
      <c r="AG128" s="72">
        <v>6</v>
      </c>
      <c r="AH128" s="72" t="s">
        <v>414</v>
      </c>
      <c r="AI128" s="72">
        <v>263500</v>
      </c>
      <c r="AJ128" s="72">
        <v>0.02</v>
      </c>
      <c r="AK128" s="72" t="s">
        <v>414</v>
      </c>
      <c r="AL128" s="72" t="s">
        <v>414</v>
      </c>
      <c r="AM128" s="72">
        <v>7.37</v>
      </c>
      <c r="AN128" s="72" t="s">
        <v>1105</v>
      </c>
      <c r="AO128" s="72" t="s">
        <v>1106</v>
      </c>
      <c r="AP128" s="72">
        <v>0.46</v>
      </c>
      <c r="AQ128" s="72">
        <v>703</v>
      </c>
      <c r="AR128" s="72">
        <v>33</v>
      </c>
      <c r="AS128" s="72">
        <v>5.0000000000000001E-4</v>
      </c>
      <c r="AT128" s="72">
        <v>4</v>
      </c>
      <c r="AU128" s="72">
        <v>6.13</v>
      </c>
      <c r="AV128" s="72">
        <v>1.25</v>
      </c>
      <c r="AW128" s="72" t="s">
        <v>1107</v>
      </c>
      <c r="AX128" s="72">
        <v>0.86</v>
      </c>
      <c r="AY128" s="72">
        <v>15.94</v>
      </c>
      <c r="AZ128" s="72">
        <v>18.37</v>
      </c>
      <c r="BA128" s="72">
        <v>0</v>
      </c>
      <c r="BB128" s="72">
        <v>2.97</v>
      </c>
      <c r="BC128" s="72">
        <v>0</v>
      </c>
      <c r="BD128" s="72">
        <v>1.9</v>
      </c>
      <c r="BE128" s="72">
        <v>2.64</v>
      </c>
      <c r="BF128" s="72">
        <v>-0.32</v>
      </c>
      <c r="BG128" s="72">
        <v>2.64</v>
      </c>
      <c r="BH128" s="72">
        <v>0.74</v>
      </c>
      <c r="BI128" s="72">
        <v>20200825</v>
      </c>
      <c r="BJ128" s="72">
        <v>20110110</v>
      </c>
      <c r="BK128" s="72">
        <v>7.39</v>
      </c>
      <c r="BL128" s="72" t="s">
        <v>414</v>
      </c>
      <c r="BM128" s="72" t="s">
        <v>414</v>
      </c>
      <c r="BN128" s="72">
        <v>99.26</v>
      </c>
      <c r="BO128" s="72">
        <v>32.03</v>
      </c>
      <c r="BP128" s="72">
        <v>2.1800000000000002</v>
      </c>
      <c r="BQ128" s="72">
        <v>65.53</v>
      </c>
      <c r="BR128" s="72">
        <v>73.3</v>
      </c>
      <c r="BS128" s="72">
        <v>15.37</v>
      </c>
      <c r="BT128" s="72">
        <v>2.5099999999999998</v>
      </c>
      <c r="BU128" s="72">
        <v>57.28</v>
      </c>
      <c r="BV128" s="72">
        <v>11.25</v>
      </c>
      <c r="BW128" s="72">
        <v>7.03</v>
      </c>
      <c r="BX128" s="72">
        <v>8.48</v>
      </c>
      <c r="BY128" s="72">
        <v>23.73</v>
      </c>
      <c r="BZ128" s="72">
        <v>18.21</v>
      </c>
      <c r="CA128" s="72">
        <v>3.29</v>
      </c>
      <c r="CB128" s="72">
        <v>0.42</v>
      </c>
      <c r="CC128" s="72">
        <v>3.19</v>
      </c>
      <c r="CD128" s="72">
        <v>2.77</v>
      </c>
      <c r="CE128" s="72">
        <v>2.5099999999999998</v>
      </c>
      <c r="CF128" s="72">
        <v>14.5</v>
      </c>
      <c r="CG128" s="72">
        <v>3.94</v>
      </c>
      <c r="CH128" s="72">
        <v>-0.49</v>
      </c>
      <c r="CI128" s="72">
        <v>13958</v>
      </c>
      <c r="CJ128" s="72">
        <v>13340</v>
      </c>
      <c r="CK128" s="72" t="s">
        <v>1108</v>
      </c>
      <c r="CL128" s="72">
        <v>28.57</v>
      </c>
      <c r="CM128" s="72">
        <v>40.76</v>
      </c>
      <c r="CN128" s="72">
        <v>2.16</v>
      </c>
      <c r="CO128" s="72">
        <v>17.5</v>
      </c>
      <c r="CP128" s="72">
        <v>2.91</v>
      </c>
      <c r="CQ128" s="72">
        <v>4.2699999999999996</v>
      </c>
      <c r="CR128" s="72" t="s">
        <v>1109</v>
      </c>
      <c r="CS128" s="72">
        <v>4.33</v>
      </c>
      <c r="CT128" s="72">
        <v>0</v>
      </c>
      <c r="CU128" s="72">
        <v>1.1499999999999999</v>
      </c>
      <c r="CV128" s="72">
        <v>1.96</v>
      </c>
      <c r="CW128" s="72">
        <v>32.270000000000003</v>
      </c>
      <c r="CX128" s="72" t="s">
        <v>1110</v>
      </c>
      <c r="CY128" s="72">
        <v>23.27</v>
      </c>
      <c r="CZ128" s="72">
        <v>13.85</v>
      </c>
      <c r="DA128" s="72">
        <v>10.58</v>
      </c>
      <c r="DB128" s="72">
        <v>2534</v>
      </c>
    </row>
    <row r="129" spans="7:106" x14ac:dyDescent="0.25">
      <c r="G129" s="72">
        <v>2538</v>
      </c>
      <c r="H129" s="72" t="s">
        <v>1111</v>
      </c>
      <c r="I129" s="72">
        <v>2.37</v>
      </c>
      <c r="J129" s="72">
        <v>1.63</v>
      </c>
      <c r="K129" s="72">
        <v>6.04</v>
      </c>
      <c r="L129" s="72">
        <v>0.14000000000000001</v>
      </c>
      <c r="M129" s="72">
        <v>6.04</v>
      </c>
      <c r="N129" s="72">
        <v>6.05</v>
      </c>
      <c r="O129" s="72">
        <v>32893</v>
      </c>
      <c r="P129" s="72">
        <v>15</v>
      </c>
      <c r="Q129" s="72">
        <v>0.17</v>
      </c>
      <c r="R129" s="72">
        <v>0.47</v>
      </c>
      <c r="S129" s="72">
        <v>5.92</v>
      </c>
      <c r="T129" s="72">
        <v>6.05</v>
      </c>
      <c r="U129" s="72">
        <v>5.89</v>
      </c>
      <c r="V129" s="72">
        <v>5.9</v>
      </c>
      <c r="W129" s="72">
        <v>16.2</v>
      </c>
      <c r="X129" s="114">
        <v>19692428</v>
      </c>
      <c r="Y129" s="72" t="s">
        <v>393</v>
      </c>
      <c r="Z129" s="72" t="s">
        <v>360</v>
      </c>
      <c r="AA129" s="72">
        <v>2.71</v>
      </c>
      <c r="AB129" s="72">
        <v>5.99</v>
      </c>
      <c r="AC129" s="72">
        <v>14868</v>
      </c>
      <c r="AD129" s="72">
        <v>18025</v>
      </c>
      <c r="AE129" s="72">
        <v>0.82</v>
      </c>
      <c r="AF129" s="72">
        <v>244</v>
      </c>
      <c r="AG129" s="72">
        <v>903</v>
      </c>
      <c r="AH129" s="72" t="s">
        <v>414</v>
      </c>
      <c r="AI129" s="72">
        <v>33700</v>
      </c>
      <c r="AJ129" s="72">
        <v>0</v>
      </c>
      <c r="AK129" s="72" t="s">
        <v>414</v>
      </c>
      <c r="AL129" s="72" t="s">
        <v>414</v>
      </c>
      <c r="AM129" s="72">
        <v>6.98</v>
      </c>
      <c r="AN129" s="72" t="s">
        <v>1112</v>
      </c>
      <c r="AO129" s="72" t="s">
        <v>1113</v>
      </c>
      <c r="AP129" s="72">
        <v>0.2</v>
      </c>
      <c r="AQ129" s="72">
        <v>694</v>
      </c>
      <c r="AR129" s="72">
        <v>47</v>
      </c>
      <c r="AS129" s="72">
        <v>6.9999999999999999E-4</v>
      </c>
      <c r="AT129" s="72">
        <v>2</v>
      </c>
      <c r="AU129" s="72">
        <v>3.6</v>
      </c>
      <c r="AV129" s="72">
        <v>0.77</v>
      </c>
      <c r="AW129" s="72" t="s">
        <v>1114</v>
      </c>
      <c r="AX129" s="72">
        <v>0.71</v>
      </c>
      <c r="AY129" s="72">
        <v>15.73</v>
      </c>
      <c r="AZ129" s="72">
        <v>17.79</v>
      </c>
      <c r="BA129" s="72">
        <v>0.34</v>
      </c>
      <c r="BB129" s="72">
        <v>2.54</v>
      </c>
      <c r="BC129" s="72">
        <v>-0.17</v>
      </c>
      <c r="BD129" s="72">
        <v>1.47</v>
      </c>
      <c r="BE129" s="72">
        <v>2.0299999999999998</v>
      </c>
      <c r="BF129" s="72">
        <v>-0.17</v>
      </c>
      <c r="BG129" s="72">
        <v>2.5499999999999998</v>
      </c>
      <c r="BH129" s="72">
        <v>0.9</v>
      </c>
      <c r="BI129" s="72">
        <v>20201010</v>
      </c>
      <c r="BJ129" s="72">
        <v>20110118</v>
      </c>
      <c r="BK129" s="72">
        <v>7.18</v>
      </c>
      <c r="BL129" s="72" t="s">
        <v>414</v>
      </c>
      <c r="BM129" s="72" t="s">
        <v>414</v>
      </c>
      <c r="BN129" s="72">
        <v>60.89</v>
      </c>
      <c r="BO129" s="72">
        <v>39.11</v>
      </c>
      <c r="BP129" s="72">
        <v>0.8</v>
      </c>
      <c r="BQ129" s="72">
        <v>34.450000000000003</v>
      </c>
      <c r="BR129" s="72">
        <v>32.950000000000003</v>
      </c>
      <c r="BS129" s="72">
        <v>15.04</v>
      </c>
      <c r="BT129" s="72">
        <v>3.93</v>
      </c>
      <c r="BU129" s="72">
        <v>13.59</v>
      </c>
      <c r="BV129" s="72">
        <v>6.88</v>
      </c>
      <c r="BW129" s="72">
        <v>1.28</v>
      </c>
      <c r="BX129" s="72">
        <v>13.74</v>
      </c>
      <c r="BY129" s="72">
        <v>19.55</v>
      </c>
      <c r="BZ129" s="72">
        <v>15.85</v>
      </c>
      <c r="CA129" s="72">
        <v>1.61</v>
      </c>
      <c r="CB129" s="72">
        <v>-0.1</v>
      </c>
      <c r="CC129" s="72">
        <v>1.6</v>
      </c>
      <c r="CD129" s="72">
        <v>1.34</v>
      </c>
      <c r="CE129" s="72">
        <v>1.34</v>
      </c>
      <c r="CF129" s="72">
        <v>14.66</v>
      </c>
      <c r="CG129" s="72">
        <v>6.56</v>
      </c>
      <c r="CH129" s="72">
        <v>6.33</v>
      </c>
      <c r="CI129" s="72">
        <v>44575</v>
      </c>
      <c r="CJ129" s="72">
        <v>9609</v>
      </c>
      <c r="CK129" s="72" t="s">
        <v>1115</v>
      </c>
      <c r="CL129" s="72">
        <v>30.36</v>
      </c>
      <c r="CM129" s="72">
        <v>39.11</v>
      </c>
      <c r="CN129" s="72">
        <v>1.1499999999999999</v>
      </c>
      <c r="CO129" s="72">
        <v>6.62</v>
      </c>
      <c r="CP129" s="72">
        <v>2.2200000000000002</v>
      </c>
      <c r="CQ129" s="72">
        <v>1.36</v>
      </c>
      <c r="CR129" s="72" t="s">
        <v>1116</v>
      </c>
      <c r="CS129" s="72">
        <v>5.24</v>
      </c>
      <c r="CT129" s="72">
        <v>5.24</v>
      </c>
      <c r="CU129" s="72">
        <v>1.91</v>
      </c>
      <c r="CV129" s="72">
        <v>2.04</v>
      </c>
      <c r="CW129" s="72">
        <v>64.23</v>
      </c>
      <c r="CX129" s="72" t="s">
        <v>1117</v>
      </c>
      <c r="CY129" s="72">
        <v>18.920000000000002</v>
      </c>
      <c r="CZ129" s="72">
        <v>8.26</v>
      </c>
      <c r="DA129" s="72">
        <v>6.85</v>
      </c>
      <c r="DB129" s="72">
        <v>2538</v>
      </c>
    </row>
    <row r="130" spans="7:106" x14ac:dyDescent="0.25">
      <c r="G130" s="72">
        <v>2551</v>
      </c>
      <c r="H130" s="72" t="s">
        <v>1118</v>
      </c>
      <c r="I130" s="72">
        <v>1.42</v>
      </c>
      <c r="J130" s="72">
        <v>1.21</v>
      </c>
      <c r="K130" s="72">
        <v>7.87</v>
      </c>
      <c r="L130" s="72">
        <v>0.11</v>
      </c>
      <c r="M130" s="72">
        <v>7.87</v>
      </c>
      <c r="N130" s="72">
        <v>7.88</v>
      </c>
      <c r="O130" s="72">
        <v>101840</v>
      </c>
      <c r="P130" s="72">
        <v>1</v>
      </c>
      <c r="Q130" s="72">
        <v>0.13</v>
      </c>
      <c r="R130" s="72">
        <v>1.88</v>
      </c>
      <c r="S130" s="72">
        <v>7.88</v>
      </c>
      <c r="T130" s="72">
        <v>7.96</v>
      </c>
      <c r="U130" s="72">
        <v>7.83</v>
      </c>
      <c r="V130" s="72">
        <v>7.76</v>
      </c>
      <c r="W130" s="72">
        <v>34.380000000000003</v>
      </c>
      <c r="X130" s="72">
        <v>80353200</v>
      </c>
      <c r="Y130" s="72" t="s">
        <v>506</v>
      </c>
      <c r="Z130" s="72" t="s">
        <v>385</v>
      </c>
      <c r="AA130" s="72">
        <v>1.68</v>
      </c>
      <c r="AB130" s="72">
        <v>7.89</v>
      </c>
      <c r="AC130" s="72">
        <v>54686</v>
      </c>
      <c r="AD130" s="72">
        <v>47154</v>
      </c>
      <c r="AE130" s="72">
        <v>1.1599999999999999</v>
      </c>
      <c r="AF130" s="72">
        <v>647</v>
      </c>
      <c r="AG130" s="72">
        <v>30</v>
      </c>
      <c r="AH130" s="72" t="s">
        <v>414</v>
      </c>
      <c r="AI130" s="72">
        <v>1159100</v>
      </c>
      <c r="AJ130" s="72">
        <v>0.03</v>
      </c>
      <c r="AK130" s="72" t="s">
        <v>414</v>
      </c>
      <c r="AL130" s="72" t="s">
        <v>414</v>
      </c>
      <c r="AM130" s="72">
        <v>5.42</v>
      </c>
      <c r="AN130" s="72" t="s">
        <v>1119</v>
      </c>
      <c r="AO130" s="72" t="s">
        <v>1120</v>
      </c>
      <c r="AP130" s="72">
        <v>-0.76</v>
      </c>
      <c r="AQ130" s="72">
        <v>1313</v>
      </c>
      <c r="AR130" s="72">
        <v>78</v>
      </c>
      <c r="AS130" s="72">
        <v>1.4E-3</v>
      </c>
      <c r="AT130" s="72">
        <v>2</v>
      </c>
      <c r="AU130" s="72">
        <v>2.0699999999999998</v>
      </c>
      <c r="AV130" s="72">
        <v>2.21</v>
      </c>
      <c r="AW130" s="72" t="s">
        <v>1121</v>
      </c>
      <c r="AX130" s="72">
        <v>1.23</v>
      </c>
      <c r="AY130" s="72">
        <v>64.03</v>
      </c>
      <c r="AZ130" s="72">
        <v>106.51</v>
      </c>
      <c r="BA130" s="72">
        <v>1.55</v>
      </c>
      <c r="BB130" s="72">
        <v>2.58</v>
      </c>
      <c r="BC130" s="72">
        <v>0.9</v>
      </c>
      <c r="BD130" s="72">
        <v>1.68</v>
      </c>
      <c r="BE130" s="72">
        <v>-0.13</v>
      </c>
      <c r="BF130" s="72">
        <v>-1.1299999999999999</v>
      </c>
      <c r="BG130" s="72">
        <v>0.51</v>
      </c>
      <c r="BH130" s="72">
        <v>-0.26</v>
      </c>
      <c r="BI130" s="72">
        <v>20201010</v>
      </c>
      <c r="BJ130" s="72">
        <v>20110225</v>
      </c>
      <c r="BK130" s="72">
        <v>8.1999999999999993</v>
      </c>
      <c r="BL130" s="72" t="s">
        <v>414</v>
      </c>
      <c r="BM130" s="72" t="s">
        <v>414</v>
      </c>
      <c r="BN130" s="72">
        <v>49.72</v>
      </c>
      <c r="BO130" s="72">
        <v>29.35</v>
      </c>
      <c r="BP130" s="72">
        <v>5.56</v>
      </c>
      <c r="BQ130" s="72">
        <v>29.8</v>
      </c>
      <c r="BR130" s="72">
        <v>26.04</v>
      </c>
      <c r="BS130" s="72">
        <v>2.83</v>
      </c>
      <c r="BT130" s="72">
        <v>2.31</v>
      </c>
      <c r="BU130" s="72">
        <v>11.74</v>
      </c>
      <c r="BV130" s="72">
        <v>3.33</v>
      </c>
      <c r="BW130" s="72">
        <v>8.2100000000000009</v>
      </c>
      <c r="BX130" s="72">
        <v>13.42</v>
      </c>
      <c r="BY130" s="72">
        <v>9.67</v>
      </c>
      <c r="BZ130" s="72">
        <v>6.47</v>
      </c>
      <c r="CA130" s="72">
        <v>1.77</v>
      </c>
      <c r="CB130" s="72">
        <v>-0.01</v>
      </c>
      <c r="CC130" s="72">
        <v>1.76</v>
      </c>
      <c r="CD130" s="72">
        <v>1.69</v>
      </c>
      <c r="CE130" s="72">
        <v>0.94</v>
      </c>
      <c r="CF130" s="72">
        <v>7.22</v>
      </c>
      <c r="CG130" s="72">
        <v>2.81</v>
      </c>
      <c r="CH130" s="72">
        <v>3.22</v>
      </c>
      <c r="CI130" s="72">
        <v>99782</v>
      </c>
      <c r="CJ130" s="72">
        <v>4620</v>
      </c>
      <c r="CK130" s="72" t="s">
        <v>1122</v>
      </c>
      <c r="CL130" s="72">
        <v>73.13</v>
      </c>
      <c r="CM130" s="72">
        <v>21.48</v>
      </c>
      <c r="CN130" s="72">
        <v>2.2000000000000002</v>
      </c>
      <c r="CO130" s="72">
        <v>22.94</v>
      </c>
      <c r="CP130" s="72">
        <v>6.68</v>
      </c>
      <c r="CQ130" s="72">
        <v>0</v>
      </c>
      <c r="CR130" s="72" t="s">
        <v>1123</v>
      </c>
      <c r="CS130" s="72">
        <v>3.57</v>
      </c>
      <c r="CT130" s="72">
        <v>3.57</v>
      </c>
      <c r="CU130" s="72">
        <v>1.64</v>
      </c>
      <c r="CV130" s="72">
        <v>0.88</v>
      </c>
      <c r="CW130" s="72">
        <v>59.02</v>
      </c>
      <c r="CX130" s="72" t="s">
        <v>605</v>
      </c>
      <c r="CY130" s="72">
        <v>33.119999999999997</v>
      </c>
      <c r="CZ130" s="72">
        <v>18.309999999999999</v>
      </c>
      <c r="DA130" s="72">
        <v>9.7100000000000009</v>
      </c>
      <c r="DB130" s="72">
        <v>2551</v>
      </c>
    </row>
    <row r="131" spans="7:106" x14ac:dyDescent="0.25">
      <c r="G131" s="72">
        <v>2583</v>
      </c>
      <c r="H131" s="72" t="s">
        <v>1124</v>
      </c>
      <c r="I131" s="72">
        <v>3.84</v>
      </c>
      <c r="J131" s="72">
        <v>3.77</v>
      </c>
      <c r="K131" s="72">
        <v>7.85</v>
      </c>
      <c r="L131" s="72">
        <v>0.28999999999999998</v>
      </c>
      <c r="M131" s="72">
        <v>7.84</v>
      </c>
      <c r="N131" s="72">
        <v>7.85</v>
      </c>
      <c r="O131" s="72">
        <v>138183</v>
      </c>
      <c r="P131" s="72">
        <v>14</v>
      </c>
      <c r="Q131" s="72">
        <v>0</v>
      </c>
      <c r="R131" s="72">
        <v>1.31</v>
      </c>
      <c r="S131" s="72">
        <v>7.66</v>
      </c>
      <c r="T131" s="72">
        <v>7.9</v>
      </c>
      <c r="U131" s="72">
        <v>7.63</v>
      </c>
      <c r="V131" s="72">
        <v>7.56</v>
      </c>
      <c r="W131" s="72">
        <v>27.51</v>
      </c>
      <c r="X131" s="114">
        <v>108000000</v>
      </c>
      <c r="Y131" s="72" t="s">
        <v>1125</v>
      </c>
      <c r="Z131" s="72" t="s">
        <v>385</v>
      </c>
      <c r="AA131" s="72">
        <v>3.57</v>
      </c>
      <c r="AB131" s="72">
        <v>7.79</v>
      </c>
      <c r="AC131" s="72">
        <v>56590</v>
      </c>
      <c r="AD131" s="72">
        <v>81593</v>
      </c>
      <c r="AE131" s="72">
        <v>0.69</v>
      </c>
      <c r="AF131" s="72">
        <v>1107</v>
      </c>
      <c r="AG131" s="72">
        <v>165</v>
      </c>
      <c r="AH131" s="72" t="s">
        <v>414</v>
      </c>
      <c r="AI131" s="72">
        <v>503300</v>
      </c>
      <c r="AJ131" s="72">
        <v>0.01</v>
      </c>
      <c r="AK131" s="72" t="s">
        <v>414</v>
      </c>
      <c r="AL131" s="72" t="s">
        <v>414</v>
      </c>
      <c r="AM131" s="72">
        <v>10.53</v>
      </c>
      <c r="AN131" s="72" t="s">
        <v>1126</v>
      </c>
      <c r="AO131" s="72" t="s">
        <v>1127</v>
      </c>
      <c r="AP131" s="72">
        <v>1.66</v>
      </c>
      <c r="AQ131" s="72">
        <v>1607</v>
      </c>
      <c r="AR131" s="72">
        <v>86</v>
      </c>
      <c r="AS131" s="72">
        <v>8.0000000000000004E-4</v>
      </c>
      <c r="AT131" s="72">
        <v>2</v>
      </c>
      <c r="AU131" s="72">
        <v>5.23</v>
      </c>
      <c r="AV131" s="72">
        <v>1.73</v>
      </c>
      <c r="AW131" s="72" t="s">
        <v>1128</v>
      </c>
      <c r="AX131" s="72">
        <v>1.17</v>
      </c>
      <c r="AY131" s="72">
        <v>43.25</v>
      </c>
      <c r="AZ131" s="72">
        <v>172.1</v>
      </c>
      <c r="BA131" s="72">
        <v>1.32</v>
      </c>
      <c r="BB131" s="72">
        <v>4.5</v>
      </c>
      <c r="BC131" s="72">
        <v>0.93</v>
      </c>
      <c r="BD131" s="72">
        <v>3.09</v>
      </c>
      <c r="BE131" s="72">
        <v>2.48</v>
      </c>
      <c r="BF131" s="72">
        <v>-0.63</v>
      </c>
      <c r="BG131" s="72">
        <v>2.88</v>
      </c>
      <c r="BH131" s="72">
        <v>0.74</v>
      </c>
      <c r="BI131" s="72">
        <v>20200831</v>
      </c>
      <c r="BJ131" s="72">
        <v>20110527</v>
      </c>
      <c r="BK131" s="72">
        <v>18.399999999999999</v>
      </c>
      <c r="BL131" s="72" t="s">
        <v>414</v>
      </c>
      <c r="BM131" s="72" t="s">
        <v>414</v>
      </c>
      <c r="BN131" s="72">
        <v>161.08000000000001</v>
      </c>
      <c r="BO131" s="72">
        <v>63.12</v>
      </c>
      <c r="BP131" s="72">
        <v>0</v>
      </c>
      <c r="BQ131" s="72">
        <v>60.81</v>
      </c>
      <c r="BR131" s="72">
        <v>77.099999999999994</v>
      </c>
      <c r="BS131" s="72">
        <v>12.94</v>
      </c>
      <c r="BT131" s="72">
        <v>34.29</v>
      </c>
      <c r="BU131" s="72">
        <v>72.22</v>
      </c>
      <c r="BV131" s="72">
        <v>16.47</v>
      </c>
      <c r="BW131" s="72">
        <v>43.11</v>
      </c>
      <c r="BX131" s="72">
        <v>27.73</v>
      </c>
      <c r="BY131" s="72">
        <v>30.46</v>
      </c>
      <c r="BZ131" s="72">
        <v>15.6</v>
      </c>
      <c r="CA131" s="72">
        <v>2.61</v>
      </c>
      <c r="CB131" s="72">
        <v>0.13</v>
      </c>
      <c r="CC131" s="72">
        <v>2.6</v>
      </c>
      <c r="CD131" s="72">
        <v>2.62</v>
      </c>
      <c r="CE131" s="72">
        <v>2.62</v>
      </c>
      <c r="CF131" s="72">
        <v>16.84</v>
      </c>
      <c r="CG131" s="72">
        <v>2.39</v>
      </c>
      <c r="CH131" s="72">
        <v>-5.31</v>
      </c>
      <c r="CI131" s="72">
        <v>76865</v>
      </c>
      <c r="CJ131" s="72">
        <v>10389</v>
      </c>
      <c r="CK131" s="72" t="s">
        <v>1129</v>
      </c>
      <c r="CL131" s="72">
        <v>1109.0899999999999</v>
      </c>
      <c r="CM131" s="72">
        <v>12.6</v>
      </c>
      <c r="CN131" s="72">
        <v>2.29</v>
      </c>
      <c r="CO131" s="72">
        <v>60.39</v>
      </c>
      <c r="CP131" s="72">
        <v>4.74</v>
      </c>
      <c r="CQ131" s="72">
        <v>0</v>
      </c>
      <c r="CR131" s="72" t="s">
        <v>1130</v>
      </c>
      <c r="CS131" s="72">
        <v>3.43</v>
      </c>
      <c r="CT131" s="72">
        <v>0</v>
      </c>
      <c r="CU131" s="72">
        <v>1.51</v>
      </c>
      <c r="CV131" s="72">
        <v>0.92</v>
      </c>
      <c r="CW131" s="72">
        <v>39.18</v>
      </c>
      <c r="CX131" s="72" t="s">
        <v>1131</v>
      </c>
      <c r="CY131" s="72">
        <v>48.79</v>
      </c>
      <c r="CZ131" s="72">
        <v>8.5500000000000007</v>
      </c>
      <c r="DA131" s="72">
        <v>8.61</v>
      </c>
      <c r="DB131" s="72">
        <v>2583</v>
      </c>
    </row>
    <row r="132" spans="7:106" x14ac:dyDescent="0.25">
      <c r="G132" s="72">
        <v>2602</v>
      </c>
      <c r="H132" s="72" t="s">
        <v>1132</v>
      </c>
      <c r="I132" s="72">
        <v>1.34</v>
      </c>
      <c r="J132" s="72">
        <v>1.91</v>
      </c>
      <c r="K132" s="72">
        <v>9.85</v>
      </c>
      <c r="L132" s="72">
        <v>0.13</v>
      </c>
      <c r="M132" s="72">
        <v>9.85</v>
      </c>
      <c r="N132" s="72">
        <v>9.86</v>
      </c>
      <c r="O132" s="72">
        <v>312007</v>
      </c>
      <c r="P132" s="72">
        <v>24</v>
      </c>
      <c r="Q132" s="72">
        <v>0.1</v>
      </c>
      <c r="R132" s="72">
        <v>0.75</v>
      </c>
      <c r="S132" s="72">
        <v>9.75</v>
      </c>
      <c r="T132" s="72">
        <v>9.86</v>
      </c>
      <c r="U132" s="72">
        <v>9.66</v>
      </c>
      <c r="V132" s="72">
        <v>9.7200000000000006</v>
      </c>
      <c r="W132" s="72">
        <v>22.9</v>
      </c>
      <c r="X132" s="114">
        <v>305000000</v>
      </c>
      <c r="Y132" s="72" t="s">
        <v>404</v>
      </c>
      <c r="Z132" s="72" t="s">
        <v>358</v>
      </c>
      <c r="AA132" s="72">
        <v>2.06</v>
      </c>
      <c r="AB132" s="72">
        <v>9.77</v>
      </c>
      <c r="AC132" s="72">
        <v>141134</v>
      </c>
      <c r="AD132" s="72">
        <v>170873</v>
      </c>
      <c r="AE132" s="72">
        <v>0.83</v>
      </c>
      <c r="AF132" s="72">
        <v>272</v>
      </c>
      <c r="AG132" s="72">
        <v>1650</v>
      </c>
      <c r="AH132" s="72" t="s">
        <v>414</v>
      </c>
      <c r="AI132" s="72">
        <v>1604100</v>
      </c>
      <c r="AJ132" s="72">
        <v>0.01</v>
      </c>
      <c r="AK132" s="72" t="s">
        <v>414</v>
      </c>
      <c r="AL132" s="72" t="s">
        <v>414</v>
      </c>
      <c r="AM132" s="72">
        <v>41.76</v>
      </c>
      <c r="AN132" s="72" t="s">
        <v>1133</v>
      </c>
      <c r="AO132" s="72" t="s">
        <v>1134</v>
      </c>
      <c r="AP132" s="72">
        <v>-0.84</v>
      </c>
      <c r="AQ132" s="72">
        <v>1747</v>
      </c>
      <c r="AR132" s="72">
        <v>179</v>
      </c>
      <c r="AS132" s="72">
        <v>4.0000000000000002E-4</v>
      </c>
      <c r="AT132" s="72">
        <v>2</v>
      </c>
      <c r="AU132" s="72">
        <v>1.23</v>
      </c>
      <c r="AV132" s="72">
        <v>0.96</v>
      </c>
      <c r="AW132" s="72" t="s">
        <v>1135</v>
      </c>
      <c r="AX132" s="72">
        <v>0.86</v>
      </c>
      <c r="AY132" s="72">
        <v>26.73</v>
      </c>
      <c r="AZ132" s="72">
        <v>31.7</v>
      </c>
      <c r="BA132" s="72">
        <v>0.31</v>
      </c>
      <c r="BB132" s="72">
        <v>1.44</v>
      </c>
      <c r="BC132" s="72">
        <v>-0.62</v>
      </c>
      <c r="BD132" s="72">
        <v>0.51</v>
      </c>
      <c r="BE132" s="72">
        <v>1.03</v>
      </c>
      <c r="BF132" s="72">
        <v>-0.1</v>
      </c>
      <c r="BG132" s="72">
        <v>1.97</v>
      </c>
      <c r="BH132" s="72">
        <v>0.83</v>
      </c>
      <c r="BI132" s="72">
        <v>20200921</v>
      </c>
      <c r="BJ132" s="72">
        <v>20110728</v>
      </c>
      <c r="BK132" s="72">
        <v>74.53</v>
      </c>
      <c r="BL132" s="72" t="s">
        <v>414</v>
      </c>
      <c r="BM132" s="72" t="s">
        <v>414</v>
      </c>
      <c r="BN132" s="72">
        <v>366.77</v>
      </c>
      <c r="BO132" s="72">
        <v>293.42</v>
      </c>
      <c r="BP132" s="72">
        <v>3.31</v>
      </c>
      <c r="BQ132" s="72">
        <v>19.100000000000001</v>
      </c>
      <c r="BR132" s="72">
        <v>91.92</v>
      </c>
      <c r="BS132" s="72">
        <v>11.7</v>
      </c>
      <c r="BT132" s="72">
        <v>3</v>
      </c>
      <c r="BU132" s="72">
        <v>58.84</v>
      </c>
      <c r="BV132" s="72">
        <v>5.12</v>
      </c>
      <c r="BW132" s="72">
        <v>35.61</v>
      </c>
      <c r="BX132" s="72">
        <v>169.87</v>
      </c>
      <c r="BY132" s="72">
        <v>77.680000000000007</v>
      </c>
      <c r="BZ132" s="72">
        <v>35.479999999999997</v>
      </c>
      <c r="CA132" s="72">
        <v>18.440000000000001</v>
      </c>
      <c r="CB132" s="72">
        <v>0.25</v>
      </c>
      <c r="CC132" s="72">
        <v>18.670000000000002</v>
      </c>
      <c r="CD132" s="72">
        <v>16.2</v>
      </c>
      <c r="CE132" s="72">
        <v>16.02</v>
      </c>
      <c r="CF132" s="72">
        <v>67.7</v>
      </c>
      <c r="CG132" s="72">
        <v>6</v>
      </c>
      <c r="CH132" s="72">
        <v>-17.66</v>
      </c>
      <c r="CI132" s="72">
        <v>173053</v>
      </c>
      <c r="CJ132" s="72">
        <v>18768</v>
      </c>
      <c r="CK132" s="72" t="s">
        <v>1136</v>
      </c>
      <c r="CL132" s="72">
        <v>36.020000000000003</v>
      </c>
      <c r="CM132" s="72">
        <v>12.02</v>
      </c>
      <c r="CN132" s="72">
        <v>2.5</v>
      </c>
      <c r="CO132" s="72">
        <v>122.35</v>
      </c>
      <c r="CP132" s="72">
        <v>9.4499999999999993</v>
      </c>
      <c r="CQ132" s="72">
        <v>0</v>
      </c>
      <c r="CR132" s="72" t="s">
        <v>1137</v>
      </c>
      <c r="CS132" s="72">
        <v>3.94</v>
      </c>
      <c r="CT132" s="72">
        <v>0</v>
      </c>
      <c r="CU132" s="72">
        <v>2.2799999999999998</v>
      </c>
      <c r="CV132" s="72">
        <v>0.91</v>
      </c>
      <c r="CW132" s="72">
        <v>80</v>
      </c>
      <c r="CX132" s="72" t="s">
        <v>1138</v>
      </c>
      <c r="CY132" s="72">
        <v>54.33</v>
      </c>
      <c r="CZ132" s="72">
        <v>23.73</v>
      </c>
      <c r="DA132" s="72">
        <v>20.63</v>
      </c>
      <c r="DB132" s="72">
        <v>2602</v>
      </c>
    </row>
    <row r="133" spans="7:106" x14ac:dyDescent="0.25">
      <c r="G133" s="72">
        <v>2603</v>
      </c>
      <c r="H133" s="72" t="s">
        <v>1139</v>
      </c>
      <c r="I133" s="72">
        <v>1.1200000000000001</v>
      </c>
      <c r="J133" s="72">
        <v>1.51</v>
      </c>
      <c r="K133" s="72">
        <v>27.88</v>
      </c>
      <c r="L133" s="72">
        <v>0.31</v>
      </c>
      <c r="M133" s="72">
        <v>27.88</v>
      </c>
      <c r="N133" s="72">
        <v>27.89</v>
      </c>
      <c r="O133" s="72">
        <v>78958</v>
      </c>
      <c r="P133" s="72">
        <v>21</v>
      </c>
      <c r="Q133" s="72">
        <v>7.0000000000000007E-2</v>
      </c>
      <c r="R133" s="72">
        <v>0.8</v>
      </c>
      <c r="S133" s="72">
        <v>27.85</v>
      </c>
      <c r="T133" s="72">
        <v>28.1</v>
      </c>
      <c r="U133" s="72">
        <v>27.63</v>
      </c>
      <c r="V133" s="72">
        <v>27.57</v>
      </c>
      <c r="W133" s="72">
        <v>23.49</v>
      </c>
      <c r="X133" s="114">
        <v>220000000</v>
      </c>
      <c r="Y133" s="72" t="s">
        <v>1140</v>
      </c>
      <c r="Z133" s="72" t="s">
        <v>390</v>
      </c>
      <c r="AA133" s="72">
        <v>1.7</v>
      </c>
      <c r="AB133" s="72">
        <v>27.81</v>
      </c>
      <c r="AC133" s="72">
        <v>41221</v>
      </c>
      <c r="AD133" s="72">
        <v>37737</v>
      </c>
      <c r="AE133" s="72">
        <v>1.0900000000000001</v>
      </c>
      <c r="AF133" s="72">
        <v>136</v>
      </c>
      <c r="AG133" s="72">
        <v>101</v>
      </c>
      <c r="AH133" s="72" t="s">
        <v>414</v>
      </c>
      <c r="AI133" s="72">
        <v>1384100</v>
      </c>
      <c r="AJ133" s="72">
        <v>0.01</v>
      </c>
      <c r="AK133" s="72" t="s">
        <v>414</v>
      </c>
      <c r="AL133" s="72" t="s">
        <v>414</v>
      </c>
      <c r="AM133" s="72">
        <v>9.8699999999999992</v>
      </c>
      <c r="AN133" s="72" t="s">
        <v>1141</v>
      </c>
      <c r="AO133" s="72" t="s">
        <v>1142</v>
      </c>
      <c r="AP133" s="72">
        <v>-1.05</v>
      </c>
      <c r="AQ133" s="72">
        <v>1652</v>
      </c>
      <c r="AR133" s="72">
        <v>48</v>
      </c>
      <c r="AS133" s="72">
        <v>5.0000000000000001E-4</v>
      </c>
      <c r="AT133" s="72">
        <v>2</v>
      </c>
      <c r="AU133" s="72">
        <v>2.91</v>
      </c>
      <c r="AV133" s="72">
        <v>1.46</v>
      </c>
      <c r="AW133" s="72" t="s">
        <v>1143</v>
      </c>
      <c r="AX133" s="72">
        <v>1.01</v>
      </c>
      <c r="AY133" s="72">
        <v>38.32</v>
      </c>
      <c r="AZ133" s="72">
        <v>54.72</v>
      </c>
      <c r="BA133" s="72">
        <v>1.02</v>
      </c>
      <c r="BB133" s="72">
        <v>1.92</v>
      </c>
      <c r="BC133" s="72">
        <v>0.22</v>
      </c>
      <c r="BD133" s="72">
        <v>0.86</v>
      </c>
      <c r="BE133" s="72">
        <v>0.11</v>
      </c>
      <c r="BF133" s="72">
        <v>-0.78</v>
      </c>
      <c r="BG133" s="72">
        <v>0.9</v>
      </c>
      <c r="BH133" s="72">
        <v>0.27</v>
      </c>
      <c r="BI133" s="72">
        <v>20200828</v>
      </c>
      <c r="BJ133" s="72">
        <v>20110728</v>
      </c>
      <c r="BK133" s="72">
        <v>12.04</v>
      </c>
      <c r="BL133" s="72" t="s">
        <v>414</v>
      </c>
      <c r="BM133" s="72" t="s">
        <v>414</v>
      </c>
      <c r="BN133" s="72">
        <v>101.27</v>
      </c>
      <c r="BO133" s="72">
        <v>84.21</v>
      </c>
      <c r="BP133" s="72">
        <v>7.0000000000000007E-2</v>
      </c>
      <c r="BQ133" s="72">
        <v>16.78</v>
      </c>
      <c r="BR133" s="72">
        <v>55.93</v>
      </c>
      <c r="BS133" s="72">
        <v>26.71</v>
      </c>
      <c r="BT133" s="72">
        <v>4.82</v>
      </c>
      <c r="BU133" s="72">
        <v>13.66</v>
      </c>
      <c r="BV133" s="72">
        <v>12.9</v>
      </c>
      <c r="BW133" s="72">
        <v>11.85</v>
      </c>
      <c r="BX133" s="72">
        <v>29.32</v>
      </c>
      <c r="BY133" s="72">
        <v>44.87</v>
      </c>
      <c r="BZ133" s="72">
        <v>16.97</v>
      </c>
      <c r="CA133" s="72">
        <v>8.5299999999999994</v>
      </c>
      <c r="CB133" s="72">
        <v>0.06</v>
      </c>
      <c r="CC133" s="72">
        <v>8.4700000000000006</v>
      </c>
      <c r="CD133" s="72">
        <v>7.13</v>
      </c>
      <c r="CE133" s="72">
        <v>7.14</v>
      </c>
      <c r="CF133" s="72">
        <v>39.590000000000003</v>
      </c>
      <c r="CG133" s="72">
        <v>18.13</v>
      </c>
      <c r="CH133" s="72">
        <v>6.48</v>
      </c>
      <c r="CI133" s="72">
        <v>164995</v>
      </c>
      <c r="CJ133" s="72">
        <v>3281</v>
      </c>
      <c r="CK133" s="72" t="s">
        <v>1144</v>
      </c>
      <c r="CL133" s="72">
        <v>57.05</v>
      </c>
      <c r="CM133" s="72">
        <v>50.35</v>
      </c>
      <c r="CN133" s="72">
        <v>3.99</v>
      </c>
      <c r="CO133" s="72">
        <v>18.510000000000002</v>
      </c>
      <c r="CP133" s="72">
        <v>7.48</v>
      </c>
      <c r="CQ133" s="72">
        <v>0.72</v>
      </c>
      <c r="CR133" s="72" t="s">
        <v>1145</v>
      </c>
      <c r="CS133" s="72">
        <v>7</v>
      </c>
      <c r="CT133" s="72">
        <v>0</v>
      </c>
      <c r="CU133" s="72">
        <v>2.44</v>
      </c>
      <c r="CV133" s="72">
        <v>3.29</v>
      </c>
      <c r="CW133" s="72">
        <v>83.15</v>
      </c>
      <c r="CX133" s="72" t="s">
        <v>1146</v>
      </c>
      <c r="CY133" s="72">
        <v>62.19</v>
      </c>
      <c r="CZ133" s="72">
        <v>19</v>
      </c>
      <c r="DA133" s="72">
        <v>15.92</v>
      </c>
      <c r="DB133" s="72">
        <v>2603</v>
      </c>
    </row>
    <row r="134" spans="7:106" x14ac:dyDescent="0.25">
      <c r="G134" s="72">
        <v>2606</v>
      </c>
      <c r="H134" s="72" t="s">
        <v>1147</v>
      </c>
      <c r="I134" s="72">
        <v>4.5199999999999996</v>
      </c>
      <c r="J134" s="72">
        <v>4.29</v>
      </c>
      <c r="K134" s="72">
        <v>7.87</v>
      </c>
      <c r="L134" s="72">
        <v>0.34</v>
      </c>
      <c r="M134" s="72">
        <v>7.86</v>
      </c>
      <c r="N134" s="72">
        <v>7.87</v>
      </c>
      <c r="O134" s="72">
        <v>68291</v>
      </c>
      <c r="P134" s="72">
        <v>10</v>
      </c>
      <c r="Q134" s="72">
        <v>0</v>
      </c>
      <c r="R134" s="72">
        <v>1.68</v>
      </c>
      <c r="S134" s="72">
        <v>7.67</v>
      </c>
      <c r="T134" s="72">
        <v>7.89</v>
      </c>
      <c r="U134" s="72">
        <v>7.61</v>
      </c>
      <c r="V134" s="72">
        <v>7.53</v>
      </c>
      <c r="W134" s="72">
        <v>23.13</v>
      </c>
      <c r="X134" s="114">
        <v>53073984</v>
      </c>
      <c r="Y134" s="72" t="s">
        <v>415</v>
      </c>
      <c r="Z134" s="72" t="s">
        <v>382</v>
      </c>
      <c r="AA134" s="72">
        <v>3.72</v>
      </c>
      <c r="AB134" s="72">
        <v>7.77</v>
      </c>
      <c r="AC134" s="72">
        <v>24314</v>
      </c>
      <c r="AD134" s="72">
        <v>43977</v>
      </c>
      <c r="AE134" s="72">
        <v>0.55000000000000004</v>
      </c>
      <c r="AF134" s="72">
        <v>77</v>
      </c>
      <c r="AG134" s="72">
        <v>18</v>
      </c>
      <c r="AH134" s="72" t="s">
        <v>414</v>
      </c>
      <c r="AI134" s="72">
        <v>573700</v>
      </c>
      <c r="AJ134" s="72">
        <v>0.03</v>
      </c>
      <c r="AK134" s="72" t="s">
        <v>414</v>
      </c>
      <c r="AL134" s="72" t="s">
        <v>414</v>
      </c>
      <c r="AM134" s="72">
        <v>4.07</v>
      </c>
      <c r="AN134" s="72" t="s">
        <v>1148</v>
      </c>
      <c r="AO134" s="72" t="s">
        <v>1149</v>
      </c>
      <c r="AP134" s="72">
        <v>2.34</v>
      </c>
      <c r="AQ134" s="72">
        <v>1241</v>
      </c>
      <c r="AR134" s="72">
        <v>55</v>
      </c>
      <c r="AS134" s="72">
        <v>1.4E-3</v>
      </c>
      <c r="AT134" s="72">
        <v>2</v>
      </c>
      <c r="AU134" s="72">
        <v>6.35</v>
      </c>
      <c r="AV134" s="72">
        <v>2.44</v>
      </c>
      <c r="AW134" s="72" t="s">
        <v>1150</v>
      </c>
      <c r="AX134" s="72">
        <v>1.01</v>
      </c>
      <c r="AY134" s="72">
        <v>29.92</v>
      </c>
      <c r="AZ134" s="72">
        <v>66.62</v>
      </c>
      <c r="BA134" s="72">
        <v>1.86</v>
      </c>
      <c r="BB134" s="72">
        <v>4.78</v>
      </c>
      <c r="BC134" s="72">
        <v>1.06</v>
      </c>
      <c r="BD134" s="72">
        <v>3.21</v>
      </c>
      <c r="BE134" s="72">
        <v>2.61</v>
      </c>
      <c r="BF134" s="72">
        <v>-0.25</v>
      </c>
      <c r="BG134" s="72">
        <v>3.42</v>
      </c>
      <c r="BH134" s="72">
        <v>1.3</v>
      </c>
      <c r="BI134" s="72">
        <v>20200921</v>
      </c>
      <c r="BJ134" s="72">
        <v>20110805</v>
      </c>
      <c r="BK134" s="72">
        <v>4.1100000000000003</v>
      </c>
      <c r="BL134" s="72" t="s">
        <v>414</v>
      </c>
      <c r="BM134" s="72" t="s">
        <v>414</v>
      </c>
      <c r="BN134" s="72">
        <v>14.32</v>
      </c>
      <c r="BO134" s="72">
        <v>9.86</v>
      </c>
      <c r="BP134" s="72">
        <v>0.03</v>
      </c>
      <c r="BQ134" s="72">
        <v>30.99</v>
      </c>
      <c r="BR134" s="72">
        <v>9.52</v>
      </c>
      <c r="BS134" s="72">
        <v>3.04</v>
      </c>
      <c r="BT134" s="72">
        <v>0.95</v>
      </c>
      <c r="BU134" s="72">
        <v>3.74</v>
      </c>
      <c r="BV134" s="72">
        <v>3.09</v>
      </c>
      <c r="BW134" s="72">
        <v>4.3600000000000003</v>
      </c>
      <c r="BX134" s="72">
        <v>1.25</v>
      </c>
      <c r="BY134" s="72">
        <v>5.17</v>
      </c>
      <c r="BZ134" s="72">
        <v>3.12</v>
      </c>
      <c r="CA134" s="72">
        <v>0.83</v>
      </c>
      <c r="CB134" s="72">
        <v>0.01</v>
      </c>
      <c r="CC134" s="72">
        <v>0.83</v>
      </c>
      <c r="CD134" s="72">
        <v>0.69</v>
      </c>
      <c r="CE134" s="72">
        <v>0.7</v>
      </c>
      <c r="CF134" s="72">
        <v>4.12</v>
      </c>
      <c r="CG134" s="72">
        <v>0.7</v>
      </c>
      <c r="CH134" s="72">
        <v>0.08</v>
      </c>
      <c r="CI134" s="72">
        <v>33838</v>
      </c>
      <c r="CJ134" s="72">
        <v>8288</v>
      </c>
      <c r="CK134" s="72" t="s">
        <v>1151</v>
      </c>
      <c r="CL134" s="72">
        <v>439.95</v>
      </c>
      <c r="CM134" s="72">
        <v>70.540000000000006</v>
      </c>
      <c r="CN134" s="72">
        <v>3.25</v>
      </c>
      <c r="CO134" s="72">
        <v>46.18</v>
      </c>
      <c r="CP134" s="72">
        <v>6.26</v>
      </c>
      <c r="CQ134" s="72">
        <v>0.16</v>
      </c>
      <c r="CR134" s="72" t="s">
        <v>1083</v>
      </c>
      <c r="CS134" s="72">
        <v>2.42</v>
      </c>
      <c r="CT134" s="72">
        <v>2.42</v>
      </c>
      <c r="CU134" s="72">
        <v>0.3</v>
      </c>
      <c r="CV134" s="72">
        <v>1</v>
      </c>
      <c r="CW134" s="72">
        <v>68.819999999999993</v>
      </c>
      <c r="CX134" s="72" t="s">
        <v>1152</v>
      </c>
      <c r="CY134" s="72">
        <v>39.6</v>
      </c>
      <c r="CZ134" s="72">
        <v>16.07</v>
      </c>
      <c r="DA134" s="72">
        <v>13.54</v>
      </c>
      <c r="DB134" s="72">
        <v>2606</v>
      </c>
    </row>
    <row r="135" spans="7:106" x14ac:dyDescent="0.25">
      <c r="G135" s="72">
        <v>2614</v>
      </c>
      <c r="H135" s="72" t="s">
        <v>1153</v>
      </c>
      <c r="I135" s="72">
        <v>0.83</v>
      </c>
      <c r="J135" s="72">
        <v>2.14</v>
      </c>
      <c r="K135" s="72">
        <v>17.100000000000001</v>
      </c>
      <c r="L135" s="72">
        <v>0.14000000000000001</v>
      </c>
      <c r="M135" s="72">
        <v>17.079999999999998</v>
      </c>
      <c r="N135" s="72">
        <v>17.09</v>
      </c>
      <c r="O135" s="72">
        <v>112298</v>
      </c>
      <c r="P135" s="72">
        <v>74</v>
      </c>
      <c r="Q135" s="72">
        <v>-0.34</v>
      </c>
      <c r="R135" s="72">
        <v>3.34</v>
      </c>
      <c r="S135" s="72">
        <v>17.190000000000001</v>
      </c>
      <c r="T135" s="72">
        <v>17.36</v>
      </c>
      <c r="U135" s="72">
        <v>16.899999999999999</v>
      </c>
      <c r="V135" s="72">
        <v>16.96</v>
      </c>
      <c r="W135" s="72">
        <v>32.19</v>
      </c>
      <c r="X135" s="114">
        <v>193000000</v>
      </c>
      <c r="Y135" s="72" t="s">
        <v>506</v>
      </c>
      <c r="Z135" s="72" t="s">
        <v>400</v>
      </c>
      <c r="AA135" s="72">
        <v>2.71</v>
      </c>
      <c r="AB135" s="72">
        <v>17.149999999999999</v>
      </c>
      <c r="AC135" s="72">
        <v>59133</v>
      </c>
      <c r="AD135" s="72">
        <v>53165</v>
      </c>
      <c r="AE135" s="72">
        <v>1.1100000000000001</v>
      </c>
      <c r="AF135" s="72">
        <v>8</v>
      </c>
      <c r="AG135" s="72">
        <v>17</v>
      </c>
      <c r="AH135" s="72" t="s">
        <v>414</v>
      </c>
      <c r="AI135" s="72">
        <v>2915600</v>
      </c>
      <c r="AJ135" s="72">
        <v>0.06</v>
      </c>
      <c r="AK135" s="72" t="s">
        <v>414</v>
      </c>
      <c r="AL135" s="72" t="s">
        <v>414</v>
      </c>
      <c r="AM135" s="72">
        <v>3.36</v>
      </c>
      <c r="AN135" s="72" t="s">
        <v>1098</v>
      </c>
      <c r="AO135" s="72" t="s">
        <v>1154</v>
      </c>
      <c r="AP135" s="72">
        <v>-1.35</v>
      </c>
      <c r="AQ135" s="72">
        <v>1832</v>
      </c>
      <c r="AR135" s="72">
        <v>61</v>
      </c>
      <c r="AS135" s="72">
        <v>1.8E-3</v>
      </c>
      <c r="AT135" s="72">
        <v>3</v>
      </c>
      <c r="AU135" s="72">
        <v>13.39</v>
      </c>
      <c r="AV135" s="72">
        <v>4.29</v>
      </c>
      <c r="AW135" s="72" t="s">
        <v>1155</v>
      </c>
      <c r="AX135" s="72">
        <v>1.42</v>
      </c>
      <c r="AY135" s="72">
        <v>28.57</v>
      </c>
      <c r="AZ135" s="72">
        <v>32.94</v>
      </c>
      <c r="BA135" s="72">
        <v>1.36</v>
      </c>
      <c r="BB135" s="72">
        <v>2.36</v>
      </c>
      <c r="BC135" s="72">
        <v>-0.35</v>
      </c>
      <c r="BD135" s="72">
        <v>1.1100000000000001</v>
      </c>
      <c r="BE135" s="72">
        <v>-0.52</v>
      </c>
      <c r="BF135" s="72">
        <v>-1.5</v>
      </c>
      <c r="BG135" s="72">
        <v>1.18</v>
      </c>
      <c r="BH135" s="72">
        <v>-0.28000000000000003</v>
      </c>
      <c r="BI135" s="72">
        <v>20200924</v>
      </c>
      <c r="BJ135" s="72">
        <v>20110909</v>
      </c>
      <c r="BK135" s="72">
        <v>5.61</v>
      </c>
      <c r="BL135" s="72" t="s">
        <v>414</v>
      </c>
      <c r="BM135" s="72" t="s">
        <v>414</v>
      </c>
      <c r="BN135" s="72">
        <v>81.180000000000007</v>
      </c>
      <c r="BO135" s="72">
        <v>36.26</v>
      </c>
      <c r="BP135" s="72">
        <v>0.56000000000000005</v>
      </c>
      <c r="BQ135" s="72">
        <v>54.65</v>
      </c>
      <c r="BR135" s="72">
        <v>53.47</v>
      </c>
      <c r="BS135" s="72">
        <v>9.2100000000000009</v>
      </c>
      <c r="BT135" s="72">
        <v>5.7</v>
      </c>
      <c r="BU135" s="72">
        <v>31.92</v>
      </c>
      <c r="BV135" s="72">
        <v>11.35</v>
      </c>
      <c r="BW135" s="72">
        <v>10.29</v>
      </c>
      <c r="BX135" s="72">
        <v>11.44</v>
      </c>
      <c r="BY135" s="72">
        <v>27.86</v>
      </c>
      <c r="BZ135" s="72">
        <v>17.48</v>
      </c>
      <c r="CA135" s="72">
        <v>1.89</v>
      </c>
      <c r="CB135" s="72">
        <v>0.03</v>
      </c>
      <c r="CC135" s="72">
        <v>1.82</v>
      </c>
      <c r="CD135" s="72">
        <v>1.36</v>
      </c>
      <c r="CE135" s="72">
        <v>1.49</v>
      </c>
      <c r="CF135" s="72">
        <v>17.66</v>
      </c>
      <c r="CG135" s="72">
        <v>4.46</v>
      </c>
      <c r="CH135" s="72">
        <v>4.3600000000000003</v>
      </c>
      <c r="CI135" s="72">
        <v>36772</v>
      </c>
      <c r="CJ135" s="72">
        <v>7120</v>
      </c>
      <c r="CK135" s="72" t="s">
        <v>1156</v>
      </c>
      <c r="CL135" s="72">
        <v>42.09</v>
      </c>
      <c r="CM135" s="72">
        <v>13.64</v>
      </c>
      <c r="CN135" s="72">
        <v>2.8</v>
      </c>
      <c r="CO135" s="72">
        <v>21.53</v>
      </c>
      <c r="CP135" s="72">
        <v>3.44</v>
      </c>
      <c r="CQ135" s="72">
        <v>1.1599999999999999</v>
      </c>
      <c r="CR135" s="72" t="s">
        <v>1157</v>
      </c>
      <c r="CS135" s="72">
        <v>6.1</v>
      </c>
      <c r="CT135" s="72">
        <v>6.1</v>
      </c>
      <c r="CU135" s="72">
        <v>2.04</v>
      </c>
      <c r="CV135" s="72">
        <v>3.15</v>
      </c>
      <c r="CW135" s="72">
        <v>44.66</v>
      </c>
      <c r="CX135" s="72" t="s">
        <v>1158</v>
      </c>
      <c r="CY135" s="72">
        <v>37.26</v>
      </c>
      <c r="CZ135" s="72">
        <v>6.77</v>
      </c>
      <c r="DA135" s="72">
        <v>5.35</v>
      </c>
      <c r="DB135" s="72">
        <v>2614</v>
      </c>
    </row>
    <row r="136" spans="7:106" x14ac:dyDescent="0.25">
      <c r="G136" s="72">
        <v>2650</v>
      </c>
      <c r="H136" s="72" t="s">
        <v>1159</v>
      </c>
      <c r="I136" s="72">
        <v>1.96</v>
      </c>
      <c r="J136" s="72">
        <v>1.17</v>
      </c>
      <c r="K136" s="72">
        <v>7.79</v>
      </c>
      <c r="L136" s="72">
        <v>0.15</v>
      </c>
      <c r="M136" s="72">
        <v>7.78</v>
      </c>
      <c r="N136" s="72">
        <v>7.79</v>
      </c>
      <c r="O136" s="72">
        <v>82146</v>
      </c>
      <c r="P136" s="72">
        <v>25</v>
      </c>
      <c r="Q136" s="72">
        <v>0.52</v>
      </c>
      <c r="R136" s="72">
        <v>0.71</v>
      </c>
      <c r="S136" s="72">
        <v>7.53</v>
      </c>
      <c r="T136" s="72">
        <v>7.82</v>
      </c>
      <c r="U136" s="72">
        <v>7.5</v>
      </c>
      <c r="V136" s="72">
        <v>7.64</v>
      </c>
      <c r="W136" s="72">
        <v>41.8</v>
      </c>
      <c r="X136" s="114">
        <v>62950308</v>
      </c>
      <c r="Y136" s="72" t="s">
        <v>356</v>
      </c>
      <c r="Z136" s="72" t="s">
        <v>384</v>
      </c>
      <c r="AA136" s="72">
        <v>4.1900000000000004</v>
      </c>
      <c r="AB136" s="72">
        <v>7.66</v>
      </c>
      <c r="AC136" s="72">
        <v>36088</v>
      </c>
      <c r="AD136" s="72">
        <v>46058</v>
      </c>
      <c r="AE136" s="72">
        <v>0.78</v>
      </c>
      <c r="AF136" s="72">
        <v>1209</v>
      </c>
      <c r="AG136" s="72">
        <v>74</v>
      </c>
      <c r="AH136" s="72" t="s">
        <v>414</v>
      </c>
      <c r="AI136" s="72">
        <v>1053400</v>
      </c>
      <c r="AJ136" s="72">
        <v>0.02</v>
      </c>
      <c r="AK136" s="72" t="s">
        <v>414</v>
      </c>
      <c r="AL136" s="72" t="s">
        <v>414</v>
      </c>
      <c r="AM136" s="72">
        <v>11.52</v>
      </c>
      <c r="AN136" s="72" t="s">
        <v>1160</v>
      </c>
      <c r="AO136" s="72" t="s">
        <v>1160</v>
      </c>
      <c r="AP136" s="72">
        <v>-0.21</v>
      </c>
      <c r="AQ136" s="72">
        <v>1119</v>
      </c>
      <c r="AR136" s="72">
        <v>73</v>
      </c>
      <c r="AS136" s="72">
        <v>5.9999999999999995E-4</v>
      </c>
      <c r="AT136" s="72">
        <v>3</v>
      </c>
      <c r="AU136" s="72">
        <v>6.72</v>
      </c>
      <c r="AV136" s="72">
        <v>1.24</v>
      </c>
      <c r="AW136" s="72" t="s">
        <v>1161</v>
      </c>
      <c r="AX136" s="72">
        <v>0.88</v>
      </c>
      <c r="AY136" s="72">
        <v>47.9</v>
      </c>
      <c r="AZ136" s="72">
        <v>54.17</v>
      </c>
      <c r="BA136" s="72">
        <v>-1.44</v>
      </c>
      <c r="BB136" s="72">
        <v>2.36</v>
      </c>
      <c r="BC136" s="72">
        <v>-1.83</v>
      </c>
      <c r="BD136" s="72">
        <v>0.3</v>
      </c>
      <c r="BE136" s="72">
        <v>3.45</v>
      </c>
      <c r="BF136" s="72">
        <v>-0.38</v>
      </c>
      <c r="BG136" s="72">
        <v>3.87</v>
      </c>
      <c r="BH136" s="72">
        <v>1.66</v>
      </c>
      <c r="BI136" s="72">
        <v>20200826</v>
      </c>
      <c r="BJ136" s="72">
        <v>20120106</v>
      </c>
      <c r="BK136" s="72">
        <v>11.52</v>
      </c>
      <c r="BL136" s="72" t="s">
        <v>414</v>
      </c>
      <c r="BM136" s="72" t="s">
        <v>414</v>
      </c>
      <c r="BN136" s="72">
        <v>30.57</v>
      </c>
      <c r="BO136" s="72">
        <v>24.44</v>
      </c>
      <c r="BP136" s="72">
        <v>0</v>
      </c>
      <c r="BQ136" s="72">
        <v>20.059999999999999</v>
      </c>
      <c r="BR136" s="72">
        <v>11.85</v>
      </c>
      <c r="BS136" s="72">
        <v>14.57</v>
      </c>
      <c r="BT136" s="72">
        <v>0.89</v>
      </c>
      <c r="BU136" s="72">
        <v>5.54</v>
      </c>
      <c r="BV136" s="72">
        <v>3.32</v>
      </c>
      <c r="BW136" s="72">
        <v>0.72</v>
      </c>
      <c r="BX136" s="72">
        <v>2.06</v>
      </c>
      <c r="BY136" s="72">
        <v>11.56</v>
      </c>
      <c r="BZ136" s="72">
        <v>7.9</v>
      </c>
      <c r="CA136" s="72">
        <v>1.4</v>
      </c>
      <c r="CB136" s="72">
        <v>-0.01</v>
      </c>
      <c r="CC136" s="72">
        <v>1.39</v>
      </c>
      <c r="CD136" s="72">
        <v>1.07</v>
      </c>
      <c r="CE136" s="72">
        <v>1.07</v>
      </c>
      <c r="CF136" s="72">
        <v>9.43</v>
      </c>
      <c r="CG136" s="72">
        <v>1.36</v>
      </c>
      <c r="CH136" s="72">
        <v>0.7</v>
      </c>
      <c r="CI136" s="72">
        <v>38749</v>
      </c>
      <c r="CJ136" s="72">
        <v>17156</v>
      </c>
      <c r="CK136" s="72" t="s">
        <v>1162</v>
      </c>
      <c r="CL136" s="72">
        <v>24.67</v>
      </c>
      <c r="CM136" s="72">
        <v>12.87</v>
      </c>
      <c r="CN136" s="72">
        <v>3.67</v>
      </c>
      <c r="CO136" s="72">
        <v>66.040000000000006</v>
      </c>
      <c r="CP136" s="72">
        <v>7.76</v>
      </c>
      <c r="CQ136" s="72">
        <v>0.46</v>
      </c>
      <c r="CR136" s="72" t="s">
        <v>618</v>
      </c>
      <c r="CS136" s="72">
        <v>2.12</v>
      </c>
      <c r="CT136" s="72">
        <v>0</v>
      </c>
      <c r="CU136" s="72">
        <v>0.18</v>
      </c>
      <c r="CV136" s="72">
        <v>0.82</v>
      </c>
      <c r="CW136" s="72">
        <v>79.94</v>
      </c>
      <c r="CX136" s="72" t="s">
        <v>1163</v>
      </c>
      <c r="CY136" s="72">
        <v>31.69</v>
      </c>
      <c r="CZ136" s="72">
        <v>12.14</v>
      </c>
      <c r="DA136" s="72">
        <v>9.2799999999999994</v>
      </c>
      <c r="DB136" s="72">
        <v>2650</v>
      </c>
    </row>
    <row r="137" spans="7:106" x14ac:dyDescent="0.25">
      <c r="G137" s="72">
        <v>2661</v>
      </c>
      <c r="H137" s="72" t="s">
        <v>1164</v>
      </c>
      <c r="I137" s="72">
        <v>2.92</v>
      </c>
      <c r="J137" s="72">
        <v>2</v>
      </c>
      <c r="K137" s="72">
        <v>21.53</v>
      </c>
      <c r="L137" s="72">
        <v>0.61</v>
      </c>
      <c r="M137" s="72">
        <v>21.52</v>
      </c>
      <c r="N137" s="72">
        <v>21.53</v>
      </c>
      <c r="O137" s="72">
        <v>33530</v>
      </c>
      <c r="P137" s="72">
        <v>57</v>
      </c>
      <c r="Q137" s="72">
        <v>-0.04</v>
      </c>
      <c r="R137" s="72">
        <v>1.02</v>
      </c>
      <c r="S137" s="72">
        <v>21.02</v>
      </c>
      <c r="T137" s="72">
        <v>21.61</v>
      </c>
      <c r="U137" s="72">
        <v>21.02</v>
      </c>
      <c r="V137" s="72">
        <v>20.92</v>
      </c>
      <c r="W137" s="72">
        <v>16.149999999999999</v>
      </c>
      <c r="X137" s="114">
        <v>71480304</v>
      </c>
      <c r="Y137" s="72" t="s">
        <v>356</v>
      </c>
      <c r="Z137" s="72" t="s">
        <v>384</v>
      </c>
      <c r="AA137" s="72">
        <v>2.82</v>
      </c>
      <c r="AB137" s="72">
        <v>21.32</v>
      </c>
      <c r="AC137" s="72">
        <v>13536</v>
      </c>
      <c r="AD137" s="72">
        <v>19994</v>
      </c>
      <c r="AE137" s="72">
        <v>0.68</v>
      </c>
      <c r="AF137" s="72">
        <v>28</v>
      </c>
      <c r="AG137" s="72">
        <v>96</v>
      </c>
      <c r="AH137" s="72" t="s">
        <v>414</v>
      </c>
      <c r="AI137" s="72">
        <v>603300</v>
      </c>
      <c r="AJ137" s="72">
        <v>0.01</v>
      </c>
      <c r="AK137" s="72" t="s">
        <v>414</v>
      </c>
      <c r="AL137" s="72" t="s">
        <v>414</v>
      </c>
      <c r="AM137" s="72">
        <v>3.29</v>
      </c>
      <c r="AN137" s="72" t="s">
        <v>1165</v>
      </c>
      <c r="AO137" s="72" t="s">
        <v>1166</v>
      </c>
      <c r="AP137" s="72">
        <v>0.74</v>
      </c>
      <c r="AQ137" s="72">
        <v>1331</v>
      </c>
      <c r="AR137" s="72">
        <v>25</v>
      </c>
      <c r="AS137" s="72">
        <v>8.0000000000000004E-4</v>
      </c>
      <c r="AT137" s="72">
        <v>3</v>
      </c>
      <c r="AU137" s="72">
        <v>5.75</v>
      </c>
      <c r="AV137" s="72">
        <v>1.62</v>
      </c>
      <c r="AW137" s="72" t="s">
        <v>1167</v>
      </c>
      <c r="AX137" s="72">
        <v>1.21</v>
      </c>
      <c r="AY137" s="72">
        <v>21.48</v>
      </c>
      <c r="AZ137" s="72">
        <v>33.799999999999997</v>
      </c>
      <c r="BA137" s="72">
        <v>0.48</v>
      </c>
      <c r="BB137" s="72">
        <v>3.3</v>
      </c>
      <c r="BC137" s="72">
        <v>0.48</v>
      </c>
      <c r="BD137" s="72">
        <v>1.9</v>
      </c>
      <c r="BE137" s="72">
        <v>2.4300000000000002</v>
      </c>
      <c r="BF137" s="72">
        <v>-0.37</v>
      </c>
      <c r="BG137" s="72">
        <v>2.4300000000000002</v>
      </c>
      <c r="BH137" s="72">
        <v>1.01</v>
      </c>
      <c r="BI137" s="72">
        <v>20201009</v>
      </c>
      <c r="BJ137" s="72">
        <v>20120316</v>
      </c>
      <c r="BK137" s="72">
        <v>3.34</v>
      </c>
      <c r="BL137" s="72" t="s">
        <v>414</v>
      </c>
      <c r="BM137" s="72" t="s">
        <v>414</v>
      </c>
      <c r="BN137" s="72">
        <v>44.38</v>
      </c>
      <c r="BO137" s="72">
        <v>24.41</v>
      </c>
      <c r="BP137" s="72">
        <v>0</v>
      </c>
      <c r="BQ137" s="72">
        <v>45</v>
      </c>
      <c r="BR137" s="72">
        <v>19.07</v>
      </c>
      <c r="BS137" s="72">
        <v>14.28</v>
      </c>
      <c r="BT137" s="72">
        <v>2.36</v>
      </c>
      <c r="BU137" s="72">
        <v>18.97</v>
      </c>
      <c r="BV137" s="72">
        <v>4.79</v>
      </c>
      <c r="BW137" s="72">
        <v>1.43</v>
      </c>
      <c r="BX137" s="72">
        <v>13.82</v>
      </c>
      <c r="BY137" s="72">
        <v>19.38</v>
      </c>
      <c r="BZ137" s="72">
        <v>14.36</v>
      </c>
      <c r="CA137" s="72">
        <v>2.75</v>
      </c>
      <c r="CB137" s="72">
        <v>7.0000000000000007E-2</v>
      </c>
      <c r="CC137" s="72">
        <v>2.77</v>
      </c>
      <c r="CD137" s="72">
        <v>2.23</v>
      </c>
      <c r="CE137" s="72">
        <v>2.23</v>
      </c>
      <c r="CF137" s="72">
        <v>7.47</v>
      </c>
      <c r="CG137" s="72">
        <v>3.15</v>
      </c>
      <c r="CH137" s="72">
        <v>3.08</v>
      </c>
      <c r="CI137" s="72">
        <v>40029</v>
      </c>
      <c r="CJ137" s="72">
        <v>5177</v>
      </c>
      <c r="CK137" s="72" t="s">
        <v>1168</v>
      </c>
      <c r="CL137" s="72">
        <v>113.86</v>
      </c>
      <c r="CM137" s="72">
        <v>27.96</v>
      </c>
      <c r="CN137" s="72">
        <v>2.93</v>
      </c>
      <c r="CO137" s="72">
        <v>22.82</v>
      </c>
      <c r="CP137" s="72">
        <v>3.71</v>
      </c>
      <c r="CQ137" s="72">
        <v>1.1399999999999999</v>
      </c>
      <c r="CR137" s="72" t="s">
        <v>754</v>
      </c>
      <c r="CS137" s="72">
        <v>7.34</v>
      </c>
      <c r="CT137" s="72">
        <v>7.34</v>
      </c>
      <c r="CU137" s="72">
        <v>4.1399999999999997</v>
      </c>
      <c r="CV137" s="72">
        <v>2.2400000000000002</v>
      </c>
      <c r="CW137" s="72">
        <v>55</v>
      </c>
      <c r="CX137" s="72" t="s">
        <v>1169</v>
      </c>
      <c r="CY137" s="72">
        <v>25.9</v>
      </c>
      <c r="CZ137" s="72">
        <v>14.17</v>
      </c>
      <c r="DA137" s="72">
        <v>11.48</v>
      </c>
      <c r="DB137" s="72">
        <v>2661</v>
      </c>
    </row>
    <row r="138" spans="7:106" x14ac:dyDescent="0.25">
      <c r="G138" s="72">
        <v>2734</v>
      </c>
      <c r="H138" s="72" t="s">
        <v>1170</v>
      </c>
      <c r="I138" s="72">
        <v>1.49</v>
      </c>
      <c r="J138" s="72">
        <v>1.47</v>
      </c>
      <c r="K138" s="72">
        <v>14.97</v>
      </c>
      <c r="L138" s="72">
        <v>0.22</v>
      </c>
      <c r="M138" s="72">
        <v>14.96</v>
      </c>
      <c r="N138" s="72">
        <v>14.97</v>
      </c>
      <c r="O138" s="72">
        <v>22426</v>
      </c>
      <c r="P138" s="72">
        <v>6</v>
      </c>
      <c r="Q138" s="72">
        <v>0.2</v>
      </c>
      <c r="R138" s="72">
        <v>0.7</v>
      </c>
      <c r="S138" s="72">
        <v>14.85</v>
      </c>
      <c r="T138" s="72">
        <v>14.98</v>
      </c>
      <c r="U138" s="72">
        <v>14.72</v>
      </c>
      <c r="V138" s="72">
        <v>14.75</v>
      </c>
      <c r="W138" s="72">
        <v>9.14</v>
      </c>
      <c r="X138" s="114">
        <v>33369622</v>
      </c>
      <c r="Y138" s="72" t="s">
        <v>393</v>
      </c>
      <c r="Z138" s="72" t="s">
        <v>368</v>
      </c>
      <c r="AA138" s="72">
        <v>1.76</v>
      </c>
      <c r="AB138" s="72">
        <v>14.88</v>
      </c>
      <c r="AC138" s="72">
        <v>10529</v>
      </c>
      <c r="AD138" s="72">
        <v>11897</v>
      </c>
      <c r="AE138" s="72">
        <v>0.89</v>
      </c>
      <c r="AF138" s="72">
        <v>82</v>
      </c>
      <c r="AG138" s="72">
        <v>47</v>
      </c>
      <c r="AH138" s="72" t="s">
        <v>414</v>
      </c>
      <c r="AI138" s="72">
        <v>256900</v>
      </c>
      <c r="AJ138" s="72">
        <v>0.01</v>
      </c>
      <c r="AK138" s="72" t="s">
        <v>414</v>
      </c>
      <c r="AL138" s="72" t="s">
        <v>414</v>
      </c>
      <c r="AM138" s="72">
        <v>3.2</v>
      </c>
      <c r="AN138" s="72" t="s">
        <v>1171</v>
      </c>
      <c r="AO138" s="72" t="s">
        <v>1172</v>
      </c>
      <c r="AP138" s="72">
        <v>-0.69</v>
      </c>
      <c r="AQ138" s="72">
        <v>1016</v>
      </c>
      <c r="AR138" s="72">
        <v>22</v>
      </c>
      <c r="AS138" s="72">
        <v>6.9999999999999999E-4</v>
      </c>
      <c r="AT138" s="72">
        <v>2</v>
      </c>
      <c r="AU138" s="72">
        <v>2.2599999999999998</v>
      </c>
      <c r="AV138" s="72">
        <v>0.95</v>
      </c>
      <c r="AW138" s="72" t="s">
        <v>1173</v>
      </c>
      <c r="AX138" s="72">
        <v>1.1100000000000001</v>
      </c>
      <c r="AY138" s="72">
        <v>12.83</v>
      </c>
      <c r="AZ138" s="72">
        <v>17.07</v>
      </c>
      <c r="BA138" s="72">
        <v>0.68</v>
      </c>
      <c r="BB138" s="72">
        <v>1.56</v>
      </c>
      <c r="BC138" s="72">
        <v>-0.2</v>
      </c>
      <c r="BD138" s="72">
        <v>0.88</v>
      </c>
      <c r="BE138" s="72">
        <v>0.81</v>
      </c>
      <c r="BF138" s="72">
        <v>-7.0000000000000007E-2</v>
      </c>
      <c r="BG138" s="72">
        <v>1.7</v>
      </c>
      <c r="BH138" s="72">
        <v>0.61</v>
      </c>
      <c r="BI138" s="72">
        <v>20200831</v>
      </c>
      <c r="BJ138" s="72">
        <v>20150127</v>
      </c>
      <c r="BK138" s="72">
        <v>3.73</v>
      </c>
      <c r="BL138" s="72" t="s">
        <v>414</v>
      </c>
      <c r="BM138" s="72" t="s">
        <v>414</v>
      </c>
      <c r="BN138" s="72">
        <v>52.23</v>
      </c>
      <c r="BO138" s="72">
        <v>22.97</v>
      </c>
      <c r="BP138" s="72">
        <v>2.65</v>
      </c>
      <c r="BQ138" s="72">
        <v>50.95</v>
      </c>
      <c r="BR138" s="72">
        <v>24.42</v>
      </c>
      <c r="BS138" s="72">
        <v>16.25</v>
      </c>
      <c r="BT138" s="72">
        <v>3.86</v>
      </c>
      <c r="BU138" s="72">
        <v>23.57</v>
      </c>
      <c r="BV138" s="72">
        <v>5.13</v>
      </c>
      <c r="BW138" s="72">
        <v>4.93</v>
      </c>
      <c r="BX138" s="72">
        <v>9.35</v>
      </c>
      <c r="BY138" s="72">
        <v>26.56</v>
      </c>
      <c r="BZ138" s="72">
        <v>19.23</v>
      </c>
      <c r="CA138" s="72">
        <v>4.1500000000000004</v>
      </c>
      <c r="CB138" s="72">
        <v>0.5</v>
      </c>
      <c r="CC138" s="72">
        <v>4.05</v>
      </c>
      <c r="CD138" s="72">
        <v>3.45</v>
      </c>
      <c r="CE138" s="72">
        <v>3.05</v>
      </c>
      <c r="CF138" s="72">
        <v>9.0500000000000007</v>
      </c>
      <c r="CG138" s="72">
        <v>1.63</v>
      </c>
      <c r="CH138" s="72">
        <v>2.21</v>
      </c>
      <c r="CI138" s="72">
        <v>21851</v>
      </c>
      <c r="CJ138" s="72">
        <v>10780</v>
      </c>
      <c r="CK138" s="72" t="s">
        <v>1174</v>
      </c>
      <c r="CL138" s="72">
        <v>53.47</v>
      </c>
      <c r="CM138" s="72">
        <v>144.19999999999999</v>
      </c>
      <c r="CN138" s="72">
        <v>2.4300000000000002</v>
      </c>
      <c r="CO138" s="72">
        <v>34.200000000000003</v>
      </c>
      <c r="CP138" s="72">
        <v>2.1</v>
      </c>
      <c r="CQ138" s="72">
        <v>1.56</v>
      </c>
      <c r="CR138" s="72" t="s">
        <v>1175</v>
      </c>
      <c r="CS138" s="72">
        <v>6.17</v>
      </c>
      <c r="CT138" s="72">
        <v>0</v>
      </c>
      <c r="CU138" s="72">
        <v>2.5099999999999998</v>
      </c>
      <c r="CV138" s="72">
        <v>2.4300000000000002</v>
      </c>
      <c r="CW138" s="72">
        <v>43.98</v>
      </c>
      <c r="CX138" s="72" t="s">
        <v>1176</v>
      </c>
      <c r="CY138" s="72">
        <v>27.58</v>
      </c>
      <c r="CZ138" s="72">
        <v>15.62</v>
      </c>
      <c r="DA138" s="72">
        <v>11.48</v>
      </c>
      <c r="DB138" s="72">
        <v>2734</v>
      </c>
    </row>
    <row r="139" spans="7:106" x14ac:dyDescent="0.25">
      <c r="G139" s="72">
        <v>2736</v>
      </c>
      <c r="H139" s="72" t="s">
        <v>1177</v>
      </c>
      <c r="I139" s="72">
        <v>6.96</v>
      </c>
      <c r="J139" s="72">
        <v>6.28</v>
      </c>
      <c r="K139" s="72">
        <v>14.6</v>
      </c>
      <c r="L139" s="72">
        <v>0.95</v>
      </c>
      <c r="M139" s="72">
        <v>14.6</v>
      </c>
      <c r="N139" s="72">
        <v>14.61</v>
      </c>
      <c r="O139" s="72">
        <v>461115</v>
      </c>
      <c r="P139" s="72">
        <v>7</v>
      </c>
      <c r="Q139" s="72">
        <v>-0.2</v>
      </c>
      <c r="R139" s="72">
        <v>0.56000000000000005</v>
      </c>
      <c r="S139" s="72">
        <v>14</v>
      </c>
      <c r="T139" s="72">
        <v>15</v>
      </c>
      <c r="U139" s="72">
        <v>13.88</v>
      </c>
      <c r="V139" s="72">
        <v>13.65</v>
      </c>
      <c r="W139" s="72">
        <v>23.82</v>
      </c>
      <c r="X139" s="114">
        <v>670000000</v>
      </c>
      <c r="Y139" s="72" t="s">
        <v>411</v>
      </c>
      <c r="Z139" s="72" t="s">
        <v>385</v>
      </c>
      <c r="AA139" s="72">
        <v>8.2100000000000009</v>
      </c>
      <c r="AB139" s="72">
        <v>14.52</v>
      </c>
      <c r="AC139" s="72">
        <v>204040</v>
      </c>
      <c r="AD139" s="72">
        <v>257075</v>
      </c>
      <c r="AE139" s="72">
        <v>0.79</v>
      </c>
      <c r="AF139" s="72">
        <v>97</v>
      </c>
      <c r="AG139" s="72">
        <v>46</v>
      </c>
      <c r="AH139" s="72" t="s">
        <v>414</v>
      </c>
      <c r="AI139" s="72">
        <v>9712400</v>
      </c>
      <c r="AJ139" s="72">
        <v>0.03</v>
      </c>
      <c r="AK139" s="72" t="s">
        <v>414</v>
      </c>
      <c r="AL139" s="72" t="s">
        <v>414</v>
      </c>
      <c r="AM139" s="72">
        <v>82</v>
      </c>
      <c r="AN139" s="72" t="s">
        <v>1178</v>
      </c>
      <c r="AO139" s="72" t="s">
        <v>1179</v>
      </c>
      <c r="AP139" s="72">
        <v>4.78</v>
      </c>
      <c r="AQ139" s="72">
        <v>1818</v>
      </c>
      <c r="AR139" s="72">
        <v>254</v>
      </c>
      <c r="AS139" s="72">
        <v>2.9999999999999997E-4</v>
      </c>
      <c r="AT139" s="72">
        <v>2</v>
      </c>
      <c r="AU139" s="72">
        <v>6.96</v>
      </c>
      <c r="AV139" s="72">
        <v>2.29</v>
      </c>
      <c r="AW139" s="72" t="s">
        <v>1180</v>
      </c>
      <c r="AX139" s="72">
        <v>0.93</v>
      </c>
      <c r="AY139" s="72">
        <v>24.95</v>
      </c>
      <c r="AZ139" s="72">
        <v>26.72</v>
      </c>
      <c r="BA139" s="72">
        <v>2.56</v>
      </c>
      <c r="BB139" s="72">
        <v>9.89</v>
      </c>
      <c r="BC139" s="72">
        <v>1.68</v>
      </c>
      <c r="BD139" s="72">
        <v>6.39</v>
      </c>
      <c r="BE139" s="72">
        <v>4.29</v>
      </c>
      <c r="BF139" s="72">
        <v>-2.67</v>
      </c>
      <c r="BG139" s="72">
        <v>5.19</v>
      </c>
      <c r="BH139" s="72">
        <v>0.56999999999999995</v>
      </c>
      <c r="BI139" s="72">
        <v>20200825</v>
      </c>
      <c r="BJ139" s="72">
        <v>20141229</v>
      </c>
      <c r="BK139" s="72">
        <v>96.12</v>
      </c>
      <c r="BL139" s="72" t="s">
        <v>414</v>
      </c>
      <c r="BM139" s="72" t="s">
        <v>414</v>
      </c>
      <c r="BN139" s="72">
        <v>2551.96</v>
      </c>
      <c r="BO139" s="72">
        <v>521.61</v>
      </c>
      <c r="BP139" s="72">
        <v>0.18</v>
      </c>
      <c r="BQ139" s="72">
        <v>79.55</v>
      </c>
      <c r="BR139" s="72">
        <v>0</v>
      </c>
      <c r="BS139" s="72">
        <v>10.9</v>
      </c>
      <c r="BT139" s="72">
        <v>6.52</v>
      </c>
      <c r="BU139" s="72">
        <v>0</v>
      </c>
      <c r="BV139" s="72">
        <v>0</v>
      </c>
      <c r="BW139" s="72">
        <v>0</v>
      </c>
      <c r="BX139" s="72">
        <v>67.69</v>
      </c>
      <c r="BY139" s="72">
        <v>80.39</v>
      </c>
      <c r="BZ139" s="72">
        <v>0</v>
      </c>
      <c r="CA139" s="72">
        <v>38.159999999999997</v>
      </c>
      <c r="CB139" s="72">
        <v>23.66</v>
      </c>
      <c r="CC139" s="72">
        <v>36.200000000000003</v>
      </c>
      <c r="CD139" s="72">
        <v>29.47</v>
      </c>
      <c r="CE139" s="72">
        <v>29.46</v>
      </c>
      <c r="CF139" s="72">
        <v>210.06</v>
      </c>
      <c r="CG139" s="72">
        <v>110.58</v>
      </c>
      <c r="CH139" s="72">
        <v>189.1</v>
      </c>
      <c r="CI139" s="72">
        <v>108880</v>
      </c>
      <c r="CJ139" s="72">
        <v>18493</v>
      </c>
      <c r="CK139" s="72" t="s">
        <v>1181</v>
      </c>
      <c r="CL139" s="72">
        <v>13.38</v>
      </c>
      <c r="CM139" s="72">
        <v>23.03</v>
      </c>
      <c r="CN139" s="72">
        <v>2.2999999999999998</v>
      </c>
      <c r="CO139" s="72">
        <v>12.69</v>
      </c>
      <c r="CP139" s="72">
        <v>17.46</v>
      </c>
      <c r="CQ139" s="72">
        <v>1.25</v>
      </c>
      <c r="CR139" s="72" t="s">
        <v>1109</v>
      </c>
      <c r="CS139" s="72">
        <v>6.36</v>
      </c>
      <c r="CT139" s="72">
        <v>6.36</v>
      </c>
      <c r="CU139" s="72">
        <v>0.7</v>
      </c>
      <c r="CV139" s="72">
        <v>2.19</v>
      </c>
      <c r="CW139" s="72">
        <v>20.440000000000001</v>
      </c>
      <c r="CX139" s="72" t="s">
        <v>1182</v>
      </c>
      <c r="CY139" s="72" t="s">
        <v>414</v>
      </c>
      <c r="CZ139" s="72">
        <v>47.47</v>
      </c>
      <c r="DA139" s="72">
        <v>36.64</v>
      </c>
      <c r="DB139" s="72">
        <v>2736</v>
      </c>
    </row>
    <row r="140" spans="7:106" x14ac:dyDescent="0.25">
      <c r="G140" s="72">
        <v>2757</v>
      </c>
      <c r="H140" s="72" t="s">
        <v>1183</v>
      </c>
      <c r="I140" s="72">
        <v>1.55</v>
      </c>
      <c r="J140" s="72">
        <v>1.31</v>
      </c>
      <c r="K140" s="72">
        <v>20.9</v>
      </c>
      <c r="L140" s="72">
        <v>0.32</v>
      </c>
      <c r="M140" s="72">
        <v>20.9</v>
      </c>
      <c r="N140" s="72">
        <v>20.91</v>
      </c>
      <c r="O140" s="72">
        <v>17114</v>
      </c>
      <c r="P140" s="72">
        <v>50</v>
      </c>
      <c r="Q140" s="72">
        <v>0.24</v>
      </c>
      <c r="R140" s="72">
        <v>0.71</v>
      </c>
      <c r="S140" s="72">
        <v>20.6</v>
      </c>
      <c r="T140" s="72">
        <v>20.94</v>
      </c>
      <c r="U140" s="72">
        <v>20.399999999999999</v>
      </c>
      <c r="V140" s="72">
        <v>20.58</v>
      </c>
      <c r="W140" s="72">
        <v>23.48</v>
      </c>
      <c r="X140" s="114">
        <v>35410980</v>
      </c>
      <c r="Y140" s="72" t="s">
        <v>501</v>
      </c>
      <c r="Z140" s="72" t="s">
        <v>364</v>
      </c>
      <c r="AA140" s="72">
        <v>2.62</v>
      </c>
      <c r="AB140" s="72">
        <v>20.69</v>
      </c>
      <c r="AC140" s="72">
        <v>7398</v>
      </c>
      <c r="AD140" s="72">
        <v>9716</v>
      </c>
      <c r="AE140" s="72">
        <v>0.76</v>
      </c>
      <c r="AF140" s="72">
        <v>6</v>
      </c>
      <c r="AG140" s="72">
        <v>11</v>
      </c>
      <c r="AH140" s="72" t="s">
        <v>414</v>
      </c>
      <c r="AI140" s="72">
        <v>269900</v>
      </c>
      <c r="AJ140" s="72">
        <v>0.01</v>
      </c>
      <c r="AK140" s="72" t="s">
        <v>414</v>
      </c>
      <c r="AL140" s="72" t="s">
        <v>414</v>
      </c>
      <c r="AM140" s="72">
        <v>2.4</v>
      </c>
      <c r="AN140" s="72" t="s">
        <v>1184</v>
      </c>
      <c r="AO140" s="72" t="s">
        <v>1185</v>
      </c>
      <c r="AP140" s="72">
        <v>-0.62</v>
      </c>
      <c r="AQ140" s="72">
        <v>925</v>
      </c>
      <c r="AR140" s="72">
        <v>19</v>
      </c>
      <c r="AS140" s="72">
        <v>8.0000000000000004E-4</v>
      </c>
      <c r="AT140" s="72">
        <v>2</v>
      </c>
      <c r="AU140" s="72">
        <v>1.7</v>
      </c>
      <c r="AV140" s="72">
        <v>1.67</v>
      </c>
      <c r="AW140" s="72" t="s">
        <v>1186</v>
      </c>
      <c r="AX140" s="72">
        <v>1.08</v>
      </c>
      <c r="AY140" s="72">
        <v>26.07</v>
      </c>
      <c r="AZ140" s="72">
        <v>29.77</v>
      </c>
      <c r="BA140" s="72">
        <v>0.1</v>
      </c>
      <c r="BB140" s="72">
        <v>1.75</v>
      </c>
      <c r="BC140" s="72">
        <v>-0.87</v>
      </c>
      <c r="BD140" s="72">
        <v>0.54</v>
      </c>
      <c r="BE140" s="72">
        <v>1.46</v>
      </c>
      <c r="BF140" s="72">
        <v>-0.19</v>
      </c>
      <c r="BG140" s="72">
        <v>2.4500000000000002</v>
      </c>
      <c r="BH140" s="72">
        <v>1.01</v>
      </c>
      <c r="BI140" s="72">
        <v>20200829</v>
      </c>
      <c r="BJ140" s="72">
        <v>20150527</v>
      </c>
      <c r="BK140" s="72">
        <v>2.95</v>
      </c>
      <c r="BL140" s="72" t="s">
        <v>414</v>
      </c>
      <c r="BM140" s="72" t="s">
        <v>414</v>
      </c>
      <c r="BN140" s="72">
        <v>25.92</v>
      </c>
      <c r="BO140" s="72">
        <v>18.84</v>
      </c>
      <c r="BP140" s="72">
        <v>0.18</v>
      </c>
      <c r="BQ140" s="72">
        <v>26.58</v>
      </c>
      <c r="BR140" s="72">
        <v>11.12</v>
      </c>
      <c r="BS140" s="72">
        <v>5.71</v>
      </c>
      <c r="BT140" s="72">
        <v>0.98</v>
      </c>
      <c r="BU140" s="72">
        <v>4.9800000000000004</v>
      </c>
      <c r="BV140" s="72">
        <v>2.2599999999999998</v>
      </c>
      <c r="BW140" s="72">
        <v>3.7</v>
      </c>
      <c r="BX140" s="72">
        <v>8.48</v>
      </c>
      <c r="BY140" s="72">
        <v>9.61</v>
      </c>
      <c r="BZ140" s="72">
        <v>6.95</v>
      </c>
      <c r="CA140" s="72">
        <v>1.57</v>
      </c>
      <c r="CB140" s="72">
        <v>0.02</v>
      </c>
      <c r="CC140" s="72">
        <v>1.54</v>
      </c>
      <c r="CD140" s="72">
        <v>1.32</v>
      </c>
      <c r="CE140" s="72">
        <v>1.31</v>
      </c>
      <c r="CF140" s="72">
        <v>6.85</v>
      </c>
      <c r="CG140" s="72">
        <v>2.17</v>
      </c>
      <c r="CH140" s="72">
        <v>-1.08</v>
      </c>
      <c r="CI140" s="72">
        <v>17589</v>
      </c>
      <c r="CJ140" s="72">
        <v>5813</v>
      </c>
      <c r="CK140" s="72" t="s">
        <v>1187</v>
      </c>
      <c r="CL140" s="72">
        <v>28.27</v>
      </c>
      <c r="CM140" s="72">
        <v>36.11</v>
      </c>
      <c r="CN140" s="72">
        <v>3.28</v>
      </c>
      <c r="CO140" s="72">
        <v>28.51</v>
      </c>
      <c r="CP140" s="72">
        <v>6.43</v>
      </c>
      <c r="CQ140" s="72">
        <v>0.97</v>
      </c>
      <c r="CR140" s="72" t="s">
        <v>1188</v>
      </c>
      <c r="CS140" s="72">
        <v>6.38</v>
      </c>
      <c r="CT140" s="72">
        <v>0</v>
      </c>
      <c r="CU140" s="72">
        <v>2.87</v>
      </c>
      <c r="CV140" s="72">
        <v>2.3199999999999998</v>
      </c>
      <c r="CW140" s="72">
        <v>72.709999999999994</v>
      </c>
      <c r="CX140" s="72" t="s">
        <v>1189</v>
      </c>
      <c r="CY140" s="72">
        <v>27.67</v>
      </c>
      <c r="CZ140" s="72">
        <v>16.34</v>
      </c>
      <c r="DA140" s="72">
        <v>13.68</v>
      </c>
      <c r="DB140" s="72">
        <v>2757</v>
      </c>
    </row>
    <row r="141" spans="7:106" x14ac:dyDescent="0.25">
      <c r="G141" s="72">
        <v>2768</v>
      </c>
      <c r="H141" s="72" t="s">
        <v>1190</v>
      </c>
      <c r="I141" s="72">
        <v>2.8</v>
      </c>
      <c r="J141" s="72">
        <v>2.5</v>
      </c>
      <c r="K141" s="72">
        <v>35.270000000000003</v>
      </c>
      <c r="L141" s="72">
        <v>0.96</v>
      </c>
      <c r="M141" s="72">
        <v>35.26</v>
      </c>
      <c r="N141" s="72">
        <v>35.28</v>
      </c>
      <c r="O141" s="72">
        <v>20871</v>
      </c>
      <c r="P141" s="72">
        <v>3</v>
      </c>
      <c r="Q141" s="72">
        <v>-0.19</v>
      </c>
      <c r="R141" s="72">
        <v>1.18</v>
      </c>
      <c r="S141" s="72">
        <v>34.729999999999997</v>
      </c>
      <c r="T141" s="72">
        <v>35.53</v>
      </c>
      <c r="U141" s="72">
        <v>34.729999999999997</v>
      </c>
      <c r="V141" s="72">
        <v>34.31</v>
      </c>
      <c r="W141" s="72">
        <v>8.9600000000000009</v>
      </c>
      <c r="X141" s="114">
        <v>73458560</v>
      </c>
      <c r="Y141" s="72" t="s">
        <v>680</v>
      </c>
      <c r="Z141" s="72" t="s">
        <v>349</v>
      </c>
      <c r="AA141" s="72">
        <v>2.33</v>
      </c>
      <c r="AB141" s="72">
        <v>35.200000000000003</v>
      </c>
      <c r="AC141" s="72">
        <v>8206</v>
      </c>
      <c r="AD141" s="72">
        <v>12665</v>
      </c>
      <c r="AE141" s="72">
        <v>0.65</v>
      </c>
      <c r="AF141" s="72">
        <v>3</v>
      </c>
      <c r="AG141" s="72">
        <v>11</v>
      </c>
      <c r="AH141" s="72" t="s">
        <v>414</v>
      </c>
      <c r="AI141" s="72">
        <v>934200</v>
      </c>
      <c r="AJ141" s="72">
        <v>0.02</v>
      </c>
      <c r="AK141" s="72" t="s">
        <v>414</v>
      </c>
      <c r="AL141" s="72" t="s">
        <v>414</v>
      </c>
      <c r="AM141" s="72">
        <v>1.77</v>
      </c>
      <c r="AN141" s="72" t="s">
        <v>1191</v>
      </c>
      <c r="AO141" s="72" t="s">
        <v>1192</v>
      </c>
      <c r="AP141" s="72">
        <v>0.62</v>
      </c>
      <c r="AQ141" s="72">
        <v>1295</v>
      </c>
      <c r="AR141" s="72">
        <v>16</v>
      </c>
      <c r="AS141" s="72">
        <v>8.9999999999999998E-4</v>
      </c>
      <c r="AT141" s="72">
        <v>2</v>
      </c>
      <c r="AU141" s="72">
        <v>5.41</v>
      </c>
      <c r="AV141" s="72">
        <v>1.77</v>
      </c>
      <c r="AW141" s="72" t="s">
        <v>1193</v>
      </c>
      <c r="AX141" s="72">
        <v>0.94</v>
      </c>
      <c r="AY141" s="72">
        <v>12.21</v>
      </c>
      <c r="AZ141" s="72">
        <v>23.5</v>
      </c>
      <c r="BA141" s="72">
        <v>1.22</v>
      </c>
      <c r="BB141" s="72">
        <v>3.56</v>
      </c>
      <c r="BC141" s="72">
        <v>1.22</v>
      </c>
      <c r="BD141" s="72">
        <v>2.59</v>
      </c>
      <c r="BE141" s="72">
        <v>1.55</v>
      </c>
      <c r="BF141" s="72">
        <v>-0.73</v>
      </c>
      <c r="BG141" s="72">
        <v>1.55</v>
      </c>
      <c r="BH141" s="72">
        <v>0.21</v>
      </c>
      <c r="BI141" s="72">
        <v>20200825</v>
      </c>
      <c r="BJ141" s="72">
        <v>20150630</v>
      </c>
      <c r="BK141" s="72">
        <v>2.71</v>
      </c>
      <c r="BL141" s="72" t="s">
        <v>414</v>
      </c>
      <c r="BM141" s="72" t="s">
        <v>414</v>
      </c>
      <c r="BN141" s="72">
        <v>53.03</v>
      </c>
      <c r="BO141" s="72">
        <v>28.9</v>
      </c>
      <c r="BP141" s="72">
        <v>1.1200000000000001</v>
      </c>
      <c r="BQ141" s="72">
        <v>43.38</v>
      </c>
      <c r="BR141" s="72">
        <v>39.46</v>
      </c>
      <c r="BS141" s="72">
        <v>9.1300000000000008</v>
      </c>
      <c r="BT141" s="72">
        <v>0.93</v>
      </c>
      <c r="BU141" s="72">
        <v>19.47</v>
      </c>
      <c r="BV141" s="72">
        <v>13.7</v>
      </c>
      <c r="BW141" s="72">
        <v>10.08</v>
      </c>
      <c r="BX141" s="72">
        <v>9.36</v>
      </c>
      <c r="BY141" s="72">
        <v>35.369999999999997</v>
      </c>
      <c r="BZ141" s="72">
        <v>26.59</v>
      </c>
      <c r="CA141" s="72">
        <v>6.34</v>
      </c>
      <c r="CB141" s="72">
        <v>0</v>
      </c>
      <c r="CC141" s="72">
        <v>6.29</v>
      </c>
      <c r="CD141" s="72">
        <v>5.42</v>
      </c>
      <c r="CE141" s="72">
        <v>5.34</v>
      </c>
      <c r="CF141" s="72">
        <v>15.6</v>
      </c>
      <c r="CG141" s="72">
        <v>3.48</v>
      </c>
      <c r="CH141" s="72">
        <v>3.89</v>
      </c>
      <c r="CI141" s="72">
        <v>37617</v>
      </c>
      <c r="CJ141" s="72">
        <v>3143</v>
      </c>
      <c r="CK141" s="72" t="s">
        <v>1194</v>
      </c>
      <c r="CL141" s="72">
        <v>218.24</v>
      </c>
      <c r="CM141" s="72">
        <v>74.290000000000006</v>
      </c>
      <c r="CN141" s="72">
        <v>3.31</v>
      </c>
      <c r="CO141" s="72">
        <v>27.48</v>
      </c>
      <c r="CP141" s="72">
        <v>2.71</v>
      </c>
      <c r="CQ141" s="72">
        <v>0.28999999999999998</v>
      </c>
      <c r="CR141" s="72" t="s">
        <v>1195</v>
      </c>
      <c r="CS141" s="72">
        <v>10.66</v>
      </c>
      <c r="CT141" s="72">
        <v>0</v>
      </c>
      <c r="CU141" s="72">
        <v>3.45</v>
      </c>
      <c r="CV141" s="72">
        <v>5.75</v>
      </c>
      <c r="CW141" s="72">
        <v>54.5</v>
      </c>
      <c r="CX141" s="72" t="s">
        <v>1196</v>
      </c>
      <c r="CY141" s="72">
        <v>24.82</v>
      </c>
      <c r="CZ141" s="72">
        <v>17.920000000000002</v>
      </c>
      <c r="DA141" s="72">
        <v>15.09</v>
      </c>
      <c r="DB141" s="72">
        <v>2768</v>
      </c>
    </row>
    <row r="142" spans="7:106" x14ac:dyDescent="0.25">
      <c r="G142" s="72">
        <v>2772</v>
      </c>
      <c r="H142" s="72" t="s">
        <v>1197</v>
      </c>
      <c r="I142" s="72">
        <v>2.0299999999999998</v>
      </c>
      <c r="J142" s="72">
        <v>1.1100000000000001</v>
      </c>
      <c r="K142" s="72">
        <v>9.57</v>
      </c>
      <c r="L142" s="72">
        <v>0.19</v>
      </c>
      <c r="M142" s="72">
        <v>9.56</v>
      </c>
      <c r="N142" s="72">
        <v>9.57</v>
      </c>
      <c r="O142" s="72">
        <v>37859</v>
      </c>
      <c r="P142" s="72">
        <v>5</v>
      </c>
      <c r="Q142" s="72">
        <v>0</v>
      </c>
      <c r="R142" s="72">
        <v>1.49</v>
      </c>
      <c r="S142" s="72">
        <v>9.43</v>
      </c>
      <c r="T142" s="72">
        <v>9.58</v>
      </c>
      <c r="U142" s="72">
        <v>9.36</v>
      </c>
      <c r="V142" s="72">
        <v>9.3800000000000008</v>
      </c>
      <c r="W142" s="72">
        <v>31.32</v>
      </c>
      <c r="X142" s="72">
        <v>35920088</v>
      </c>
      <c r="Y142" s="72" t="s">
        <v>510</v>
      </c>
      <c r="Z142" s="72" t="s">
        <v>396</v>
      </c>
      <c r="AA142" s="72">
        <v>2.35</v>
      </c>
      <c r="AB142" s="72">
        <v>9.49</v>
      </c>
      <c r="AC142" s="72">
        <v>15714</v>
      </c>
      <c r="AD142" s="72">
        <v>22145</v>
      </c>
      <c r="AE142" s="72">
        <v>0.71</v>
      </c>
      <c r="AF142" s="72">
        <v>304</v>
      </c>
      <c r="AG142" s="72">
        <v>314</v>
      </c>
      <c r="AH142" s="72" t="s">
        <v>414</v>
      </c>
      <c r="AI142" s="72">
        <v>175400</v>
      </c>
      <c r="AJ142" s="72">
        <v>0.01</v>
      </c>
      <c r="AK142" s="72" t="s">
        <v>414</v>
      </c>
      <c r="AL142" s="72" t="s">
        <v>414</v>
      </c>
      <c r="AM142" s="72">
        <v>2.5499999999999998</v>
      </c>
      <c r="AN142" s="72" t="s">
        <v>1198</v>
      </c>
      <c r="AO142" s="72" t="s">
        <v>1199</v>
      </c>
      <c r="AP142" s="72">
        <v>-0.15</v>
      </c>
      <c r="AQ142" s="72">
        <v>1081</v>
      </c>
      <c r="AR142" s="72">
        <v>35</v>
      </c>
      <c r="AS142" s="72">
        <v>1.4E-3</v>
      </c>
      <c r="AT142" s="72">
        <v>2</v>
      </c>
      <c r="AU142" s="72">
        <v>2.79</v>
      </c>
      <c r="AV142" s="72">
        <v>1.72</v>
      </c>
      <c r="AW142" s="72" t="s">
        <v>1200</v>
      </c>
      <c r="AX142" s="72">
        <v>1.05</v>
      </c>
      <c r="AY142" s="72">
        <v>45.99</v>
      </c>
      <c r="AZ142" s="72">
        <v>50.42</v>
      </c>
      <c r="BA142" s="72">
        <v>0.53</v>
      </c>
      <c r="BB142" s="72">
        <v>2.13</v>
      </c>
      <c r="BC142" s="72">
        <v>-0.21</v>
      </c>
      <c r="BD142" s="72">
        <v>1.1499999999999999</v>
      </c>
      <c r="BE142" s="72">
        <v>1.48</v>
      </c>
      <c r="BF142" s="72">
        <v>-0.1</v>
      </c>
      <c r="BG142" s="72">
        <v>2.2400000000000002</v>
      </c>
      <c r="BH142" s="72">
        <v>0.88</v>
      </c>
      <c r="BI142" s="72">
        <v>20201010</v>
      </c>
      <c r="BJ142" s="72">
        <v>20150626</v>
      </c>
      <c r="BK142" s="72">
        <v>3.68</v>
      </c>
      <c r="BL142" s="72" t="s">
        <v>414</v>
      </c>
      <c r="BM142" s="72" t="s">
        <v>414</v>
      </c>
      <c r="BN142" s="72">
        <v>53.66</v>
      </c>
      <c r="BO142" s="72">
        <v>25.85</v>
      </c>
      <c r="BP142" s="72">
        <v>0.03</v>
      </c>
      <c r="BQ142" s="72">
        <v>51.78</v>
      </c>
      <c r="BR142" s="72">
        <v>21.07</v>
      </c>
      <c r="BS142" s="72">
        <v>22.26</v>
      </c>
      <c r="BT142" s="72">
        <v>3.26</v>
      </c>
      <c r="BU142" s="72">
        <v>8.19</v>
      </c>
      <c r="BV142" s="72">
        <v>1.4</v>
      </c>
      <c r="BW142" s="72">
        <v>0.24</v>
      </c>
      <c r="BX142" s="72">
        <v>15.19</v>
      </c>
      <c r="BY142" s="72">
        <v>6.33</v>
      </c>
      <c r="BZ142" s="72">
        <v>4.84</v>
      </c>
      <c r="CA142" s="72">
        <v>0.57999999999999996</v>
      </c>
      <c r="CB142" s="72">
        <v>0.03</v>
      </c>
      <c r="CC142" s="72">
        <v>0.56000000000000005</v>
      </c>
      <c r="CD142" s="72">
        <v>0.56000000000000005</v>
      </c>
      <c r="CE142" s="72">
        <v>0.56000000000000005</v>
      </c>
      <c r="CF142" s="72">
        <v>6.76</v>
      </c>
      <c r="CG142" s="72">
        <v>1.78</v>
      </c>
      <c r="CH142" s="72">
        <v>0.88</v>
      </c>
      <c r="CI142" s="72">
        <v>34358</v>
      </c>
      <c r="CJ142" s="72">
        <v>6423</v>
      </c>
      <c r="CK142" s="72" t="s">
        <v>508</v>
      </c>
      <c r="CL142" s="72">
        <v>13.28</v>
      </c>
      <c r="CM142" s="72">
        <v>24.41</v>
      </c>
      <c r="CN142" s="72">
        <v>1.47</v>
      </c>
      <c r="CO142" s="72">
        <v>19.78</v>
      </c>
      <c r="CP142" s="72">
        <v>5.56</v>
      </c>
      <c r="CQ142" s="72">
        <v>0.98</v>
      </c>
      <c r="CR142" s="72" t="s">
        <v>1201</v>
      </c>
      <c r="CS142" s="72">
        <v>6.49</v>
      </c>
      <c r="CT142" s="72">
        <v>6.49</v>
      </c>
      <c r="CU142" s="72">
        <v>4.13</v>
      </c>
      <c r="CV142" s="72">
        <v>1.84</v>
      </c>
      <c r="CW142" s="72">
        <v>48.17</v>
      </c>
      <c r="CX142" s="72" t="s">
        <v>1202</v>
      </c>
      <c r="CY142" s="72">
        <v>23.53</v>
      </c>
      <c r="CZ142" s="72">
        <v>9.17</v>
      </c>
      <c r="DA142" s="72">
        <v>8.8699999999999992</v>
      </c>
      <c r="DB142" s="72">
        <v>2772</v>
      </c>
    </row>
    <row r="143" spans="7:106" x14ac:dyDescent="0.25">
      <c r="G143" s="72">
        <v>2825</v>
      </c>
      <c r="H143" s="72" t="s">
        <v>1203</v>
      </c>
      <c r="I143" s="72">
        <v>1.06</v>
      </c>
      <c r="J143" s="72">
        <v>1.58</v>
      </c>
      <c r="K143" s="72">
        <v>16.27</v>
      </c>
      <c r="L143" s="72">
        <v>0.17</v>
      </c>
      <c r="M143" s="72">
        <v>16.260000000000002</v>
      </c>
      <c r="N143" s="72">
        <v>16.27</v>
      </c>
      <c r="O143" s="72">
        <v>13784</v>
      </c>
      <c r="P143" s="72">
        <v>2</v>
      </c>
      <c r="Q143" s="72">
        <v>-0.05</v>
      </c>
      <c r="R143" s="72">
        <v>1.56</v>
      </c>
      <c r="S143" s="72">
        <v>16.190000000000001</v>
      </c>
      <c r="T143" s="72">
        <v>16.34</v>
      </c>
      <c r="U143" s="72">
        <v>15.92</v>
      </c>
      <c r="V143" s="72">
        <v>16.100000000000001</v>
      </c>
      <c r="W143" s="72">
        <v>23.52</v>
      </c>
      <c r="X143" s="72">
        <v>22268322</v>
      </c>
      <c r="Y143" s="72" t="s">
        <v>350</v>
      </c>
      <c r="Z143" s="72" t="s">
        <v>365</v>
      </c>
      <c r="AA143" s="72">
        <v>2.61</v>
      </c>
      <c r="AB143" s="72">
        <v>16.149999999999999</v>
      </c>
      <c r="AC143" s="72">
        <v>6126</v>
      </c>
      <c r="AD143" s="72">
        <v>7658</v>
      </c>
      <c r="AE143" s="72">
        <v>0.8</v>
      </c>
      <c r="AF143" s="72">
        <v>25</v>
      </c>
      <c r="AG143" s="72">
        <v>1</v>
      </c>
      <c r="AH143" s="72" t="s">
        <v>414</v>
      </c>
      <c r="AI143" s="72">
        <v>255800</v>
      </c>
      <c r="AJ143" s="72">
        <v>0.04</v>
      </c>
      <c r="AK143" s="72" t="s">
        <v>414</v>
      </c>
      <c r="AL143" s="72" t="s">
        <v>414</v>
      </c>
      <c r="AM143" s="72">
        <v>0.88</v>
      </c>
      <c r="AN143" s="72" t="s">
        <v>1204</v>
      </c>
      <c r="AO143" s="72" t="s">
        <v>1205</v>
      </c>
      <c r="AP143" s="72">
        <v>-1.1200000000000001</v>
      </c>
      <c r="AQ143" s="72">
        <v>872</v>
      </c>
      <c r="AR143" s="72">
        <v>16</v>
      </c>
      <c r="AS143" s="72">
        <v>1.8E-3</v>
      </c>
      <c r="AT143" s="72">
        <v>2</v>
      </c>
      <c r="AU143" s="72">
        <v>0.93</v>
      </c>
      <c r="AV143" s="72">
        <v>3.13</v>
      </c>
      <c r="AW143" s="72" t="s">
        <v>1206</v>
      </c>
      <c r="AX143" s="72">
        <v>0.94</v>
      </c>
      <c r="AY143" s="72">
        <v>36.99</v>
      </c>
      <c r="AZ143" s="72">
        <v>55.77</v>
      </c>
      <c r="BA143" s="72">
        <v>0.56000000000000005</v>
      </c>
      <c r="BB143" s="72">
        <v>1.49</v>
      </c>
      <c r="BC143" s="72">
        <v>-1.1200000000000001</v>
      </c>
      <c r="BD143" s="72">
        <v>0.34</v>
      </c>
      <c r="BE143" s="72">
        <v>0.49</v>
      </c>
      <c r="BF143" s="72">
        <v>-0.43</v>
      </c>
      <c r="BG143" s="72">
        <v>2.2000000000000002</v>
      </c>
      <c r="BH143" s="72">
        <v>0.71</v>
      </c>
      <c r="BI143" s="72">
        <v>20200827</v>
      </c>
      <c r="BJ143" s="72">
        <v>20161129</v>
      </c>
      <c r="BK143" s="72">
        <v>1.47</v>
      </c>
      <c r="BL143" s="72" t="s">
        <v>414</v>
      </c>
      <c r="BM143" s="72" t="s">
        <v>414</v>
      </c>
      <c r="BN143" s="72">
        <v>11.17</v>
      </c>
      <c r="BO143" s="72">
        <v>7.42</v>
      </c>
      <c r="BP143" s="72">
        <v>0.56999999999999995</v>
      </c>
      <c r="BQ143" s="72">
        <v>28.49</v>
      </c>
      <c r="BR143" s="72">
        <v>6.56</v>
      </c>
      <c r="BS143" s="72">
        <v>2.91</v>
      </c>
      <c r="BT143" s="72">
        <v>0.46</v>
      </c>
      <c r="BU143" s="72">
        <v>3.16</v>
      </c>
      <c r="BV143" s="72">
        <v>1.51</v>
      </c>
      <c r="BW143" s="72">
        <v>0.97</v>
      </c>
      <c r="BX143" s="72">
        <v>2.25</v>
      </c>
      <c r="BY143" s="72">
        <v>5.13</v>
      </c>
      <c r="BZ143" s="72">
        <v>3.83</v>
      </c>
      <c r="CA143" s="72">
        <v>0.62</v>
      </c>
      <c r="CB143" s="72">
        <v>0.02</v>
      </c>
      <c r="CC143" s="72">
        <v>0.62</v>
      </c>
      <c r="CD143" s="72">
        <v>0.54</v>
      </c>
      <c r="CE143" s="72">
        <v>0.51</v>
      </c>
      <c r="CF143" s="72">
        <v>3.39</v>
      </c>
      <c r="CG143" s="72">
        <v>0.88</v>
      </c>
      <c r="CH143" s="72">
        <v>0.19</v>
      </c>
      <c r="CI143" s="72">
        <v>13967</v>
      </c>
      <c r="CJ143" s="72">
        <v>3150</v>
      </c>
      <c r="CK143" s="72" t="s">
        <v>1207</v>
      </c>
      <c r="CL143" s="72">
        <v>73.5</v>
      </c>
      <c r="CM143" s="72">
        <v>26.01</v>
      </c>
      <c r="CN143" s="72">
        <v>3.22</v>
      </c>
      <c r="CO143" s="72">
        <v>27.11</v>
      </c>
      <c r="CP143" s="72">
        <v>4.66</v>
      </c>
      <c r="CQ143" s="72">
        <v>1.24</v>
      </c>
      <c r="CR143" s="72" t="s">
        <v>1208</v>
      </c>
      <c r="CS143" s="72">
        <v>5.05</v>
      </c>
      <c r="CT143" s="72">
        <v>0</v>
      </c>
      <c r="CU143" s="72">
        <v>1.53</v>
      </c>
      <c r="CV143" s="72">
        <v>2.31</v>
      </c>
      <c r="CW143" s="72">
        <v>66.400000000000006</v>
      </c>
      <c r="CX143" s="72" t="s">
        <v>1209</v>
      </c>
      <c r="CY143" s="72">
        <v>25.45</v>
      </c>
      <c r="CZ143" s="72">
        <v>12.17</v>
      </c>
      <c r="DA143" s="72">
        <v>9.9</v>
      </c>
      <c r="DB143" s="72">
        <v>2825</v>
      </c>
    </row>
    <row r="144" spans="7:106" x14ac:dyDescent="0.25">
      <c r="G144" s="72">
        <v>2884</v>
      </c>
      <c r="H144" s="72" t="s">
        <v>1210</v>
      </c>
      <c r="I144" s="72">
        <v>1.5</v>
      </c>
      <c r="J144" s="72">
        <v>1.1599999999999999</v>
      </c>
      <c r="K144" s="72">
        <v>24.29</v>
      </c>
      <c r="L144" s="72">
        <v>0.36</v>
      </c>
      <c r="M144" s="72">
        <v>24.29</v>
      </c>
      <c r="N144" s="72">
        <v>24.3</v>
      </c>
      <c r="O144" s="72">
        <v>11710</v>
      </c>
      <c r="P144" s="72">
        <v>2</v>
      </c>
      <c r="Q144" s="72">
        <v>-0.11</v>
      </c>
      <c r="R144" s="72">
        <v>0.56000000000000005</v>
      </c>
      <c r="S144" s="72">
        <v>23.98</v>
      </c>
      <c r="T144" s="72">
        <v>24.36</v>
      </c>
      <c r="U144" s="72">
        <v>23.93</v>
      </c>
      <c r="V144" s="72">
        <v>23.93</v>
      </c>
      <c r="W144" s="72">
        <v>19.36</v>
      </c>
      <c r="X144" s="72">
        <v>28320042</v>
      </c>
      <c r="Y144" s="72" t="s">
        <v>501</v>
      </c>
      <c r="Z144" s="72" t="s">
        <v>364</v>
      </c>
      <c r="AA144" s="72">
        <v>1.8</v>
      </c>
      <c r="AB144" s="72">
        <v>24.18</v>
      </c>
      <c r="AC144" s="72">
        <v>5433</v>
      </c>
      <c r="AD144" s="72">
        <v>6277</v>
      </c>
      <c r="AE144" s="72">
        <v>0.87</v>
      </c>
      <c r="AF144" s="72">
        <v>54</v>
      </c>
      <c r="AG144" s="72">
        <v>6</v>
      </c>
      <c r="AH144" s="72" t="s">
        <v>414</v>
      </c>
      <c r="AI144" s="72">
        <v>318900</v>
      </c>
      <c r="AJ144" s="72">
        <v>0.01</v>
      </c>
      <c r="AK144" s="72" t="s">
        <v>414</v>
      </c>
      <c r="AL144" s="72" t="s">
        <v>414</v>
      </c>
      <c r="AM144" s="72">
        <v>2.09</v>
      </c>
      <c r="AN144" s="72" t="s">
        <v>1211</v>
      </c>
      <c r="AO144" s="72" t="s">
        <v>1212</v>
      </c>
      <c r="AP144" s="72">
        <v>-0.67</v>
      </c>
      <c r="AQ144" s="72">
        <v>923</v>
      </c>
      <c r="AR144" s="72">
        <v>13</v>
      </c>
      <c r="AS144" s="72">
        <v>5.9999999999999995E-4</v>
      </c>
      <c r="AT144" s="72">
        <v>3</v>
      </c>
      <c r="AU144" s="72">
        <v>7.71</v>
      </c>
      <c r="AV144" s="72">
        <v>0.86</v>
      </c>
      <c r="AW144" s="72" t="s">
        <v>1213</v>
      </c>
      <c r="AX144" s="72">
        <v>1.08</v>
      </c>
      <c r="AY144" s="72">
        <v>19.47</v>
      </c>
      <c r="AZ144" s="72">
        <v>22.18</v>
      </c>
      <c r="BA144" s="72">
        <v>0.21</v>
      </c>
      <c r="BB144" s="72">
        <v>1.8</v>
      </c>
      <c r="BC144" s="72">
        <v>0</v>
      </c>
      <c r="BD144" s="72">
        <v>1.06</v>
      </c>
      <c r="BE144" s="72">
        <v>1.29</v>
      </c>
      <c r="BF144" s="72">
        <v>-0.28999999999999998</v>
      </c>
      <c r="BG144" s="72">
        <v>1.5</v>
      </c>
      <c r="BH144" s="72">
        <v>0.44</v>
      </c>
      <c r="BI144" s="72">
        <v>20200829</v>
      </c>
      <c r="BJ144" s="72">
        <v>20170711</v>
      </c>
      <c r="BK144" s="72">
        <v>2.52</v>
      </c>
      <c r="BL144" s="72" t="s">
        <v>414</v>
      </c>
      <c r="BM144" s="72" t="s">
        <v>414</v>
      </c>
      <c r="BN144" s="72">
        <v>21.44</v>
      </c>
      <c r="BO144" s="72">
        <v>20.11</v>
      </c>
      <c r="BP144" s="72">
        <v>0</v>
      </c>
      <c r="BQ144" s="72">
        <v>6.2</v>
      </c>
      <c r="BR144" s="72">
        <v>19.350000000000001</v>
      </c>
      <c r="BS144" s="72">
        <v>1.38</v>
      </c>
      <c r="BT144" s="72">
        <v>0.06</v>
      </c>
      <c r="BU144" s="72">
        <v>1.0900000000000001</v>
      </c>
      <c r="BV144" s="72">
        <v>2.4500000000000002</v>
      </c>
      <c r="BW144" s="72">
        <v>0.79</v>
      </c>
      <c r="BX144" s="72">
        <v>7.58</v>
      </c>
      <c r="BY144" s="72">
        <v>5.68</v>
      </c>
      <c r="BZ144" s="72">
        <v>3.62</v>
      </c>
      <c r="CA144" s="72">
        <v>1.82</v>
      </c>
      <c r="CB144" s="72">
        <v>0.11</v>
      </c>
      <c r="CC144" s="72">
        <v>1.82</v>
      </c>
      <c r="CD144" s="72">
        <v>1.58</v>
      </c>
      <c r="CE144" s="72">
        <v>1.58</v>
      </c>
      <c r="CF144" s="72">
        <v>8.26</v>
      </c>
      <c r="CG144" s="72">
        <v>1.21</v>
      </c>
      <c r="CH144" s="72">
        <v>-0.17</v>
      </c>
      <c r="CI144" s="72">
        <v>12886</v>
      </c>
      <c r="CJ144" s="72">
        <v>10576</v>
      </c>
      <c r="CK144" s="72" t="s">
        <v>1214</v>
      </c>
      <c r="CL144" s="72">
        <v>31.48</v>
      </c>
      <c r="CM144" s="72">
        <v>10.1</v>
      </c>
      <c r="CN144" s="72">
        <v>3.05</v>
      </c>
      <c r="CO144" s="72">
        <v>50.48</v>
      </c>
      <c r="CP144" s="72">
        <v>10.8</v>
      </c>
      <c r="CQ144" s="72">
        <v>4.18</v>
      </c>
      <c r="CR144" s="72" t="s">
        <v>1215</v>
      </c>
      <c r="CS144" s="72">
        <v>7.97</v>
      </c>
      <c r="CT144" s="72">
        <v>0</v>
      </c>
      <c r="CU144" s="72">
        <v>3</v>
      </c>
      <c r="CV144" s="72">
        <v>3.27</v>
      </c>
      <c r="CW144" s="72">
        <v>93.8</v>
      </c>
      <c r="CX144" s="72" t="s">
        <v>1216</v>
      </c>
      <c r="CY144" s="72">
        <v>36.19</v>
      </c>
      <c r="CZ144" s="72">
        <v>32.08</v>
      </c>
      <c r="DA144" s="72">
        <v>27.9</v>
      </c>
      <c r="DB144" s="72">
        <v>2884</v>
      </c>
    </row>
    <row r="145" spans="7:106" x14ac:dyDescent="0.25">
      <c r="G145" s="72">
        <v>2941</v>
      </c>
      <c r="H145" s="72" t="s">
        <v>1217</v>
      </c>
      <c r="I145" s="72">
        <v>1.76</v>
      </c>
      <c r="J145" s="72">
        <v>0.87</v>
      </c>
      <c r="K145" s="72">
        <v>15</v>
      </c>
      <c r="L145" s="72">
        <v>0.26</v>
      </c>
      <c r="M145" s="72">
        <v>14.99</v>
      </c>
      <c r="N145" s="72">
        <v>15</v>
      </c>
      <c r="O145" s="72">
        <v>81376</v>
      </c>
      <c r="P145" s="72">
        <v>18</v>
      </c>
      <c r="Q145" s="72">
        <v>0</v>
      </c>
      <c r="R145" s="72">
        <v>4.71</v>
      </c>
      <c r="S145" s="72">
        <v>14.76</v>
      </c>
      <c r="T145" s="72">
        <v>15.06</v>
      </c>
      <c r="U145" s="72">
        <v>14.74</v>
      </c>
      <c r="V145" s="72">
        <v>14.74</v>
      </c>
      <c r="W145" s="72">
        <v>49.37</v>
      </c>
      <c r="X145" s="114">
        <v>121000000</v>
      </c>
      <c r="Y145" s="72" t="s">
        <v>371</v>
      </c>
      <c r="Z145" s="72" t="s">
        <v>380</v>
      </c>
      <c r="AA145" s="72">
        <v>2.17</v>
      </c>
      <c r="AB145" s="72">
        <v>14.92</v>
      </c>
      <c r="AC145" s="72">
        <v>31844</v>
      </c>
      <c r="AD145" s="72">
        <v>49532</v>
      </c>
      <c r="AE145" s="72">
        <v>0.64</v>
      </c>
      <c r="AF145" s="72">
        <v>215</v>
      </c>
      <c r="AG145" s="72">
        <v>86</v>
      </c>
      <c r="AH145" s="72" t="s">
        <v>414</v>
      </c>
      <c r="AI145" s="72">
        <v>504800</v>
      </c>
      <c r="AJ145" s="72">
        <v>0.02</v>
      </c>
      <c r="AK145" s="72" t="s">
        <v>414</v>
      </c>
      <c r="AL145" s="72" t="s">
        <v>414</v>
      </c>
      <c r="AM145" s="72">
        <v>1.73</v>
      </c>
      <c r="AN145" s="72" t="s">
        <v>1218</v>
      </c>
      <c r="AO145" s="72" t="s">
        <v>1219</v>
      </c>
      <c r="AP145" s="72">
        <v>-0.41</v>
      </c>
      <c r="AQ145" s="72">
        <v>1649</v>
      </c>
      <c r="AR145" s="72">
        <v>49</v>
      </c>
      <c r="AS145" s="72">
        <v>2.8999999999999998E-3</v>
      </c>
      <c r="AT145" s="72">
        <v>2</v>
      </c>
      <c r="AU145" s="72">
        <v>-0.06</v>
      </c>
      <c r="AV145" s="72">
        <v>4.8899999999999997</v>
      </c>
      <c r="AW145" s="72" t="s">
        <v>1031</v>
      </c>
      <c r="AX145" s="72">
        <v>1.17</v>
      </c>
      <c r="AY145" s="72">
        <v>34.21</v>
      </c>
      <c r="AZ145" s="72">
        <v>51.04</v>
      </c>
      <c r="BA145" s="72">
        <v>0.14000000000000001</v>
      </c>
      <c r="BB145" s="72">
        <v>2.17</v>
      </c>
      <c r="BC145" s="72">
        <v>0</v>
      </c>
      <c r="BD145" s="72">
        <v>1.24</v>
      </c>
      <c r="BE145" s="72">
        <v>1.63</v>
      </c>
      <c r="BF145" s="72">
        <v>-0.4</v>
      </c>
      <c r="BG145" s="72">
        <v>1.76</v>
      </c>
      <c r="BH145" s="72">
        <v>0.52</v>
      </c>
      <c r="BI145" s="72">
        <v>20200831</v>
      </c>
      <c r="BJ145" s="72">
        <v>20181128</v>
      </c>
      <c r="BK145" s="72">
        <v>6.45</v>
      </c>
      <c r="BL145" s="72" t="s">
        <v>414</v>
      </c>
      <c r="BM145" s="72" t="s">
        <v>414</v>
      </c>
      <c r="BN145" s="72">
        <v>120.73</v>
      </c>
      <c r="BO145" s="72">
        <v>24.26</v>
      </c>
      <c r="BP145" s="72">
        <v>6.75</v>
      </c>
      <c r="BQ145" s="72">
        <v>74.31</v>
      </c>
      <c r="BR145" s="72">
        <v>81</v>
      </c>
      <c r="BS145" s="72">
        <v>3.22</v>
      </c>
      <c r="BT145" s="72">
        <v>2.52</v>
      </c>
      <c r="BU145" s="72">
        <v>57.12</v>
      </c>
      <c r="BV145" s="72">
        <v>2.62</v>
      </c>
      <c r="BW145" s="72">
        <v>16.48</v>
      </c>
      <c r="BX145" s="72">
        <v>7.28</v>
      </c>
      <c r="BY145" s="72">
        <v>18.72</v>
      </c>
      <c r="BZ145" s="72">
        <v>17.91</v>
      </c>
      <c r="CA145" s="72">
        <v>1.25</v>
      </c>
      <c r="CB145" s="72">
        <v>0.02</v>
      </c>
      <c r="CC145" s="72">
        <v>1.26</v>
      </c>
      <c r="CD145" s="72">
        <v>1</v>
      </c>
      <c r="CE145" s="72">
        <v>0.98</v>
      </c>
      <c r="CF145" s="72">
        <v>8.4600000000000009</v>
      </c>
      <c r="CG145" s="72">
        <v>0.68</v>
      </c>
      <c r="CH145" s="72">
        <v>4.29</v>
      </c>
      <c r="CI145" s="72">
        <v>48229</v>
      </c>
      <c r="CJ145" s="72">
        <v>3449</v>
      </c>
      <c r="CK145" s="72" t="s">
        <v>1220</v>
      </c>
      <c r="CL145" s="72">
        <v>1437.75</v>
      </c>
      <c r="CM145" s="72">
        <v>14.35</v>
      </c>
      <c r="CN145" s="72">
        <v>3.99</v>
      </c>
      <c r="CO145" s="72">
        <v>141.87</v>
      </c>
      <c r="CP145" s="72">
        <v>5.17</v>
      </c>
      <c r="CQ145" s="72">
        <v>0.41</v>
      </c>
      <c r="CR145" s="72" t="s">
        <v>1221</v>
      </c>
      <c r="CS145" s="72">
        <v>3.76</v>
      </c>
      <c r="CT145" s="72">
        <v>0</v>
      </c>
      <c r="CU145" s="72">
        <v>1.1299999999999999</v>
      </c>
      <c r="CV145" s="72">
        <v>1.31</v>
      </c>
      <c r="CW145" s="72">
        <v>20.100000000000001</v>
      </c>
      <c r="CX145" s="72" t="s">
        <v>1222</v>
      </c>
      <c r="CY145" s="72">
        <v>4.3600000000000003</v>
      </c>
      <c r="CZ145" s="72">
        <v>6.7</v>
      </c>
      <c r="DA145" s="72">
        <v>5.23</v>
      </c>
      <c r="DB145" s="72">
        <v>2941</v>
      </c>
    </row>
    <row r="146" spans="7:106" x14ac:dyDescent="0.25">
      <c r="G146" s="72">
        <v>300002</v>
      </c>
      <c r="H146" s="72" t="s">
        <v>1223</v>
      </c>
      <c r="I146" s="72">
        <v>3.28</v>
      </c>
      <c r="J146" s="72">
        <v>2.16</v>
      </c>
      <c r="K146" s="72">
        <v>5.99</v>
      </c>
      <c r="L146" s="72">
        <v>0.19</v>
      </c>
      <c r="M146" s="72">
        <v>5.99</v>
      </c>
      <c r="N146" s="72">
        <v>6</v>
      </c>
      <c r="O146" s="72">
        <v>225690</v>
      </c>
      <c r="P146" s="72">
        <v>29</v>
      </c>
      <c r="Q146" s="72">
        <v>0</v>
      </c>
      <c r="R146" s="72">
        <v>1.39</v>
      </c>
      <c r="S146" s="72">
        <v>5.87</v>
      </c>
      <c r="T146" s="72">
        <v>6.02</v>
      </c>
      <c r="U146" s="72">
        <v>5.84</v>
      </c>
      <c r="V146" s="72">
        <v>5.8</v>
      </c>
      <c r="W146" s="72">
        <v>67.349999999999994</v>
      </c>
      <c r="X146" s="114">
        <v>134000000</v>
      </c>
      <c r="Y146" s="72" t="s">
        <v>401</v>
      </c>
      <c r="Z146" s="72" t="s">
        <v>372</v>
      </c>
      <c r="AA146" s="72">
        <v>3.1</v>
      </c>
      <c r="AB146" s="72">
        <v>5.95</v>
      </c>
      <c r="AC146" s="72">
        <v>89749</v>
      </c>
      <c r="AD146" s="72">
        <v>135941</v>
      </c>
      <c r="AE146" s="72">
        <v>0.66</v>
      </c>
      <c r="AF146" s="72">
        <v>454</v>
      </c>
      <c r="AG146" s="72">
        <v>690</v>
      </c>
      <c r="AH146" s="72" t="s">
        <v>414</v>
      </c>
      <c r="AI146" s="72">
        <v>1027300</v>
      </c>
      <c r="AJ146" s="72">
        <v>0.01</v>
      </c>
      <c r="AK146" s="72" t="s">
        <v>414</v>
      </c>
      <c r="AL146" s="72" t="s">
        <v>414</v>
      </c>
      <c r="AM146" s="72">
        <v>16.29</v>
      </c>
      <c r="AN146" s="72" t="s">
        <v>1224</v>
      </c>
      <c r="AO146" s="72" t="s">
        <v>1225</v>
      </c>
      <c r="AP146" s="72">
        <v>1.1000000000000001</v>
      </c>
      <c r="AQ146" s="72">
        <v>1544</v>
      </c>
      <c r="AR146" s="72">
        <v>146</v>
      </c>
      <c r="AS146" s="72">
        <v>8.9999999999999998E-4</v>
      </c>
      <c r="AT146" s="72">
        <v>2</v>
      </c>
      <c r="AU146" s="72">
        <v>5.83</v>
      </c>
      <c r="AV146" s="72">
        <v>1.41</v>
      </c>
      <c r="AW146" s="72" t="s">
        <v>1226</v>
      </c>
      <c r="AX146" s="72">
        <v>1.28</v>
      </c>
      <c r="AY146" s="72" t="s">
        <v>414</v>
      </c>
      <c r="AZ146" s="72" t="s">
        <v>414</v>
      </c>
      <c r="BA146" s="72">
        <v>1.21</v>
      </c>
      <c r="BB146" s="72">
        <v>3.79</v>
      </c>
      <c r="BC146" s="72">
        <v>0.69</v>
      </c>
      <c r="BD146" s="72">
        <v>2.61</v>
      </c>
      <c r="BE146" s="72">
        <v>2.04</v>
      </c>
      <c r="BF146" s="72">
        <v>-0.5</v>
      </c>
      <c r="BG146" s="72">
        <v>2.57</v>
      </c>
      <c r="BH146" s="72">
        <v>0.67</v>
      </c>
      <c r="BI146" s="72">
        <v>20200828</v>
      </c>
      <c r="BJ146" s="72">
        <v>20091030</v>
      </c>
      <c r="BK146" s="72">
        <v>19.61</v>
      </c>
      <c r="BL146" s="72" t="s">
        <v>414</v>
      </c>
      <c r="BM146" s="72" t="s">
        <v>414</v>
      </c>
      <c r="BN146" s="72">
        <v>53.36</v>
      </c>
      <c r="BO146" s="72">
        <v>36.130000000000003</v>
      </c>
      <c r="BP146" s="72">
        <v>0.22</v>
      </c>
      <c r="BQ146" s="72">
        <v>31.88</v>
      </c>
      <c r="BR146" s="72">
        <v>20.66</v>
      </c>
      <c r="BS146" s="72">
        <v>3.81</v>
      </c>
      <c r="BT146" s="72">
        <v>3.5</v>
      </c>
      <c r="BU146" s="72">
        <v>16.64</v>
      </c>
      <c r="BV146" s="72">
        <v>3.56</v>
      </c>
      <c r="BW146" s="72">
        <v>6.73</v>
      </c>
      <c r="BX146" s="72">
        <v>5.14</v>
      </c>
      <c r="BY146" s="72">
        <v>12.96</v>
      </c>
      <c r="BZ146" s="72">
        <v>4.6399999999999997</v>
      </c>
      <c r="CA146" s="72">
        <v>1.1000000000000001</v>
      </c>
      <c r="CB146" s="72">
        <v>-0.02</v>
      </c>
      <c r="CC146" s="72">
        <v>1.1000000000000001</v>
      </c>
      <c r="CD146" s="72">
        <v>0.75</v>
      </c>
      <c r="CE146" s="72">
        <v>0.87</v>
      </c>
      <c r="CF146" s="72">
        <v>10.15</v>
      </c>
      <c r="CG146" s="72">
        <v>2.33</v>
      </c>
      <c r="CH146" s="72">
        <v>0</v>
      </c>
      <c r="CI146" s="72">
        <v>85488</v>
      </c>
      <c r="CJ146" s="72">
        <v>18754</v>
      </c>
      <c r="CK146" s="72" t="s">
        <v>1227</v>
      </c>
      <c r="CL146" s="72">
        <v>140.1</v>
      </c>
      <c r="CM146" s="72">
        <v>98.54</v>
      </c>
      <c r="CN146" s="72">
        <v>3.25</v>
      </c>
      <c r="CO146" s="72">
        <v>50.37</v>
      </c>
      <c r="CP146" s="72">
        <v>9.07</v>
      </c>
      <c r="CQ146" s="72">
        <v>0</v>
      </c>
      <c r="CR146" s="72" t="s">
        <v>1228</v>
      </c>
      <c r="CS146" s="72">
        <v>1.84</v>
      </c>
      <c r="CT146" s="72">
        <v>0</v>
      </c>
      <c r="CU146" s="72">
        <v>0.26</v>
      </c>
      <c r="CV146" s="72">
        <v>0.52</v>
      </c>
      <c r="CW146" s="72">
        <v>67.709999999999994</v>
      </c>
      <c r="CX146" s="72" t="s">
        <v>1229</v>
      </c>
      <c r="CY146" s="72">
        <v>64.17</v>
      </c>
      <c r="CZ146" s="72">
        <v>8.52</v>
      </c>
      <c r="DA146" s="72">
        <v>6.73</v>
      </c>
      <c r="DB146" s="72">
        <v>300002</v>
      </c>
    </row>
    <row r="147" spans="7:106" x14ac:dyDescent="0.25">
      <c r="G147" s="72">
        <v>300031</v>
      </c>
      <c r="H147" s="72" t="s">
        <v>1230</v>
      </c>
      <c r="I147" s="72">
        <v>1.83</v>
      </c>
      <c r="J147" s="72">
        <v>1.82</v>
      </c>
      <c r="K147" s="72">
        <v>22.79</v>
      </c>
      <c r="L147" s="72">
        <v>0.41</v>
      </c>
      <c r="M147" s="72">
        <v>22.79</v>
      </c>
      <c r="N147" s="72">
        <v>22.8</v>
      </c>
      <c r="O147" s="72">
        <v>47373</v>
      </c>
      <c r="P147" s="72">
        <v>26</v>
      </c>
      <c r="Q147" s="72">
        <v>0.53</v>
      </c>
      <c r="R147" s="72">
        <v>1.46</v>
      </c>
      <c r="S147" s="72">
        <v>22.45</v>
      </c>
      <c r="T147" s="72">
        <v>22.82</v>
      </c>
      <c r="U147" s="72">
        <v>22.3</v>
      </c>
      <c r="V147" s="72">
        <v>22.38</v>
      </c>
      <c r="W147" s="72">
        <v>19.2</v>
      </c>
      <c r="X147" s="114">
        <v>107000000</v>
      </c>
      <c r="Y147" s="72" t="s">
        <v>404</v>
      </c>
      <c r="Z147" s="72" t="s">
        <v>368</v>
      </c>
      <c r="AA147" s="72">
        <v>2.3199999999999998</v>
      </c>
      <c r="AB147" s="72">
        <v>22.59</v>
      </c>
      <c r="AC147" s="72">
        <v>19847</v>
      </c>
      <c r="AD147" s="72">
        <v>27526</v>
      </c>
      <c r="AE147" s="72">
        <v>0.72</v>
      </c>
      <c r="AF147" s="72">
        <v>155</v>
      </c>
      <c r="AG147" s="72">
        <v>145</v>
      </c>
      <c r="AH147" s="72" t="s">
        <v>414</v>
      </c>
      <c r="AI147" s="72">
        <v>480400</v>
      </c>
      <c r="AJ147" s="72">
        <v>0.01</v>
      </c>
      <c r="AK147" s="72" t="s">
        <v>414</v>
      </c>
      <c r="AL147" s="72" t="s">
        <v>414</v>
      </c>
      <c r="AM147" s="72">
        <v>3.24</v>
      </c>
      <c r="AN147" s="72" t="s">
        <v>1231</v>
      </c>
      <c r="AO147" s="72" t="s">
        <v>1232</v>
      </c>
      <c r="AP147" s="72">
        <v>-0.35</v>
      </c>
      <c r="AQ147" s="72">
        <v>1388</v>
      </c>
      <c r="AR147" s="72">
        <v>34</v>
      </c>
      <c r="AS147" s="72">
        <v>1.1000000000000001E-3</v>
      </c>
      <c r="AT147" s="72">
        <v>4</v>
      </c>
      <c r="AU147" s="72">
        <v>8.32</v>
      </c>
      <c r="AV147" s="72">
        <v>1.68</v>
      </c>
      <c r="AW147" s="72" t="s">
        <v>1233</v>
      </c>
      <c r="AX147" s="72">
        <v>1.34</v>
      </c>
      <c r="AY147" s="72">
        <v>23.78</v>
      </c>
      <c r="AZ147" s="72">
        <v>29.11</v>
      </c>
      <c r="BA147" s="72">
        <v>0.31</v>
      </c>
      <c r="BB147" s="72">
        <v>1.97</v>
      </c>
      <c r="BC147" s="72">
        <v>-0.36</v>
      </c>
      <c r="BD147" s="72">
        <v>0.92</v>
      </c>
      <c r="BE147" s="72">
        <v>1.51</v>
      </c>
      <c r="BF147" s="72">
        <v>-0.13</v>
      </c>
      <c r="BG147" s="72">
        <v>2.2000000000000002</v>
      </c>
      <c r="BH147" s="72">
        <v>0.91</v>
      </c>
      <c r="BI147" s="72">
        <v>20200827</v>
      </c>
      <c r="BJ147" s="72">
        <v>20091225</v>
      </c>
      <c r="BK147" s="72">
        <v>3.97</v>
      </c>
      <c r="BL147" s="72" t="s">
        <v>414</v>
      </c>
      <c r="BM147" s="72" t="s">
        <v>414</v>
      </c>
      <c r="BN147" s="72">
        <v>50.53</v>
      </c>
      <c r="BO147" s="72">
        <v>29.26</v>
      </c>
      <c r="BP147" s="72">
        <v>0.1</v>
      </c>
      <c r="BQ147" s="72">
        <v>41.89</v>
      </c>
      <c r="BR147" s="72">
        <v>27.98</v>
      </c>
      <c r="BS147" s="72">
        <v>2.2000000000000002</v>
      </c>
      <c r="BT147" s="72">
        <v>0.88</v>
      </c>
      <c r="BU147" s="72">
        <v>16.37</v>
      </c>
      <c r="BV147" s="72">
        <v>2.8</v>
      </c>
      <c r="BW147" s="72">
        <v>5.42</v>
      </c>
      <c r="BX147" s="72">
        <v>9.58</v>
      </c>
      <c r="BY147" s="72">
        <v>13.13</v>
      </c>
      <c r="BZ147" s="72">
        <v>5.22</v>
      </c>
      <c r="CA147" s="72">
        <v>2.74</v>
      </c>
      <c r="CB147" s="72">
        <v>0.65</v>
      </c>
      <c r="CC147" s="72">
        <v>2.74</v>
      </c>
      <c r="CD147" s="72">
        <v>2.42</v>
      </c>
      <c r="CE147" s="72">
        <v>2.35</v>
      </c>
      <c r="CF147" s="72">
        <v>12.7</v>
      </c>
      <c r="CG147" s="72">
        <v>1.89</v>
      </c>
      <c r="CH147" s="72">
        <v>4.6399999999999997</v>
      </c>
      <c r="CI147" s="72">
        <v>20027</v>
      </c>
      <c r="CJ147" s="72">
        <v>14064</v>
      </c>
      <c r="CK147" s="72" t="s">
        <v>1234</v>
      </c>
      <c r="CL147" s="72">
        <v>40.98</v>
      </c>
      <c r="CM147" s="72">
        <v>11.01</v>
      </c>
      <c r="CN147" s="72">
        <v>3.23</v>
      </c>
      <c r="CO147" s="72">
        <v>47.95</v>
      </c>
      <c r="CP147" s="72">
        <v>6.89</v>
      </c>
      <c r="CQ147" s="72">
        <v>1.3</v>
      </c>
      <c r="CR147" s="72" t="s">
        <v>1235</v>
      </c>
      <c r="CS147" s="72">
        <v>7.06</v>
      </c>
      <c r="CT147" s="72">
        <v>7.06</v>
      </c>
      <c r="CU147" s="72">
        <v>2.42</v>
      </c>
      <c r="CV147" s="72">
        <v>3.2</v>
      </c>
      <c r="CW147" s="72">
        <v>57.9</v>
      </c>
      <c r="CX147" s="72" t="s">
        <v>1236</v>
      </c>
      <c r="CY147" s="72">
        <v>60.27</v>
      </c>
      <c r="CZ147" s="72">
        <v>20.83</v>
      </c>
      <c r="DA147" s="72">
        <v>17.93</v>
      </c>
      <c r="DB147" s="72">
        <v>300031</v>
      </c>
    </row>
    <row r="148" spans="7:106" x14ac:dyDescent="0.25">
      <c r="G148" s="72">
        <v>300042</v>
      </c>
      <c r="H148" s="72" t="s">
        <v>1237</v>
      </c>
      <c r="I148" s="72">
        <v>5.74</v>
      </c>
      <c r="J148" s="72">
        <v>8.64</v>
      </c>
      <c r="K148" s="72">
        <v>20.27</v>
      </c>
      <c r="L148" s="72">
        <v>1.1000000000000001</v>
      </c>
      <c r="M148" s="72">
        <v>20.260000000000002</v>
      </c>
      <c r="N148" s="72">
        <v>20.27</v>
      </c>
      <c r="O148" s="72">
        <v>114806</v>
      </c>
      <c r="P148" s="72">
        <v>1</v>
      </c>
      <c r="Q148" s="72">
        <v>0.2</v>
      </c>
      <c r="R148" s="72">
        <v>6.84</v>
      </c>
      <c r="S148" s="72">
        <v>20.36</v>
      </c>
      <c r="T148" s="72">
        <v>20.93</v>
      </c>
      <c r="U148" s="72">
        <v>20.16</v>
      </c>
      <c r="V148" s="72">
        <v>19.170000000000002</v>
      </c>
      <c r="W148" s="72">
        <v>42.54</v>
      </c>
      <c r="X148" s="114">
        <v>235000000</v>
      </c>
      <c r="Y148" s="72" t="s">
        <v>1238</v>
      </c>
      <c r="Z148" s="72" t="s">
        <v>385</v>
      </c>
      <c r="AA148" s="72">
        <v>4.0199999999999996</v>
      </c>
      <c r="AB148" s="72">
        <v>20.49</v>
      </c>
      <c r="AC148" s="72">
        <v>59185</v>
      </c>
      <c r="AD148" s="72">
        <v>55621</v>
      </c>
      <c r="AE148" s="72">
        <v>1.06</v>
      </c>
      <c r="AF148" s="72">
        <v>114</v>
      </c>
      <c r="AG148" s="72">
        <v>1</v>
      </c>
      <c r="AH148" s="72" t="s">
        <v>414</v>
      </c>
      <c r="AI148" s="72">
        <v>5918600</v>
      </c>
      <c r="AJ148" s="72">
        <v>0.27</v>
      </c>
      <c r="AK148" s="72" t="s">
        <v>414</v>
      </c>
      <c r="AL148" s="72" t="s">
        <v>414</v>
      </c>
      <c r="AM148" s="72">
        <v>1.68</v>
      </c>
      <c r="AN148" s="72" t="s">
        <v>1239</v>
      </c>
      <c r="AO148" s="72" t="s">
        <v>1240</v>
      </c>
      <c r="AP148" s="72">
        <v>3.56</v>
      </c>
      <c r="AQ148" s="72">
        <v>1415</v>
      </c>
      <c r="AR148" s="72">
        <v>81</v>
      </c>
      <c r="AS148" s="72">
        <v>4.7999999999999996E-3</v>
      </c>
      <c r="AT148" s="72">
        <v>4</v>
      </c>
      <c r="AU148" s="72">
        <v>11.61</v>
      </c>
      <c r="AV148" s="72">
        <v>10.73</v>
      </c>
      <c r="AW148" s="72" t="s">
        <v>1241</v>
      </c>
      <c r="AX148" s="72">
        <v>1.34</v>
      </c>
      <c r="AY148" s="72">
        <v>44.28</v>
      </c>
      <c r="AZ148" s="72">
        <v>53.47</v>
      </c>
      <c r="BA148" s="72">
        <v>6.21</v>
      </c>
      <c r="BB148" s="72">
        <v>9.18</v>
      </c>
      <c r="BC148" s="72">
        <v>5.16</v>
      </c>
      <c r="BD148" s="72">
        <v>6.91</v>
      </c>
      <c r="BE148" s="72">
        <v>-0.44</v>
      </c>
      <c r="BF148" s="72">
        <v>-3.15</v>
      </c>
      <c r="BG148" s="72">
        <v>0.55000000000000004</v>
      </c>
      <c r="BH148" s="72">
        <v>-1.17</v>
      </c>
      <c r="BI148" s="72">
        <v>20200927</v>
      </c>
      <c r="BJ148" s="72">
        <v>20100108</v>
      </c>
      <c r="BK148" s="72">
        <v>2</v>
      </c>
      <c r="BL148" s="72" t="s">
        <v>414</v>
      </c>
      <c r="BM148" s="72" t="s">
        <v>414</v>
      </c>
      <c r="BN148" s="72">
        <v>11.18</v>
      </c>
      <c r="BO148" s="72">
        <v>10.54</v>
      </c>
      <c r="BP148" s="72">
        <v>0</v>
      </c>
      <c r="BQ148" s="72">
        <v>5.7</v>
      </c>
      <c r="BR148" s="72">
        <v>8.8699999999999992</v>
      </c>
      <c r="BS148" s="72">
        <v>0.45</v>
      </c>
      <c r="BT148" s="72">
        <v>0.09</v>
      </c>
      <c r="BU148" s="72">
        <v>0.63</v>
      </c>
      <c r="BV148" s="72">
        <v>1.41</v>
      </c>
      <c r="BW148" s="72">
        <v>0.65</v>
      </c>
      <c r="BX148" s="72">
        <v>5.36</v>
      </c>
      <c r="BY148" s="72">
        <v>5.87</v>
      </c>
      <c r="BZ148" s="72">
        <v>4.75</v>
      </c>
      <c r="CA148" s="72">
        <v>0.57999999999999996</v>
      </c>
      <c r="CB148" s="72">
        <v>0.01</v>
      </c>
      <c r="CC148" s="72">
        <v>0.57999999999999996</v>
      </c>
      <c r="CD148" s="72">
        <v>0.48</v>
      </c>
      <c r="CE148" s="72">
        <v>0.48</v>
      </c>
      <c r="CF148" s="72">
        <v>2.79</v>
      </c>
      <c r="CG148" s="72">
        <v>1.07</v>
      </c>
      <c r="CH148" s="72">
        <v>1.1599999999999999</v>
      </c>
      <c r="CI148" s="72">
        <v>17700</v>
      </c>
      <c r="CJ148" s="72">
        <v>6046</v>
      </c>
      <c r="CK148" s="72" t="s">
        <v>1242</v>
      </c>
      <c r="CL148" s="72">
        <v>45.37</v>
      </c>
      <c r="CM148" s="72">
        <v>26.85</v>
      </c>
      <c r="CN148" s="72">
        <v>3.85</v>
      </c>
      <c r="CO148" s="72">
        <v>37.93</v>
      </c>
      <c r="CP148" s="72">
        <v>6.92</v>
      </c>
      <c r="CQ148" s="72">
        <v>0.1</v>
      </c>
      <c r="CR148" s="72" t="s">
        <v>1243</v>
      </c>
      <c r="CS148" s="72">
        <v>5.26</v>
      </c>
      <c r="CT148" s="72">
        <v>0</v>
      </c>
      <c r="CU148" s="72">
        <v>2.67</v>
      </c>
      <c r="CV148" s="72">
        <v>1.39</v>
      </c>
      <c r="CW148" s="72">
        <v>94.3</v>
      </c>
      <c r="CX148" s="72" t="s">
        <v>1244</v>
      </c>
      <c r="CY148" s="72">
        <v>19.16</v>
      </c>
      <c r="CZ148" s="72">
        <v>9.94</v>
      </c>
      <c r="DA148" s="72">
        <v>8.1300000000000008</v>
      </c>
      <c r="DB148" s="72">
        <v>300042</v>
      </c>
    </row>
    <row r="149" spans="7:106" x14ac:dyDescent="0.25">
      <c r="G149" s="72">
        <v>300047</v>
      </c>
      <c r="H149" s="72" t="s">
        <v>1245</v>
      </c>
      <c r="I149" s="72">
        <v>13.02</v>
      </c>
      <c r="J149" s="72">
        <v>8.92</v>
      </c>
      <c r="K149" s="72">
        <v>10.07</v>
      </c>
      <c r="L149" s="72">
        <v>1.1599999999999999</v>
      </c>
      <c r="M149" s="72">
        <v>10.06</v>
      </c>
      <c r="N149" s="72">
        <v>10.07</v>
      </c>
      <c r="O149" s="72">
        <v>623496</v>
      </c>
      <c r="P149" s="72">
        <v>54</v>
      </c>
      <c r="Q149" s="72">
        <v>0.2</v>
      </c>
      <c r="R149" s="72">
        <v>12.06</v>
      </c>
      <c r="S149" s="72">
        <v>9.5299999999999994</v>
      </c>
      <c r="T149" s="72">
        <v>10.55</v>
      </c>
      <c r="U149" s="72">
        <v>9.5</v>
      </c>
      <c r="V149" s="72">
        <v>8.91</v>
      </c>
      <c r="W149" s="72">
        <v>52.91</v>
      </c>
      <c r="X149" s="114">
        <v>620000000</v>
      </c>
      <c r="Y149" s="72" t="s">
        <v>401</v>
      </c>
      <c r="Z149" s="72" t="s">
        <v>385</v>
      </c>
      <c r="AA149" s="72">
        <v>11.78</v>
      </c>
      <c r="AB149" s="72">
        <v>9.94</v>
      </c>
      <c r="AC149" s="72">
        <v>264560</v>
      </c>
      <c r="AD149" s="72">
        <v>358936</v>
      </c>
      <c r="AE149" s="72">
        <v>0.74</v>
      </c>
      <c r="AF149" s="72">
        <v>22</v>
      </c>
      <c r="AG149" s="72">
        <v>1269</v>
      </c>
      <c r="AH149" s="72" t="s">
        <v>414</v>
      </c>
      <c r="AI149" s="72">
        <v>26432000</v>
      </c>
      <c r="AJ149" s="72">
        <v>0.56000000000000005</v>
      </c>
      <c r="AK149" s="72" t="s">
        <v>414</v>
      </c>
      <c r="AL149" s="72" t="s">
        <v>414</v>
      </c>
      <c r="AM149" s="72">
        <v>5.17</v>
      </c>
      <c r="AN149" s="72" t="s">
        <v>1246</v>
      </c>
      <c r="AO149" s="72" t="s">
        <v>1247</v>
      </c>
      <c r="AP149" s="72">
        <v>10.84</v>
      </c>
      <c r="AQ149" s="72">
        <v>1729</v>
      </c>
      <c r="AR149" s="72">
        <v>361</v>
      </c>
      <c r="AS149" s="72">
        <v>7.0000000000000001E-3</v>
      </c>
      <c r="AT149" s="72">
        <v>2</v>
      </c>
      <c r="AU149" s="72">
        <v>21.47</v>
      </c>
      <c r="AV149" s="72">
        <v>12.63</v>
      </c>
      <c r="AW149" s="72" t="s">
        <v>1248</v>
      </c>
      <c r="AX149" s="72">
        <v>1.28</v>
      </c>
      <c r="AY149" s="72">
        <v>42.85</v>
      </c>
      <c r="AZ149" s="72">
        <v>48.68</v>
      </c>
      <c r="BA149" s="72">
        <v>6.96</v>
      </c>
      <c r="BB149" s="72">
        <v>18.41</v>
      </c>
      <c r="BC149" s="72">
        <v>6.62</v>
      </c>
      <c r="BD149" s="72">
        <v>11.54</v>
      </c>
      <c r="BE149" s="72">
        <v>5.67</v>
      </c>
      <c r="BF149" s="72">
        <v>-4.55</v>
      </c>
      <c r="BG149" s="72">
        <v>6</v>
      </c>
      <c r="BH149" s="72">
        <v>1.48</v>
      </c>
      <c r="BI149" s="72">
        <v>20200902</v>
      </c>
      <c r="BJ149" s="72">
        <v>20100120</v>
      </c>
      <c r="BK149" s="72">
        <v>6.38</v>
      </c>
      <c r="BL149" s="72" t="s">
        <v>414</v>
      </c>
      <c r="BM149" s="72" t="s">
        <v>414</v>
      </c>
      <c r="BN149" s="72">
        <v>53.52</v>
      </c>
      <c r="BO149" s="72">
        <v>31.98</v>
      </c>
      <c r="BP149" s="72">
        <v>1.57</v>
      </c>
      <c r="BQ149" s="72">
        <v>37.31</v>
      </c>
      <c r="BR149" s="72">
        <v>35.68</v>
      </c>
      <c r="BS149" s="72">
        <v>2.96</v>
      </c>
      <c r="BT149" s="72">
        <v>2.94</v>
      </c>
      <c r="BU149" s="72">
        <v>19.77</v>
      </c>
      <c r="BV149" s="72">
        <v>14.09</v>
      </c>
      <c r="BW149" s="72">
        <v>13.45</v>
      </c>
      <c r="BX149" s="72">
        <v>14.74</v>
      </c>
      <c r="BY149" s="72">
        <v>19</v>
      </c>
      <c r="BZ149" s="72">
        <v>15.73</v>
      </c>
      <c r="CA149" s="72">
        <v>0.98</v>
      </c>
      <c r="CB149" s="72">
        <v>-0.05</v>
      </c>
      <c r="CC149" s="72">
        <v>0.98</v>
      </c>
      <c r="CD149" s="72">
        <v>0.81</v>
      </c>
      <c r="CE149" s="72">
        <v>0.61</v>
      </c>
      <c r="CF149" s="72">
        <v>9.67</v>
      </c>
      <c r="CG149" s="72">
        <v>6.16</v>
      </c>
      <c r="CH149" s="72">
        <v>-0.28000000000000003</v>
      </c>
      <c r="CI149" s="72">
        <v>36588</v>
      </c>
      <c r="CJ149" s="72">
        <v>13492</v>
      </c>
      <c r="CK149" s="72" t="s">
        <v>1249</v>
      </c>
      <c r="CL149" s="72">
        <v>35.44</v>
      </c>
      <c r="CM149" s="72">
        <v>19.309999999999999</v>
      </c>
      <c r="CN149" s="72">
        <v>2.0099999999999998</v>
      </c>
      <c r="CO149" s="72">
        <v>10.43</v>
      </c>
      <c r="CP149" s="72">
        <v>3.38</v>
      </c>
      <c r="CQ149" s="72">
        <v>0.22</v>
      </c>
      <c r="CR149" s="72" t="s">
        <v>513</v>
      </c>
      <c r="CS149" s="72">
        <v>5.01</v>
      </c>
      <c r="CT149" s="72">
        <v>0</v>
      </c>
      <c r="CU149" s="72">
        <v>2.31</v>
      </c>
      <c r="CV149" s="72">
        <v>1.52</v>
      </c>
      <c r="CW149" s="72">
        <v>59.75</v>
      </c>
      <c r="CX149" s="72" t="s">
        <v>1250</v>
      </c>
      <c r="CY149" s="72">
        <v>17.239999999999998</v>
      </c>
      <c r="CZ149" s="72">
        <v>5.18</v>
      </c>
      <c r="DA149" s="72">
        <v>3.19</v>
      </c>
      <c r="DB149" s="72">
        <v>300047</v>
      </c>
    </row>
    <row r="150" spans="7:106" x14ac:dyDescent="0.25">
      <c r="G150" s="72">
        <v>300119</v>
      </c>
      <c r="H150" s="72" t="s">
        <v>1251</v>
      </c>
      <c r="I150" s="72">
        <v>1.19</v>
      </c>
      <c r="J150" s="72">
        <v>1.29</v>
      </c>
      <c r="K150" s="72">
        <v>21.27</v>
      </c>
      <c r="L150" s="72">
        <v>0.25</v>
      </c>
      <c r="M150" s="72">
        <v>21.25</v>
      </c>
      <c r="N150" s="72">
        <v>21.28</v>
      </c>
      <c r="O150" s="72">
        <v>38087</v>
      </c>
      <c r="P150" s="72">
        <v>4</v>
      </c>
      <c r="Q150" s="72">
        <v>0.52</v>
      </c>
      <c r="R150" s="72">
        <v>1.55</v>
      </c>
      <c r="S150" s="72">
        <v>21.28</v>
      </c>
      <c r="T150" s="72">
        <v>21.49</v>
      </c>
      <c r="U150" s="72">
        <v>21.07</v>
      </c>
      <c r="V150" s="72">
        <v>21.02</v>
      </c>
      <c r="W150" s="72">
        <v>29.2</v>
      </c>
      <c r="X150" s="72">
        <v>80925168</v>
      </c>
      <c r="Y150" s="72" t="s">
        <v>348</v>
      </c>
      <c r="Z150" s="72" t="s">
        <v>374</v>
      </c>
      <c r="AA150" s="72">
        <v>2</v>
      </c>
      <c r="AB150" s="72">
        <v>21.25</v>
      </c>
      <c r="AC150" s="72">
        <v>20745</v>
      </c>
      <c r="AD150" s="72">
        <v>17342</v>
      </c>
      <c r="AE150" s="72">
        <v>1.2</v>
      </c>
      <c r="AF150" s="72">
        <v>16</v>
      </c>
      <c r="AG150" s="72">
        <v>5</v>
      </c>
      <c r="AH150" s="72" t="s">
        <v>414</v>
      </c>
      <c r="AI150" s="72">
        <v>1110800</v>
      </c>
      <c r="AJ150" s="72">
        <v>0.03</v>
      </c>
      <c r="AK150" s="72" t="s">
        <v>414</v>
      </c>
      <c r="AL150" s="72" t="s">
        <v>414</v>
      </c>
      <c r="AM150" s="72">
        <v>2.4500000000000002</v>
      </c>
      <c r="AN150" s="72" t="s">
        <v>1252</v>
      </c>
      <c r="AO150" s="72" t="s">
        <v>1253</v>
      </c>
      <c r="AP150" s="72">
        <v>-0.99</v>
      </c>
      <c r="AQ150" s="72">
        <v>1354</v>
      </c>
      <c r="AR150" s="72">
        <v>28</v>
      </c>
      <c r="AS150" s="72">
        <v>1.1000000000000001E-3</v>
      </c>
      <c r="AT150" s="72">
        <v>4</v>
      </c>
      <c r="AU150" s="72">
        <v>4.57</v>
      </c>
      <c r="AV150" s="72">
        <v>2.1800000000000002</v>
      </c>
      <c r="AW150" s="72" t="s">
        <v>1254</v>
      </c>
      <c r="AX150" s="72">
        <v>1.53</v>
      </c>
      <c r="AY150" s="72">
        <v>33.299999999999997</v>
      </c>
      <c r="AZ150" s="72">
        <v>43.75</v>
      </c>
      <c r="BA150" s="72">
        <v>1.24</v>
      </c>
      <c r="BB150" s="72">
        <v>2.2400000000000002</v>
      </c>
      <c r="BC150" s="72">
        <v>0.24</v>
      </c>
      <c r="BD150" s="72">
        <v>1.08</v>
      </c>
      <c r="BE150" s="72">
        <v>-0.05</v>
      </c>
      <c r="BF150" s="72">
        <v>-1.02</v>
      </c>
      <c r="BG150" s="72">
        <v>0.95</v>
      </c>
      <c r="BH150" s="72">
        <v>0.11</v>
      </c>
      <c r="BI150" s="72">
        <v>20200827</v>
      </c>
      <c r="BJ150" s="72">
        <v>20100917</v>
      </c>
      <c r="BK150" s="72">
        <v>4.04</v>
      </c>
      <c r="BL150" s="72" t="s">
        <v>414</v>
      </c>
      <c r="BM150" s="72" t="s">
        <v>414</v>
      </c>
      <c r="BN150" s="72">
        <v>37.22</v>
      </c>
      <c r="BO150" s="72">
        <v>21.82</v>
      </c>
      <c r="BP150" s="72">
        <v>2.62</v>
      </c>
      <c r="BQ150" s="72">
        <v>34.35</v>
      </c>
      <c r="BR150" s="72">
        <v>16.28</v>
      </c>
      <c r="BS150" s="72">
        <v>7.89</v>
      </c>
      <c r="BT150" s="72">
        <v>2.52</v>
      </c>
      <c r="BU150" s="72">
        <v>11.33</v>
      </c>
      <c r="BV150" s="72">
        <v>3.24</v>
      </c>
      <c r="BW150" s="72">
        <v>4.74</v>
      </c>
      <c r="BX150" s="72">
        <v>9.5500000000000007</v>
      </c>
      <c r="BY150" s="72">
        <v>9.24</v>
      </c>
      <c r="BZ150" s="72">
        <v>4.03</v>
      </c>
      <c r="CA150" s="72">
        <v>2</v>
      </c>
      <c r="CB150" s="72">
        <v>0</v>
      </c>
      <c r="CC150" s="72">
        <v>1.99</v>
      </c>
      <c r="CD150" s="72">
        <v>1.69</v>
      </c>
      <c r="CE150" s="72">
        <v>1.47</v>
      </c>
      <c r="CF150" s="72">
        <v>7.94</v>
      </c>
      <c r="CG150" s="72">
        <v>1.1000000000000001</v>
      </c>
      <c r="CH150" s="72">
        <v>0.75</v>
      </c>
      <c r="CI150" s="72">
        <v>14375</v>
      </c>
      <c r="CJ150" s="72">
        <v>12130</v>
      </c>
      <c r="CK150" s="72" t="s">
        <v>1255</v>
      </c>
      <c r="CL150" s="72">
        <v>70.599999999999994</v>
      </c>
      <c r="CM150" s="72">
        <v>41.45</v>
      </c>
      <c r="CN150" s="72">
        <v>3.94</v>
      </c>
      <c r="CO150" s="72">
        <v>78.209999999999994</v>
      </c>
      <c r="CP150" s="72">
        <v>9.31</v>
      </c>
      <c r="CQ150" s="72">
        <v>1.18</v>
      </c>
      <c r="CR150" s="72" t="s">
        <v>1256</v>
      </c>
      <c r="CS150" s="72">
        <v>5.39</v>
      </c>
      <c r="CT150" s="72">
        <v>0</v>
      </c>
      <c r="CU150" s="72">
        <v>2.36</v>
      </c>
      <c r="CV150" s="72">
        <v>1.96</v>
      </c>
      <c r="CW150" s="72">
        <v>58.61</v>
      </c>
      <c r="CX150" s="72" t="s">
        <v>1257</v>
      </c>
      <c r="CY150" s="72">
        <v>56.43</v>
      </c>
      <c r="CZ150" s="72">
        <v>21.61</v>
      </c>
      <c r="DA150" s="72">
        <v>15.94</v>
      </c>
      <c r="DB150" s="72">
        <v>300119</v>
      </c>
    </row>
    <row r="151" spans="7:106" x14ac:dyDescent="0.25">
      <c r="G151" s="72">
        <v>300133</v>
      </c>
      <c r="H151" s="72" t="s">
        <v>1258</v>
      </c>
      <c r="I151" s="72">
        <v>1.1599999999999999</v>
      </c>
      <c r="J151" s="72">
        <v>2.23</v>
      </c>
      <c r="K151" s="72">
        <v>7.87</v>
      </c>
      <c r="L151" s="72">
        <v>0.09</v>
      </c>
      <c r="M151" s="72">
        <v>7.86</v>
      </c>
      <c r="N151" s="72">
        <v>7.87</v>
      </c>
      <c r="O151" s="72">
        <v>161718</v>
      </c>
      <c r="P151" s="72">
        <v>63</v>
      </c>
      <c r="Q151" s="72">
        <v>0.13</v>
      </c>
      <c r="R151" s="72">
        <v>1.1299999999999999</v>
      </c>
      <c r="S151" s="72">
        <v>7.8</v>
      </c>
      <c r="T151" s="72">
        <v>7.88</v>
      </c>
      <c r="U151" s="72">
        <v>7.7</v>
      </c>
      <c r="V151" s="72">
        <v>7.78</v>
      </c>
      <c r="W151" s="72">
        <v>46.91</v>
      </c>
      <c r="X151" s="114">
        <v>126000000</v>
      </c>
      <c r="Y151" s="72" t="s">
        <v>1259</v>
      </c>
      <c r="Z151" s="72" t="s">
        <v>358</v>
      </c>
      <c r="AA151" s="72">
        <v>2.31</v>
      </c>
      <c r="AB151" s="72">
        <v>7.8</v>
      </c>
      <c r="AC151" s="72">
        <v>78246</v>
      </c>
      <c r="AD151" s="72">
        <v>83472</v>
      </c>
      <c r="AE151" s="72">
        <v>0.94</v>
      </c>
      <c r="AF151" s="72">
        <v>841</v>
      </c>
      <c r="AG151" s="72">
        <v>235</v>
      </c>
      <c r="AH151" s="72" t="s">
        <v>414</v>
      </c>
      <c r="AI151" s="72">
        <v>1076400</v>
      </c>
      <c r="AJ151" s="72">
        <v>0.01</v>
      </c>
      <c r="AK151" s="72" t="s">
        <v>414</v>
      </c>
      <c r="AL151" s="72" t="s">
        <v>414</v>
      </c>
      <c r="AM151" s="72">
        <v>14.37</v>
      </c>
      <c r="AN151" s="72" t="s">
        <v>1260</v>
      </c>
      <c r="AO151" s="72" t="s">
        <v>1261</v>
      </c>
      <c r="AP151" s="72">
        <v>-1.02</v>
      </c>
      <c r="AQ151" s="72">
        <v>1441</v>
      </c>
      <c r="AR151" s="72">
        <v>112</v>
      </c>
      <c r="AS151" s="72">
        <v>8.0000000000000004E-4</v>
      </c>
      <c r="AT151" s="72">
        <v>2</v>
      </c>
      <c r="AU151" s="72">
        <v>2.21</v>
      </c>
      <c r="AV151" s="72">
        <v>1.59</v>
      </c>
      <c r="AW151" s="72" t="s">
        <v>1262</v>
      </c>
      <c r="AX151" s="72">
        <v>0.89</v>
      </c>
      <c r="AY151" s="72" t="s">
        <v>414</v>
      </c>
      <c r="AZ151" s="72" t="s">
        <v>414</v>
      </c>
      <c r="BA151" s="72">
        <v>0.26</v>
      </c>
      <c r="BB151" s="72">
        <v>1.29</v>
      </c>
      <c r="BC151" s="72">
        <v>-1.03</v>
      </c>
      <c r="BD151" s="72">
        <v>0.2</v>
      </c>
      <c r="BE151" s="72">
        <v>0.9</v>
      </c>
      <c r="BF151" s="72">
        <v>-0.13</v>
      </c>
      <c r="BG151" s="72">
        <v>2.21</v>
      </c>
      <c r="BH151" s="72">
        <v>0.95</v>
      </c>
      <c r="BI151" s="72">
        <v>20200925</v>
      </c>
      <c r="BJ151" s="72">
        <v>20101026</v>
      </c>
      <c r="BK151" s="72">
        <v>17.559999999999999</v>
      </c>
      <c r="BL151" s="72" t="s">
        <v>414</v>
      </c>
      <c r="BM151" s="72" t="s">
        <v>414</v>
      </c>
      <c r="BN151" s="72">
        <v>86.09</v>
      </c>
      <c r="BO151" s="72">
        <v>54.01</v>
      </c>
      <c r="BP151" s="72">
        <v>0.33</v>
      </c>
      <c r="BQ151" s="72">
        <v>36.880000000000003</v>
      </c>
      <c r="BR151" s="72">
        <v>69.099999999999994</v>
      </c>
      <c r="BS151" s="72">
        <v>0.73</v>
      </c>
      <c r="BT151" s="72">
        <v>0.04</v>
      </c>
      <c r="BU151" s="72">
        <v>31.6</v>
      </c>
      <c r="BV151" s="72">
        <v>22.92</v>
      </c>
      <c r="BW151" s="72">
        <v>18.68</v>
      </c>
      <c r="BX151" s="72">
        <v>29.65</v>
      </c>
      <c r="BY151" s="72">
        <v>11.14</v>
      </c>
      <c r="BZ151" s="72">
        <v>7.31</v>
      </c>
      <c r="CA151" s="72">
        <v>1.84</v>
      </c>
      <c r="CB151" s="72">
        <v>-0.2</v>
      </c>
      <c r="CC151" s="72">
        <v>1.82</v>
      </c>
      <c r="CD151" s="72">
        <v>1.41</v>
      </c>
      <c r="CE151" s="72">
        <v>1.47</v>
      </c>
      <c r="CF151" s="72">
        <v>11.1</v>
      </c>
      <c r="CG151" s="72">
        <v>1.62</v>
      </c>
      <c r="CH151" s="72">
        <v>-1.93</v>
      </c>
      <c r="CI151" s="72">
        <v>45690</v>
      </c>
      <c r="CJ151" s="72">
        <v>22203</v>
      </c>
      <c r="CK151" s="72" t="s">
        <v>1263</v>
      </c>
      <c r="CL151" s="72">
        <v>352.77</v>
      </c>
      <c r="CM151" s="72">
        <v>20.37</v>
      </c>
      <c r="CN151" s="72">
        <v>2.56</v>
      </c>
      <c r="CO151" s="72">
        <v>85.18</v>
      </c>
      <c r="CP151" s="72">
        <v>12.41</v>
      </c>
      <c r="CQ151" s="72">
        <v>0.19</v>
      </c>
      <c r="CR151" s="72" t="s">
        <v>1264</v>
      </c>
      <c r="CS151" s="72">
        <v>3.08</v>
      </c>
      <c r="CT151" s="72">
        <v>0</v>
      </c>
      <c r="CU151" s="72">
        <v>1.69</v>
      </c>
      <c r="CV151" s="72">
        <v>0.63</v>
      </c>
      <c r="CW151" s="72">
        <v>62.74</v>
      </c>
      <c r="CX151" s="72" t="s">
        <v>1265</v>
      </c>
      <c r="CY151" s="72">
        <v>34.36</v>
      </c>
      <c r="CZ151" s="72">
        <v>16.48</v>
      </c>
      <c r="DA151" s="72">
        <v>13.23</v>
      </c>
      <c r="DB151" s="72">
        <v>300133</v>
      </c>
    </row>
    <row r="152" spans="7:106" x14ac:dyDescent="0.25">
      <c r="G152" s="72">
        <v>300171</v>
      </c>
      <c r="H152" s="72" t="s">
        <v>1266</v>
      </c>
      <c r="I152" s="72">
        <v>2.75</v>
      </c>
      <c r="J152" s="72">
        <v>1.54</v>
      </c>
      <c r="K152" s="72">
        <v>19.46</v>
      </c>
      <c r="L152" s="72">
        <v>0.52</v>
      </c>
      <c r="M152" s="72">
        <v>19.45</v>
      </c>
      <c r="N152" s="72">
        <v>19.46</v>
      </c>
      <c r="O152" s="72">
        <v>56820</v>
      </c>
      <c r="P152" s="72">
        <v>3</v>
      </c>
      <c r="Q152" s="72">
        <v>0.1</v>
      </c>
      <c r="R152" s="72">
        <v>1.33</v>
      </c>
      <c r="S152" s="72">
        <v>19.23</v>
      </c>
      <c r="T152" s="72">
        <v>19.649999999999999</v>
      </c>
      <c r="U152" s="72">
        <v>19.079999999999998</v>
      </c>
      <c r="V152" s="72">
        <v>18.940000000000001</v>
      </c>
      <c r="W152" s="72">
        <v>35.53</v>
      </c>
      <c r="X152" s="114">
        <v>110000000</v>
      </c>
      <c r="Y152" s="72" t="s">
        <v>506</v>
      </c>
      <c r="Z152" s="72" t="s">
        <v>365</v>
      </c>
      <c r="AA152" s="72">
        <v>3.01</v>
      </c>
      <c r="AB152" s="72">
        <v>19.36</v>
      </c>
      <c r="AC152" s="72">
        <v>24299</v>
      </c>
      <c r="AD152" s="72">
        <v>32521</v>
      </c>
      <c r="AE152" s="72">
        <v>0.75</v>
      </c>
      <c r="AF152" s="72">
        <v>69</v>
      </c>
      <c r="AG152" s="72">
        <v>7</v>
      </c>
      <c r="AH152" s="72" t="s">
        <v>414</v>
      </c>
      <c r="AI152" s="72">
        <v>1332600</v>
      </c>
      <c r="AJ152" s="72">
        <v>0.03</v>
      </c>
      <c r="AK152" s="72" t="s">
        <v>414</v>
      </c>
      <c r="AL152" s="72" t="s">
        <v>414</v>
      </c>
      <c r="AM152" s="72">
        <v>4.28</v>
      </c>
      <c r="AN152" s="72" t="s">
        <v>1267</v>
      </c>
      <c r="AO152" s="72" t="s">
        <v>1268</v>
      </c>
      <c r="AP152" s="72">
        <v>0.56999999999999995</v>
      </c>
      <c r="AQ152" s="72">
        <v>1360</v>
      </c>
      <c r="AR152" s="72">
        <v>42</v>
      </c>
      <c r="AS152" s="72">
        <v>1E-3</v>
      </c>
      <c r="AT152" s="72">
        <v>4</v>
      </c>
      <c r="AU152" s="72">
        <v>6.63</v>
      </c>
      <c r="AV152" s="72">
        <v>2.41</v>
      </c>
      <c r="AW152" s="72" t="s">
        <v>1269</v>
      </c>
      <c r="AX152" s="72">
        <v>1.33</v>
      </c>
      <c r="AY152" s="72">
        <v>42.55</v>
      </c>
      <c r="AZ152" s="72">
        <v>81.62</v>
      </c>
      <c r="BA152" s="72">
        <v>1.53</v>
      </c>
      <c r="BB152" s="72">
        <v>3.75</v>
      </c>
      <c r="BC152" s="72">
        <v>0.74</v>
      </c>
      <c r="BD152" s="72">
        <v>2.2000000000000002</v>
      </c>
      <c r="BE152" s="72">
        <v>1.2</v>
      </c>
      <c r="BF152" s="72">
        <v>-0.97</v>
      </c>
      <c r="BG152" s="72">
        <v>1.99</v>
      </c>
      <c r="BH152" s="72">
        <v>0.55000000000000004</v>
      </c>
      <c r="BI152" s="72">
        <v>20200820</v>
      </c>
      <c r="BJ152" s="72">
        <v>20110201</v>
      </c>
      <c r="BK152" s="72">
        <v>6.28</v>
      </c>
      <c r="BL152" s="72" t="s">
        <v>414</v>
      </c>
      <c r="BM152" s="72" t="s">
        <v>414</v>
      </c>
      <c r="BN152" s="72">
        <v>53.03</v>
      </c>
      <c r="BO152" s="72">
        <v>32.89</v>
      </c>
      <c r="BP152" s="72">
        <v>0.85</v>
      </c>
      <c r="BQ152" s="72">
        <v>36.369999999999997</v>
      </c>
      <c r="BR152" s="72">
        <v>45.6</v>
      </c>
      <c r="BS152" s="72">
        <v>3.41</v>
      </c>
      <c r="BT152" s="72">
        <v>0.86</v>
      </c>
      <c r="BU152" s="72">
        <v>18.75</v>
      </c>
      <c r="BV152" s="72">
        <v>14.3</v>
      </c>
      <c r="BW152" s="72">
        <v>5.7</v>
      </c>
      <c r="BX152" s="72">
        <v>11.29</v>
      </c>
      <c r="BY152" s="72">
        <v>11.89</v>
      </c>
      <c r="BZ152" s="72">
        <v>7.52</v>
      </c>
      <c r="CA152" s="72">
        <v>2.11</v>
      </c>
      <c r="CB152" s="72">
        <v>0.04</v>
      </c>
      <c r="CC152" s="72">
        <v>2.1</v>
      </c>
      <c r="CD152" s="72">
        <v>1.84</v>
      </c>
      <c r="CE152" s="72">
        <v>1.72</v>
      </c>
      <c r="CF152" s="72">
        <v>12.56</v>
      </c>
      <c r="CG152" s="72">
        <v>2.87</v>
      </c>
      <c r="CH152" s="72">
        <v>1.2</v>
      </c>
      <c r="CI152" s="72">
        <v>33139</v>
      </c>
      <c r="CJ152" s="72">
        <v>7112</v>
      </c>
      <c r="CK152" s="72" t="s">
        <v>1270</v>
      </c>
      <c r="CL152" s="72">
        <v>350.16</v>
      </c>
      <c r="CM152" s="72">
        <v>28.41</v>
      </c>
      <c r="CN152" s="72">
        <v>3.72</v>
      </c>
      <c r="CO152" s="72">
        <v>42.56</v>
      </c>
      <c r="CP152" s="72">
        <v>10.28</v>
      </c>
      <c r="CQ152" s="72">
        <v>0.37</v>
      </c>
      <c r="CR152" s="72" t="s">
        <v>1271</v>
      </c>
      <c r="CS152" s="72">
        <v>5.23</v>
      </c>
      <c r="CT152" s="72">
        <v>0</v>
      </c>
      <c r="CU152" s="72">
        <v>1.8</v>
      </c>
      <c r="CV152" s="72">
        <v>2</v>
      </c>
      <c r="CW152" s="72">
        <v>62.03</v>
      </c>
      <c r="CX152" s="72" t="s">
        <v>1272</v>
      </c>
      <c r="CY152" s="72">
        <v>36.75</v>
      </c>
      <c r="CZ152" s="72">
        <v>17.77</v>
      </c>
      <c r="DA152" s="72">
        <v>14.47</v>
      </c>
      <c r="DB152" s="72">
        <v>300171</v>
      </c>
    </row>
    <row r="153" spans="7:106" x14ac:dyDescent="0.25">
      <c r="G153" s="72">
        <v>300185</v>
      </c>
      <c r="H153" s="72" t="s">
        <v>1273</v>
      </c>
      <c r="I153" s="72">
        <v>2.4500000000000002</v>
      </c>
      <c r="J153" s="72">
        <v>1.96</v>
      </c>
      <c r="K153" s="72">
        <v>5.0199999999999996</v>
      </c>
      <c r="L153" s="72">
        <v>0.12</v>
      </c>
      <c r="M153" s="72">
        <v>5.01</v>
      </c>
      <c r="N153" s="72">
        <v>5.0199999999999996</v>
      </c>
      <c r="O153" s="72">
        <v>2455741</v>
      </c>
      <c r="P153" s="72">
        <v>306</v>
      </c>
      <c r="Q153" s="72">
        <v>0.2</v>
      </c>
      <c r="R153" s="72">
        <v>8.18</v>
      </c>
      <c r="S153" s="72">
        <v>4.8499999999999996</v>
      </c>
      <c r="T153" s="72">
        <v>5.09</v>
      </c>
      <c r="U153" s="72">
        <v>4.71</v>
      </c>
      <c r="V153" s="72">
        <v>4.9000000000000004</v>
      </c>
      <c r="W153" s="72">
        <v>44.66</v>
      </c>
      <c r="X153" s="114">
        <v>1200000000</v>
      </c>
      <c r="Y153" s="72" t="s">
        <v>383</v>
      </c>
      <c r="Z153" s="72" t="s">
        <v>349</v>
      </c>
      <c r="AA153" s="72">
        <v>7.76</v>
      </c>
      <c r="AB153" s="72">
        <v>4.9000000000000004</v>
      </c>
      <c r="AC153" s="72">
        <v>1193686</v>
      </c>
      <c r="AD153" s="72">
        <v>1262055</v>
      </c>
      <c r="AE153" s="72">
        <v>0.95</v>
      </c>
      <c r="AF153" s="72">
        <v>3067</v>
      </c>
      <c r="AG153" s="72">
        <v>2856</v>
      </c>
      <c r="AH153" s="72" t="s">
        <v>414</v>
      </c>
      <c r="AI153" s="72">
        <v>19670600</v>
      </c>
      <c r="AJ153" s="72">
        <v>0.17</v>
      </c>
      <c r="AK153" s="72" t="s">
        <v>414</v>
      </c>
      <c r="AL153" s="72" t="s">
        <v>414</v>
      </c>
      <c r="AM153" s="72">
        <v>30.03</v>
      </c>
      <c r="AN153" s="72" t="s">
        <v>1274</v>
      </c>
      <c r="AO153" s="72" t="s">
        <v>1275</v>
      </c>
      <c r="AP153" s="72">
        <v>0.27</v>
      </c>
      <c r="AQ153" s="72">
        <v>1886</v>
      </c>
      <c r="AR153" s="72">
        <v>1302</v>
      </c>
      <c r="AS153" s="72">
        <v>4.3E-3</v>
      </c>
      <c r="AT153" s="72">
        <v>4</v>
      </c>
      <c r="AU153" s="72">
        <v>9.61</v>
      </c>
      <c r="AV153" s="72">
        <v>10.27</v>
      </c>
      <c r="AW153" s="72" t="s">
        <v>1276</v>
      </c>
      <c r="AX153" s="72">
        <v>0.48</v>
      </c>
      <c r="AY153" s="72">
        <v>53.3</v>
      </c>
      <c r="AZ153" s="72">
        <v>68.13</v>
      </c>
      <c r="BA153" s="72">
        <v>-1.02</v>
      </c>
      <c r="BB153" s="72">
        <v>3.88</v>
      </c>
      <c r="BC153" s="72">
        <v>-3.88</v>
      </c>
      <c r="BD153" s="72">
        <v>0.02</v>
      </c>
      <c r="BE153" s="72">
        <v>3.51</v>
      </c>
      <c r="BF153" s="72">
        <v>-1.38</v>
      </c>
      <c r="BG153" s="72">
        <v>6.58</v>
      </c>
      <c r="BH153" s="72">
        <v>2.4300000000000002</v>
      </c>
      <c r="BI153" s="72">
        <v>20200820</v>
      </c>
      <c r="BJ153" s="72">
        <v>20110308</v>
      </c>
      <c r="BK153" s="72">
        <v>32.68</v>
      </c>
      <c r="BL153" s="72" t="s">
        <v>414</v>
      </c>
      <c r="BM153" s="72" t="s">
        <v>414</v>
      </c>
      <c r="BN153" s="72">
        <v>127.21</v>
      </c>
      <c r="BO153" s="72">
        <v>53.7</v>
      </c>
      <c r="BP153" s="72">
        <v>1.87</v>
      </c>
      <c r="BQ153" s="72">
        <v>56.32</v>
      </c>
      <c r="BR153" s="72">
        <v>70.16</v>
      </c>
      <c r="BS153" s="72">
        <v>45.99</v>
      </c>
      <c r="BT153" s="72">
        <v>4.88</v>
      </c>
      <c r="BU153" s="72">
        <v>61.81</v>
      </c>
      <c r="BV153" s="72">
        <v>24.33</v>
      </c>
      <c r="BW153" s="72">
        <v>16.62</v>
      </c>
      <c r="BX153" s="72">
        <v>11.45</v>
      </c>
      <c r="BY153" s="72">
        <v>24.95</v>
      </c>
      <c r="BZ153" s="72">
        <v>18.61</v>
      </c>
      <c r="CA153" s="72">
        <v>2.4900000000000002</v>
      </c>
      <c r="CB153" s="72">
        <v>0</v>
      </c>
      <c r="CC153" s="72">
        <v>2.5</v>
      </c>
      <c r="CD153" s="72">
        <v>1.91</v>
      </c>
      <c r="CE153" s="72">
        <v>1.84</v>
      </c>
      <c r="CF153" s="72">
        <v>8.1199999999999992</v>
      </c>
      <c r="CG153" s="72">
        <v>1.68</v>
      </c>
      <c r="CH153" s="72">
        <v>-0.56000000000000005</v>
      </c>
      <c r="CI153" s="72">
        <v>115192</v>
      </c>
      <c r="CJ153" s="72">
        <v>20765</v>
      </c>
      <c r="CK153" s="72" t="s">
        <v>1277</v>
      </c>
      <c r="CL153" s="72">
        <v>55.25</v>
      </c>
      <c r="CM153" s="72">
        <v>39.68</v>
      </c>
      <c r="CN153" s="72">
        <v>3.05</v>
      </c>
      <c r="CO153" s="72">
        <v>97.75</v>
      </c>
      <c r="CP153" s="72">
        <v>6.57</v>
      </c>
      <c r="CQ153" s="72">
        <v>0.82</v>
      </c>
      <c r="CR153" s="72" t="s">
        <v>1278</v>
      </c>
      <c r="CS153" s="72">
        <v>1.64</v>
      </c>
      <c r="CT153" s="72">
        <v>0</v>
      </c>
      <c r="CU153" s="72">
        <v>0.35</v>
      </c>
      <c r="CV153" s="72">
        <v>0.25</v>
      </c>
      <c r="CW153" s="72">
        <v>42.21</v>
      </c>
      <c r="CX153" s="72" t="s">
        <v>1117</v>
      </c>
      <c r="CY153" s="72">
        <v>25.4</v>
      </c>
      <c r="CZ153" s="72">
        <v>9.99</v>
      </c>
      <c r="DA153" s="72">
        <v>7.36</v>
      </c>
      <c r="DB153" s="72">
        <v>300185</v>
      </c>
    </row>
    <row r="154" spans="7:106" x14ac:dyDescent="0.25">
      <c r="G154" s="72">
        <v>300257</v>
      </c>
      <c r="H154" s="72" t="s">
        <v>1279</v>
      </c>
      <c r="I154" s="72">
        <v>5.39</v>
      </c>
      <c r="J154" s="72">
        <v>3.76</v>
      </c>
      <c r="K154" s="72">
        <v>17.22</v>
      </c>
      <c r="L154" s="72">
        <v>0.88</v>
      </c>
      <c r="M154" s="72">
        <v>17.21</v>
      </c>
      <c r="N154" s="72">
        <v>17.22</v>
      </c>
      <c r="O154" s="72">
        <v>74353</v>
      </c>
      <c r="P154" s="72">
        <v>33</v>
      </c>
      <c r="Q154" s="72">
        <v>0.28999999999999998</v>
      </c>
      <c r="R154" s="72">
        <v>0.91</v>
      </c>
      <c r="S154" s="72">
        <v>16.55</v>
      </c>
      <c r="T154" s="72">
        <v>17.329999999999998</v>
      </c>
      <c r="U154" s="72">
        <v>16.329999999999998</v>
      </c>
      <c r="V154" s="72">
        <v>16.34</v>
      </c>
      <c r="W154" s="72">
        <v>62.58</v>
      </c>
      <c r="X154" s="114">
        <v>126000000</v>
      </c>
      <c r="Y154" s="72" t="s">
        <v>361</v>
      </c>
      <c r="Z154" s="72" t="s">
        <v>358</v>
      </c>
      <c r="AA154" s="72">
        <v>6.12</v>
      </c>
      <c r="AB154" s="72">
        <v>16.91</v>
      </c>
      <c r="AC154" s="72">
        <v>34615</v>
      </c>
      <c r="AD154" s="72">
        <v>39738</v>
      </c>
      <c r="AE154" s="72">
        <v>0.87</v>
      </c>
      <c r="AF154" s="72">
        <v>27</v>
      </c>
      <c r="AG154" s="72">
        <v>276</v>
      </c>
      <c r="AH154" s="72" t="s">
        <v>414</v>
      </c>
      <c r="AI154" s="72">
        <v>250000</v>
      </c>
      <c r="AJ154" s="72">
        <v>0</v>
      </c>
      <c r="AK154" s="72" t="s">
        <v>414</v>
      </c>
      <c r="AL154" s="72" t="s">
        <v>414</v>
      </c>
      <c r="AM154" s="72">
        <v>8.18</v>
      </c>
      <c r="AN154" s="72" t="s">
        <v>1280</v>
      </c>
      <c r="AO154" s="72" t="s">
        <v>1281</v>
      </c>
      <c r="AP154" s="72">
        <v>3.21</v>
      </c>
      <c r="AQ154" s="72">
        <v>1451</v>
      </c>
      <c r="AR154" s="72">
        <v>51</v>
      </c>
      <c r="AS154" s="72">
        <v>5.9999999999999995E-4</v>
      </c>
      <c r="AT154" s="72">
        <v>1</v>
      </c>
      <c r="AU154" s="72">
        <v>3.49</v>
      </c>
      <c r="AV154" s="72">
        <v>2.4</v>
      </c>
      <c r="AW154" s="72" t="s">
        <v>1282</v>
      </c>
      <c r="AX154" s="72">
        <v>0.61</v>
      </c>
      <c r="AY154" s="72">
        <v>65.25</v>
      </c>
      <c r="AZ154" s="72">
        <v>91.92</v>
      </c>
      <c r="BA154" s="72">
        <v>1.29</v>
      </c>
      <c r="BB154" s="72">
        <v>6.06</v>
      </c>
      <c r="BC154" s="72">
        <v>-0.06</v>
      </c>
      <c r="BD154" s="72">
        <v>3.49</v>
      </c>
      <c r="BE154" s="72">
        <v>4.05</v>
      </c>
      <c r="BF154" s="72">
        <v>-0.63</v>
      </c>
      <c r="BG154" s="72">
        <v>5.45</v>
      </c>
      <c r="BH154" s="72">
        <v>1.89</v>
      </c>
      <c r="BI154" s="72">
        <v>20200820</v>
      </c>
      <c r="BJ154" s="72">
        <v>20110819</v>
      </c>
      <c r="BK154" s="72">
        <v>8.58</v>
      </c>
      <c r="BL154" s="72" t="s">
        <v>414</v>
      </c>
      <c r="BM154" s="72" t="s">
        <v>414</v>
      </c>
      <c r="BN154" s="72">
        <v>91.32</v>
      </c>
      <c r="BO154" s="72">
        <v>37.549999999999997</v>
      </c>
      <c r="BP154" s="72">
        <v>-0.04</v>
      </c>
      <c r="BQ154" s="72">
        <v>58.93</v>
      </c>
      <c r="BR154" s="72">
        <v>31.89</v>
      </c>
      <c r="BS154" s="72">
        <v>21.75</v>
      </c>
      <c r="BT154" s="72">
        <v>2.57</v>
      </c>
      <c r="BU154" s="72">
        <v>35.29</v>
      </c>
      <c r="BV154" s="72">
        <v>12.16</v>
      </c>
      <c r="BW154" s="72">
        <v>5.77</v>
      </c>
      <c r="BX154" s="72">
        <v>14.9</v>
      </c>
      <c r="BY154" s="72">
        <v>14.15</v>
      </c>
      <c r="BZ154" s="72">
        <v>10.09</v>
      </c>
      <c r="CA154" s="72">
        <v>1.47</v>
      </c>
      <c r="CB154" s="72">
        <v>0.05</v>
      </c>
      <c r="CC154" s="72">
        <v>1.47</v>
      </c>
      <c r="CD154" s="72">
        <v>1.22</v>
      </c>
      <c r="CE154" s="72">
        <v>1.18</v>
      </c>
      <c r="CF154" s="72">
        <v>10.52</v>
      </c>
      <c r="CG154" s="72">
        <v>0.56999999999999995</v>
      </c>
      <c r="CH154" s="72">
        <v>-0.31</v>
      </c>
      <c r="CI154" s="72">
        <v>10267</v>
      </c>
      <c r="CJ154" s="72">
        <v>30194</v>
      </c>
      <c r="CK154" s="72" t="s">
        <v>1283</v>
      </c>
      <c r="CL154" s="72">
        <v>111.94</v>
      </c>
      <c r="CM154" s="72">
        <v>12.03</v>
      </c>
      <c r="CN154" s="72">
        <v>3.93</v>
      </c>
      <c r="CO154" s="72">
        <v>260.44</v>
      </c>
      <c r="CP154" s="72">
        <v>10.44</v>
      </c>
      <c r="CQ154" s="72">
        <v>0</v>
      </c>
      <c r="CR154" s="72" t="s">
        <v>1284</v>
      </c>
      <c r="CS154" s="72">
        <v>4.38</v>
      </c>
      <c r="CT154" s="72">
        <v>0</v>
      </c>
      <c r="CU154" s="72">
        <v>1.74</v>
      </c>
      <c r="CV154" s="72">
        <v>1.23</v>
      </c>
      <c r="CW154" s="72">
        <v>41.12</v>
      </c>
      <c r="CX154" s="72" t="s">
        <v>1285</v>
      </c>
      <c r="CY154" s="72">
        <v>28.67</v>
      </c>
      <c r="CZ154" s="72">
        <v>10.4</v>
      </c>
      <c r="DA154" s="72">
        <v>8.34</v>
      </c>
      <c r="DB154" s="72">
        <v>300257</v>
      </c>
    </row>
    <row r="155" spans="7:106" x14ac:dyDescent="0.25">
      <c r="G155" s="72">
        <v>300261</v>
      </c>
      <c r="H155" s="72" t="s">
        <v>1286</v>
      </c>
      <c r="I155" s="72">
        <v>2.85</v>
      </c>
      <c r="J155" s="72">
        <v>1.98</v>
      </c>
      <c r="K155" s="72">
        <v>8.3000000000000007</v>
      </c>
      <c r="L155" s="72">
        <v>0.23</v>
      </c>
      <c r="M155" s="72">
        <v>8.2899999999999991</v>
      </c>
      <c r="N155" s="72">
        <v>8.3000000000000007</v>
      </c>
      <c r="O155" s="72">
        <v>334922</v>
      </c>
      <c r="P155" s="72">
        <v>282</v>
      </c>
      <c r="Q155" s="72">
        <v>0.12</v>
      </c>
      <c r="R155" s="72">
        <v>3.59</v>
      </c>
      <c r="S155" s="72">
        <v>8</v>
      </c>
      <c r="T155" s="72">
        <v>8.35</v>
      </c>
      <c r="U155" s="72">
        <v>7.92</v>
      </c>
      <c r="V155" s="72">
        <v>8.07</v>
      </c>
      <c r="W155" s="72">
        <v>44.13</v>
      </c>
      <c r="X155" s="114">
        <v>273000000</v>
      </c>
      <c r="Y155" s="72" t="s">
        <v>393</v>
      </c>
      <c r="Z155" s="72" t="s">
        <v>368</v>
      </c>
      <c r="AA155" s="72">
        <v>5.33</v>
      </c>
      <c r="AB155" s="72">
        <v>8.16</v>
      </c>
      <c r="AC155" s="72">
        <v>149029</v>
      </c>
      <c r="AD155" s="72">
        <v>185893</v>
      </c>
      <c r="AE155" s="72">
        <v>0.8</v>
      </c>
      <c r="AF155" s="72">
        <v>34</v>
      </c>
      <c r="AG155" s="72">
        <v>517</v>
      </c>
      <c r="AH155" s="72" t="s">
        <v>414</v>
      </c>
      <c r="AI155" s="72">
        <v>9864000</v>
      </c>
      <c r="AJ155" s="72">
        <v>0.22</v>
      </c>
      <c r="AK155" s="72" t="s">
        <v>414</v>
      </c>
      <c r="AL155" s="72" t="s">
        <v>414</v>
      </c>
      <c r="AM155" s="72">
        <v>9.32</v>
      </c>
      <c r="AN155" s="72" t="s">
        <v>1287</v>
      </c>
      <c r="AO155" s="72" t="s">
        <v>1288</v>
      </c>
      <c r="AP155" s="72">
        <v>0.67</v>
      </c>
      <c r="AQ155" s="72">
        <v>1737</v>
      </c>
      <c r="AR155" s="72">
        <v>193</v>
      </c>
      <c r="AS155" s="72">
        <v>2.0999999999999999E-3</v>
      </c>
      <c r="AT155" s="72">
        <v>2</v>
      </c>
      <c r="AU155" s="72">
        <v>6.55</v>
      </c>
      <c r="AV155" s="72">
        <v>5.9</v>
      </c>
      <c r="AW155" s="72" t="s">
        <v>1289</v>
      </c>
      <c r="AX155" s="72">
        <v>1.28</v>
      </c>
      <c r="AY155" s="72">
        <v>47</v>
      </c>
      <c r="AZ155" s="72">
        <v>95.22</v>
      </c>
      <c r="BA155" s="72">
        <v>-0.87</v>
      </c>
      <c r="BB155" s="72">
        <v>3.47</v>
      </c>
      <c r="BC155" s="72">
        <v>-1.86</v>
      </c>
      <c r="BD155" s="72">
        <v>1.1399999999999999</v>
      </c>
      <c r="BE155" s="72">
        <v>3.75</v>
      </c>
      <c r="BF155" s="72">
        <v>-0.6</v>
      </c>
      <c r="BG155" s="72">
        <v>4.8</v>
      </c>
      <c r="BH155" s="72">
        <v>1.71</v>
      </c>
      <c r="BI155" s="72">
        <v>20200930</v>
      </c>
      <c r="BJ155" s="72">
        <v>20110906</v>
      </c>
      <c r="BK155" s="72">
        <v>9.6300000000000008</v>
      </c>
      <c r="BL155" s="72" t="s">
        <v>414</v>
      </c>
      <c r="BM155" s="72" t="s">
        <v>414</v>
      </c>
      <c r="BN155" s="72">
        <v>37.020000000000003</v>
      </c>
      <c r="BO155" s="72">
        <v>20.329999999999998</v>
      </c>
      <c r="BP155" s="72">
        <v>1.1000000000000001</v>
      </c>
      <c r="BQ155" s="72">
        <v>42.12</v>
      </c>
      <c r="BR155" s="72">
        <v>16.5</v>
      </c>
      <c r="BS155" s="72">
        <v>9.91</v>
      </c>
      <c r="BT155" s="72">
        <v>1.74</v>
      </c>
      <c r="BU155" s="72">
        <v>14.37</v>
      </c>
      <c r="BV155" s="72">
        <v>3.02</v>
      </c>
      <c r="BW155" s="72">
        <v>5.41</v>
      </c>
      <c r="BX155" s="72">
        <v>6.82</v>
      </c>
      <c r="BY155" s="72">
        <v>9.26</v>
      </c>
      <c r="BZ155" s="72">
        <v>6.64</v>
      </c>
      <c r="CA155" s="72">
        <v>1.27</v>
      </c>
      <c r="CB155" s="72">
        <v>0.01</v>
      </c>
      <c r="CC155" s="72">
        <v>1.06</v>
      </c>
      <c r="CD155" s="72">
        <v>0.95</v>
      </c>
      <c r="CE155" s="72">
        <v>0.91</v>
      </c>
      <c r="CF155" s="72">
        <v>3.74</v>
      </c>
      <c r="CG155" s="72">
        <v>3</v>
      </c>
      <c r="CH155" s="72">
        <v>1.64</v>
      </c>
      <c r="CI155" s="72">
        <v>42741</v>
      </c>
      <c r="CJ155" s="72">
        <v>13285</v>
      </c>
      <c r="CK155" s="72" t="s">
        <v>1290</v>
      </c>
      <c r="CL155" s="72">
        <v>1225.25</v>
      </c>
      <c r="CM155" s="72">
        <v>33.99</v>
      </c>
      <c r="CN155" s="72">
        <v>3.93</v>
      </c>
      <c r="CO155" s="72">
        <v>26.67</v>
      </c>
      <c r="CP155" s="72">
        <v>8.6300000000000008</v>
      </c>
      <c r="CQ155" s="72">
        <v>0.62</v>
      </c>
      <c r="CR155" s="72" t="s">
        <v>1291</v>
      </c>
      <c r="CS155" s="72">
        <v>2.11</v>
      </c>
      <c r="CT155" s="72">
        <v>0</v>
      </c>
      <c r="CU155" s="72">
        <v>0.71</v>
      </c>
      <c r="CV155" s="72">
        <v>0.39</v>
      </c>
      <c r="CW155" s="72">
        <v>54.91</v>
      </c>
      <c r="CX155" s="72" t="s">
        <v>666</v>
      </c>
      <c r="CY155" s="72">
        <v>28.33</v>
      </c>
      <c r="CZ155" s="72">
        <v>13.7</v>
      </c>
      <c r="DA155" s="72">
        <v>9.7799999999999994</v>
      </c>
      <c r="DB155" s="72">
        <v>300261</v>
      </c>
    </row>
    <row r="156" spans="7:106" x14ac:dyDescent="0.25">
      <c r="G156" s="72">
        <v>300315</v>
      </c>
      <c r="H156" s="72" t="s">
        <v>1292</v>
      </c>
      <c r="I156" s="72">
        <v>1.1299999999999999</v>
      </c>
      <c r="J156" s="72">
        <v>1.83</v>
      </c>
      <c r="K156" s="72">
        <v>7.17</v>
      </c>
      <c r="L156" s="72">
        <v>0.08</v>
      </c>
      <c r="M156" s="72">
        <v>7.17</v>
      </c>
      <c r="N156" s="72">
        <v>7.18</v>
      </c>
      <c r="O156" s="72">
        <v>632778</v>
      </c>
      <c r="P156" s="72">
        <v>148</v>
      </c>
      <c r="Q156" s="72">
        <v>-0.27</v>
      </c>
      <c r="R156" s="72">
        <v>2.4</v>
      </c>
      <c r="S156" s="72">
        <v>7.15</v>
      </c>
      <c r="T156" s="72">
        <v>7.23</v>
      </c>
      <c r="U156" s="72">
        <v>7.05</v>
      </c>
      <c r="V156" s="72">
        <v>7.09</v>
      </c>
      <c r="W156" s="72">
        <v>22.29</v>
      </c>
      <c r="X156" s="114">
        <v>450000000</v>
      </c>
      <c r="Y156" s="72" t="s">
        <v>404</v>
      </c>
      <c r="Z156" s="72" t="s">
        <v>372</v>
      </c>
      <c r="AA156" s="72">
        <v>2.54</v>
      </c>
      <c r="AB156" s="72">
        <v>7.11</v>
      </c>
      <c r="AC156" s="72">
        <v>311143</v>
      </c>
      <c r="AD156" s="72">
        <v>321635</v>
      </c>
      <c r="AE156" s="72">
        <v>0.97</v>
      </c>
      <c r="AF156" s="72">
        <v>212</v>
      </c>
      <c r="AG156" s="72">
        <v>28</v>
      </c>
      <c r="AH156" s="72" t="s">
        <v>414</v>
      </c>
      <c r="AI156" s="72">
        <v>2196500</v>
      </c>
      <c r="AJ156" s="72">
        <v>0.01</v>
      </c>
      <c r="AK156" s="72" t="s">
        <v>414</v>
      </c>
      <c r="AL156" s="72" t="s">
        <v>414</v>
      </c>
      <c r="AM156" s="72">
        <v>26.32</v>
      </c>
      <c r="AN156" s="72" t="s">
        <v>1293</v>
      </c>
      <c r="AO156" s="72" t="s">
        <v>1294</v>
      </c>
      <c r="AP156" s="72">
        <v>-1.05</v>
      </c>
      <c r="AQ156" s="72">
        <v>1868</v>
      </c>
      <c r="AR156" s="72">
        <v>339</v>
      </c>
      <c r="AS156" s="72">
        <v>1.2999999999999999E-3</v>
      </c>
      <c r="AT156" s="72">
        <v>2</v>
      </c>
      <c r="AU156" s="72">
        <v>3.61</v>
      </c>
      <c r="AV156" s="72">
        <v>2.64</v>
      </c>
      <c r="AW156" s="72" t="s">
        <v>1295</v>
      </c>
      <c r="AX156" s="72">
        <v>1.39</v>
      </c>
      <c r="AY156" s="72">
        <v>32.799999999999997</v>
      </c>
      <c r="AZ156" s="72">
        <v>53.77</v>
      </c>
      <c r="BA156" s="72">
        <v>0.85</v>
      </c>
      <c r="BB156" s="72">
        <v>1.97</v>
      </c>
      <c r="BC156" s="72">
        <v>-0.56000000000000005</v>
      </c>
      <c r="BD156" s="72">
        <v>0.33</v>
      </c>
      <c r="BE156" s="72">
        <v>0.28000000000000003</v>
      </c>
      <c r="BF156" s="72">
        <v>-0.83</v>
      </c>
      <c r="BG156" s="72">
        <v>1.7</v>
      </c>
      <c r="BH156" s="72">
        <v>0.8</v>
      </c>
      <c r="BI156" s="72">
        <v>20200827</v>
      </c>
      <c r="BJ156" s="72">
        <v>20120511</v>
      </c>
      <c r="BK156" s="72">
        <v>27.57</v>
      </c>
      <c r="BL156" s="72" t="s">
        <v>414</v>
      </c>
      <c r="BM156" s="72" t="s">
        <v>414</v>
      </c>
      <c r="BN156" s="72">
        <v>65.099999999999994</v>
      </c>
      <c r="BO156" s="72">
        <v>59.13</v>
      </c>
      <c r="BP156" s="72">
        <v>-0.03</v>
      </c>
      <c r="BQ156" s="72">
        <v>9.2100000000000009</v>
      </c>
      <c r="BR156" s="72">
        <v>24.48</v>
      </c>
      <c r="BS156" s="72">
        <v>0.2</v>
      </c>
      <c r="BT156" s="72">
        <v>0.38</v>
      </c>
      <c r="BU156" s="72">
        <v>5.03</v>
      </c>
      <c r="BV156" s="72">
        <v>0.14000000000000001</v>
      </c>
      <c r="BW156" s="72">
        <v>2.08</v>
      </c>
      <c r="BX156" s="72">
        <v>38.299999999999997</v>
      </c>
      <c r="BY156" s="72">
        <v>9.26</v>
      </c>
      <c r="BZ156" s="72">
        <v>2.2799999999999998</v>
      </c>
      <c r="CA156" s="72">
        <v>5.53</v>
      </c>
      <c r="CB156" s="72">
        <v>0.25</v>
      </c>
      <c r="CC156" s="72">
        <v>5.51</v>
      </c>
      <c r="CD156" s="72">
        <v>4.41</v>
      </c>
      <c r="CE156" s="72">
        <v>4.43</v>
      </c>
      <c r="CF156" s="72">
        <v>-4.0599999999999996</v>
      </c>
      <c r="CG156" s="72">
        <v>2.3199999999999998</v>
      </c>
      <c r="CH156" s="72">
        <v>3.82</v>
      </c>
      <c r="CI156" s="72">
        <v>142614</v>
      </c>
      <c r="CJ156" s="72">
        <v>16815</v>
      </c>
      <c r="CK156" s="72" t="s">
        <v>1296</v>
      </c>
      <c r="CL156" s="72">
        <v>110.11</v>
      </c>
      <c r="CM156" s="72">
        <v>33.04</v>
      </c>
      <c r="CN156" s="72">
        <v>3.34</v>
      </c>
      <c r="CO156" s="72">
        <v>85.15</v>
      </c>
      <c r="CP156" s="72">
        <v>21.34</v>
      </c>
      <c r="CQ156" s="72">
        <v>0</v>
      </c>
      <c r="CR156" s="72" t="s">
        <v>789</v>
      </c>
      <c r="CS156" s="72">
        <v>2.14</v>
      </c>
      <c r="CT156" s="72">
        <v>0</v>
      </c>
      <c r="CU156" s="72">
        <v>1.39</v>
      </c>
      <c r="CV156" s="72">
        <v>-0.15</v>
      </c>
      <c r="CW156" s="72">
        <v>90.83</v>
      </c>
      <c r="CX156" s="72" t="s">
        <v>1297</v>
      </c>
      <c r="CY156" s="72">
        <v>75.42</v>
      </c>
      <c r="CZ156" s="72">
        <v>59.69</v>
      </c>
      <c r="DA156" s="72">
        <v>47.87</v>
      </c>
      <c r="DB156" s="72">
        <v>300315</v>
      </c>
    </row>
    <row r="157" spans="7:106" x14ac:dyDescent="0.25">
      <c r="G157" s="72">
        <v>300319</v>
      </c>
      <c r="H157" s="72" t="s">
        <v>1298</v>
      </c>
      <c r="I157" s="72">
        <v>2.38</v>
      </c>
      <c r="J157" s="72">
        <v>1.93</v>
      </c>
      <c r="K157" s="72">
        <v>10.34</v>
      </c>
      <c r="L157" s="72">
        <v>0.24</v>
      </c>
      <c r="M157" s="72">
        <v>10.33</v>
      </c>
      <c r="N157" s="72">
        <v>10.34</v>
      </c>
      <c r="O157" s="72">
        <v>49869</v>
      </c>
      <c r="P157" s="72">
        <v>10</v>
      </c>
      <c r="Q157" s="72">
        <v>-0.56999999999999995</v>
      </c>
      <c r="R157" s="72">
        <v>0.76</v>
      </c>
      <c r="S157" s="72">
        <v>10.24</v>
      </c>
      <c r="T157" s="72">
        <v>10.45</v>
      </c>
      <c r="U157" s="72">
        <v>10.24</v>
      </c>
      <c r="V157" s="72">
        <v>10.1</v>
      </c>
      <c r="W157" s="72">
        <v>91.1</v>
      </c>
      <c r="X157" s="72">
        <v>51634280</v>
      </c>
      <c r="Y157" s="72" t="s">
        <v>979</v>
      </c>
      <c r="Z157" s="72" t="s">
        <v>385</v>
      </c>
      <c r="AA157" s="72">
        <v>2.08</v>
      </c>
      <c r="AB157" s="72">
        <v>10.35</v>
      </c>
      <c r="AC157" s="72">
        <v>23954</v>
      </c>
      <c r="AD157" s="72">
        <v>25915</v>
      </c>
      <c r="AE157" s="72">
        <v>0.92</v>
      </c>
      <c r="AF157" s="72">
        <v>335</v>
      </c>
      <c r="AG157" s="72">
        <v>811</v>
      </c>
      <c r="AH157" s="72" t="s">
        <v>414</v>
      </c>
      <c r="AI157" s="72">
        <v>867300</v>
      </c>
      <c r="AJ157" s="72">
        <v>0.02</v>
      </c>
      <c r="AK157" s="72" t="s">
        <v>414</v>
      </c>
      <c r="AL157" s="72" t="s">
        <v>414</v>
      </c>
      <c r="AM157" s="72">
        <v>6.58</v>
      </c>
      <c r="AN157" s="72" t="s">
        <v>1299</v>
      </c>
      <c r="AO157" s="72" t="s">
        <v>1300</v>
      </c>
      <c r="AP157" s="72">
        <v>0.2</v>
      </c>
      <c r="AQ157" s="72">
        <v>1008</v>
      </c>
      <c r="AR157" s="72">
        <v>49</v>
      </c>
      <c r="AS157" s="72">
        <v>8.0000000000000004E-4</v>
      </c>
      <c r="AT157" s="72">
        <v>2</v>
      </c>
      <c r="AU157" s="72">
        <v>4.87</v>
      </c>
      <c r="AV157" s="72">
        <v>1.1599999999999999</v>
      </c>
      <c r="AW157" s="72" t="s">
        <v>1301</v>
      </c>
      <c r="AX157" s="72">
        <v>1.28</v>
      </c>
      <c r="AY157" s="72">
        <v>123.35</v>
      </c>
      <c r="AZ157" s="72">
        <v>156.12</v>
      </c>
      <c r="BA157" s="72">
        <v>1.39</v>
      </c>
      <c r="BB157" s="72">
        <v>3.47</v>
      </c>
      <c r="BC157" s="72">
        <v>1.39</v>
      </c>
      <c r="BD157" s="72">
        <v>2.5099999999999998</v>
      </c>
      <c r="BE157" s="72">
        <v>0.98</v>
      </c>
      <c r="BF157" s="72">
        <v>-1.05</v>
      </c>
      <c r="BG157" s="72">
        <v>0.98</v>
      </c>
      <c r="BH157" s="72">
        <v>-0.14000000000000001</v>
      </c>
      <c r="BI157" s="72">
        <v>20200924</v>
      </c>
      <c r="BJ157" s="72">
        <v>20120523</v>
      </c>
      <c r="BK157" s="72">
        <v>6.97</v>
      </c>
      <c r="BL157" s="72" t="s">
        <v>414</v>
      </c>
      <c r="BM157" s="72" t="s">
        <v>414</v>
      </c>
      <c r="BN157" s="72">
        <v>36.520000000000003</v>
      </c>
      <c r="BO157" s="72">
        <v>21.05</v>
      </c>
      <c r="BP157" s="72">
        <v>0.84</v>
      </c>
      <c r="BQ157" s="72">
        <v>40.06</v>
      </c>
      <c r="BR157" s="72">
        <v>18.850000000000001</v>
      </c>
      <c r="BS157" s="72">
        <v>9.4499999999999993</v>
      </c>
      <c r="BT157" s="72">
        <v>0.93</v>
      </c>
      <c r="BU157" s="72">
        <v>13.15</v>
      </c>
      <c r="BV157" s="72">
        <v>6.25</v>
      </c>
      <c r="BW157" s="72">
        <v>6.28</v>
      </c>
      <c r="BX157" s="72">
        <v>12.6</v>
      </c>
      <c r="BY157" s="72">
        <v>8.75</v>
      </c>
      <c r="BZ157" s="72">
        <v>7.27</v>
      </c>
      <c r="CA157" s="72">
        <v>0.55000000000000004</v>
      </c>
      <c r="CB157" s="72">
        <v>0</v>
      </c>
      <c r="CC157" s="72">
        <v>0.55000000000000004</v>
      </c>
      <c r="CD157" s="72">
        <v>0.45</v>
      </c>
      <c r="CE157" s="72">
        <v>0.4</v>
      </c>
      <c r="CF157" s="72">
        <v>1.19</v>
      </c>
      <c r="CG157" s="72">
        <v>2.29</v>
      </c>
      <c r="CH157" s="72">
        <v>1.99</v>
      </c>
      <c r="CI157" s="72">
        <v>47388</v>
      </c>
      <c r="CJ157" s="72">
        <v>9040</v>
      </c>
      <c r="CK157" s="72" t="s">
        <v>1302</v>
      </c>
      <c r="CL157" s="72">
        <v>43.44</v>
      </c>
      <c r="CM157" s="72">
        <v>26.17</v>
      </c>
      <c r="CN157" s="72">
        <v>3.42</v>
      </c>
      <c r="CO157" s="72">
        <v>31.41</v>
      </c>
      <c r="CP157" s="72">
        <v>8.23</v>
      </c>
      <c r="CQ157" s="72">
        <v>0</v>
      </c>
      <c r="CR157" s="72" t="s">
        <v>1303</v>
      </c>
      <c r="CS157" s="72">
        <v>3.02</v>
      </c>
      <c r="CT157" s="72">
        <v>0</v>
      </c>
      <c r="CU157" s="72">
        <v>1.81</v>
      </c>
      <c r="CV157" s="72">
        <v>0.17</v>
      </c>
      <c r="CW157" s="72">
        <v>57.64</v>
      </c>
      <c r="CX157" s="72" t="s">
        <v>1304</v>
      </c>
      <c r="CY157" s="72">
        <v>16.899999999999999</v>
      </c>
      <c r="CZ157" s="72">
        <v>6.26</v>
      </c>
      <c r="DA157" s="72">
        <v>4.5199999999999996</v>
      </c>
      <c r="DB157" s="72">
        <v>300319</v>
      </c>
    </row>
    <row r="158" spans="7:106" x14ac:dyDescent="0.25">
      <c r="G158" s="72">
        <v>300443</v>
      </c>
      <c r="H158" s="72" t="s">
        <v>1305</v>
      </c>
      <c r="I158" s="72">
        <v>2.81</v>
      </c>
      <c r="J158" s="72">
        <v>1.53</v>
      </c>
      <c r="K158" s="72">
        <v>33.67</v>
      </c>
      <c r="L158" s="72">
        <v>0.92</v>
      </c>
      <c r="M158" s="72">
        <v>33.67</v>
      </c>
      <c r="N158" s="72">
        <v>33.69</v>
      </c>
      <c r="O158" s="72">
        <v>182530</v>
      </c>
      <c r="P158" s="72">
        <v>6</v>
      </c>
      <c r="Q158" s="72">
        <v>-0.61</v>
      </c>
      <c r="R158" s="72">
        <v>11.45</v>
      </c>
      <c r="S158" s="72">
        <v>32.799999999999997</v>
      </c>
      <c r="T158" s="72">
        <v>34.33</v>
      </c>
      <c r="U158" s="72">
        <v>31.7</v>
      </c>
      <c r="V158" s="72">
        <v>32.75</v>
      </c>
      <c r="W158" s="72">
        <v>22.38</v>
      </c>
      <c r="X158" s="114">
        <v>599000000</v>
      </c>
      <c r="Y158" s="72" t="s">
        <v>501</v>
      </c>
      <c r="Z158" s="72" t="s">
        <v>349</v>
      </c>
      <c r="AA158" s="72">
        <v>8.0299999999999994</v>
      </c>
      <c r="AB158" s="72">
        <v>32.799999999999997</v>
      </c>
      <c r="AC158" s="72">
        <v>93860</v>
      </c>
      <c r="AD158" s="72">
        <v>88670</v>
      </c>
      <c r="AE158" s="72">
        <v>1.06</v>
      </c>
      <c r="AF158" s="72">
        <v>19</v>
      </c>
      <c r="AG158" s="72">
        <v>7</v>
      </c>
      <c r="AH158" s="72" t="s">
        <v>414</v>
      </c>
      <c r="AI158" s="72">
        <v>14950200</v>
      </c>
      <c r="AJ158" s="72">
        <v>0.35</v>
      </c>
      <c r="AK158" s="72" t="s">
        <v>414</v>
      </c>
      <c r="AL158" s="72" t="s">
        <v>414</v>
      </c>
      <c r="AM158" s="72">
        <v>1.59</v>
      </c>
      <c r="AN158" s="72" t="s">
        <v>1306</v>
      </c>
      <c r="AO158" s="72" t="s">
        <v>1307</v>
      </c>
      <c r="AP158" s="72">
        <v>0.63</v>
      </c>
      <c r="AQ158" s="72">
        <v>1838</v>
      </c>
      <c r="AR158" s="72">
        <v>99</v>
      </c>
      <c r="AS158" s="72">
        <v>6.1999999999999998E-3</v>
      </c>
      <c r="AT158" s="72">
        <v>2</v>
      </c>
      <c r="AU158" s="72">
        <v>3.99</v>
      </c>
      <c r="AV158" s="72">
        <v>13.98</v>
      </c>
      <c r="AW158" s="72" t="s">
        <v>1308</v>
      </c>
      <c r="AX158" s="72">
        <v>1.26</v>
      </c>
      <c r="AY158" s="72">
        <v>25.68</v>
      </c>
      <c r="AZ158" s="72">
        <v>37.99</v>
      </c>
      <c r="BA158" s="72">
        <v>0.15</v>
      </c>
      <c r="BB158" s="72">
        <v>4.82</v>
      </c>
      <c r="BC158" s="72">
        <v>-3.21</v>
      </c>
      <c r="BD158" s="72">
        <v>0.16</v>
      </c>
      <c r="BE158" s="72">
        <v>2.65</v>
      </c>
      <c r="BF158" s="72">
        <v>-1.92</v>
      </c>
      <c r="BG158" s="72">
        <v>6.21</v>
      </c>
      <c r="BH158" s="72">
        <v>2.65</v>
      </c>
      <c r="BI158" s="72">
        <v>20200820</v>
      </c>
      <c r="BJ158" s="72">
        <v>20150422</v>
      </c>
      <c r="BK158" s="72">
        <v>2.38</v>
      </c>
      <c r="BL158" s="72" t="s">
        <v>414</v>
      </c>
      <c r="BM158" s="72" t="s">
        <v>414</v>
      </c>
      <c r="BN158" s="72">
        <v>23.16</v>
      </c>
      <c r="BO158" s="72">
        <v>20.7</v>
      </c>
      <c r="BP158" s="72">
        <v>0</v>
      </c>
      <c r="BQ158" s="72">
        <v>10.6</v>
      </c>
      <c r="BR158" s="72">
        <v>12.63</v>
      </c>
      <c r="BS158" s="72">
        <v>6.49</v>
      </c>
      <c r="BT158" s="72">
        <v>0.75</v>
      </c>
      <c r="BU158" s="72">
        <v>1.29</v>
      </c>
      <c r="BV158" s="72">
        <v>2.98</v>
      </c>
      <c r="BW158" s="72">
        <v>3.87</v>
      </c>
      <c r="BX158" s="72">
        <v>6.84</v>
      </c>
      <c r="BY158" s="72">
        <v>6.07</v>
      </c>
      <c r="BZ158" s="72">
        <v>3.62</v>
      </c>
      <c r="CA158" s="72">
        <v>2.09</v>
      </c>
      <c r="CB158" s="72">
        <v>0</v>
      </c>
      <c r="CC158" s="72">
        <v>2.11</v>
      </c>
      <c r="CD158" s="72">
        <v>1.79</v>
      </c>
      <c r="CE158" s="72">
        <v>1.79</v>
      </c>
      <c r="CF158" s="72">
        <v>10.37</v>
      </c>
      <c r="CG158" s="72">
        <v>1.77</v>
      </c>
      <c r="CH158" s="72">
        <v>0.99</v>
      </c>
      <c r="CI158" s="72">
        <v>23552</v>
      </c>
      <c r="CJ158" s="72">
        <v>5543</v>
      </c>
      <c r="CK158" s="72" t="s">
        <v>1309</v>
      </c>
      <c r="CL158" s="72">
        <v>121.88</v>
      </c>
      <c r="CM158" s="72">
        <v>23.28</v>
      </c>
      <c r="CN158" s="72">
        <v>3.87</v>
      </c>
      <c r="CO158" s="72">
        <v>45.17</v>
      </c>
      <c r="CP158" s="72">
        <v>13.2</v>
      </c>
      <c r="CQ158" s="72">
        <v>0.55000000000000004</v>
      </c>
      <c r="CR158" s="72" t="s">
        <v>1310</v>
      </c>
      <c r="CS158" s="72">
        <v>8.6999999999999993</v>
      </c>
      <c r="CT158" s="72">
        <v>0</v>
      </c>
      <c r="CU158" s="72">
        <v>2.87</v>
      </c>
      <c r="CV158" s="72">
        <v>4.3600000000000003</v>
      </c>
      <c r="CW158" s="72">
        <v>89.4</v>
      </c>
      <c r="CX158" s="72" t="s">
        <v>1311</v>
      </c>
      <c r="CY158" s="72">
        <v>40.33</v>
      </c>
      <c r="CZ158" s="72">
        <v>34.43</v>
      </c>
      <c r="DA158" s="72">
        <v>29.5</v>
      </c>
      <c r="DB158" s="72">
        <v>300443</v>
      </c>
    </row>
    <row r="159" spans="7:106" x14ac:dyDescent="0.25">
      <c r="G159" s="72">
        <v>300498</v>
      </c>
      <c r="H159" s="72" t="s">
        <v>1312</v>
      </c>
      <c r="I159" s="72">
        <v>2.54</v>
      </c>
      <c r="J159" s="72">
        <v>2</v>
      </c>
      <c r="K159" s="72">
        <v>20.16</v>
      </c>
      <c r="L159" s="72">
        <v>0.5</v>
      </c>
      <c r="M159" s="72">
        <v>20.16</v>
      </c>
      <c r="N159" s="72">
        <v>20.170000000000002</v>
      </c>
      <c r="O159" s="72">
        <v>191436</v>
      </c>
      <c r="P159" s="72">
        <v>91</v>
      </c>
      <c r="Q159" s="72">
        <v>0.1</v>
      </c>
      <c r="R159" s="72">
        <v>0.4</v>
      </c>
      <c r="S159" s="72">
        <v>19.670000000000002</v>
      </c>
      <c r="T159" s="72">
        <v>20.18</v>
      </c>
      <c r="U159" s="72">
        <v>19.600000000000001</v>
      </c>
      <c r="V159" s="72">
        <v>19.66</v>
      </c>
      <c r="W159" s="72">
        <v>15.47</v>
      </c>
      <c r="X159" s="114">
        <v>382000000</v>
      </c>
      <c r="Y159" s="72" t="s">
        <v>348</v>
      </c>
      <c r="Z159" s="72" t="s">
        <v>364</v>
      </c>
      <c r="AA159" s="72">
        <v>2.95</v>
      </c>
      <c r="AB159" s="72">
        <v>19.93</v>
      </c>
      <c r="AC159" s="72">
        <v>88218</v>
      </c>
      <c r="AD159" s="72">
        <v>103218</v>
      </c>
      <c r="AE159" s="72">
        <v>0.85</v>
      </c>
      <c r="AF159" s="72">
        <v>201</v>
      </c>
      <c r="AG159" s="72">
        <v>674</v>
      </c>
      <c r="AH159" s="72" t="s">
        <v>414</v>
      </c>
      <c r="AI159" s="72">
        <v>5797900</v>
      </c>
      <c r="AJ159" s="72">
        <v>0.01</v>
      </c>
      <c r="AK159" s="72" t="s">
        <v>414</v>
      </c>
      <c r="AL159" s="72" t="s">
        <v>414</v>
      </c>
      <c r="AM159" s="72">
        <v>48.37</v>
      </c>
      <c r="AN159" s="72" t="s">
        <v>1313</v>
      </c>
      <c r="AO159" s="72" t="s">
        <v>1314</v>
      </c>
      <c r="AP159" s="72">
        <v>0.37</v>
      </c>
      <c r="AQ159" s="72">
        <v>1777</v>
      </c>
      <c r="AR159" s="72">
        <v>108</v>
      </c>
      <c r="AS159" s="72">
        <v>2.0000000000000001E-4</v>
      </c>
      <c r="AT159" s="72">
        <v>2</v>
      </c>
      <c r="AU159" s="72">
        <v>1.1499999999999999</v>
      </c>
      <c r="AV159" s="72">
        <v>0.4</v>
      </c>
      <c r="AW159" s="72" t="s">
        <v>1315</v>
      </c>
      <c r="AX159" s="72">
        <v>0.84</v>
      </c>
      <c r="AY159" s="72">
        <v>7.49</v>
      </c>
      <c r="AZ159" s="72">
        <v>8.9700000000000006</v>
      </c>
      <c r="BA159" s="72">
        <v>0.05</v>
      </c>
      <c r="BB159" s="72">
        <v>2.64</v>
      </c>
      <c r="BC159" s="72">
        <v>-0.31</v>
      </c>
      <c r="BD159" s="72">
        <v>1.38</v>
      </c>
      <c r="BE159" s="72">
        <v>2.4900000000000002</v>
      </c>
      <c r="BF159" s="72">
        <v>-0.1</v>
      </c>
      <c r="BG159" s="72">
        <v>2.86</v>
      </c>
      <c r="BH159" s="72">
        <v>1.1599999999999999</v>
      </c>
      <c r="BI159" s="72">
        <v>20200909</v>
      </c>
      <c r="BJ159" s="72">
        <v>20151102</v>
      </c>
      <c r="BK159" s="72">
        <v>63.73</v>
      </c>
      <c r="BL159" s="72" t="s">
        <v>414</v>
      </c>
      <c r="BM159" s="72" t="s">
        <v>414</v>
      </c>
      <c r="BN159" s="72">
        <v>656.84</v>
      </c>
      <c r="BO159" s="72">
        <v>444.61</v>
      </c>
      <c r="BP159" s="72">
        <v>15.53</v>
      </c>
      <c r="BQ159" s="72">
        <v>29.95</v>
      </c>
      <c r="BR159" s="72">
        <v>196.39</v>
      </c>
      <c r="BS159" s="72">
        <v>240.64</v>
      </c>
      <c r="BT159" s="72">
        <v>16.02</v>
      </c>
      <c r="BU159" s="72">
        <v>152.91999999999999</v>
      </c>
      <c r="BV159" s="72">
        <v>125.26</v>
      </c>
      <c r="BW159" s="72">
        <v>3.38</v>
      </c>
      <c r="BX159" s="72">
        <v>54.76</v>
      </c>
      <c r="BY159" s="72">
        <v>359.57</v>
      </c>
      <c r="BZ159" s="72">
        <v>276.58999999999997</v>
      </c>
      <c r="CA159" s="72">
        <v>41.53</v>
      </c>
      <c r="CB159" s="72">
        <v>1.94</v>
      </c>
      <c r="CC159" s="72">
        <v>40.67</v>
      </c>
      <c r="CD159" s="72">
        <v>40.78</v>
      </c>
      <c r="CE159" s="72">
        <v>41.53</v>
      </c>
      <c r="CF159" s="72">
        <v>297.83999999999997</v>
      </c>
      <c r="CG159" s="72">
        <v>39.72</v>
      </c>
      <c r="CH159" s="72">
        <v>-29.24</v>
      </c>
      <c r="CI159" s="72">
        <v>124546</v>
      </c>
      <c r="CJ159" s="72">
        <v>38315</v>
      </c>
      <c r="CK159" s="72" t="s">
        <v>1316</v>
      </c>
      <c r="CL159" s="72">
        <v>200.33</v>
      </c>
      <c r="CM159" s="72">
        <v>18.2</v>
      </c>
      <c r="CN159" s="72">
        <v>2.89</v>
      </c>
      <c r="CO159" s="72">
        <v>32.35</v>
      </c>
      <c r="CP159" s="72">
        <v>3.57</v>
      </c>
      <c r="CQ159" s="72">
        <v>5.76</v>
      </c>
      <c r="CR159" s="72" t="s">
        <v>1317</v>
      </c>
      <c r="CS159" s="72">
        <v>6.98</v>
      </c>
      <c r="CT159" s="72">
        <v>0</v>
      </c>
      <c r="CU159" s="72">
        <v>0.86</v>
      </c>
      <c r="CV159" s="72">
        <v>4.67</v>
      </c>
      <c r="CW159" s="72">
        <v>67.69</v>
      </c>
      <c r="CX159" s="72" t="s">
        <v>1318</v>
      </c>
      <c r="CY159" s="72">
        <v>23.08</v>
      </c>
      <c r="CZ159" s="72">
        <v>11.55</v>
      </c>
      <c r="DA159" s="72">
        <v>11.55</v>
      </c>
      <c r="DB159" s="72">
        <v>300498</v>
      </c>
    </row>
    <row r="160" spans="7:106" x14ac:dyDescent="0.25">
      <c r="G160" s="72">
        <v>300569</v>
      </c>
      <c r="H160" s="72" t="s">
        <v>1319</v>
      </c>
      <c r="I160" s="72">
        <v>17.22</v>
      </c>
      <c r="J160" s="72">
        <v>3.08</v>
      </c>
      <c r="K160" s="72">
        <v>22.06</v>
      </c>
      <c r="L160" s="72">
        <v>3.24</v>
      </c>
      <c r="M160" s="72">
        <v>22.09</v>
      </c>
      <c r="N160" s="72">
        <v>22.1</v>
      </c>
      <c r="O160" s="72">
        <v>641275</v>
      </c>
      <c r="P160" s="72">
        <v>29</v>
      </c>
      <c r="Q160" s="72">
        <v>1.85</v>
      </c>
      <c r="R160" s="72">
        <v>25.27</v>
      </c>
      <c r="S160" s="72">
        <v>18.579999999999998</v>
      </c>
      <c r="T160" s="72">
        <v>22.58</v>
      </c>
      <c r="U160" s="72">
        <v>18.22</v>
      </c>
      <c r="V160" s="72">
        <v>18.82</v>
      </c>
      <c r="W160" s="72">
        <v>27.54</v>
      </c>
      <c r="X160" s="114">
        <v>1300000000</v>
      </c>
      <c r="Y160" s="72" t="s">
        <v>501</v>
      </c>
      <c r="Z160" s="72" t="s">
        <v>349</v>
      </c>
      <c r="AA160" s="72">
        <v>23.17</v>
      </c>
      <c r="AB160" s="72">
        <v>20.350000000000001</v>
      </c>
      <c r="AC160" s="72">
        <v>297478</v>
      </c>
      <c r="AD160" s="72">
        <v>343797</v>
      </c>
      <c r="AE160" s="72">
        <v>0.87</v>
      </c>
      <c r="AF160" s="72">
        <v>3</v>
      </c>
      <c r="AG160" s="72">
        <v>48</v>
      </c>
      <c r="AH160" s="72" t="s">
        <v>414</v>
      </c>
      <c r="AI160" s="72">
        <v>15144900</v>
      </c>
      <c r="AJ160" s="72">
        <v>0.38</v>
      </c>
      <c r="AK160" s="72" t="s">
        <v>414</v>
      </c>
      <c r="AL160" s="72" t="s">
        <v>414</v>
      </c>
      <c r="AM160" s="72">
        <v>2.54</v>
      </c>
      <c r="AN160" s="72" t="s">
        <v>1320</v>
      </c>
      <c r="AO160" s="72" t="s">
        <v>1321</v>
      </c>
      <c r="AP160" s="72">
        <v>15.04</v>
      </c>
      <c r="AQ160" s="72">
        <v>1864</v>
      </c>
      <c r="AR160" s="72">
        <v>344</v>
      </c>
      <c r="AS160" s="72">
        <v>1.3599999999999999E-2</v>
      </c>
      <c r="AT160" s="72">
        <v>3</v>
      </c>
      <c r="AU160" s="72">
        <v>25.63</v>
      </c>
      <c r="AV160" s="72">
        <v>29.96</v>
      </c>
      <c r="AW160" s="72" t="s">
        <v>1322</v>
      </c>
      <c r="AX160" s="72">
        <v>1.1100000000000001</v>
      </c>
      <c r="AY160" s="72">
        <v>21.55</v>
      </c>
      <c r="AZ160" s="72">
        <v>27.37</v>
      </c>
      <c r="BA160" s="72">
        <v>-1.28</v>
      </c>
      <c r="BB160" s="72">
        <v>19.98</v>
      </c>
      <c r="BC160" s="72">
        <v>-3.19</v>
      </c>
      <c r="BD160" s="72">
        <v>8.1</v>
      </c>
      <c r="BE160" s="72">
        <v>18.73</v>
      </c>
      <c r="BF160" s="72">
        <v>-2.2999999999999998</v>
      </c>
      <c r="BG160" s="72">
        <v>21.08</v>
      </c>
      <c r="BH160" s="72">
        <v>9.11</v>
      </c>
      <c r="BI160" s="72">
        <v>20201010</v>
      </c>
      <c r="BJ160" s="72">
        <v>20161125</v>
      </c>
      <c r="BK160" s="72">
        <v>3.92</v>
      </c>
      <c r="BL160" s="72" t="s">
        <v>414</v>
      </c>
      <c r="BM160" s="72" t="s">
        <v>414</v>
      </c>
      <c r="BN160" s="72">
        <v>70.400000000000006</v>
      </c>
      <c r="BO160" s="72">
        <v>21.12</v>
      </c>
      <c r="BP160" s="72">
        <v>0.71</v>
      </c>
      <c r="BQ160" s="72">
        <v>68.989999999999995</v>
      </c>
      <c r="BR160" s="72">
        <v>39.94</v>
      </c>
      <c r="BS160" s="72">
        <v>18.03</v>
      </c>
      <c r="BT160" s="72">
        <v>1.47</v>
      </c>
      <c r="BU160" s="72">
        <v>35.590000000000003</v>
      </c>
      <c r="BV160" s="72">
        <v>11.08</v>
      </c>
      <c r="BW160" s="72">
        <v>12.17</v>
      </c>
      <c r="BX160" s="72">
        <v>7.21</v>
      </c>
      <c r="BY160" s="72">
        <v>12.31</v>
      </c>
      <c r="BZ160" s="72">
        <v>8.1199999999999992</v>
      </c>
      <c r="CA160" s="72">
        <v>2.0699999999999998</v>
      </c>
      <c r="CB160" s="72">
        <v>0</v>
      </c>
      <c r="CC160" s="72">
        <v>2.0299999999999998</v>
      </c>
      <c r="CD160" s="72">
        <v>1.69</v>
      </c>
      <c r="CE160" s="72">
        <v>1.57</v>
      </c>
      <c r="CF160" s="72">
        <v>9.18</v>
      </c>
      <c r="CG160" s="72">
        <v>1.74</v>
      </c>
      <c r="CH160" s="72">
        <v>2.21</v>
      </c>
      <c r="CI160" s="72">
        <v>49787</v>
      </c>
      <c r="CJ160" s="72">
        <v>4299</v>
      </c>
      <c r="CK160" s="72" t="s">
        <v>1323</v>
      </c>
      <c r="CL160" s="72">
        <v>86.53</v>
      </c>
      <c r="CM160" s="72">
        <v>43.92</v>
      </c>
      <c r="CN160" s="72">
        <v>4.09</v>
      </c>
      <c r="CO160" s="72">
        <v>49.57</v>
      </c>
      <c r="CP160" s="72">
        <v>7.02</v>
      </c>
      <c r="CQ160" s="72">
        <v>1.75</v>
      </c>
      <c r="CR160" s="72" t="s">
        <v>1324</v>
      </c>
      <c r="CS160" s="72">
        <v>5.39</v>
      </c>
      <c r="CT160" s="72">
        <v>0</v>
      </c>
      <c r="CU160" s="72">
        <v>1.84</v>
      </c>
      <c r="CV160" s="72">
        <v>2.34</v>
      </c>
      <c r="CW160" s="72">
        <v>30</v>
      </c>
      <c r="CX160" s="72" t="s">
        <v>1325</v>
      </c>
      <c r="CY160" s="72">
        <v>34.07</v>
      </c>
      <c r="CZ160" s="72">
        <v>16.79</v>
      </c>
      <c r="DA160" s="72">
        <v>12.75</v>
      </c>
      <c r="DB160" s="72">
        <v>300569</v>
      </c>
    </row>
    <row r="161" spans="7:106" x14ac:dyDescent="0.25">
      <c r="G161" s="72">
        <v>300801</v>
      </c>
      <c r="H161" s="72" t="s">
        <v>1326</v>
      </c>
      <c r="I161" s="72">
        <v>0.75</v>
      </c>
      <c r="J161" s="72">
        <v>1.52</v>
      </c>
      <c r="K161" s="72">
        <v>31.03</v>
      </c>
      <c r="L161" s="72">
        <v>0.23</v>
      </c>
      <c r="M161" s="72">
        <v>31.02</v>
      </c>
      <c r="N161" s="72">
        <v>31.03</v>
      </c>
      <c r="O161" s="72">
        <v>19320</v>
      </c>
      <c r="P161" s="72">
        <v>4</v>
      </c>
      <c r="Q161" s="72">
        <v>-0.09</v>
      </c>
      <c r="R161" s="72">
        <v>3.58</v>
      </c>
      <c r="S161" s="72">
        <v>30.95</v>
      </c>
      <c r="T161" s="72">
        <v>31.32</v>
      </c>
      <c r="U161" s="72">
        <v>30.58</v>
      </c>
      <c r="V161" s="72">
        <v>30.8</v>
      </c>
      <c r="W161" s="72">
        <v>26.65</v>
      </c>
      <c r="X161" s="72">
        <v>59741280</v>
      </c>
      <c r="Y161" s="72" t="s">
        <v>350</v>
      </c>
      <c r="Z161" s="72" t="s">
        <v>349</v>
      </c>
      <c r="AA161" s="72">
        <v>2.4</v>
      </c>
      <c r="AB161" s="72">
        <v>30.92</v>
      </c>
      <c r="AC161" s="72">
        <v>10736</v>
      </c>
      <c r="AD161" s="72">
        <v>8584</v>
      </c>
      <c r="AE161" s="72">
        <v>1.25</v>
      </c>
      <c r="AF161" s="72">
        <v>17</v>
      </c>
      <c r="AG161" s="72">
        <v>3</v>
      </c>
      <c r="AH161" s="72" t="s">
        <v>414</v>
      </c>
      <c r="AI161" s="72">
        <v>671600</v>
      </c>
      <c r="AJ161" s="72">
        <v>0.04</v>
      </c>
      <c r="AK161" s="72" t="s">
        <v>414</v>
      </c>
      <c r="AL161" s="72" t="s">
        <v>414</v>
      </c>
      <c r="AM161" s="72">
        <v>0.54</v>
      </c>
      <c r="AN161" s="72" t="s">
        <v>1327</v>
      </c>
      <c r="AO161" s="72" t="s">
        <v>1328</v>
      </c>
      <c r="AP161" s="72">
        <v>-1.43</v>
      </c>
      <c r="AQ161" s="72">
        <v>1253</v>
      </c>
      <c r="AR161" s="72">
        <v>15</v>
      </c>
      <c r="AS161" s="72">
        <v>2.8999999999999998E-3</v>
      </c>
      <c r="AT161" s="72">
        <v>2</v>
      </c>
      <c r="AU161" s="72">
        <v>4.3</v>
      </c>
      <c r="AV161" s="72">
        <v>3.58</v>
      </c>
      <c r="AW161" s="72" t="s">
        <v>1327</v>
      </c>
      <c r="AX161" s="72">
        <v>0.95</v>
      </c>
      <c r="AY161" s="72">
        <v>31.1</v>
      </c>
      <c r="AZ161" s="72">
        <v>38.770000000000003</v>
      </c>
      <c r="BA161" s="72">
        <v>0.49</v>
      </c>
      <c r="BB161" s="72">
        <v>1.69</v>
      </c>
      <c r="BC161" s="72">
        <v>-0.71</v>
      </c>
      <c r="BD161" s="72">
        <v>0.4</v>
      </c>
      <c r="BE161" s="72">
        <v>0.26</v>
      </c>
      <c r="BF161" s="72">
        <v>-0.93</v>
      </c>
      <c r="BG161" s="72">
        <v>1.47</v>
      </c>
      <c r="BH161" s="72">
        <v>0.35</v>
      </c>
      <c r="BI161" s="72">
        <v>20200921</v>
      </c>
      <c r="BJ161" s="72">
        <v>20191128</v>
      </c>
      <c r="BK161" s="72">
        <v>2.16</v>
      </c>
      <c r="BL161" s="72" t="s">
        <v>414</v>
      </c>
      <c r="BM161" s="72" t="s">
        <v>414</v>
      </c>
      <c r="BN161" s="72">
        <v>20.18</v>
      </c>
      <c r="BO161" s="72">
        <v>18</v>
      </c>
      <c r="BP161" s="72">
        <v>0</v>
      </c>
      <c r="BQ161" s="72">
        <v>10.8</v>
      </c>
      <c r="BR161" s="72">
        <v>13.55</v>
      </c>
      <c r="BS161" s="72">
        <v>3.63</v>
      </c>
      <c r="BT161" s="72">
        <v>0.69</v>
      </c>
      <c r="BU161" s="72">
        <v>2.13</v>
      </c>
      <c r="BV161" s="72">
        <v>0.76</v>
      </c>
      <c r="BW161" s="72">
        <v>1.32</v>
      </c>
      <c r="BX161" s="72">
        <v>9.77</v>
      </c>
      <c r="BY161" s="72">
        <v>7.78</v>
      </c>
      <c r="BZ161" s="72">
        <v>5.45</v>
      </c>
      <c r="CA161" s="72">
        <v>1.5</v>
      </c>
      <c r="CB161" s="72">
        <v>0.02</v>
      </c>
      <c r="CC161" s="72">
        <v>1.49</v>
      </c>
      <c r="CD161" s="72">
        <v>1.26</v>
      </c>
      <c r="CE161" s="72">
        <v>1.26</v>
      </c>
      <c r="CF161" s="72">
        <v>5.55</v>
      </c>
      <c r="CG161" s="72">
        <v>1.41</v>
      </c>
      <c r="CH161" s="72">
        <v>-3.07</v>
      </c>
      <c r="CI161" s="72">
        <v>16285</v>
      </c>
      <c r="CJ161" s="72">
        <v>3316</v>
      </c>
      <c r="CK161" s="72" t="s">
        <v>1329</v>
      </c>
      <c r="CL161" s="72">
        <v>50.69</v>
      </c>
      <c r="CM161" s="72">
        <v>43.05</v>
      </c>
      <c r="CN161" s="72">
        <v>3.72</v>
      </c>
      <c r="CO161" s="72">
        <v>47.51</v>
      </c>
      <c r="CP161" s="72">
        <v>8.6199999999999992</v>
      </c>
      <c r="CQ161" s="72">
        <v>0.9</v>
      </c>
      <c r="CR161" s="72" t="s">
        <v>944</v>
      </c>
      <c r="CS161" s="72">
        <v>8.33</v>
      </c>
      <c r="CT161" s="72">
        <v>0</v>
      </c>
      <c r="CU161" s="72">
        <v>4.5199999999999996</v>
      </c>
      <c r="CV161" s="72">
        <v>2.57</v>
      </c>
      <c r="CW161" s="72">
        <v>89.2</v>
      </c>
      <c r="CX161" s="72" t="s">
        <v>1330</v>
      </c>
      <c r="CY161" s="72">
        <v>29.91</v>
      </c>
      <c r="CZ161" s="72">
        <v>19.22</v>
      </c>
      <c r="DA161" s="72">
        <v>16.170000000000002</v>
      </c>
      <c r="DB161" s="72">
        <v>300801</v>
      </c>
    </row>
  </sheetData>
  <phoneticPr fontId="3" type="noConversion"/>
  <conditionalFormatting sqref="N17:N20 M2:M25">
    <cfRule type="cellIs" dxfId="11" priority="13" operator="greaterThan">
      <formula>0.2</formula>
    </cfRule>
  </conditionalFormatting>
  <conditionalFormatting sqref="Q17:Q18">
    <cfRule type="aboveAverage" dxfId="10" priority="7" aboveAverage="0"/>
  </conditionalFormatting>
  <conditionalFormatting sqref="P18:P19">
    <cfRule type="aboveAverage" dxfId="9" priority="54"/>
  </conditionalFormatting>
  <conditionalFormatting sqref="R19:R20">
    <cfRule type="top10" dxfId="8" priority="56" rank="5"/>
  </conditionalFormatting>
  <conditionalFormatting sqref="O2:O16">
    <cfRule type="top10" dxfId="7" priority="61" rank="5"/>
    <cfRule type="aboveAverage" dxfId="6" priority="62"/>
    <cfRule type="top10" dxfId="5" priority="63" percent="1" rank="10"/>
  </conditionalFormatting>
  <conditionalFormatting sqref="M2:M15">
    <cfRule type="aboveAverage" dxfId="4" priority="67"/>
  </conditionalFormatting>
  <conditionalFormatting sqref="O2:O18">
    <cfRule type="aboveAverage" dxfId="3" priority="69"/>
  </conditionalFormatting>
  <conditionalFormatting sqref="Q2:Q16">
    <cfRule type="top10" dxfId="2" priority="71" bottom="1" rank="5"/>
  </conditionalFormatting>
  <conditionalFormatting sqref="R2:R18">
    <cfRule type="top10" dxfId="1" priority="73" rank="5"/>
  </conditionalFormatting>
  <conditionalFormatting sqref="P2:P17">
    <cfRule type="top10" dxfId="0" priority="75" rank="5"/>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7A4CF-1396-4362-8F2C-6106DF9B88F7}">
  <sheetPr codeName="Sheet12"/>
  <dimension ref="B3:G28"/>
  <sheetViews>
    <sheetView workbookViewId="0">
      <selection activeCell="I30" sqref="I30"/>
    </sheetView>
  </sheetViews>
  <sheetFormatPr defaultRowHeight="14" x14ac:dyDescent="0.25"/>
  <cols>
    <col min="2" max="2" width="9.453125" bestFit="1" customWidth="1"/>
    <col min="3" max="3" width="11.08984375" bestFit="1" customWidth="1"/>
    <col min="4" max="4" width="13.08984375" bestFit="1" customWidth="1"/>
    <col min="5" max="5" width="11.08984375" bestFit="1" customWidth="1"/>
    <col min="6" max="6" width="11.6328125" bestFit="1" customWidth="1"/>
    <col min="7" max="7" width="7.08984375" bestFit="1" customWidth="1"/>
    <col min="8" max="8" width="10.08984375" bestFit="1" customWidth="1"/>
    <col min="9" max="9" width="11.08984375" bestFit="1" customWidth="1"/>
    <col min="10" max="10" width="15.26953125" bestFit="1" customWidth="1"/>
    <col min="11" max="11" width="8.26953125" bestFit="1" customWidth="1"/>
    <col min="12" max="12" width="10.08984375" bestFit="1" customWidth="1"/>
  </cols>
  <sheetData>
    <row r="3" spans="2:7" x14ac:dyDescent="0.25">
      <c r="B3" t="s">
        <v>1661</v>
      </c>
      <c r="C3" t="s">
        <v>1662</v>
      </c>
      <c r="D3" t="s">
        <v>1663</v>
      </c>
      <c r="E3" t="s">
        <v>1660</v>
      </c>
      <c r="F3" t="s">
        <v>1664</v>
      </c>
      <c r="G3" t="s">
        <v>1665</v>
      </c>
    </row>
    <row r="4" spans="2:7" x14ac:dyDescent="0.25">
      <c r="B4" s="120">
        <v>0.62505787037037031</v>
      </c>
      <c r="C4">
        <v>82.4</v>
      </c>
      <c r="D4">
        <v>-0.01</v>
      </c>
      <c r="E4" s="116">
        <v>6090</v>
      </c>
      <c r="F4" s="116">
        <v>50177480</v>
      </c>
      <c r="G4" t="s">
        <v>1666</v>
      </c>
    </row>
    <row r="5" spans="2:7" x14ac:dyDescent="0.25">
      <c r="B5" s="120">
        <v>0.62290509259259264</v>
      </c>
      <c r="C5">
        <v>82.41</v>
      </c>
      <c r="D5">
        <v>0.01</v>
      </c>
      <c r="E5">
        <v>46</v>
      </c>
      <c r="F5" s="116">
        <v>379091</v>
      </c>
      <c r="G5" t="s">
        <v>1667</v>
      </c>
    </row>
    <row r="6" spans="2:7" x14ac:dyDescent="0.25">
      <c r="B6" s="120">
        <v>0.62288194444444445</v>
      </c>
      <c r="C6">
        <v>82.4</v>
      </c>
      <c r="D6">
        <v>-0.04</v>
      </c>
      <c r="E6">
        <v>156</v>
      </c>
      <c r="F6" s="116">
        <v>1286326</v>
      </c>
      <c r="G6" t="s">
        <v>1668</v>
      </c>
    </row>
    <row r="7" spans="2:7" x14ac:dyDescent="0.25">
      <c r="B7" s="120">
        <v>0.62280092592592595</v>
      </c>
      <c r="C7">
        <v>82.4</v>
      </c>
      <c r="D7">
        <v>0</v>
      </c>
      <c r="E7">
        <v>19</v>
      </c>
      <c r="F7" s="116">
        <v>156594</v>
      </c>
      <c r="G7" t="s">
        <v>1668</v>
      </c>
    </row>
    <row r="8" spans="2:7" x14ac:dyDescent="0.25">
      <c r="B8" s="120">
        <v>0.6227314814814815</v>
      </c>
      <c r="C8">
        <v>82.4</v>
      </c>
      <c r="D8">
        <v>0</v>
      </c>
      <c r="E8">
        <v>129</v>
      </c>
      <c r="F8" s="116">
        <v>1062985</v>
      </c>
      <c r="G8" t="s">
        <v>1668</v>
      </c>
    </row>
    <row r="9" spans="2:7" x14ac:dyDescent="0.25">
      <c r="B9" s="120">
        <v>0.62269675925925927</v>
      </c>
      <c r="C9">
        <v>82.4</v>
      </c>
      <c r="D9">
        <v>0.01</v>
      </c>
      <c r="E9">
        <v>139</v>
      </c>
      <c r="F9" s="116">
        <v>1148139</v>
      </c>
      <c r="G9" t="s">
        <v>1666</v>
      </c>
    </row>
    <row r="10" spans="2:7" x14ac:dyDescent="0.25">
      <c r="B10" s="120">
        <v>0.62262731481481481</v>
      </c>
      <c r="C10">
        <v>82.38</v>
      </c>
      <c r="D10">
        <v>-0.02</v>
      </c>
      <c r="E10">
        <v>23</v>
      </c>
      <c r="F10" s="116">
        <v>189472</v>
      </c>
      <c r="G10" t="s">
        <v>1667</v>
      </c>
    </row>
    <row r="11" spans="2:7" x14ac:dyDescent="0.25">
      <c r="B11" s="120">
        <v>0.6225694444444444</v>
      </c>
      <c r="C11">
        <v>82.38</v>
      </c>
      <c r="D11">
        <v>-0.02</v>
      </c>
      <c r="E11">
        <v>25</v>
      </c>
      <c r="F11" s="116">
        <v>205966</v>
      </c>
      <c r="G11" t="s">
        <v>1667</v>
      </c>
    </row>
    <row r="12" spans="2:7" x14ac:dyDescent="0.25">
      <c r="B12" s="120">
        <v>0.62251157407407409</v>
      </c>
      <c r="C12">
        <v>82.39</v>
      </c>
      <c r="D12">
        <v>-0.01</v>
      </c>
      <c r="E12">
        <v>468</v>
      </c>
      <c r="F12" s="116">
        <v>3851363</v>
      </c>
      <c r="G12" t="s">
        <v>1668</v>
      </c>
    </row>
    <row r="13" spans="2:7" x14ac:dyDescent="0.25">
      <c r="B13" s="120">
        <v>0.62246527777777783</v>
      </c>
      <c r="C13">
        <v>82.4</v>
      </c>
      <c r="D13">
        <v>0.05</v>
      </c>
      <c r="E13">
        <v>155</v>
      </c>
      <c r="F13" s="116">
        <v>1276803</v>
      </c>
      <c r="G13" t="s">
        <v>1666</v>
      </c>
    </row>
    <row r="14" spans="2:7" x14ac:dyDescent="0.25">
      <c r="B14" s="120">
        <v>0.62241898148148145</v>
      </c>
      <c r="C14">
        <v>82.35</v>
      </c>
      <c r="D14">
        <v>0.01</v>
      </c>
      <c r="E14">
        <v>494</v>
      </c>
      <c r="F14" s="116">
        <v>4070452</v>
      </c>
      <c r="G14" t="s">
        <v>1668</v>
      </c>
    </row>
    <row r="15" spans="2:7" x14ac:dyDescent="0.25">
      <c r="B15" s="120">
        <v>0.62234953703703699</v>
      </c>
      <c r="C15">
        <v>82.34</v>
      </c>
      <c r="D15">
        <v>-0.01</v>
      </c>
      <c r="E15" s="116">
        <v>658</v>
      </c>
      <c r="F15" s="116">
        <v>5421718</v>
      </c>
      <c r="G15" t="s">
        <v>1668</v>
      </c>
    </row>
    <row r="16" spans="2:7" x14ac:dyDescent="0.25">
      <c r="B16" s="120">
        <v>0.62228009259259254</v>
      </c>
      <c r="C16">
        <v>82.4</v>
      </c>
      <c r="D16">
        <v>0.01</v>
      </c>
      <c r="E16">
        <v>29</v>
      </c>
      <c r="F16" s="116">
        <v>238954</v>
      </c>
      <c r="G16" t="s">
        <v>1666</v>
      </c>
    </row>
    <row r="17" spans="2:7" x14ac:dyDescent="0.25">
      <c r="B17" s="120">
        <v>0.62223379629629627</v>
      </c>
      <c r="C17">
        <v>82.4</v>
      </c>
      <c r="D17">
        <v>-0.11</v>
      </c>
      <c r="E17" s="116">
        <v>1686</v>
      </c>
      <c r="F17" s="116">
        <v>13907089</v>
      </c>
      <c r="G17" t="s">
        <v>1668</v>
      </c>
    </row>
    <row r="18" spans="2:7" x14ac:dyDescent="0.25">
      <c r="B18" s="120">
        <v>0.6221875</v>
      </c>
      <c r="C18">
        <v>82.51</v>
      </c>
      <c r="D18">
        <v>0</v>
      </c>
      <c r="E18">
        <v>55</v>
      </c>
      <c r="F18" s="116">
        <v>453792</v>
      </c>
      <c r="G18" t="s">
        <v>1666</v>
      </c>
    </row>
    <row r="19" spans="2:7" x14ac:dyDescent="0.25">
      <c r="B19" s="120">
        <v>0.62210648148148151</v>
      </c>
      <c r="C19">
        <v>82.51</v>
      </c>
      <c r="D19">
        <v>0.01</v>
      </c>
      <c r="E19">
        <v>97</v>
      </c>
      <c r="F19" s="116">
        <v>800337</v>
      </c>
      <c r="G19" t="s">
        <v>1666</v>
      </c>
    </row>
    <row r="20" spans="2:7" x14ac:dyDescent="0.25">
      <c r="B20" s="120">
        <v>0.62203703703703705</v>
      </c>
      <c r="C20">
        <v>82.51</v>
      </c>
      <c r="D20">
        <v>-0.02</v>
      </c>
      <c r="E20">
        <v>147</v>
      </c>
      <c r="F20" s="116">
        <v>1212962</v>
      </c>
      <c r="G20" t="s">
        <v>1668</v>
      </c>
    </row>
    <row r="21" spans="2:7" x14ac:dyDescent="0.25">
      <c r="B21" s="120">
        <v>0.62200231481481483</v>
      </c>
      <c r="C21">
        <v>82.53</v>
      </c>
      <c r="D21">
        <v>0.03</v>
      </c>
      <c r="E21">
        <v>276</v>
      </c>
      <c r="F21" s="116">
        <v>2277429</v>
      </c>
      <c r="G21" t="s">
        <v>1666</v>
      </c>
    </row>
    <row r="22" spans="2:7" x14ac:dyDescent="0.25">
      <c r="B22" s="120">
        <v>0.62193287037037037</v>
      </c>
      <c r="C22">
        <v>82.51</v>
      </c>
      <c r="D22">
        <v>0.01</v>
      </c>
      <c r="E22">
        <v>69</v>
      </c>
      <c r="F22" s="116">
        <v>569319</v>
      </c>
      <c r="G22" t="s">
        <v>1666</v>
      </c>
    </row>
    <row r="23" spans="2:7" x14ac:dyDescent="0.25">
      <c r="B23" s="120">
        <v>0.62186342592592592</v>
      </c>
      <c r="C23">
        <v>82.52</v>
      </c>
      <c r="D23">
        <v>0</v>
      </c>
      <c r="E23">
        <v>288</v>
      </c>
      <c r="F23" s="116">
        <v>2376481</v>
      </c>
      <c r="G23" t="s">
        <v>1666</v>
      </c>
    </row>
    <row r="24" spans="2:7" x14ac:dyDescent="0.25">
      <c r="B24" s="120">
        <v>0.62180555555555561</v>
      </c>
      <c r="C24">
        <v>82.51</v>
      </c>
      <c r="D24">
        <v>0</v>
      </c>
      <c r="E24">
        <v>164</v>
      </c>
      <c r="F24" s="116">
        <v>1353192</v>
      </c>
      <c r="G24" t="s">
        <v>1668</v>
      </c>
    </row>
    <row r="25" spans="2:7" x14ac:dyDescent="0.25">
      <c r="B25" s="120">
        <v>0.62175925925925923</v>
      </c>
      <c r="C25">
        <v>82.51</v>
      </c>
      <c r="D25">
        <v>-0.01</v>
      </c>
      <c r="E25">
        <v>43</v>
      </c>
      <c r="F25" s="116">
        <v>354807</v>
      </c>
      <c r="G25" t="s">
        <v>1668</v>
      </c>
    </row>
    <row r="26" spans="2:7" x14ac:dyDescent="0.25">
      <c r="B26" s="120">
        <v>0.62168981481481478</v>
      </c>
      <c r="C26">
        <v>82.52</v>
      </c>
      <c r="D26">
        <v>0.01</v>
      </c>
      <c r="E26">
        <v>296</v>
      </c>
      <c r="F26" s="116">
        <v>2442266</v>
      </c>
      <c r="G26" t="s">
        <v>1666</v>
      </c>
    </row>
    <row r="27" spans="2:7" x14ac:dyDescent="0.25">
      <c r="B27" s="120">
        <v>0.62167824074074074</v>
      </c>
      <c r="C27">
        <v>82.51</v>
      </c>
      <c r="D27">
        <v>0</v>
      </c>
      <c r="E27">
        <v>42</v>
      </c>
      <c r="F27" s="116">
        <v>346525</v>
      </c>
      <c r="G27" t="s">
        <v>1666</v>
      </c>
    </row>
    <row r="28" spans="2:7" x14ac:dyDescent="0.25">
      <c r="B28" s="120">
        <v>0.62158564814814821</v>
      </c>
      <c r="C28">
        <v>82.51</v>
      </c>
      <c r="D28">
        <v>0</v>
      </c>
      <c r="E28" s="116">
        <v>152</v>
      </c>
      <c r="F28" s="116">
        <v>1254137</v>
      </c>
      <c r="G28" t="s">
        <v>1666</v>
      </c>
    </row>
  </sheetData>
  <sortState xmlns:xlrd2="http://schemas.microsoft.com/office/spreadsheetml/2017/richdata2" ref="B4:G28">
    <sortCondition ref="B3:B28"/>
  </sortState>
  <phoneticPr fontId="3"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O116"/>
  <sheetViews>
    <sheetView workbookViewId="0">
      <selection activeCell="D17" sqref="D17"/>
    </sheetView>
  </sheetViews>
  <sheetFormatPr defaultColWidth="12.7265625" defaultRowHeight="14" x14ac:dyDescent="0.25"/>
  <cols>
    <col min="1" max="1" width="41.6328125" bestFit="1" customWidth="1"/>
    <col min="2" max="15" width="11.36328125" bestFit="1" customWidth="1"/>
  </cols>
  <sheetData>
    <row r="1" spans="1:15" x14ac:dyDescent="0.25">
      <c r="A1" t="s">
        <v>1331</v>
      </c>
      <c r="B1" s="115">
        <v>43830</v>
      </c>
      <c r="C1" s="115">
        <v>43465</v>
      </c>
      <c r="D1" s="115">
        <v>43100</v>
      </c>
      <c r="E1" s="115">
        <v>42735</v>
      </c>
      <c r="F1" s="115">
        <v>42369</v>
      </c>
      <c r="G1" s="115">
        <v>42004</v>
      </c>
      <c r="H1" s="115">
        <v>41639</v>
      </c>
      <c r="I1" s="115">
        <v>41274</v>
      </c>
      <c r="J1" s="115">
        <v>40908</v>
      </c>
      <c r="K1" s="115">
        <v>40543</v>
      </c>
      <c r="L1" s="115">
        <v>40178</v>
      </c>
      <c r="M1" s="115">
        <v>39813</v>
      </c>
      <c r="N1" s="115">
        <v>39447</v>
      </c>
      <c r="O1" s="115">
        <v>39082</v>
      </c>
    </row>
    <row r="2" spans="1:15" x14ac:dyDescent="0.25">
      <c r="A2" t="s">
        <v>2</v>
      </c>
    </row>
    <row r="3" spans="1:15" x14ac:dyDescent="0.25">
      <c r="A3" t="s">
        <v>3</v>
      </c>
    </row>
    <row r="4" spans="1:15" x14ac:dyDescent="0.25">
      <c r="A4" t="s">
        <v>1332</v>
      </c>
      <c r="B4" s="116">
        <v>1352674</v>
      </c>
      <c r="C4" s="116">
        <v>1198504</v>
      </c>
      <c r="D4" s="116">
        <v>410365</v>
      </c>
      <c r="E4" s="116">
        <v>744206</v>
      </c>
      <c r="F4" s="116">
        <v>684088</v>
      </c>
      <c r="G4" s="116">
        <v>604927</v>
      </c>
      <c r="H4" s="116">
        <v>638029</v>
      </c>
      <c r="I4" s="116">
        <v>963111</v>
      </c>
      <c r="J4" s="116">
        <v>1024699</v>
      </c>
      <c r="K4" s="116">
        <v>597040</v>
      </c>
      <c r="L4" s="116">
        <v>307693</v>
      </c>
      <c r="M4" s="116">
        <v>293756</v>
      </c>
      <c r="N4" s="116">
        <v>260545</v>
      </c>
      <c r="O4" s="116">
        <v>119989</v>
      </c>
    </row>
    <row r="5" spans="1:15" x14ac:dyDescent="0.25">
      <c r="A5" t="s">
        <v>1333</v>
      </c>
      <c r="B5" t="s">
        <v>418</v>
      </c>
      <c r="C5" t="s">
        <v>418</v>
      </c>
      <c r="D5" t="s">
        <v>418</v>
      </c>
      <c r="E5" t="s">
        <v>418</v>
      </c>
      <c r="F5" t="s">
        <v>418</v>
      </c>
      <c r="G5" t="s">
        <v>418</v>
      </c>
      <c r="H5" t="s">
        <v>418</v>
      </c>
      <c r="I5" t="s">
        <v>418</v>
      </c>
      <c r="J5" t="s">
        <v>418</v>
      </c>
      <c r="K5" t="s">
        <v>418</v>
      </c>
      <c r="L5">
        <v>0</v>
      </c>
      <c r="M5" t="s">
        <v>418</v>
      </c>
      <c r="N5">
        <v>0</v>
      </c>
      <c r="O5">
        <v>0</v>
      </c>
    </row>
    <row r="6" spans="1:15" x14ac:dyDescent="0.25">
      <c r="A6" t="s">
        <v>1334</v>
      </c>
      <c r="B6" t="s">
        <v>418</v>
      </c>
      <c r="C6" t="s">
        <v>418</v>
      </c>
      <c r="D6" t="s">
        <v>418</v>
      </c>
      <c r="E6" t="s">
        <v>418</v>
      </c>
      <c r="F6" t="s">
        <v>418</v>
      </c>
      <c r="G6" t="s">
        <v>418</v>
      </c>
      <c r="H6" t="s">
        <v>418</v>
      </c>
      <c r="I6" t="s">
        <v>418</v>
      </c>
      <c r="J6" t="s">
        <v>418</v>
      </c>
      <c r="K6" t="s">
        <v>418</v>
      </c>
      <c r="L6">
        <v>0</v>
      </c>
      <c r="M6" t="s">
        <v>418</v>
      </c>
      <c r="N6">
        <v>0</v>
      </c>
      <c r="O6">
        <v>0</v>
      </c>
    </row>
    <row r="7" spans="1:15" x14ac:dyDescent="0.25">
      <c r="A7" t="s">
        <v>1335</v>
      </c>
      <c r="B7" s="116">
        <v>836740</v>
      </c>
      <c r="C7" s="116">
        <v>155672</v>
      </c>
      <c r="D7" s="116">
        <v>4007</v>
      </c>
      <c r="E7" s="116">
        <v>3076</v>
      </c>
      <c r="F7" s="116">
        <v>3116</v>
      </c>
      <c r="G7" s="116">
        <v>3578</v>
      </c>
      <c r="H7" s="116">
        <v>34412</v>
      </c>
      <c r="I7" s="116">
        <v>8089</v>
      </c>
      <c r="J7" s="116">
        <v>2073</v>
      </c>
      <c r="K7" s="116">
        <v>5314</v>
      </c>
      <c r="L7">
        <v>258</v>
      </c>
      <c r="M7" s="116">
        <v>1444</v>
      </c>
      <c r="N7" s="116">
        <v>41920</v>
      </c>
      <c r="O7" s="116">
        <v>25145</v>
      </c>
    </row>
    <row r="8" spans="1:15" x14ac:dyDescent="0.25">
      <c r="A8" t="s">
        <v>1336</v>
      </c>
      <c r="B8" s="116">
        <v>32373</v>
      </c>
      <c r="C8" s="116">
        <v>55907</v>
      </c>
      <c r="D8" s="116">
        <v>101318</v>
      </c>
      <c r="E8" s="116">
        <v>5086</v>
      </c>
      <c r="F8" s="116">
        <v>33444</v>
      </c>
      <c r="G8" s="116">
        <v>1991</v>
      </c>
      <c r="H8" t="s">
        <v>418</v>
      </c>
      <c r="I8" t="s">
        <v>418</v>
      </c>
      <c r="J8" t="s">
        <v>418</v>
      </c>
      <c r="K8" t="s">
        <v>418</v>
      </c>
      <c r="L8">
        <v>0</v>
      </c>
      <c r="M8" t="s">
        <v>418</v>
      </c>
      <c r="N8">
        <v>0</v>
      </c>
      <c r="O8">
        <v>0</v>
      </c>
    </row>
    <row r="9" spans="1:15" x14ac:dyDescent="0.25">
      <c r="A9" t="s">
        <v>1337</v>
      </c>
      <c r="B9" t="s">
        <v>418</v>
      </c>
      <c r="C9" s="116">
        <v>66864</v>
      </c>
      <c r="D9" s="116">
        <v>87377</v>
      </c>
      <c r="E9" s="116">
        <v>28301</v>
      </c>
      <c r="F9" s="116">
        <v>54732</v>
      </c>
      <c r="G9" s="116">
        <v>121498</v>
      </c>
      <c r="H9" s="116">
        <v>106586</v>
      </c>
      <c r="I9" s="116">
        <v>170678</v>
      </c>
      <c r="J9" s="116">
        <v>105092</v>
      </c>
      <c r="K9" s="116">
        <v>111317</v>
      </c>
      <c r="L9" s="116">
        <v>18387</v>
      </c>
      <c r="M9" s="116">
        <v>18956</v>
      </c>
      <c r="N9" s="116">
        <v>33188</v>
      </c>
      <c r="O9" s="116">
        <v>20099</v>
      </c>
    </row>
    <row r="10" spans="1:15" x14ac:dyDescent="0.25">
      <c r="A10" t="s">
        <v>1338</v>
      </c>
      <c r="B10" s="116">
        <v>2179289</v>
      </c>
      <c r="C10" s="116">
        <v>2013336</v>
      </c>
      <c r="D10" s="116">
        <v>1836563</v>
      </c>
      <c r="E10" s="116">
        <v>1808479</v>
      </c>
      <c r="F10" s="116">
        <v>2096139</v>
      </c>
      <c r="G10" s="116">
        <v>1985131</v>
      </c>
      <c r="H10" s="116">
        <v>1872766</v>
      </c>
      <c r="I10" s="116">
        <v>1497445</v>
      </c>
      <c r="J10" s="116">
        <v>1130487</v>
      </c>
      <c r="K10" s="116">
        <v>572791</v>
      </c>
      <c r="L10" s="116">
        <v>385152</v>
      </c>
      <c r="M10" s="116">
        <v>310186</v>
      </c>
      <c r="N10" s="116">
        <v>206650</v>
      </c>
      <c r="O10" s="116">
        <v>80160</v>
      </c>
    </row>
    <row r="11" spans="1:15" x14ac:dyDescent="0.25">
      <c r="A11" t="s">
        <v>1339</v>
      </c>
      <c r="B11" s="116">
        <v>63359</v>
      </c>
      <c r="C11" s="116">
        <v>98165</v>
      </c>
      <c r="D11" s="116">
        <v>69744</v>
      </c>
      <c r="E11" s="116">
        <v>33741</v>
      </c>
      <c r="F11" s="116">
        <v>25039</v>
      </c>
      <c r="G11" s="116">
        <v>28838</v>
      </c>
      <c r="H11" s="116">
        <v>56659</v>
      </c>
      <c r="I11" s="116">
        <v>99725</v>
      </c>
      <c r="J11" s="116">
        <v>197712</v>
      </c>
      <c r="K11" s="116">
        <v>133536</v>
      </c>
      <c r="L11" s="116">
        <v>51180</v>
      </c>
      <c r="M11" s="116">
        <v>66942</v>
      </c>
      <c r="N11" s="116">
        <v>49126</v>
      </c>
      <c r="O11" s="116">
        <v>39354</v>
      </c>
    </row>
    <row r="12" spans="1:15" x14ac:dyDescent="0.25">
      <c r="A12" t="s">
        <v>1340</v>
      </c>
      <c r="B12" t="s">
        <v>418</v>
      </c>
      <c r="C12" t="s">
        <v>418</v>
      </c>
      <c r="D12" t="s">
        <v>418</v>
      </c>
      <c r="E12" t="s">
        <v>418</v>
      </c>
      <c r="F12" t="s">
        <v>418</v>
      </c>
      <c r="G12" t="s">
        <v>418</v>
      </c>
      <c r="H12" t="s">
        <v>418</v>
      </c>
      <c r="I12" t="s">
        <v>418</v>
      </c>
      <c r="J12" t="s">
        <v>418</v>
      </c>
      <c r="K12" t="s">
        <v>418</v>
      </c>
      <c r="L12">
        <v>0</v>
      </c>
      <c r="M12" t="s">
        <v>418</v>
      </c>
      <c r="N12">
        <v>0</v>
      </c>
      <c r="O12">
        <v>0</v>
      </c>
    </row>
    <row r="13" spans="1:15" x14ac:dyDescent="0.25">
      <c r="A13" t="s">
        <v>1341</v>
      </c>
      <c r="B13" t="s">
        <v>418</v>
      </c>
      <c r="C13" t="s">
        <v>418</v>
      </c>
      <c r="D13" t="s">
        <v>418</v>
      </c>
      <c r="E13" t="s">
        <v>418</v>
      </c>
      <c r="F13" t="s">
        <v>418</v>
      </c>
      <c r="G13" t="s">
        <v>418</v>
      </c>
      <c r="H13" t="s">
        <v>418</v>
      </c>
      <c r="I13" t="s">
        <v>418</v>
      </c>
      <c r="J13" t="s">
        <v>418</v>
      </c>
      <c r="K13" t="s">
        <v>418</v>
      </c>
      <c r="L13">
        <v>0</v>
      </c>
      <c r="M13" t="s">
        <v>418</v>
      </c>
      <c r="N13">
        <v>0</v>
      </c>
      <c r="O13">
        <v>0</v>
      </c>
    </row>
    <row r="14" spans="1:15" x14ac:dyDescent="0.25">
      <c r="A14" t="s">
        <v>1342</v>
      </c>
      <c r="B14" t="s">
        <v>418</v>
      </c>
      <c r="C14" t="s">
        <v>418</v>
      </c>
      <c r="D14" t="s">
        <v>418</v>
      </c>
      <c r="E14" t="s">
        <v>418</v>
      </c>
      <c r="F14" t="s">
        <v>418</v>
      </c>
      <c r="G14" t="s">
        <v>418</v>
      </c>
      <c r="H14" t="s">
        <v>418</v>
      </c>
      <c r="I14" t="s">
        <v>418</v>
      </c>
      <c r="J14" t="s">
        <v>418</v>
      </c>
      <c r="K14" t="s">
        <v>418</v>
      </c>
      <c r="L14">
        <v>0</v>
      </c>
      <c r="M14" t="s">
        <v>418</v>
      </c>
      <c r="N14">
        <v>0</v>
      </c>
      <c r="O14">
        <v>0</v>
      </c>
    </row>
    <row r="15" spans="1:15" x14ac:dyDescent="0.25">
      <c r="A15" t="s">
        <v>1343</v>
      </c>
      <c r="B15" t="s">
        <v>418</v>
      </c>
      <c r="C15" s="116">
        <v>14259</v>
      </c>
      <c r="D15">
        <v>468</v>
      </c>
      <c r="E15">
        <v>344</v>
      </c>
      <c r="F15">
        <v>99</v>
      </c>
      <c r="G15">
        <v>28</v>
      </c>
      <c r="H15">
        <v>241</v>
      </c>
      <c r="I15" t="s">
        <v>418</v>
      </c>
      <c r="J15" t="s">
        <v>418</v>
      </c>
      <c r="K15" t="s">
        <v>418</v>
      </c>
      <c r="L15">
        <v>0</v>
      </c>
      <c r="M15" t="s">
        <v>418</v>
      </c>
      <c r="N15">
        <v>0</v>
      </c>
      <c r="O15">
        <v>0</v>
      </c>
    </row>
    <row r="16" spans="1:15" x14ac:dyDescent="0.25">
      <c r="A16" t="s">
        <v>1344</v>
      </c>
      <c r="B16" t="s">
        <v>418</v>
      </c>
      <c r="C16" t="s">
        <v>418</v>
      </c>
      <c r="D16" t="s">
        <v>418</v>
      </c>
      <c r="E16" t="s">
        <v>418</v>
      </c>
      <c r="F16" t="s">
        <v>418</v>
      </c>
      <c r="G16" t="s">
        <v>418</v>
      </c>
      <c r="H16" t="s">
        <v>418</v>
      </c>
      <c r="I16" t="s">
        <v>418</v>
      </c>
      <c r="J16" t="s">
        <v>418</v>
      </c>
      <c r="K16" t="s">
        <v>418</v>
      </c>
      <c r="L16">
        <v>0</v>
      </c>
      <c r="M16" t="s">
        <v>418</v>
      </c>
      <c r="N16">
        <v>0</v>
      </c>
      <c r="O16">
        <v>0</v>
      </c>
    </row>
    <row r="17" spans="1:15" x14ac:dyDescent="0.25">
      <c r="A17" t="s">
        <v>1345</v>
      </c>
      <c r="B17" s="116">
        <v>278650</v>
      </c>
      <c r="C17" s="116">
        <v>156102</v>
      </c>
      <c r="D17" s="116">
        <v>178416</v>
      </c>
      <c r="E17" s="116">
        <v>478153</v>
      </c>
      <c r="F17" s="116">
        <v>225971</v>
      </c>
      <c r="G17" s="116">
        <v>240529</v>
      </c>
      <c r="H17" s="116">
        <v>173392</v>
      </c>
      <c r="I17" s="116">
        <v>133974</v>
      </c>
      <c r="J17" s="116">
        <v>78386</v>
      </c>
      <c r="K17" s="116">
        <v>54951</v>
      </c>
      <c r="L17" s="116">
        <v>16629</v>
      </c>
      <c r="M17" s="116">
        <v>15043</v>
      </c>
      <c r="N17" s="116">
        <v>12451</v>
      </c>
      <c r="O17" s="116">
        <v>13029</v>
      </c>
    </row>
    <row r="18" spans="1:15" x14ac:dyDescent="0.25">
      <c r="A18" t="s">
        <v>1346</v>
      </c>
      <c r="B18" t="s">
        <v>418</v>
      </c>
      <c r="C18" t="s">
        <v>418</v>
      </c>
      <c r="D18" t="s">
        <v>418</v>
      </c>
      <c r="E18" t="s">
        <v>418</v>
      </c>
      <c r="F18" t="s">
        <v>418</v>
      </c>
      <c r="G18" t="s">
        <v>418</v>
      </c>
      <c r="H18" t="s">
        <v>418</v>
      </c>
      <c r="I18" t="s">
        <v>418</v>
      </c>
      <c r="J18" t="s">
        <v>418</v>
      </c>
      <c r="K18" t="s">
        <v>418</v>
      </c>
      <c r="L18">
        <v>0</v>
      </c>
      <c r="M18" t="s">
        <v>418</v>
      </c>
      <c r="N18">
        <v>0</v>
      </c>
      <c r="O18">
        <v>0</v>
      </c>
    </row>
    <row r="19" spans="1:15" x14ac:dyDescent="0.25">
      <c r="A19" t="s">
        <v>1347</v>
      </c>
      <c r="B19" t="s">
        <v>418</v>
      </c>
      <c r="C19" t="s">
        <v>418</v>
      </c>
      <c r="D19" t="s">
        <v>418</v>
      </c>
      <c r="E19" t="s">
        <v>418</v>
      </c>
      <c r="F19" t="s">
        <v>418</v>
      </c>
      <c r="G19" t="s">
        <v>418</v>
      </c>
      <c r="H19" t="s">
        <v>418</v>
      </c>
      <c r="I19" t="s">
        <v>418</v>
      </c>
      <c r="J19" t="s">
        <v>418</v>
      </c>
      <c r="K19" t="s">
        <v>418</v>
      </c>
      <c r="L19">
        <v>0</v>
      </c>
      <c r="M19" t="s">
        <v>418</v>
      </c>
      <c r="N19">
        <v>0</v>
      </c>
      <c r="O19">
        <v>0</v>
      </c>
    </row>
    <row r="20" spans="1:15" x14ac:dyDescent="0.25">
      <c r="A20" t="s">
        <v>1348</v>
      </c>
      <c r="B20" t="s">
        <v>418</v>
      </c>
      <c r="C20" t="s">
        <v>418</v>
      </c>
      <c r="D20" t="s">
        <v>418</v>
      </c>
      <c r="E20" t="s">
        <v>418</v>
      </c>
      <c r="F20" t="s">
        <v>418</v>
      </c>
      <c r="G20" t="s">
        <v>418</v>
      </c>
      <c r="H20" t="s">
        <v>418</v>
      </c>
      <c r="I20" t="s">
        <v>418</v>
      </c>
      <c r="J20" t="s">
        <v>418</v>
      </c>
      <c r="K20" t="s">
        <v>418</v>
      </c>
      <c r="L20">
        <v>0</v>
      </c>
      <c r="M20" t="s">
        <v>418</v>
      </c>
      <c r="N20">
        <v>0</v>
      </c>
      <c r="O20">
        <v>0</v>
      </c>
    </row>
    <row r="21" spans="1:15" x14ac:dyDescent="0.25">
      <c r="A21" t="s">
        <v>1349</v>
      </c>
      <c r="B21" t="s">
        <v>418</v>
      </c>
      <c r="C21" t="s">
        <v>418</v>
      </c>
      <c r="D21" t="s">
        <v>418</v>
      </c>
      <c r="E21" t="s">
        <v>418</v>
      </c>
      <c r="F21" t="s">
        <v>418</v>
      </c>
      <c r="G21" t="s">
        <v>418</v>
      </c>
      <c r="H21" t="s">
        <v>418</v>
      </c>
      <c r="I21" t="s">
        <v>418</v>
      </c>
      <c r="J21" t="s">
        <v>418</v>
      </c>
      <c r="K21" t="s">
        <v>418</v>
      </c>
      <c r="L21">
        <v>0</v>
      </c>
      <c r="M21" t="s">
        <v>418</v>
      </c>
      <c r="N21">
        <v>0</v>
      </c>
      <c r="O21">
        <v>0</v>
      </c>
    </row>
    <row r="22" spans="1:15" x14ac:dyDescent="0.25">
      <c r="A22" t="s">
        <v>1350</v>
      </c>
      <c r="B22" t="s">
        <v>418</v>
      </c>
      <c r="C22" t="s">
        <v>418</v>
      </c>
      <c r="D22" t="s">
        <v>418</v>
      </c>
      <c r="E22" t="s">
        <v>418</v>
      </c>
      <c r="F22" t="s">
        <v>418</v>
      </c>
      <c r="G22" t="s">
        <v>418</v>
      </c>
      <c r="H22" t="s">
        <v>418</v>
      </c>
      <c r="I22" t="s">
        <v>418</v>
      </c>
      <c r="J22" t="s">
        <v>418</v>
      </c>
      <c r="K22" t="s">
        <v>418</v>
      </c>
      <c r="L22">
        <v>0</v>
      </c>
      <c r="M22" t="s">
        <v>418</v>
      </c>
      <c r="N22">
        <v>0</v>
      </c>
      <c r="O22">
        <v>0</v>
      </c>
    </row>
    <row r="23" spans="1:15" x14ac:dyDescent="0.25">
      <c r="A23" t="s">
        <v>1351</v>
      </c>
      <c r="B23" s="116">
        <v>1425174</v>
      </c>
      <c r="C23" s="116">
        <v>1159463</v>
      </c>
      <c r="D23" s="116">
        <v>764189</v>
      </c>
      <c r="E23" s="116">
        <v>622030</v>
      </c>
      <c r="F23" s="116">
        <v>552085</v>
      </c>
      <c r="G23" s="116">
        <v>726915</v>
      </c>
      <c r="H23" s="116">
        <v>941684</v>
      </c>
      <c r="I23" s="116">
        <v>1051136</v>
      </c>
      <c r="J23" s="116">
        <v>813441</v>
      </c>
      <c r="K23" s="116">
        <v>568727</v>
      </c>
      <c r="L23" s="116">
        <v>293953</v>
      </c>
      <c r="M23" s="116">
        <v>301258</v>
      </c>
      <c r="N23" s="116">
        <v>234290</v>
      </c>
      <c r="O23" s="116">
        <v>159164</v>
      </c>
    </row>
    <row r="24" spans="1:15" x14ac:dyDescent="0.25">
      <c r="A24" t="s">
        <v>1352</v>
      </c>
      <c r="B24" t="s">
        <v>418</v>
      </c>
      <c r="C24" t="s">
        <v>418</v>
      </c>
      <c r="D24" t="s">
        <v>418</v>
      </c>
      <c r="E24" t="s">
        <v>418</v>
      </c>
      <c r="F24" t="s">
        <v>418</v>
      </c>
      <c r="G24" t="s">
        <v>418</v>
      </c>
      <c r="H24" t="s">
        <v>418</v>
      </c>
      <c r="I24" t="s">
        <v>418</v>
      </c>
      <c r="J24" t="s">
        <v>418</v>
      </c>
      <c r="K24" t="s">
        <v>418</v>
      </c>
      <c r="L24">
        <v>0</v>
      </c>
      <c r="M24" t="s">
        <v>418</v>
      </c>
      <c r="N24">
        <v>0</v>
      </c>
      <c r="O24">
        <v>0</v>
      </c>
    </row>
    <row r="25" spans="1:15" x14ac:dyDescent="0.25">
      <c r="A25" t="s">
        <v>1353</v>
      </c>
      <c r="B25" t="s">
        <v>418</v>
      </c>
      <c r="C25" t="s">
        <v>418</v>
      </c>
      <c r="D25" t="s">
        <v>418</v>
      </c>
      <c r="E25" t="s">
        <v>418</v>
      </c>
      <c r="F25" t="s">
        <v>418</v>
      </c>
      <c r="G25" t="s">
        <v>418</v>
      </c>
      <c r="H25" t="s">
        <v>418</v>
      </c>
      <c r="I25" t="s">
        <v>418</v>
      </c>
      <c r="J25" t="s">
        <v>418</v>
      </c>
      <c r="K25" t="s">
        <v>418</v>
      </c>
      <c r="L25">
        <v>0</v>
      </c>
      <c r="M25" t="s">
        <v>418</v>
      </c>
      <c r="N25">
        <v>0</v>
      </c>
      <c r="O25">
        <v>0</v>
      </c>
    </row>
    <row r="26" spans="1:15" x14ac:dyDescent="0.25">
      <c r="A26" t="s">
        <v>1354</v>
      </c>
      <c r="B26" s="116">
        <v>50816</v>
      </c>
      <c r="C26" s="116">
        <v>23323</v>
      </c>
      <c r="D26" s="116">
        <v>20986</v>
      </c>
      <c r="E26" s="116">
        <v>15959</v>
      </c>
      <c r="F26" s="116">
        <v>18228</v>
      </c>
      <c r="G26" s="116">
        <v>8794</v>
      </c>
      <c r="H26" s="116">
        <v>7161</v>
      </c>
      <c r="I26" t="s">
        <v>418</v>
      </c>
      <c r="J26" t="s">
        <v>418</v>
      </c>
      <c r="K26" t="s">
        <v>418</v>
      </c>
      <c r="L26">
        <v>0</v>
      </c>
      <c r="M26" t="s">
        <v>418</v>
      </c>
      <c r="N26">
        <v>0</v>
      </c>
      <c r="O26">
        <v>0</v>
      </c>
    </row>
    <row r="27" spans="1:15" x14ac:dyDescent="0.25">
      <c r="A27" t="s">
        <v>1355</v>
      </c>
      <c r="B27" s="116">
        <v>527201</v>
      </c>
      <c r="C27" s="116">
        <v>247999</v>
      </c>
      <c r="D27" s="116">
        <v>147314</v>
      </c>
      <c r="E27" s="116">
        <v>59852</v>
      </c>
      <c r="F27" s="116">
        <v>39943</v>
      </c>
      <c r="G27" s="116">
        <v>89007</v>
      </c>
      <c r="H27" s="116">
        <v>56052</v>
      </c>
      <c r="I27" s="116">
        <v>64158</v>
      </c>
      <c r="J27" s="116">
        <v>26489</v>
      </c>
      <c r="K27" t="s">
        <v>418</v>
      </c>
      <c r="L27">
        <v>0</v>
      </c>
      <c r="M27" t="s">
        <v>418</v>
      </c>
      <c r="N27">
        <v>0</v>
      </c>
      <c r="O27">
        <v>0</v>
      </c>
    </row>
    <row r="28" spans="1:15" x14ac:dyDescent="0.25">
      <c r="A28" t="s">
        <v>1356</v>
      </c>
      <c r="B28" s="116">
        <v>6850022</v>
      </c>
      <c r="C28" s="116">
        <v>5189594</v>
      </c>
      <c r="D28" s="116">
        <v>3620745</v>
      </c>
      <c r="E28" s="116">
        <v>3799227</v>
      </c>
      <c r="F28" s="116">
        <v>3732883</v>
      </c>
      <c r="G28" s="116">
        <v>3811236</v>
      </c>
      <c r="H28" s="116">
        <v>3886981</v>
      </c>
      <c r="I28" s="116">
        <v>3988315</v>
      </c>
      <c r="J28" s="116">
        <v>3378378</v>
      </c>
      <c r="K28" s="116">
        <v>2043675</v>
      </c>
      <c r="L28" s="116">
        <v>1073252</v>
      </c>
      <c r="M28" s="116">
        <v>1007585</v>
      </c>
      <c r="N28" s="116">
        <v>838170</v>
      </c>
      <c r="O28" s="116">
        <v>456940</v>
      </c>
    </row>
    <row r="29" spans="1:15" x14ac:dyDescent="0.25">
      <c r="A29" t="s">
        <v>1484</v>
      </c>
    </row>
    <row r="30" spans="1:15" x14ac:dyDescent="0.25">
      <c r="A30" t="s">
        <v>1357</v>
      </c>
      <c r="B30" t="s">
        <v>418</v>
      </c>
      <c r="C30" t="s">
        <v>418</v>
      </c>
      <c r="D30" t="s">
        <v>418</v>
      </c>
      <c r="E30" t="s">
        <v>418</v>
      </c>
      <c r="F30" t="s">
        <v>418</v>
      </c>
      <c r="G30" t="s">
        <v>418</v>
      </c>
      <c r="H30" t="s">
        <v>418</v>
      </c>
      <c r="I30" t="s">
        <v>418</v>
      </c>
      <c r="J30" t="s">
        <v>418</v>
      </c>
      <c r="K30" t="s">
        <v>418</v>
      </c>
      <c r="L30">
        <v>0</v>
      </c>
      <c r="M30" t="s">
        <v>418</v>
      </c>
      <c r="N30">
        <v>0</v>
      </c>
      <c r="O30">
        <v>0</v>
      </c>
    </row>
    <row r="31" spans="1:15" x14ac:dyDescent="0.25">
      <c r="A31" t="s">
        <v>1358</v>
      </c>
      <c r="B31" t="s">
        <v>418</v>
      </c>
      <c r="C31" s="116">
        <v>112051</v>
      </c>
      <c r="D31" s="116">
        <v>68124</v>
      </c>
      <c r="E31" s="116">
        <v>65251</v>
      </c>
      <c r="F31" s="116">
        <v>39605</v>
      </c>
      <c r="G31" s="116">
        <v>51975</v>
      </c>
      <c r="H31" s="116">
        <v>40133</v>
      </c>
      <c r="I31" s="116">
        <v>29444</v>
      </c>
      <c r="J31" t="s">
        <v>418</v>
      </c>
      <c r="K31" t="s">
        <v>418</v>
      </c>
      <c r="L31">
        <v>0</v>
      </c>
      <c r="M31">
        <v>0</v>
      </c>
      <c r="N31">
        <v>0</v>
      </c>
      <c r="O31">
        <v>0</v>
      </c>
    </row>
    <row r="32" spans="1:15" x14ac:dyDescent="0.25">
      <c r="A32" t="s">
        <v>1359</v>
      </c>
      <c r="B32" t="s">
        <v>418</v>
      </c>
      <c r="C32" t="s">
        <v>418</v>
      </c>
      <c r="D32" t="s">
        <v>418</v>
      </c>
      <c r="E32" t="s">
        <v>418</v>
      </c>
      <c r="F32" t="s">
        <v>418</v>
      </c>
      <c r="G32" t="s">
        <v>418</v>
      </c>
      <c r="H32" t="s">
        <v>418</v>
      </c>
      <c r="I32" t="s">
        <v>418</v>
      </c>
      <c r="J32" t="s">
        <v>418</v>
      </c>
      <c r="K32" t="s">
        <v>418</v>
      </c>
      <c r="L32">
        <v>0</v>
      </c>
      <c r="M32" t="s">
        <v>418</v>
      </c>
      <c r="N32">
        <v>0</v>
      </c>
      <c r="O32">
        <v>0</v>
      </c>
    </row>
    <row r="33" spans="1:15" x14ac:dyDescent="0.25">
      <c r="A33" t="s">
        <v>1360</v>
      </c>
      <c r="B33" s="116">
        <v>128589</v>
      </c>
      <c r="C33" s="116">
        <v>36579</v>
      </c>
      <c r="D33" s="116">
        <v>27324</v>
      </c>
      <c r="E33" s="116">
        <v>29759</v>
      </c>
      <c r="F33" s="116">
        <v>26217</v>
      </c>
      <c r="G33" s="116">
        <v>36416</v>
      </c>
      <c r="H33" s="116">
        <v>14532</v>
      </c>
      <c r="I33" t="s">
        <v>418</v>
      </c>
      <c r="J33" t="s">
        <v>418</v>
      </c>
      <c r="K33" t="s">
        <v>418</v>
      </c>
      <c r="L33">
        <v>0</v>
      </c>
      <c r="M33" t="s">
        <v>418</v>
      </c>
      <c r="N33">
        <v>0</v>
      </c>
      <c r="O33">
        <v>0</v>
      </c>
    </row>
    <row r="34" spans="1:15" x14ac:dyDescent="0.25">
      <c r="A34" t="s">
        <v>1361</v>
      </c>
      <c r="B34" s="116">
        <v>298544</v>
      </c>
      <c r="C34" s="116">
        <v>232835</v>
      </c>
      <c r="D34" s="116">
        <v>140427</v>
      </c>
      <c r="E34" s="116">
        <v>152794</v>
      </c>
      <c r="F34" s="116">
        <v>102553</v>
      </c>
      <c r="G34" s="116">
        <v>101724</v>
      </c>
      <c r="H34" s="116">
        <v>37550</v>
      </c>
      <c r="I34" s="116">
        <v>31041</v>
      </c>
      <c r="J34" s="116">
        <v>32890</v>
      </c>
      <c r="K34" s="116">
        <v>19794</v>
      </c>
      <c r="L34" s="116">
        <v>20667</v>
      </c>
      <c r="M34" s="116">
        <v>18621</v>
      </c>
      <c r="N34" s="116">
        <v>16941</v>
      </c>
      <c r="O34" s="116">
        <v>4743</v>
      </c>
    </row>
    <row r="35" spans="1:15" x14ac:dyDescent="0.25">
      <c r="A35" t="s">
        <v>1362</v>
      </c>
      <c r="B35" t="s">
        <v>418</v>
      </c>
      <c r="C35" t="s">
        <v>418</v>
      </c>
      <c r="D35" t="s">
        <v>418</v>
      </c>
      <c r="E35" t="s">
        <v>418</v>
      </c>
      <c r="F35" t="s">
        <v>418</v>
      </c>
      <c r="G35" t="s">
        <v>418</v>
      </c>
      <c r="H35" t="s">
        <v>418</v>
      </c>
      <c r="I35" t="s">
        <v>418</v>
      </c>
      <c r="J35" t="s">
        <v>418</v>
      </c>
      <c r="K35" t="s">
        <v>418</v>
      </c>
      <c r="L35">
        <v>0</v>
      </c>
      <c r="M35" t="s">
        <v>418</v>
      </c>
      <c r="N35">
        <v>0</v>
      </c>
      <c r="O35">
        <v>0</v>
      </c>
    </row>
    <row r="36" spans="1:15" x14ac:dyDescent="0.25">
      <c r="A36" t="s">
        <v>1363</v>
      </c>
      <c r="B36" s="116">
        <v>12632</v>
      </c>
      <c r="C36" s="116">
        <v>5011</v>
      </c>
      <c r="D36" s="116">
        <v>3770</v>
      </c>
      <c r="E36" t="s">
        <v>418</v>
      </c>
      <c r="F36" t="s">
        <v>418</v>
      </c>
      <c r="G36" t="s">
        <v>418</v>
      </c>
      <c r="H36" t="s">
        <v>418</v>
      </c>
      <c r="I36" t="s">
        <v>418</v>
      </c>
      <c r="J36" t="s">
        <v>418</v>
      </c>
      <c r="K36" t="s">
        <v>418</v>
      </c>
      <c r="L36">
        <v>0</v>
      </c>
      <c r="M36" t="s">
        <v>418</v>
      </c>
      <c r="N36">
        <v>0</v>
      </c>
      <c r="O36">
        <v>0</v>
      </c>
    </row>
    <row r="37" spans="1:15" x14ac:dyDescent="0.25">
      <c r="A37" t="s">
        <v>1364</v>
      </c>
      <c r="B37" s="116">
        <v>2234428</v>
      </c>
      <c r="C37" s="116">
        <v>2313570</v>
      </c>
      <c r="D37" s="116">
        <v>2286967</v>
      </c>
      <c r="E37" s="116">
        <v>2285596</v>
      </c>
      <c r="F37" s="116">
        <v>2261432</v>
      </c>
      <c r="G37" s="116">
        <v>2228060</v>
      </c>
      <c r="H37" s="116">
        <v>2122388</v>
      </c>
      <c r="I37" s="116">
        <v>1895019</v>
      </c>
      <c r="J37" s="116">
        <v>1252681</v>
      </c>
      <c r="K37" s="116">
        <v>757391</v>
      </c>
      <c r="L37" s="116">
        <v>377308</v>
      </c>
      <c r="M37" s="116">
        <v>300713</v>
      </c>
      <c r="N37" s="116">
        <v>206903</v>
      </c>
      <c r="O37" s="116">
        <v>171807</v>
      </c>
    </row>
    <row r="38" spans="1:15" x14ac:dyDescent="0.25">
      <c r="A38" t="s">
        <v>1365</v>
      </c>
      <c r="B38" s="116">
        <v>1166542</v>
      </c>
      <c r="C38" s="116">
        <v>1125559</v>
      </c>
      <c r="D38" s="116">
        <v>1005134</v>
      </c>
      <c r="E38" s="116">
        <v>881733</v>
      </c>
      <c r="F38" s="116">
        <v>736099</v>
      </c>
      <c r="G38" s="116">
        <v>619391</v>
      </c>
      <c r="H38" s="116">
        <v>502891</v>
      </c>
      <c r="I38" s="116">
        <v>402308</v>
      </c>
      <c r="J38" s="116">
        <v>198721</v>
      </c>
      <c r="K38" s="116">
        <v>141761</v>
      </c>
      <c r="L38" s="116">
        <v>81734</v>
      </c>
      <c r="M38" s="116">
        <v>58074</v>
      </c>
      <c r="N38" s="116">
        <v>41190</v>
      </c>
      <c r="O38" s="116">
        <v>33605</v>
      </c>
    </row>
    <row r="39" spans="1:15" x14ac:dyDescent="0.25">
      <c r="A39" t="s">
        <v>1366</v>
      </c>
      <c r="B39" s="116">
        <v>1067886</v>
      </c>
      <c r="C39" s="116">
        <v>1188011</v>
      </c>
      <c r="D39" s="116">
        <v>1281833</v>
      </c>
      <c r="E39" s="116">
        <v>1403863</v>
      </c>
      <c r="F39" s="116">
        <v>1525333</v>
      </c>
      <c r="G39" s="116">
        <v>1608669</v>
      </c>
      <c r="H39" s="116">
        <v>1619497</v>
      </c>
      <c r="I39" s="116">
        <v>1492711</v>
      </c>
      <c r="J39" s="116">
        <v>1053960</v>
      </c>
      <c r="K39" s="116">
        <v>615630</v>
      </c>
      <c r="L39" s="116">
        <v>295574</v>
      </c>
      <c r="M39" s="116">
        <v>242639</v>
      </c>
      <c r="N39" s="116">
        <v>165713</v>
      </c>
      <c r="O39" s="116">
        <v>138201</v>
      </c>
    </row>
    <row r="40" spans="1:15" x14ac:dyDescent="0.25">
      <c r="A40" t="s">
        <v>1367</v>
      </c>
      <c r="B40" s="116">
        <v>6348</v>
      </c>
      <c r="C40" s="116">
        <v>1287</v>
      </c>
      <c r="D40" s="116">
        <v>1289</v>
      </c>
      <c r="E40" s="116">
        <v>2421</v>
      </c>
      <c r="F40" s="116">
        <v>2739</v>
      </c>
      <c r="G40">
        <v>438</v>
      </c>
      <c r="H40">
        <v>617</v>
      </c>
      <c r="I40">
        <v>972</v>
      </c>
      <c r="J40" s="116">
        <v>1076</v>
      </c>
      <c r="K40">
        <v>792</v>
      </c>
      <c r="L40">
        <v>643</v>
      </c>
      <c r="M40">
        <v>643</v>
      </c>
      <c r="N40">
        <v>659</v>
      </c>
      <c r="O40">
        <v>585</v>
      </c>
    </row>
    <row r="41" spans="1:15" x14ac:dyDescent="0.25">
      <c r="A41" t="s">
        <v>1368</v>
      </c>
      <c r="B41" s="116">
        <v>1061538</v>
      </c>
      <c r="C41" s="116">
        <v>1186724</v>
      </c>
      <c r="D41" s="116">
        <v>1280543</v>
      </c>
      <c r="E41" s="116">
        <v>1401442</v>
      </c>
      <c r="F41" s="116">
        <v>1522594</v>
      </c>
      <c r="G41" s="116">
        <v>1608232</v>
      </c>
      <c r="H41" s="116">
        <v>1618880</v>
      </c>
      <c r="I41" s="116">
        <v>1491739</v>
      </c>
      <c r="J41" s="116">
        <v>1052884</v>
      </c>
      <c r="K41" s="116">
        <v>614838</v>
      </c>
      <c r="L41" s="116">
        <v>294931</v>
      </c>
      <c r="M41" s="116">
        <v>241996</v>
      </c>
      <c r="N41" s="116">
        <v>165055</v>
      </c>
      <c r="O41" s="116">
        <v>137617</v>
      </c>
    </row>
    <row r="42" spans="1:15" x14ac:dyDescent="0.25">
      <c r="A42" t="s">
        <v>1369</v>
      </c>
      <c r="B42" s="116">
        <v>106714</v>
      </c>
      <c r="C42" s="116">
        <v>73000</v>
      </c>
      <c r="D42" s="116">
        <v>76102</v>
      </c>
      <c r="E42" s="116">
        <v>96581</v>
      </c>
      <c r="F42" s="116">
        <v>98308</v>
      </c>
      <c r="G42" s="116">
        <v>128173</v>
      </c>
      <c r="H42" s="116">
        <v>199369</v>
      </c>
      <c r="I42" s="116">
        <v>316865</v>
      </c>
      <c r="J42" s="116">
        <v>314231</v>
      </c>
      <c r="K42" s="116">
        <v>216649</v>
      </c>
      <c r="L42" s="116">
        <v>91663</v>
      </c>
      <c r="M42" s="116">
        <v>63317</v>
      </c>
      <c r="N42" s="116">
        <v>45961</v>
      </c>
      <c r="O42" s="116">
        <v>11688</v>
      </c>
    </row>
    <row r="43" spans="1:15" x14ac:dyDescent="0.25">
      <c r="A43" t="s">
        <v>1370</v>
      </c>
      <c r="B43" s="116">
        <v>3764</v>
      </c>
      <c r="C43" s="116">
        <v>6107</v>
      </c>
      <c r="D43" s="116">
        <v>7235</v>
      </c>
      <c r="E43" s="116">
        <v>11654</v>
      </c>
      <c r="F43" s="116">
        <v>11098</v>
      </c>
      <c r="G43" s="116">
        <v>21040</v>
      </c>
      <c r="H43" s="116">
        <v>23224</v>
      </c>
      <c r="I43" s="116">
        <v>68205</v>
      </c>
      <c r="J43" s="116">
        <v>116337</v>
      </c>
      <c r="K43" s="116">
        <v>67492</v>
      </c>
      <c r="L43" s="116">
        <v>14662</v>
      </c>
      <c r="M43" s="116">
        <v>9548</v>
      </c>
      <c r="N43" s="116">
        <v>5837</v>
      </c>
      <c r="O43" s="116">
        <v>3436</v>
      </c>
    </row>
    <row r="44" spans="1:15" x14ac:dyDescent="0.25">
      <c r="A44" t="s">
        <v>1371</v>
      </c>
      <c r="B44" t="s">
        <v>418</v>
      </c>
      <c r="C44" t="s">
        <v>418</v>
      </c>
      <c r="D44" t="s">
        <v>418</v>
      </c>
      <c r="E44" t="s">
        <v>418</v>
      </c>
      <c r="F44" t="s">
        <v>418</v>
      </c>
      <c r="G44" t="s">
        <v>418</v>
      </c>
      <c r="H44" t="s">
        <v>418</v>
      </c>
      <c r="I44" t="s">
        <v>418</v>
      </c>
      <c r="J44" t="s">
        <v>418</v>
      </c>
      <c r="K44" t="s">
        <v>418</v>
      </c>
      <c r="L44">
        <v>0</v>
      </c>
      <c r="M44" t="s">
        <v>418</v>
      </c>
      <c r="N44">
        <v>0</v>
      </c>
      <c r="O44">
        <v>0</v>
      </c>
    </row>
    <row r="45" spans="1:15" x14ac:dyDescent="0.25">
      <c r="A45" t="s">
        <v>1372</v>
      </c>
      <c r="B45" t="s">
        <v>418</v>
      </c>
      <c r="C45" t="s">
        <v>418</v>
      </c>
      <c r="D45" t="s">
        <v>418</v>
      </c>
      <c r="E45" t="s">
        <v>418</v>
      </c>
      <c r="F45" t="s">
        <v>418</v>
      </c>
      <c r="G45" t="s">
        <v>418</v>
      </c>
      <c r="H45" t="s">
        <v>418</v>
      </c>
      <c r="I45" t="s">
        <v>418</v>
      </c>
      <c r="J45" t="s">
        <v>418</v>
      </c>
      <c r="K45" t="s">
        <v>418</v>
      </c>
      <c r="L45">
        <v>0</v>
      </c>
      <c r="M45" t="s">
        <v>418</v>
      </c>
      <c r="N45">
        <v>0</v>
      </c>
      <c r="O45">
        <v>0</v>
      </c>
    </row>
    <row r="46" spans="1:15" x14ac:dyDescent="0.25">
      <c r="A46" t="s">
        <v>1373</v>
      </c>
      <c r="B46" t="s">
        <v>418</v>
      </c>
      <c r="C46" t="s">
        <v>418</v>
      </c>
      <c r="D46" t="s">
        <v>418</v>
      </c>
      <c r="E46" t="s">
        <v>418</v>
      </c>
      <c r="F46" t="s">
        <v>418</v>
      </c>
      <c r="G46" t="s">
        <v>418</v>
      </c>
      <c r="H46" t="s">
        <v>418</v>
      </c>
      <c r="I46" t="s">
        <v>418</v>
      </c>
      <c r="J46" t="s">
        <v>418</v>
      </c>
      <c r="K46" t="s">
        <v>418</v>
      </c>
      <c r="L46">
        <v>0</v>
      </c>
      <c r="M46" t="s">
        <v>418</v>
      </c>
      <c r="N46">
        <v>0</v>
      </c>
      <c r="O46">
        <v>0</v>
      </c>
    </row>
    <row r="47" spans="1:15" x14ac:dyDescent="0.25">
      <c r="A47" t="s">
        <v>1374</v>
      </c>
      <c r="B47" t="s">
        <v>418</v>
      </c>
      <c r="C47" t="s">
        <v>418</v>
      </c>
      <c r="D47" t="s">
        <v>418</v>
      </c>
      <c r="E47" t="s">
        <v>418</v>
      </c>
      <c r="F47" t="s">
        <v>418</v>
      </c>
      <c r="G47" t="s">
        <v>418</v>
      </c>
      <c r="H47" t="s">
        <v>418</v>
      </c>
      <c r="I47" t="s">
        <v>418</v>
      </c>
      <c r="J47" t="s">
        <v>418</v>
      </c>
      <c r="K47" t="s">
        <v>418</v>
      </c>
      <c r="L47">
        <v>0</v>
      </c>
      <c r="M47" t="s">
        <v>418</v>
      </c>
      <c r="N47">
        <v>0</v>
      </c>
      <c r="O47">
        <v>0</v>
      </c>
    </row>
    <row r="48" spans="1:15" x14ac:dyDescent="0.25">
      <c r="A48" t="s">
        <v>1375</v>
      </c>
      <c r="B48" s="116">
        <v>333931</v>
      </c>
      <c r="C48" s="116">
        <v>387950</v>
      </c>
      <c r="D48" s="116">
        <v>409181</v>
      </c>
      <c r="E48" s="116">
        <v>418778</v>
      </c>
      <c r="F48" s="116">
        <v>443624</v>
      </c>
      <c r="G48" s="116">
        <v>452577</v>
      </c>
      <c r="H48" s="116">
        <v>481345</v>
      </c>
      <c r="I48" s="116">
        <v>475457</v>
      </c>
      <c r="J48" s="116">
        <v>215994</v>
      </c>
      <c r="K48" s="116">
        <v>156010</v>
      </c>
      <c r="L48" s="116">
        <v>63136</v>
      </c>
      <c r="M48" s="116">
        <v>31395</v>
      </c>
      <c r="N48" s="116">
        <v>27903</v>
      </c>
      <c r="O48" s="116">
        <v>15330</v>
      </c>
    </row>
    <row r="49" spans="1:15" x14ac:dyDescent="0.25">
      <c r="A49" t="s">
        <v>1376</v>
      </c>
      <c r="B49" s="116">
        <v>5329</v>
      </c>
      <c r="C49" s="116">
        <v>14796</v>
      </c>
      <c r="D49" s="116">
        <v>29868</v>
      </c>
      <c r="E49" s="116">
        <v>48950</v>
      </c>
      <c r="F49" s="116">
        <v>42665</v>
      </c>
      <c r="G49" s="116">
        <v>34055</v>
      </c>
      <c r="H49" s="116">
        <v>26106</v>
      </c>
      <c r="I49" s="116">
        <v>15876</v>
      </c>
      <c r="J49">
        <v>91</v>
      </c>
      <c r="K49">
        <v>356</v>
      </c>
      <c r="L49">
        <v>86</v>
      </c>
      <c r="M49">
        <v>812</v>
      </c>
      <c r="N49">
        <v>0</v>
      </c>
      <c r="O49">
        <v>0</v>
      </c>
    </row>
    <row r="50" spans="1:15" x14ac:dyDescent="0.25">
      <c r="A50" t="s">
        <v>1377</v>
      </c>
      <c r="B50" s="116">
        <v>4945</v>
      </c>
      <c r="C50" s="116">
        <v>5085</v>
      </c>
      <c r="D50" s="116">
        <v>5062</v>
      </c>
      <c r="E50" s="116">
        <v>3617</v>
      </c>
      <c r="F50" s="116">
        <v>3513</v>
      </c>
      <c r="G50" s="116">
        <v>3693</v>
      </c>
      <c r="H50" s="116">
        <v>4170</v>
      </c>
      <c r="I50" s="116">
        <v>4118</v>
      </c>
      <c r="J50" t="s">
        <v>418</v>
      </c>
      <c r="K50" t="s">
        <v>418</v>
      </c>
      <c r="L50">
        <v>0</v>
      </c>
      <c r="M50" t="s">
        <v>418</v>
      </c>
      <c r="N50">
        <v>0</v>
      </c>
      <c r="O50">
        <v>0</v>
      </c>
    </row>
    <row r="51" spans="1:15" x14ac:dyDescent="0.25">
      <c r="A51" t="s">
        <v>1378</v>
      </c>
      <c r="B51" s="116">
        <v>7631</v>
      </c>
      <c r="C51" s="116">
        <v>2736</v>
      </c>
      <c r="D51" s="116">
        <v>1611</v>
      </c>
      <c r="E51" s="116">
        <v>3579</v>
      </c>
      <c r="F51" s="116">
        <v>1463</v>
      </c>
      <c r="G51" s="116">
        <v>1497</v>
      </c>
      <c r="H51" s="116">
        <v>1782</v>
      </c>
      <c r="I51" s="116">
        <v>1812</v>
      </c>
      <c r="J51" s="116">
        <v>1608</v>
      </c>
      <c r="K51">
        <v>218</v>
      </c>
      <c r="L51">
        <v>363</v>
      </c>
      <c r="M51">
        <v>213</v>
      </c>
      <c r="N51">
        <v>0</v>
      </c>
      <c r="O51">
        <v>80</v>
      </c>
    </row>
    <row r="52" spans="1:15" x14ac:dyDescent="0.25">
      <c r="A52" t="s">
        <v>1379</v>
      </c>
      <c r="B52" t="s">
        <v>418</v>
      </c>
      <c r="C52" t="s">
        <v>418</v>
      </c>
      <c r="D52" t="s">
        <v>418</v>
      </c>
      <c r="E52" t="s">
        <v>418</v>
      </c>
      <c r="F52" t="s">
        <v>418</v>
      </c>
      <c r="G52" t="s">
        <v>418</v>
      </c>
      <c r="H52" t="s">
        <v>418</v>
      </c>
      <c r="I52" t="s">
        <v>418</v>
      </c>
      <c r="J52" t="s">
        <v>418</v>
      </c>
      <c r="K52" t="s">
        <v>418</v>
      </c>
      <c r="L52">
        <v>0</v>
      </c>
      <c r="M52" t="s">
        <v>418</v>
      </c>
      <c r="N52">
        <v>0</v>
      </c>
      <c r="O52">
        <v>0</v>
      </c>
    </row>
    <row r="53" spans="1:15" x14ac:dyDescent="0.25">
      <c r="A53" t="s">
        <v>1380</v>
      </c>
      <c r="B53" s="116">
        <v>110937</v>
      </c>
      <c r="C53" s="116">
        <v>115195</v>
      </c>
      <c r="D53" s="116">
        <v>145157</v>
      </c>
      <c r="E53" s="116">
        <v>116591</v>
      </c>
      <c r="F53" s="116">
        <v>90114</v>
      </c>
      <c r="G53" s="116">
        <v>43491</v>
      </c>
      <c r="H53" s="116">
        <v>47695</v>
      </c>
      <c r="I53" s="116">
        <v>18371</v>
      </c>
      <c r="J53" s="116">
        <v>18259</v>
      </c>
      <c r="K53" s="116">
        <v>15045</v>
      </c>
      <c r="L53" s="116">
        <v>24760</v>
      </c>
      <c r="M53" s="116">
        <v>23246</v>
      </c>
      <c r="N53" s="116">
        <v>18046</v>
      </c>
      <c r="O53" s="116">
        <v>1414</v>
      </c>
    </row>
    <row r="54" spans="1:15" x14ac:dyDescent="0.25">
      <c r="A54" t="s">
        <v>1381</v>
      </c>
      <c r="B54" s="116">
        <v>15006</v>
      </c>
      <c r="C54" s="116">
        <v>9808</v>
      </c>
      <c r="D54" s="116">
        <v>8620</v>
      </c>
      <c r="E54" s="116">
        <v>7274</v>
      </c>
      <c r="F54" s="116">
        <v>8138</v>
      </c>
      <c r="G54" s="116">
        <v>6837</v>
      </c>
      <c r="H54" s="116">
        <v>5012</v>
      </c>
      <c r="I54" s="116">
        <v>4898</v>
      </c>
      <c r="J54" t="s">
        <v>418</v>
      </c>
      <c r="K54" t="s">
        <v>418</v>
      </c>
      <c r="L54">
        <v>180</v>
      </c>
      <c r="M54" t="s">
        <v>418</v>
      </c>
      <c r="N54">
        <v>0</v>
      </c>
      <c r="O54">
        <v>0</v>
      </c>
    </row>
    <row r="55" spans="1:15" x14ac:dyDescent="0.25">
      <c r="A55" t="s">
        <v>1382</v>
      </c>
      <c r="B55" s="116">
        <v>2204108</v>
      </c>
      <c r="C55" s="116">
        <v>2187878</v>
      </c>
      <c r="D55" s="116">
        <v>2203024</v>
      </c>
      <c r="E55" s="116">
        <v>2356270</v>
      </c>
      <c r="F55" s="116">
        <v>2389891</v>
      </c>
      <c r="G55" s="116">
        <v>2489709</v>
      </c>
      <c r="H55" s="116">
        <v>2499797</v>
      </c>
      <c r="I55" s="116">
        <v>2457825</v>
      </c>
      <c r="J55" s="116">
        <v>1752294</v>
      </c>
      <c r="K55" s="116">
        <v>1090401</v>
      </c>
      <c r="L55" s="116">
        <v>510448</v>
      </c>
      <c r="M55" s="116">
        <v>389149</v>
      </c>
      <c r="N55" s="116">
        <v>279743</v>
      </c>
      <c r="O55" s="116">
        <v>174308</v>
      </c>
    </row>
    <row r="56" spans="1:15" x14ac:dyDescent="0.25">
      <c r="A56" t="s">
        <v>1383</v>
      </c>
      <c r="B56" s="116">
        <v>9054130</v>
      </c>
      <c r="C56" s="116">
        <v>7377472</v>
      </c>
      <c r="D56" s="116">
        <v>5823769</v>
      </c>
      <c r="E56" s="116">
        <v>6155497</v>
      </c>
      <c r="F56" s="116">
        <v>6122774</v>
      </c>
      <c r="G56" s="116">
        <v>6300945</v>
      </c>
      <c r="H56" s="116">
        <v>6386778</v>
      </c>
      <c r="I56" s="116">
        <v>6446140</v>
      </c>
      <c r="J56" s="116">
        <v>5130672</v>
      </c>
      <c r="K56" s="116">
        <v>3134077</v>
      </c>
      <c r="L56" s="116">
        <v>1583700</v>
      </c>
      <c r="M56" s="116">
        <v>1396734</v>
      </c>
      <c r="N56" s="116">
        <v>1117913</v>
      </c>
      <c r="O56" s="116">
        <v>631247</v>
      </c>
    </row>
    <row r="57" spans="1:15" x14ac:dyDescent="0.25">
      <c r="A57" t="s">
        <v>1485</v>
      </c>
    </row>
    <row r="58" spans="1:15" x14ac:dyDescent="0.25">
      <c r="A58" t="s">
        <v>1486</v>
      </c>
    </row>
    <row r="59" spans="1:15" x14ac:dyDescent="0.25">
      <c r="A59" t="s">
        <v>1384</v>
      </c>
      <c r="B59" s="116">
        <v>864116</v>
      </c>
      <c r="C59" s="116">
        <v>541675</v>
      </c>
      <c r="D59" s="116">
        <v>225696</v>
      </c>
      <c r="E59" s="116">
        <v>890849</v>
      </c>
      <c r="F59" s="116">
        <v>1157052</v>
      </c>
      <c r="G59" s="116">
        <v>460192</v>
      </c>
      <c r="H59" s="116">
        <v>242376</v>
      </c>
      <c r="I59" s="116">
        <v>565856</v>
      </c>
      <c r="J59" s="116">
        <v>950213</v>
      </c>
      <c r="K59" s="116">
        <v>499444</v>
      </c>
      <c r="L59" s="116">
        <v>94060</v>
      </c>
      <c r="M59" s="116">
        <v>96176</v>
      </c>
      <c r="N59" s="116">
        <v>118729</v>
      </c>
      <c r="O59" s="116">
        <v>106442</v>
      </c>
    </row>
    <row r="60" spans="1:15" x14ac:dyDescent="0.25">
      <c r="A60" t="s">
        <v>1385</v>
      </c>
      <c r="B60" t="s">
        <v>418</v>
      </c>
      <c r="C60" t="s">
        <v>418</v>
      </c>
      <c r="D60" t="s">
        <v>418</v>
      </c>
      <c r="E60" t="s">
        <v>418</v>
      </c>
      <c r="F60" t="s">
        <v>418</v>
      </c>
      <c r="G60" t="s">
        <v>418</v>
      </c>
      <c r="H60" t="s">
        <v>418</v>
      </c>
      <c r="I60" t="s">
        <v>418</v>
      </c>
      <c r="J60" t="s">
        <v>418</v>
      </c>
      <c r="K60" t="s">
        <v>418</v>
      </c>
      <c r="L60">
        <v>0</v>
      </c>
      <c r="M60" t="s">
        <v>418</v>
      </c>
      <c r="N60">
        <v>0</v>
      </c>
      <c r="O60">
        <v>0</v>
      </c>
    </row>
    <row r="61" spans="1:15" x14ac:dyDescent="0.25">
      <c r="A61" t="s">
        <v>1386</v>
      </c>
      <c r="B61" t="s">
        <v>418</v>
      </c>
      <c r="C61" t="s">
        <v>418</v>
      </c>
      <c r="D61" t="s">
        <v>418</v>
      </c>
      <c r="E61" t="s">
        <v>418</v>
      </c>
      <c r="F61" t="s">
        <v>418</v>
      </c>
      <c r="G61" t="s">
        <v>418</v>
      </c>
      <c r="H61" t="s">
        <v>418</v>
      </c>
      <c r="I61" t="s">
        <v>418</v>
      </c>
      <c r="J61" t="s">
        <v>418</v>
      </c>
      <c r="K61" t="s">
        <v>418</v>
      </c>
      <c r="L61">
        <v>0</v>
      </c>
      <c r="M61" t="s">
        <v>418</v>
      </c>
      <c r="N61">
        <v>0</v>
      </c>
      <c r="O61">
        <v>0</v>
      </c>
    </row>
    <row r="62" spans="1:15" x14ac:dyDescent="0.25">
      <c r="A62" t="s">
        <v>1387</v>
      </c>
      <c r="B62" t="s">
        <v>418</v>
      </c>
      <c r="C62" t="s">
        <v>418</v>
      </c>
      <c r="D62" t="s">
        <v>418</v>
      </c>
      <c r="E62" t="s">
        <v>418</v>
      </c>
      <c r="F62" t="s">
        <v>418</v>
      </c>
      <c r="G62" t="s">
        <v>418</v>
      </c>
      <c r="H62" t="s">
        <v>418</v>
      </c>
      <c r="I62" t="s">
        <v>418</v>
      </c>
      <c r="J62" t="s">
        <v>418</v>
      </c>
      <c r="K62" t="s">
        <v>418</v>
      </c>
      <c r="L62">
        <v>0</v>
      </c>
      <c r="M62" t="s">
        <v>418</v>
      </c>
      <c r="N62">
        <v>0</v>
      </c>
      <c r="O62">
        <v>0</v>
      </c>
    </row>
    <row r="63" spans="1:15" x14ac:dyDescent="0.25">
      <c r="A63" t="s">
        <v>1388</v>
      </c>
      <c r="B63" t="s">
        <v>418</v>
      </c>
      <c r="C63" t="s">
        <v>418</v>
      </c>
      <c r="D63" t="s">
        <v>418</v>
      </c>
      <c r="E63" t="s">
        <v>418</v>
      </c>
      <c r="F63" t="s">
        <v>418</v>
      </c>
      <c r="G63" t="s">
        <v>418</v>
      </c>
      <c r="H63" s="116">
        <v>39905</v>
      </c>
      <c r="I63" s="116">
        <v>27931</v>
      </c>
      <c r="J63" s="116">
        <v>3646</v>
      </c>
      <c r="K63">
        <v>21</v>
      </c>
      <c r="L63">
        <v>0</v>
      </c>
      <c r="M63" s="116">
        <v>5636</v>
      </c>
      <c r="N63" s="116">
        <v>1042</v>
      </c>
      <c r="O63">
        <v>0</v>
      </c>
    </row>
    <row r="64" spans="1:15" x14ac:dyDescent="0.25">
      <c r="A64" t="s">
        <v>1389</v>
      </c>
      <c r="B64" s="116">
        <v>50303</v>
      </c>
      <c r="C64" s="116">
        <v>89855</v>
      </c>
      <c r="D64" s="116">
        <v>92621</v>
      </c>
      <c r="E64" s="116">
        <v>38779</v>
      </c>
      <c r="F64" s="116">
        <v>10687</v>
      </c>
      <c r="G64" s="116">
        <v>12589</v>
      </c>
      <c r="H64" t="s">
        <v>418</v>
      </c>
      <c r="I64" t="s">
        <v>418</v>
      </c>
      <c r="J64" t="s">
        <v>418</v>
      </c>
      <c r="K64" t="s">
        <v>418</v>
      </c>
      <c r="L64">
        <v>0</v>
      </c>
      <c r="M64" t="s">
        <v>418</v>
      </c>
      <c r="N64">
        <v>0</v>
      </c>
      <c r="O64">
        <v>0</v>
      </c>
    </row>
    <row r="65" spans="1:15" x14ac:dyDescent="0.25">
      <c r="A65" t="s">
        <v>1390</v>
      </c>
      <c r="B65" s="116">
        <v>801839</v>
      </c>
      <c r="C65" s="116">
        <v>840500</v>
      </c>
      <c r="D65" s="116">
        <v>471992</v>
      </c>
      <c r="E65" s="116">
        <v>292322</v>
      </c>
      <c r="F65" s="116">
        <v>258654</v>
      </c>
      <c r="G65" s="116">
        <v>305373</v>
      </c>
      <c r="H65" s="116">
        <v>193020</v>
      </c>
      <c r="I65" s="116">
        <v>162878</v>
      </c>
      <c r="J65" s="116">
        <v>260348</v>
      </c>
      <c r="K65" s="116">
        <v>227700</v>
      </c>
      <c r="L65" s="116">
        <v>51638</v>
      </c>
      <c r="M65" s="116">
        <v>36909</v>
      </c>
      <c r="N65" s="116">
        <v>43373</v>
      </c>
      <c r="O65" s="116">
        <v>29647</v>
      </c>
    </row>
    <row r="66" spans="1:15" x14ac:dyDescent="0.25">
      <c r="A66" t="s">
        <v>1391</v>
      </c>
      <c r="B66" s="116">
        <v>1227623</v>
      </c>
      <c r="C66" s="116">
        <v>878571</v>
      </c>
      <c r="D66" s="116">
        <v>621783</v>
      </c>
      <c r="E66" s="116">
        <v>460535</v>
      </c>
      <c r="F66" s="116">
        <v>364212</v>
      </c>
      <c r="G66" s="116">
        <v>448794</v>
      </c>
      <c r="H66" s="116">
        <v>621781</v>
      </c>
      <c r="I66" s="116">
        <v>419206</v>
      </c>
      <c r="J66" s="116">
        <v>406682</v>
      </c>
      <c r="K66" s="116">
        <v>438874</v>
      </c>
      <c r="L66" s="116">
        <v>126416</v>
      </c>
      <c r="M66" s="116">
        <v>120146</v>
      </c>
      <c r="N66" s="116">
        <v>127174</v>
      </c>
      <c r="O66" s="116">
        <v>58332</v>
      </c>
    </row>
    <row r="67" spans="1:15" x14ac:dyDescent="0.25">
      <c r="A67" t="s">
        <v>1392</v>
      </c>
      <c r="B67" s="116">
        <v>128095</v>
      </c>
      <c r="C67" s="116">
        <v>135710</v>
      </c>
      <c r="D67" s="116">
        <v>147017</v>
      </c>
      <c r="E67" s="116">
        <v>106270</v>
      </c>
      <c r="F67" s="116">
        <v>89251</v>
      </c>
      <c r="G67" s="116">
        <v>164359</v>
      </c>
      <c r="H67" s="116">
        <v>103878</v>
      </c>
      <c r="I67" s="116">
        <v>188599</v>
      </c>
      <c r="J67" s="116">
        <v>89212</v>
      </c>
      <c r="K67" s="116">
        <v>95849</v>
      </c>
      <c r="L67" s="116">
        <v>44142</v>
      </c>
      <c r="M67" s="116">
        <v>59280</v>
      </c>
      <c r="N67" s="116">
        <v>32709</v>
      </c>
      <c r="O67" s="116">
        <v>15430</v>
      </c>
    </row>
    <row r="68" spans="1:15" x14ac:dyDescent="0.25">
      <c r="A68" t="s">
        <v>1393</v>
      </c>
      <c r="B68" t="s">
        <v>418</v>
      </c>
      <c r="C68" t="s">
        <v>418</v>
      </c>
      <c r="D68" t="s">
        <v>418</v>
      </c>
      <c r="E68" t="s">
        <v>418</v>
      </c>
      <c r="F68" t="s">
        <v>418</v>
      </c>
      <c r="G68" t="s">
        <v>418</v>
      </c>
      <c r="H68" t="s">
        <v>418</v>
      </c>
      <c r="I68" t="s">
        <v>418</v>
      </c>
      <c r="J68" t="s">
        <v>418</v>
      </c>
      <c r="K68" t="s">
        <v>418</v>
      </c>
      <c r="L68">
        <v>0</v>
      </c>
      <c r="M68" t="s">
        <v>418</v>
      </c>
      <c r="N68">
        <v>0</v>
      </c>
      <c r="O68">
        <v>0</v>
      </c>
    </row>
    <row r="69" spans="1:15" x14ac:dyDescent="0.25">
      <c r="A69" t="s">
        <v>1394</v>
      </c>
      <c r="B69" t="s">
        <v>418</v>
      </c>
      <c r="C69" t="s">
        <v>418</v>
      </c>
      <c r="D69" t="s">
        <v>418</v>
      </c>
      <c r="E69" t="s">
        <v>418</v>
      </c>
      <c r="F69" t="s">
        <v>418</v>
      </c>
      <c r="G69" t="s">
        <v>418</v>
      </c>
      <c r="H69" t="s">
        <v>418</v>
      </c>
      <c r="I69" t="s">
        <v>418</v>
      </c>
      <c r="J69" t="s">
        <v>418</v>
      </c>
      <c r="K69" t="s">
        <v>418</v>
      </c>
      <c r="L69">
        <v>0</v>
      </c>
      <c r="M69" t="s">
        <v>418</v>
      </c>
      <c r="N69">
        <v>0</v>
      </c>
      <c r="O69">
        <v>0</v>
      </c>
    </row>
    <row r="70" spans="1:15" x14ac:dyDescent="0.25">
      <c r="A70" t="s">
        <v>1395</v>
      </c>
      <c r="B70" s="116">
        <v>128962</v>
      </c>
      <c r="C70" s="116">
        <v>104625</v>
      </c>
      <c r="D70" s="116">
        <v>48861</v>
      </c>
      <c r="E70" s="116">
        <v>30797</v>
      </c>
      <c r="F70" s="116">
        <v>29283</v>
      </c>
      <c r="G70" s="116">
        <v>29727</v>
      </c>
      <c r="H70" s="116">
        <v>33514</v>
      </c>
      <c r="I70" s="116">
        <v>33301</v>
      </c>
      <c r="J70" s="116">
        <v>30940</v>
      </c>
      <c r="K70" s="116">
        <v>31363</v>
      </c>
      <c r="L70" s="116">
        <v>4998</v>
      </c>
      <c r="M70" s="116">
        <v>3320</v>
      </c>
      <c r="N70" s="116">
        <v>2856</v>
      </c>
      <c r="O70" s="116">
        <v>2443</v>
      </c>
    </row>
    <row r="71" spans="1:15" x14ac:dyDescent="0.25">
      <c r="A71" t="s">
        <v>1396</v>
      </c>
      <c r="B71" s="116">
        <v>149046</v>
      </c>
      <c r="C71" s="116">
        <v>52375</v>
      </c>
      <c r="D71" s="116">
        <v>53312</v>
      </c>
      <c r="E71" s="116">
        <v>35085</v>
      </c>
      <c r="F71" s="116">
        <v>17814</v>
      </c>
      <c r="G71" s="116">
        <v>20498</v>
      </c>
      <c r="H71" s="116">
        <v>52157</v>
      </c>
      <c r="I71" s="116">
        <v>37442</v>
      </c>
      <c r="J71" s="116">
        <v>100572</v>
      </c>
      <c r="K71" s="116">
        <v>73495</v>
      </c>
      <c r="L71" s="116">
        <v>33451</v>
      </c>
      <c r="M71" s="116">
        <v>22982</v>
      </c>
      <c r="N71" s="116">
        <v>7468</v>
      </c>
      <c r="O71" s="116">
        <v>10113</v>
      </c>
    </row>
    <row r="72" spans="1:15" x14ac:dyDescent="0.25">
      <c r="A72" t="s">
        <v>1397</v>
      </c>
      <c r="B72" t="s">
        <v>418</v>
      </c>
      <c r="C72" s="116">
        <v>5412</v>
      </c>
      <c r="D72" s="116">
        <v>4800</v>
      </c>
      <c r="E72" s="116">
        <v>6963</v>
      </c>
      <c r="F72" s="116">
        <v>4470</v>
      </c>
      <c r="G72" s="116">
        <v>3885</v>
      </c>
      <c r="H72" s="116">
        <v>4893</v>
      </c>
      <c r="I72" s="116">
        <v>7592</v>
      </c>
      <c r="J72" s="116">
        <v>6926</v>
      </c>
      <c r="K72" s="116">
        <v>2077</v>
      </c>
      <c r="L72" s="116">
        <v>1388</v>
      </c>
      <c r="M72" s="116">
        <v>1980</v>
      </c>
      <c r="N72" s="116">
        <v>1199</v>
      </c>
      <c r="O72">
        <v>0</v>
      </c>
    </row>
    <row r="73" spans="1:15" x14ac:dyDescent="0.25">
      <c r="A73" t="s">
        <v>1398</v>
      </c>
      <c r="B73" s="116">
        <v>10074</v>
      </c>
      <c r="C73" s="116">
        <v>9116</v>
      </c>
      <c r="D73" s="116">
        <v>8564</v>
      </c>
      <c r="E73" s="116">
        <v>11537</v>
      </c>
      <c r="F73" s="116">
        <v>10953</v>
      </c>
      <c r="G73" s="116">
        <v>10844</v>
      </c>
      <c r="H73" s="116">
        <v>26712</v>
      </c>
      <c r="I73" s="116">
        <v>10000</v>
      </c>
      <c r="J73" s="116">
        <v>10000</v>
      </c>
      <c r="K73" s="116">
        <v>51732</v>
      </c>
      <c r="L73">
        <v>0</v>
      </c>
      <c r="M73" t="s">
        <v>418</v>
      </c>
      <c r="N73">
        <v>438</v>
      </c>
      <c r="O73">
        <v>0</v>
      </c>
    </row>
    <row r="74" spans="1:15" x14ac:dyDescent="0.25">
      <c r="A74" t="s">
        <v>1399</v>
      </c>
      <c r="B74" t="s">
        <v>418</v>
      </c>
      <c r="C74" t="s">
        <v>418</v>
      </c>
      <c r="D74" t="s">
        <v>418</v>
      </c>
      <c r="E74" t="s">
        <v>418</v>
      </c>
      <c r="F74" t="s">
        <v>418</v>
      </c>
      <c r="G74" t="s">
        <v>418</v>
      </c>
      <c r="H74" t="s">
        <v>418</v>
      </c>
      <c r="I74" t="s">
        <v>418</v>
      </c>
      <c r="J74" t="s">
        <v>418</v>
      </c>
      <c r="K74" t="s">
        <v>418</v>
      </c>
      <c r="L74">
        <v>0</v>
      </c>
      <c r="M74" t="s">
        <v>418</v>
      </c>
      <c r="N74">
        <v>0</v>
      </c>
      <c r="O74">
        <v>0</v>
      </c>
    </row>
    <row r="75" spans="1:15" x14ac:dyDescent="0.25">
      <c r="A75" t="s">
        <v>1400</v>
      </c>
      <c r="B75" t="s">
        <v>418</v>
      </c>
      <c r="C75" t="s">
        <v>418</v>
      </c>
      <c r="D75" t="s">
        <v>418</v>
      </c>
      <c r="E75" t="s">
        <v>418</v>
      </c>
      <c r="F75" t="s">
        <v>418</v>
      </c>
      <c r="G75" t="s">
        <v>418</v>
      </c>
      <c r="H75" t="s">
        <v>418</v>
      </c>
      <c r="I75" t="s">
        <v>418</v>
      </c>
      <c r="J75" t="s">
        <v>418</v>
      </c>
      <c r="K75" t="s">
        <v>418</v>
      </c>
      <c r="L75">
        <v>0</v>
      </c>
      <c r="M75" t="s">
        <v>418</v>
      </c>
      <c r="N75">
        <v>0</v>
      </c>
      <c r="O75">
        <v>0</v>
      </c>
    </row>
    <row r="76" spans="1:15" x14ac:dyDescent="0.25">
      <c r="A76" t="s">
        <v>1401</v>
      </c>
      <c r="B76" t="s">
        <v>418</v>
      </c>
      <c r="C76" t="s">
        <v>418</v>
      </c>
      <c r="D76" t="s">
        <v>418</v>
      </c>
      <c r="E76" t="s">
        <v>418</v>
      </c>
      <c r="F76" t="s">
        <v>418</v>
      </c>
      <c r="G76" t="s">
        <v>418</v>
      </c>
      <c r="H76" t="s">
        <v>418</v>
      </c>
      <c r="I76" t="s">
        <v>418</v>
      </c>
      <c r="J76" t="s">
        <v>418</v>
      </c>
      <c r="K76" t="s">
        <v>418</v>
      </c>
      <c r="L76">
        <v>0</v>
      </c>
      <c r="M76" t="s">
        <v>418</v>
      </c>
      <c r="N76">
        <v>0</v>
      </c>
      <c r="O76">
        <v>0</v>
      </c>
    </row>
    <row r="77" spans="1:15" x14ac:dyDescent="0.25">
      <c r="A77" t="s">
        <v>1402</v>
      </c>
      <c r="B77" s="116">
        <v>404881</v>
      </c>
      <c r="C77" s="116">
        <v>281547</v>
      </c>
      <c r="D77" s="116">
        <v>220582</v>
      </c>
      <c r="E77" s="116">
        <v>229716</v>
      </c>
      <c r="F77" s="116">
        <v>216569</v>
      </c>
      <c r="G77" s="116">
        <v>241914</v>
      </c>
      <c r="H77" s="116">
        <v>389301</v>
      </c>
      <c r="I77" s="116">
        <v>650303</v>
      </c>
      <c r="J77" s="116">
        <v>308461</v>
      </c>
      <c r="K77" s="116">
        <v>229310</v>
      </c>
      <c r="L77" s="116">
        <v>149688</v>
      </c>
      <c r="M77" s="116">
        <v>104154</v>
      </c>
      <c r="N77" s="116">
        <v>65766</v>
      </c>
      <c r="O77" s="116">
        <v>15990</v>
      </c>
    </row>
    <row r="78" spans="1:15" x14ac:dyDescent="0.25">
      <c r="A78" t="s">
        <v>1403</v>
      </c>
      <c r="B78" t="s">
        <v>418</v>
      </c>
      <c r="C78" t="s">
        <v>418</v>
      </c>
      <c r="D78" t="s">
        <v>418</v>
      </c>
      <c r="E78" t="s">
        <v>418</v>
      </c>
      <c r="F78" t="s">
        <v>418</v>
      </c>
      <c r="G78" t="s">
        <v>418</v>
      </c>
      <c r="H78" t="s">
        <v>418</v>
      </c>
      <c r="I78" t="s">
        <v>418</v>
      </c>
      <c r="J78" t="s">
        <v>418</v>
      </c>
      <c r="K78" t="s">
        <v>418</v>
      </c>
      <c r="L78">
        <v>0</v>
      </c>
      <c r="M78" t="s">
        <v>418</v>
      </c>
      <c r="N78">
        <v>0</v>
      </c>
      <c r="O78">
        <v>0</v>
      </c>
    </row>
    <row r="79" spans="1:15" x14ac:dyDescent="0.25">
      <c r="A79" t="s">
        <v>1404</v>
      </c>
      <c r="B79" t="s">
        <v>418</v>
      </c>
      <c r="C79" t="s">
        <v>418</v>
      </c>
      <c r="D79" t="s">
        <v>418</v>
      </c>
      <c r="E79" t="s">
        <v>418</v>
      </c>
      <c r="F79" t="s">
        <v>418</v>
      </c>
      <c r="G79" t="s">
        <v>418</v>
      </c>
      <c r="H79" t="s">
        <v>418</v>
      </c>
      <c r="I79" t="s">
        <v>418</v>
      </c>
      <c r="J79" t="s">
        <v>418</v>
      </c>
      <c r="K79" t="s">
        <v>418</v>
      </c>
      <c r="L79">
        <v>0</v>
      </c>
      <c r="M79" t="s">
        <v>418</v>
      </c>
      <c r="N79">
        <v>0</v>
      </c>
      <c r="O79">
        <v>0</v>
      </c>
    </row>
    <row r="80" spans="1:15" x14ac:dyDescent="0.25">
      <c r="A80" t="s">
        <v>1405</v>
      </c>
      <c r="B80" t="s">
        <v>418</v>
      </c>
      <c r="C80" t="s">
        <v>418</v>
      </c>
      <c r="D80" t="s">
        <v>418</v>
      </c>
      <c r="E80" t="s">
        <v>418</v>
      </c>
      <c r="F80" t="s">
        <v>418</v>
      </c>
      <c r="G80" t="s">
        <v>418</v>
      </c>
      <c r="H80" t="s">
        <v>418</v>
      </c>
      <c r="I80" t="s">
        <v>418</v>
      </c>
      <c r="J80" t="s">
        <v>418</v>
      </c>
      <c r="K80" t="s">
        <v>418</v>
      </c>
      <c r="L80">
        <v>0</v>
      </c>
      <c r="M80" t="s">
        <v>418</v>
      </c>
      <c r="N80">
        <v>0</v>
      </c>
      <c r="O80">
        <v>0</v>
      </c>
    </row>
    <row r="81" spans="1:15" x14ac:dyDescent="0.25">
      <c r="A81" t="s">
        <v>1406</v>
      </c>
      <c r="B81" t="s">
        <v>418</v>
      </c>
      <c r="C81" t="s">
        <v>418</v>
      </c>
      <c r="D81" t="s">
        <v>418</v>
      </c>
      <c r="E81" t="s">
        <v>418</v>
      </c>
      <c r="F81" t="s">
        <v>418</v>
      </c>
      <c r="G81" t="s">
        <v>418</v>
      </c>
      <c r="H81" t="s">
        <v>418</v>
      </c>
      <c r="I81" t="s">
        <v>418</v>
      </c>
      <c r="J81" t="s">
        <v>418</v>
      </c>
      <c r="K81" t="s">
        <v>418</v>
      </c>
      <c r="L81">
        <v>0</v>
      </c>
      <c r="M81" t="s">
        <v>418</v>
      </c>
      <c r="N81">
        <v>0</v>
      </c>
      <c r="O81">
        <v>0</v>
      </c>
    </row>
    <row r="82" spans="1:15" x14ac:dyDescent="0.25">
      <c r="A82" t="s">
        <v>1407</v>
      </c>
      <c r="B82" t="s">
        <v>418</v>
      </c>
      <c r="C82" t="s">
        <v>418</v>
      </c>
      <c r="D82" t="s">
        <v>418</v>
      </c>
      <c r="E82" t="s">
        <v>418</v>
      </c>
      <c r="F82" t="s">
        <v>418</v>
      </c>
      <c r="G82" t="s">
        <v>418</v>
      </c>
      <c r="H82" t="s">
        <v>418</v>
      </c>
      <c r="I82" t="s">
        <v>418</v>
      </c>
      <c r="J82" t="s">
        <v>418</v>
      </c>
      <c r="K82" t="s">
        <v>418</v>
      </c>
      <c r="L82">
        <v>0</v>
      </c>
      <c r="M82" t="s">
        <v>418</v>
      </c>
      <c r="N82">
        <v>0</v>
      </c>
      <c r="O82">
        <v>0</v>
      </c>
    </row>
    <row r="83" spans="1:15" x14ac:dyDescent="0.25">
      <c r="A83" t="s">
        <v>1408</v>
      </c>
      <c r="B83" t="s">
        <v>418</v>
      </c>
      <c r="C83" t="s">
        <v>418</v>
      </c>
      <c r="D83" t="s">
        <v>418</v>
      </c>
      <c r="E83" t="s">
        <v>418</v>
      </c>
      <c r="F83" t="s">
        <v>418</v>
      </c>
      <c r="G83" t="s">
        <v>418</v>
      </c>
      <c r="H83" t="s">
        <v>418</v>
      </c>
      <c r="I83" t="s">
        <v>418</v>
      </c>
      <c r="J83" t="s">
        <v>418</v>
      </c>
      <c r="K83" t="s">
        <v>418</v>
      </c>
      <c r="L83">
        <v>0</v>
      </c>
      <c r="M83" t="s">
        <v>418</v>
      </c>
      <c r="N83">
        <v>0</v>
      </c>
      <c r="O83">
        <v>0</v>
      </c>
    </row>
    <row r="84" spans="1:15" x14ac:dyDescent="0.25">
      <c r="A84" t="s">
        <v>1409</v>
      </c>
      <c r="B84" t="s">
        <v>418</v>
      </c>
      <c r="C84" t="s">
        <v>418</v>
      </c>
      <c r="D84" t="s">
        <v>418</v>
      </c>
      <c r="E84" t="s">
        <v>418</v>
      </c>
      <c r="F84" t="s">
        <v>418</v>
      </c>
      <c r="G84" t="s">
        <v>418</v>
      </c>
      <c r="H84" t="s">
        <v>418</v>
      </c>
      <c r="I84" t="s">
        <v>418</v>
      </c>
      <c r="J84" t="s">
        <v>418</v>
      </c>
      <c r="K84" t="s">
        <v>418</v>
      </c>
      <c r="L84">
        <v>0</v>
      </c>
      <c r="M84" t="s">
        <v>418</v>
      </c>
      <c r="N84">
        <v>0</v>
      </c>
      <c r="O84">
        <v>0</v>
      </c>
    </row>
    <row r="85" spans="1:15" x14ac:dyDescent="0.25">
      <c r="A85" t="s">
        <v>1410</v>
      </c>
      <c r="B85" t="s">
        <v>418</v>
      </c>
      <c r="C85" t="s">
        <v>418</v>
      </c>
      <c r="D85" t="s">
        <v>418</v>
      </c>
      <c r="E85" t="s">
        <v>418</v>
      </c>
      <c r="F85" t="s">
        <v>418</v>
      </c>
      <c r="G85" t="s">
        <v>418</v>
      </c>
      <c r="H85" t="s">
        <v>418</v>
      </c>
      <c r="I85" t="s">
        <v>418</v>
      </c>
      <c r="J85" t="s">
        <v>418</v>
      </c>
      <c r="K85" t="s">
        <v>418</v>
      </c>
      <c r="L85">
        <v>0</v>
      </c>
      <c r="M85" t="s">
        <v>418</v>
      </c>
      <c r="N85">
        <v>0</v>
      </c>
      <c r="O85">
        <v>0</v>
      </c>
    </row>
    <row r="86" spans="1:15" x14ac:dyDescent="0.25">
      <c r="A86" t="s">
        <v>1411</v>
      </c>
      <c r="B86" t="s">
        <v>418</v>
      </c>
      <c r="C86" t="s">
        <v>418</v>
      </c>
      <c r="D86" t="s">
        <v>418</v>
      </c>
      <c r="E86" t="s">
        <v>418</v>
      </c>
      <c r="F86" t="s">
        <v>418</v>
      </c>
      <c r="G86" t="s">
        <v>418</v>
      </c>
      <c r="H86" t="s">
        <v>418</v>
      </c>
      <c r="I86" t="s">
        <v>418</v>
      </c>
      <c r="J86" t="s">
        <v>418</v>
      </c>
      <c r="K86" t="s">
        <v>418</v>
      </c>
      <c r="L86">
        <v>0</v>
      </c>
      <c r="M86" t="s">
        <v>418</v>
      </c>
      <c r="N86">
        <v>0</v>
      </c>
      <c r="O86">
        <v>0</v>
      </c>
    </row>
    <row r="87" spans="1:15" x14ac:dyDescent="0.25">
      <c r="A87" t="s">
        <v>1412</v>
      </c>
      <c r="B87" t="s">
        <v>418</v>
      </c>
      <c r="C87" t="s">
        <v>418</v>
      </c>
      <c r="D87" t="s">
        <v>418</v>
      </c>
      <c r="E87" t="s">
        <v>418</v>
      </c>
      <c r="F87" t="s">
        <v>418</v>
      </c>
      <c r="G87" t="s">
        <v>418</v>
      </c>
      <c r="H87" t="s">
        <v>418</v>
      </c>
      <c r="I87" t="s">
        <v>418</v>
      </c>
      <c r="J87" t="s">
        <v>418</v>
      </c>
      <c r="K87" t="s">
        <v>418</v>
      </c>
      <c r="L87">
        <v>0</v>
      </c>
      <c r="M87" t="s">
        <v>418</v>
      </c>
      <c r="N87">
        <v>0</v>
      </c>
      <c r="O87">
        <v>0</v>
      </c>
    </row>
    <row r="88" spans="1:15" x14ac:dyDescent="0.25">
      <c r="A88" t="s">
        <v>1413</v>
      </c>
      <c r="B88" s="116">
        <v>212969</v>
      </c>
      <c r="C88" s="116">
        <v>291908</v>
      </c>
      <c r="D88" s="116">
        <v>299921</v>
      </c>
      <c r="E88" s="116">
        <v>219925</v>
      </c>
      <c r="F88" s="116">
        <v>621457</v>
      </c>
      <c r="G88" s="116">
        <v>386789</v>
      </c>
      <c r="H88" s="116">
        <v>87647</v>
      </c>
      <c r="I88" s="116">
        <v>166159</v>
      </c>
      <c r="J88" s="116">
        <v>146179</v>
      </c>
      <c r="K88" s="116">
        <v>103234</v>
      </c>
      <c r="L88" s="116">
        <v>46090</v>
      </c>
      <c r="M88" s="116">
        <v>6835</v>
      </c>
      <c r="N88" s="116">
        <v>5844</v>
      </c>
      <c r="O88" s="116">
        <v>10000</v>
      </c>
    </row>
    <row r="89" spans="1:15" x14ac:dyDescent="0.25">
      <c r="A89" t="s">
        <v>1414</v>
      </c>
      <c r="B89" s="116">
        <v>236952</v>
      </c>
      <c r="C89" s="116">
        <v>162244</v>
      </c>
      <c r="D89" s="116">
        <v>103106</v>
      </c>
      <c r="E89" s="116">
        <v>57256</v>
      </c>
      <c r="F89" t="s">
        <v>418</v>
      </c>
      <c r="G89" t="s">
        <v>418</v>
      </c>
      <c r="H89" t="s">
        <v>418</v>
      </c>
      <c r="I89" t="s">
        <v>418</v>
      </c>
      <c r="J89" t="s">
        <v>418</v>
      </c>
      <c r="K89" t="s">
        <v>418</v>
      </c>
      <c r="L89">
        <v>0</v>
      </c>
      <c r="M89" t="s">
        <v>418</v>
      </c>
      <c r="N89">
        <v>0</v>
      </c>
      <c r="O89">
        <v>0</v>
      </c>
    </row>
    <row r="90" spans="1:15" x14ac:dyDescent="0.25">
      <c r="A90" t="s">
        <v>1415</v>
      </c>
      <c r="B90" s="116">
        <v>4214859</v>
      </c>
      <c r="C90" s="116">
        <v>3393536</v>
      </c>
      <c r="D90" s="116">
        <v>2298254</v>
      </c>
      <c r="E90" s="116">
        <v>2380034</v>
      </c>
      <c r="F90" s="116">
        <v>2780400</v>
      </c>
      <c r="G90" s="116">
        <v>2084963</v>
      </c>
      <c r="H90" s="116">
        <v>1795185</v>
      </c>
      <c r="I90" s="116">
        <v>2269266</v>
      </c>
      <c r="J90" s="116">
        <v>2313180</v>
      </c>
      <c r="K90" s="116">
        <v>1753099</v>
      </c>
      <c r="L90" s="116">
        <v>551873</v>
      </c>
      <c r="M90" s="116">
        <v>457417</v>
      </c>
      <c r="N90" s="116">
        <v>406599</v>
      </c>
      <c r="O90" s="116">
        <v>248397</v>
      </c>
    </row>
    <row r="91" spans="1:15" x14ac:dyDescent="0.25">
      <c r="A91" t="s">
        <v>1487</v>
      </c>
    </row>
    <row r="92" spans="1:15" x14ac:dyDescent="0.25">
      <c r="A92" t="s">
        <v>1416</v>
      </c>
      <c r="B92" s="116">
        <v>130284</v>
      </c>
      <c r="C92" s="116">
        <v>194070</v>
      </c>
      <c r="D92" s="116">
        <v>336692</v>
      </c>
      <c r="E92" s="116">
        <v>941295</v>
      </c>
      <c r="F92" s="116">
        <v>870218</v>
      </c>
      <c r="G92" s="116">
        <v>1613159</v>
      </c>
      <c r="H92" s="116">
        <v>1961399</v>
      </c>
      <c r="I92" s="116">
        <v>1569231</v>
      </c>
      <c r="J92" s="116">
        <v>668038</v>
      </c>
      <c r="K92" s="116">
        <v>121223</v>
      </c>
      <c r="L92" s="116">
        <v>133568</v>
      </c>
      <c r="M92" s="116">
        <v>253156</v>
      </c>
      <c r="N92" s="116">
        <v>137944</v>
      </c>
      <c r="O92" s="116">
        <v>77247</v>
      </c>
    </row>
    <row r="93" spans="1:15" x14ac:dyDescent="0.25">
      <c r="A93" t="s">
        <v>1417</v>
      </c>
      <c r="B93" t="s">
        <v>418</v>
      </c>
      <c r="C93" s="116">
        <v>403348</v>
      </c>
      <c r="D93" s="116">
        <v>420962</v>
      </c>
      <c r="E93" s="116">
        <v>418417</v>
      </c>
      <c r="F93" s="116">
        <v>49696</v>
      </c>
      <c r="G93" s="116">
        <v>49513</v>
      </c>
      <c r="H93" s="116">
        <v>49336</v>
      </c>
      <c r="I93" s="116">
        <v>49168</v>
      </c>
      <c r="J93" s="116">
        <v>49009</v>
      </c>
      <c r="K93" s="116">
        <v>48856</v>
      </c>
      <c r="L93" s="116">
        <v>48710</v>
      </c>
      <c r="M93" s="116">
        <v>48575</v>
      </c>
      <c r="N93" s="116">
        <v>48442</v>
      </c>
      <c r="O93">
        <v>0</v>
      </c>
    </row>
    <row r="94" spans="1:15" x14ac:dyDescent="0.25">
      <c r="A94" t="s">
        <v>1418</v>
      </c>
      <c r="B94" s="116">
        <v>12150</v>
      </c>
      <c r="C94" s="116">
        <v>24273</v>
      </c>
      <c r="D94" s="116">
        <v>25276</v>
      </c>
      <c r="E94" s="116">
        <v>17392</v>
      </c>
      <c r="F94" s="116">
        <v>4984</v>
      </c>
      <c r="G94" s="116">
        <v>6857</v>
      </c>
      <c r="H94" s="116">
        <v>8052</v>
      </c>
      <c r="I94" s="116">
        <v>5003</v>
      </c>
      <c r="J94" t="s">
        <v>418</v>
      </c>
      <c r="K94" t="s">
        <v>418</v>
      </c>
      <c r="L94">
        <v>0</v>
      </c>
      <c r="M94" t="s">
        <v>418</v>
      </c>
      <c r="N94">
        <v>0</v>
      </c>
      <c r="O94">
        <v>0</v>
      </c>
    </row>
    <row r="95" spans="1:15" x14ac:dyDescent="0.25">
      <c r="A95" t="s">
        <v>1419</v>
      </c>
      <c r="B95" t="s">
        <v>418</v>
      </c>
      <c r="C95" t="s">
        <v>418</v>
      </c>
      <c r="D95" t="s">
        <v>418</v>
      </c>
      <c r="E95" t="s">
        <v>418</v>
      </c>
      <c r="F95" t="s">
        <v>418</v>
      </c>
      <c r="G95" t="s">
        <v>418</v>
      </c>
      <c r="H95" t="s">
        <v>418</v>
      </c>
      <c r="I95" t="s">
        <v>418</v>
      </c>
      <c r="J95" t="s">
        <v>418</v>
      </c>
      <c r="K95" t="s">
        <v>418</v>
      </c>
      <c r="L95">
        <v>0</v>
      </c>
      <c r="M95" t="s">
        <v>418</v>
      </c>
      <c r="N95">
        <v>0</v>
      </c>
      <c r="O95">
        <v>0</v>
      </c>
    </row>
    <row r="96" spans="1:15" x14ac:dyDescent="0.25">
      <c r="A96" t="s">
        <v>1420</v>
      </c>
      <c r="B96" s="116">
        <v>23451</v>
      </c>
      <c r="C96" s="116">
        <v>11721</v>
      </c>
      <c r="D96" s="116">
        <v>9228</v>
      </c>
      <c r="E96" s="116">
        <v>10251</v>
      </c>
      <c r="F96" s="116">
        <v>10863</v>
      </c>
      <c r="G96" s="116">
        <v>21629</v>
      </c>
      <c r="H96" s="116">
        <v>29111</v>
      </c>
      <c r="I96" s="116">
        <v>19478</v>
      </c>
      <c r="J96" s="116">
        <v>10511</v>
      </c>
      <c r="K96" s="116">
        <v>8717</v>
      </c>
      <c r="L96" s="116">
        <v>2624</v>
      </c>
      <c r="M96" s="116">
        <v>1742</v>
      </c>
      <c r="N96" s="116">
        <v>1114</v>
      </c>
      <c r="O96">
        <v>0</v>
      </c>
    </row>
    <row r="97" spans="1:15" x14ac:dyDescent="0.25">
      <c r="A97" t="s">
        <v>1421</v>
      </c>
      <c r="B97" s="116">
        <v>40191</v>
      </c>
      <c r="C97" s="116">
        <v>27175</v>
      </c>
      <c r="D97" s="116">
        <v>23035</v>
      </c>
      <c r="E97" s="116">
        <v>12706</v>
      </c>
      <c r="F97" s="116">
        <v>11353</v>
      </c>
      <c r="G97" s="116">
        <v>10408</v>
      </c>
      <c r="H97" t="s">
        <v>418</v>
      </c>
      <c r="I97" t="s">
        <v>418</v>
      </c>
      <c r="J97" t="s">
        <v>418</v>
      </c>
      <c r="K97" t="s">
        <v>418</v>
      </c>
      <c r="L97">
        <v>0</v>
      </c>
      <c r="M97" t="s">
        <v>418</v>
      </c>
      <c r="N97">
        <v>582</v>
      </c>
      <c r="O97" t="s">
        <v>418</v>
      </c>
    </row>
    <row r="98" spans="1:15" x14ac:dyDescent="0.25">
      <c r="A98" t="s">
        <v>1422</v>
      </c>
      <c r="B98" s="116">
        <v>71387</v>
      </c>
      <c r="C98" s="116">
        <v>64982</v>
      </c>
      <c r="D98" s="116">
        <v>64628</v>
      </c>
      <c r="E98" s="116">
        <v>21881</v>
      </c>
      <c r="F98" s="116">
        <v>24771</v>
      </c>
      <c r="G98" s="116">
        <v>29342</v>
      </c>
      <c r="H98" s="116">
        <v>29760</v>
      </c>
      <c r="I98" s="116">
        <v>50146</v>
      </c>
      <c r="J98" s="116">
        <v>4058</v>
      </c>
      <c r="K98" s="116">
        <v>3308</v>
      </c>
      <c r="L98" s="116">
        <v>17244</v>
      </c>
      <c r="M98" s="116">
        <v>16634</v>
      </c>
      <c r="N98" s="116">
        <v>18509</v>
      </c>
      <c r="O98">
        <v>450</v>
      </c>
    </row>
    <row r="99" spans="1:15" x14ac:dyDescent="0.25">
      <c r="A99" t="s">
        <v>1423</v>
      </c>
      <c r="B99">
        <v>737</v>
      </c>
      <c r="C99">
        <v>257</v>
      </c>
      <c r="D99">
        <v>396</v>
      </c>
      <c r="E99">
        <v>306</v>
      </c>
      <c r="F99" t="s">
        <v>418</v>
      </c>
      <c r="G99" s="116">
        <v>1986</v>
      </c>
      <c r="H99" s="116">
        <v>13051</v>
      </c>
      <c r="I99" s="116">
        <v>22501</v>
      </c>
      <c r="J99" s="116">
        <v>10516</v>
      </c>
      <c r="K99" s="116">
        <v>7021</v>
      </c>
      <c r="L99" s="116">
        <v>1213</v>
      </c>
      <c r="M99">
        <v>722</v>
      </c>
      <c r="N99">
        <v>0</v>
      </c>
      <c r="O99">
        <v>0</v>
      </c>
    </row>
    <row r="100" spans="1:15" x14ac:dyDescent="0.25">
      <c r="A100" t="s">
        <v>1424</v>
      </c>
      <c r="B100" s="116">
        <v>286596</v>
      </c>
      <c r="C100" s="116">
        <v>733725</v>
      </c>
      <c r="D100" s="116">
        <v>888197</v>
      </c>
      <c r="E100" s="116">
        <v>1430192</v>
      </c>
      <c r="F100" s="116">
        <v>979301</v>
      </c>
      <c r="G100" s="116">
        <v>1741899</v>
      </c>
      <c r="H100" s="116">
        <v>2090710</v>
      </c>
      <c r="I100" s="116">
        <v>1715528</v>
      </c>
      <c r="J100" s="116">
        <v>742131</v>
      </c>
      <c r="K100" s="116">
        <v>189126</v>
      </c>
      <c r="L100" s="116">
        <v>203360</v>
      </c>
      <c r="M100" s="116">
        <v>320830</v>
      </c>
      <c r="N100" s="116">
        <v>206591</v>
      </c>
      <c r="O100" s="116">
        <v>77696</v>
      </c>
    </row>
    <row r="101" spans="1:15" x14ac:dyDescent="0.25">
      <c r="A101" t="s">
        <v>1425</v>
      </c>
      <c r="B101" s="116">
        <v>4501455</v>
      </c>
      <c r="C101" s="116">
        <v>4127261</v>
      </c>
      <c r="D101" s="116">
        <v>3186451</v>
      </c>
      <c r="E101" s="116">
        <v>3810226</v>
      </c>
      <c r="F101" s="116">
        <v>3759702</v>
      </c>
      <c r="G101" s="116">
        <v>3826862</v>
      </c>
      <c r="H101" s="116">
        <v>3885895</v>
      </c>
      <c r="I101" s="116">
        <v>3984794</v>
      </c>
      <c r="J101" s="116">
        <v>3055311</v>
      </c>
      <c r="K101" s="116">
        <v>1942224</v>
      </c>
      <c r="L101" s="116">
        <v>755232</v>
      </c>
      <c r="M101" s="116">
        <v>778247</v>
      </c>
      <c r="N101" s="116">
        <v>613190</v>
      </c>
      <c r="O101" s="116">
        <v>326093</v>
      </c>
    </row>
    <row r="102" spans="1:15" x14ac:dyDescent="0.25">
      <c r="A102" t="s">
        <v>115</v>
      </c>
    </row>
    <row r="103" spans="1:15" x14ac:dyDescent="0.25">
      <c r="A103" t="s">
        <v>1426</v>
      </c>
      <c r="B103" s="116">
        <v>842625</v>
      </c>
      <c r="C103" s="116">
        <v>780071</v>
      </c>
      <c r="D103" s="116">
        <v>766821</v>
      </c>
      <c r="E103" s="116">
        <v>765795</v>
      </c>
      <c r="F103" s="116">
        <v>761650</v>
      </c>
      <c r="G103" s="116">
        <v>761650</v>
      </c>
      <c r="H103" s="116">
        <v>761650</v>
      </c>
      <c r="I103" s="116">
        <v>759371</v>
      </c>
      <c r="J103" s="116">
        <v>759371</v>
      </c>
      <c r="K103" s="116">
        <v>506247</v>
      </c>
      <c r="L103" s="116">
        <v>148800</v>
      </c>
      <c r="M103" s="116">
        <v>148800</v>
      </c>
      <c r="N103" s="116">
        <v>99200</v>
      </c>
      <c r="O103" s="116">
        <v>48000</v>
      </c>
    </row>
    <row r="104" spans="1:15" x14ac:dyDescent="0.25">
      <c r="A104" t="s">
        <v>1427</v>
      </c>
      <c r="B104" s="116">
        <v>594832</v>
      </c>
      <c r="C104" s="116">
        <v>188339</v>
      </c>
      <c r="D104" s="116">
        <v>104980</v>
      </c>
      <c r="E104" s="116">
        <v>59460</v>
      </c>
      <c r="F104" s="116">
        <v>76295</v>
      </c>
      <c r="G104" s="116">
        <v>76295</v>
      </c>
      <c r="H104" s="116">
        <v>12811</v>
      </c>
      <c r="I104">
        <v>284</v>
      </c>
      <c r="J104">
        <v>969</v>
      </c>
      <c r="K104">
        <v>969</v>
      </c>
      <c r="L104" s="116">
        <v>72111</v>
      </c>
      <c r="M104" s="116">
        <v>72111</v>
      </c>
      <c r="N104" s="116">
        <v>101871</v>
      </c>
      <c r="O104" s="116">
        <v>86066</v>
      </c>
    </row>
    <row r="105" spans="1:15" x14ac:dyDescent="0.25">
      <c r="A105" t="s">
        <v>1428</v>
      </c>
      <c r="B105" s="116">
        <v>83955</v>
      </c>
      <c r="C105" s="116">
        <v>11111</v>
      </c>
      <c r="D105" s="116">
        <v>17582</v>
      </c>
      <c r="E105" s="116">
        <v>13276</v>
      </c>
      <c r="F105" t="s">
        <v>418</v>
      </c>
      <c r="G105" t="s">
        <v>418</v>
      </c>
      <c r="H105" t="s">
        <v>418</v>
      </c>
      <c r="I105" t="s">
        <v>418</v>
      </c>
      <c r="J105" t="s">
        <v>418</v>
      </c>
      <c r="K105" t="s">
        <v>418</v>
      </c>
      <c r="L105">
        <v>0</v>
      </c>
      <c r="M105" t="s">
        <v>418</v>
      </c>
      <c r="N105">
        <v>0</v>
      </c>
      <c r="O105">
        <v>0</v>
      </c>
    </row>
    <row r="106" spans="1:15" x14ac:dyDescent="0.25">
      <c r="A106" t="s">
        <v>1429</v>
      </c>
      <c r="B106" t="s">
        <v>418</v>
      </c>
      <c r="C106" t="s">
        <v>418</v>
      </c>
      <c r="D106" t="s">
        <v>418</v>
      </c>
      <c r="E106">
        <v>341</v>
      </c>
      <c r="F106">
        <v>456</v>
      </c>
      <c r="G106">
        <v>412</v>
      </c>
      <c r="H106">
        <v>348</v>
      </c>
      <c r="I106" t="s">
        <v>418</v>
      </c>
      <c r="J106" t="s">
        <v>418</v>
      </c>
      <c r="K106" t="s">
        <v>418</v>
      </c>
      <c r="L106">
        <v>0</v>
      </c>
      <c r="M106" t="s">
        <v>418</v>
      </c>
      <c r="N106">
        <v>0</v>
      </c>
      <c r="O106" t="s">
        <v>418</v>
      </c>
    </row>
    <row r="107" spans="1:15" x14ac:dyDescent="0.25">
      <c r="A107" t="s">
        <v>1430</v>
      </c>
      <c r="B107" s="116">
        <v>322514</v>
      </c>
      <c r="C107" s="116">
        <v>318181</v>
      </c>
      <c r="D107" s="116">
        <v>296576</v>
      </c>
      <c r="E107" s="116">
        <v>261265</v>
      </c>
      <c r="F107" s="116">
        <v>261265</v>
      </c>
      <c r="G107" s="116">
        <v>261265</v>
      </c>
      <c r="H107" s="116">
        <v>243708</v>
      </c>
      <c r="I107" s="116">
        <v>224295</v>
      </c>
      <c r="J107" s="116">
        <v>183500</v>
      </c>
      <c r="K107" s="116">
        <v>137188</v>
      </c>
      <c r="L107" s="116">
        <v>80494</v>
      </c>
      <c r="M107" s="116">
        <v>60868</v>
      </c>
      <c r="N107" s="116">
        <v>48546</v>
      </c>
      <c r="O107" s="116">
        <v>35810</v>
      </c>
    </row>
    <row r="108" spans="1:15" x14ac:dyDescent="0.25">
      <c r="A108" t="s">
        <v>1431</v>
      </c>
      <c r="B108" t="s">
        <v>418</v>
      </c>
      <c r="C108" t="s">
        <v>418</v>
      </c>
      <c r="D108" t="s">
        <v>418</v>
      </c>
      <c r="E108" t="s">
        <v>418</v>
      </c>
      <c r="F108" t="s">
        <v>418</v>
      </c>
      <c r="G108" t="s">
        <v>418</v>
      </c>
      <c r="H108" t="s">
        <v>418</v>
      </c>
      <c r="I108" t="s">
        <v>418</v>
      </c>
      <c r="J108" t="s">
        <v>418</v>
      </c>
      <c r="K108" t="s">
        <v>418</v>
      </c>
      <c r="L108">
        <v>0</v>
      </c>
      <c r="M108" t="s">
        <v>418</v>
      </c>
      <c r="N108">
        <v>0</v>
      </c>
      <c r="O108">
        <v>0</v>
      </c>
    </row>
    <row r="109" spans="1:15" x14ac:dyDescent="0.25">
      <c r="A109" t="s">
        <v>1432</v>
      </c>
      <c r="B109" t="s">
        <v>418</v>
      </c>
      <c r="C109" t="s">
        <v>418</v>
      </c>
      <c r="D109" t="s">
        <v>418</v>
      </c>
      <c r="E109" t="s">
        <v>418</v>
      </c>
      <c r="F109" t="s">
        <v>418</v>
      </c>
      <c r="G109" t="s">
        <v>418</v>
      </c>
      <c r="H109" t="s">
        <v>418</v>
      </c>
      <c r="I109" t="s">
        <v>418</v>
      </c>
      <c r="J109" t="s">
        <v>418</v>
      </c>
      <c r="K109" t="s">
        <v>418</v>
      </c>
      <c r="L109">
        <v>0</v>
      </c>
      <c r="M109" t="s">
        <v>418</v>
      </c>
      <c r="N109">
        <v>0</v>
      </c>
      <c r="O109">
        <v>0</v>
      </c>
    </row>
    <row r="110" spans="1:15" x14ac:dyDescent="0.25">
      <c r="A110" t="s">
        <v>1433</v>
      </c>
      <c r="B110" s="116">
        <v>2895223</v>
      </c>
      <c r="C110" s="116">
        <v>1978135</v>
      </c>
      <c r="D110" s="116">
        <v>1512595</v>
      </c>
      <c r="E110" s="116">
        <v>1361625</v>
      </c>
      <c r="F110" s="116">
        <v>1355662</v>
      </c>
      <c r="G110" s="116">
        <v>1378362</v>
      </c>
      <c r="H110" s="116">
        <v>1416397</v>
      </c>
      <c r="I110" s="116">
        <v>1335863</v>
      </c>
      <c r="J110" s="116">
        <v>1035859</v>
      </c>
      <c r="K110" s="116">
        <v>500780</v>
      </c>
      <c r="L110" s="116">
        <v>461917</v>
      </c>
      <c r="M110" s="116">
        <v>312068</v>
      </c>
      <c r="N110" s="116">
        <v>225967</v>
      </c>
      <c r="O110" s="116">
        <v>124363</v>
      </c>
    </row>
    <row r="111" spans="1:15" x14ac:dyDescent="0.25">
      <c r="A111" t="s">
        <v>1434</v>
      </c>
      <c r="B111" t="s">
        <v>418</v>
      </c>
      <c r="C111" t="s">
        <v>418</v>
      </c>
      <c r="D111" t="s">
        <v>418</v>
      </c>
      <c r="E111" t="s">
        <v>418</v>
      </c>
      <c r="F111" t="s">
        <v>418</v>
      </c>
      <c r="G111" t="s">
        <v>418</v>
      </c>
      <c r="H111" t="s">
        <v>418</v>
      </c>
      <c r="I111" t="s">
        <v>418</v>
      </c>
      <c r="J111" t="s">
        <v>418</v>
      </c>
      <c r="K111" t="s">
        <v>418</v>
      </c>
      <c r="L111">
        <v>0</v>
      </c>
      <c r="M111" t="s">
        <v>418</v>
      </c>
      <c r="N111">
        <v>0</v>
      </c>
      <c r="O111">
        <v>0</v>
      </c>
    </row>
    <row r="112" spans="1:15" x14ac:dyDescent="0.25">
      <c r="A112" t="s">
        <v>1435</v>
      </c>
      <c r="B112" t="s">
        <v>418</v>
      </c>
      <c r="C112" t="s">
        <v>418</v>
      </c>
      <c r="D112" t="s">
        <v>418</v>
      </c>
      <c r="E112" t="s">
        <v>418</v>
      </c>
      <c r="F112" t="s">
        <v>418</v>
      </c>
      <c r="G112" t="s">
        <v>418</v>
      </c>
      <c r="H112" s="116">
        <v>-46142</v>
      </c>
      <c r="I112" s="116">
        <v>-17872</v>
      </c>
      <c r="J112" s="116">
        <v>-13428</v>
      </c>
      <c r="K112" s="116">
        <v>-10153</v>
      </c>
      <c r="L112" s="116">
        <v>-10610</v>
      </c>
      <c r="M112" s="116">
        <v>-10042</v>
      </c>
      <c r="N112" s="116">
        <v>-2431</v>
      </c>
      <c r="O112">
        <v>-130</v>
      </c>
    </row>
    <row r="113" spans="1:15" x14ac:dyDescent="0.25">
      <c r="A113" t="s">
        <v>1436</v>
      </c>
      <c r="B113" s="116">
        <v>4442098</v>
      </c>
      <c r="C113" s="116">
        <v>3148491</v>
      </c>
      <c r="D113" s="116">
        <v>2549760</v>
      </c>
      <c r="E113" s="116">
        <v>2271740</v>
      </c>
      <c r="F113" s="116">
        <v>2267071</v>
      </c>
      <c r="G113" s="116">
        <v>2378543</v>
      </c>
      <c r="H113" s="116">
        <v>2388772</v>
      </c>
      <c r="I113" s="116">
        <v>2301941</v>
      </c>
      <c r="J113" s="116">
        <v>1966271</v>
      </c>
      <c r="K113" s="116">
        <v>1135032</v>
      </c>
      <c r="L113" s="116">
        <v>752711</v>
      </c>
      <c r="M113" s="116">
        <v>583806</v>
      </c>
      <c r="N113" s="116">
        <v>473153</v>
      </c>
      <c r="O113" s="116">
        <v>294110</v>
      </c>
    </row>
    <row r="114" spans="1:15" x14ac:dyDescent="0.25">
      <c r="A114" t="s">
        <v>1437</v>
      </c>
      <c r="B114" s="116">
        <v>110576</v>
      </c>
      <c r="C114" s="116">
        <v>101721</v>
      </c>
      <c r="D114" s="116">
        <v>87558</v>
      </c>
      <c r="E114" s="116">
        <v>73530</v>
      </c>
      <c r="F114" s="116">
        <v>96002</v>
      </c>
      <c r="G114" s="116">
        <v>95540</v>
      </c>
      <c r="H114" s="116">
        <v>112112</v>
      </c>
      <c r="I114" s="116">
        <v>159405</v>
      </c>
      <c r="J114" s="116">
        <v>109090</v>
      </c>
      <c r="K114" s="116">
        <v>56821</v>
      </c>
      <c r="L114" s="116">
        <v>75757</v>
      </c>
      <c r="M114" s="116">
        <v>34682</v>
      </c>
      <c r="N114" s="116">
        <v>31569</v>
      </c>
      <c r="O114" s="116">
        <v>11044</v>
      </c>
    </row>
    <row r="115" spans="1:15" x14ac:dyDescent="0.25">
      <c r="A115" t="s">
        <v>1438</v>
      </c>
      <c r="B115" s="116">
        <v>4552675</v>
      </c>
      <c r="C115" s="116">
        <v>3250211</v>
      </c>
      <c r="D115" s="116">
        <v>2637318</v>
      </c>
      <c r="E115" s="116">
        <v>2345270</v>
      </c>
      <c r="F115" s="116">
        <v>2363072</v>
      </c>
      <c r="G115" s="116">
        <v>2474083</v>
      </c>
      <c r="H115" s="116">
        <v>2500884</v>
      </c>
      <c r="I115" s="116">
        <v>2461346</v>
      </c>
      <c r="J115" s="116">
        <v>2075361</v>
      </c>
      <c r="K115" s="116">
        <v>1191852</v>
      </c>
      <c r="L115" s="116">
        <v>828468</v>
      </c>
      <c r="M115" s="116">
        <v>618487</v>
      </c>
      <c r="N115" s="116">
        <v>504722</v>
      </c>
      <c r="O115" s="116">
        <v>305154</v>
      </c>
    </row>
    <row r="116" spans="1:15" x14ac:dyDescent="0.25">
      <c r="A116" t="s">
        <v>1439</v>
      </c>
      <c r="B116" s="116">
        <v>9054130</v>
      </c>
      <c r="C116" s="116">
        <v>7377472</v>
      </c>
      <c r="D116" s="116">
        <v>5823769</v>
      </c>
      <c r="E116" s="116">
        <v>6155497</v>
      </c>
      <c r="F116" s="116">
        <v>6122774</v>
      </c>
      <c r="G116" s="116">
        <v>6300945</v>
      </c>
      <c r="H116" s="116">
        <v>6386778</v>
      </c>
      <c r="I116" s="116">
        <v>6446140</v>
      </c>
      <c r="J116" s="116">
        <v>5130672</v>
      </c>
      <c r="K116" s="116">
        <v>3134077</v>
      </c>
      <c r="L116" s="116">
        <v>1583700</v>
      </c>
      <c r="M116" s="116">
        <v>1396734</v>
      </c>
      <c r="N116" s="116">
        <v>1117913</v>
      </c>
      <c r="O116" s="116">
        <v>631247</v>
      </c>
    </row>
  </sheetData>
  <autoFilter ref="A1:O116" xr:uid="{5D892DDC-1E3D-413E-AADC-3E507E37CDB7}"/>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O47"/>
  <sheetViews>
    <sheetView workbookViewId="0">
      <selection sqref="A1:XFD1048576"/>
    </sheetView>
  </sheetViews>
  <sheetFormatPr defaultRowHeight="14" x14ac:dyDescent="0.25"/>
  <cols>
    <col min="1" max="1" width="39.453125" bestFit="1" customWidth="1"/>
    <col min="2" max="15" width="11.36328125" bestFit="1" customWidth="1"/>
  </cols>
  <sheetData>
    <row r="1" spans="1:15" x14ac:dyDescent="0.25">
      <c r="A1" t="s">
        <v>1331</v>
      </c>
      <c r="B1" s="115">
        <v>43830</v>
      </c>
      <c r="C1" s="115">
        <v>43465</v>
      </c>
      <c r="D1" s="115">
        <v>43100</v>
      </c>
      <c r="E1" s="115">
        <v>42735</v>
      </c>
      <c r="F1" s="115">
        <v>42369</v>
      </c>
      <c r="G1" s="115">
        <v>42004</v>
      </c>
      <c r="H1" s="115">
        <v>41639</v>
      </c>
      <c r="I1" s="115">
        <v>41274</v>
      </c>
      <c r="J1" s="115">
        <v>40908</v>
      </c>
      <c r="K1" s="115">
        <v>40543</v>
      </c>
      <c r="L1" s="115">
        <v>40178</v>
      </c>
      <c r="M1" s="115">
        <v>39813</v>
      </c>
      <c r="N1" s="115">
        <v>39447</v>
      </c>
      <c r="O1" s="115">
        <v>39082</v>
      </c>
    </row>
    <row r="2" spans="1:15" x14ac:dyDescent="0.25">
      <c r="A2" t="s">
        <v>1440</v>
      </c>
      <c r="B2" s="116">
        <v>7566576</v>
      </c>
      <c r="C2" s="116">
        <v>5582150</v>
      </c>
      <c r="D2" s="116">
        <v>3833509</v>
      </c>
      <c r="E2" s="116">
        <v>2328007</v>
      </c>
      <c r="F2" s="116">
        <v>2336687</v>
      </c>
      <c r="G2" s="116">
        <v>3036472</v>
      </c>
      <c r="H2" s="116">
        <v>3732789</v>
      </c>
      <c r="I2" s="116">
        <v>4683054</v>
      </c>
      <c r="J2" s="116">
        <v>5077630</v>
      </c>
      <c r="K2" s="116">
        <v>3395494</v>
      </c>
      <c r="L2" s="116">
        <v>1649588</v>
      </c>
      <c r="M2" s="116">
        <v>1374526</v>
      </c>
      <c r="N2" s="116">
        <v>914495</v>
      </c>
      <c r="O2" s="116">
        <v>521019</v>
      </c>
    </row>
    <row r="3" spans="1:15" x14ac:dyDescent="0.25">
      <c r="A3" t="s">
        <v>1441</v>
      </c>
      <c r="B3" s="116">
        <v>7566576</v>
      </c>
      <c r="C3" s="116">
        <v>5582150</v>
      </c>
      <c r="D3" s="116">
        <v>3833509</v>
      </c>
      <c r="E3" s="116">
        <v>2328007</v>
      </c>
      <c r="F3" s="116">
        <v>2336687</v>
      </c>
      <c r="G3" s="116">
        <v>3036472</v>
      </c>
      <c r="H3" s="116">
        <v>3732789</v>
      </c>
      <c r="I3" s="116">
        <v>4683054</v>
      </c>
      <c r="J3" s="116">
        <v>5077630</v>
      </c>
      <c r="K3" s="116">
        <v>3395494</v>
      </c>
      <c r="L3" s="116">
        <v>1649588</v>
      </c>
      <c r="M3" s="116">
        <v>1374526</v>
      </c>
      <c r="N3" s="116">
        <v>914495</v>
      </c>
      <c r="O3" s="116">
        <v>521019</v>
      </c>
    </row>
    <row r="4" spans="1:15" x14ac:dyDescent="0.25">
      <c r="A4" t="s">
        <v>1442</v>
      </c>
      <c r="B4" t="s">
        <v>418</v>
      </c>
      <c r="C4" t="s">
        <v>418</v>
      </c>
      <c r="D4" t="s">
        <v>418</v>
      </c>
      <c r="E4" t="s">
        <v>418</v>
      </c>
      <c r="F4" t="s">
        <v>418</v>
      </c>
      <c r="G4" t="s">
        <v>418</v>
      </c>
      <c r="H4" t="s">
        <v>418</v>
      </c>
      <c r="I4" t="s">
        <v>418</v>
      </c>
      <c r="J4" t="s">
        <v>418</v>
      </c>
      <c r="K4">
        <v>0</v>
      </c>
      <c r="L4" t="s">
        <v>418</v>
      </c>
      <c r="M4" t="s">
        <v>418</v>
      </c>
      <c r="N4">
        <v>0</v>
      </c>
      <c r="O4">
        <v>0</v>
      </c>
    </row>
    <row r="5" spans="1:15" x14ac:dyDescent="0.25">
      <c r="A5" t="s">
        <v>1443</v>
      </c>
      <c r="B5" t="s">
        <v>418</v>
      </c>
      <c r="C5" t="s">
        <v>418</v>
      </c>
      <c r="D5" t="s">
        <v>418</v>
      </c>
      <c r="E5" t="s">
        <v>418</v>
      </c>
      <c r="F5" t="s">
        <v>418</v>
      </c>
      <c r="G5" t="s">
        <v>418</v>
      </c>
      <c r="H5" t="s">
        <v>418</v>
      </c>
      <c r="I5" t="s">
        <v>418</v>
      </c>
      <c r="J5" t="s">
        <v>418</v>
      </c>
      <c r="K5">
        <v>0</v>
      </c>
      <c r="L5" t="s">
        <v>418</v>
      </c>
      <c r="M5" t="s">
        <v>418</v>
      </c>
      <c r="N5">
        <v>0</v>
      </c>
      <c r="O5">
        <v>0</v>
      </c>
    </row>
    <row r="6" spans="1:15" x14ac:dyDescent="0.25">
      <c r="A6" t="s">
        <v>1444</v>
      </c>
      <c r="B6" t="s">
        <v>418</v>
      </c>
      <c r="C6" t="s">
        <v>418</v>
      </c>
      <c r="D6" t="s">
        <v>418</v>
      </c>
      <c r="E6" t="s">
        <v>418</v>
      </c>
      <c r="F6" t="s">
        <v>418</v>
      </c>
      <c r="G6" t="s">
        <v>418</v>
      </c>
      <c r="H6" t="s">
        <v>418</v>
      </c>
      <c r="I6" t="s">
        <v>418</v>
      </c>
      <c r="J6" t="s">
        <v>418</v>
      </c>
      <c r="K6">
        <v>0</v>
      </c>
      <c r="L6" t="s">
        <v>418</v>
      </c>
      <c r="M6" t="s">
        <v>418</v>
      </c>
      <c r="N6">
        <v>0</v>
      </c>
      <c r="O6">
        <v>0</v>
      </c>
    </row>
    <row r="7" spans="1:15" x14ac:dyDescent="0.25">
      <c r="A7" t="s">
        <v>1445</v>
      </c>
      <c r="B7" t="s">
        <v>418</v>
      </c>
      <c r="C7" t="s">
        <v>418</v>
      </c>
      <c r="D7" t="s">
        <v>418</v>
      </c>
      <c r="E7" t="s">
        <v>418</v>
      </c>
      <c r="F7" t="s">
        <v>418</v>
      </c>
      <c r="G7" t="s">
        <v>418</v>
      </c>
      <c r="H7" t="s">
        <v>418</v>
      </c>
      <c r="I7" t="s">
        <v>418</v>
      </c>
      <c r="J7" t="s">
        <v>418</v>
      </c>
      <c r="K7">
        <v>0</v>
      </c>
      <c r="L7" t="s">
        <v>418</v>
      </c>
      <c r="M7" t="s">
        <v>418</v>
      </c>
      <c r="N7">
        <v>0</v>
      </c>
      <c r="O7">
        <v>0</v>
      </c>
    </row>
    <row r="8" spans="1:15" x14ac:dyDescent="0.25">
      <c r="A8" t="s">
        <v>1446</v>
      </c>
      <c r="B8" t="s">
        <v>418</v>
      </c>
      <c r="C8" t="s">
        <v>418</v>
      </c>
      <c r="D8" t="s">
        <v>418</v>
      </c>
      <c r="E8" t="s">
        <v>418</v>
      </c>
      <c r="F8" t="s">
        <v>418</v>
      </c>
      <c r="G8" t="s">
        <v>418</v>
      </c>
      <c r="H8" t="s">
        <v>418</v>
      </c>
      <c r="I8" t="s">
        <v>418</v>
      </c>
      <c r="J8" t="s">
        <v>418</v>
      </c>
      <c r="K8">
        <v>0</v>
      </c>
      <c r="L8" t="s">
        <v>418</v>
      </c>
      <c r="M8" t="s">
        <v>418</v>
      </c>
      <c r="N8">
        <v>0</v>
      </c>
      <c r="O8">
        <v>0</v>
      </c>
    </row>
    <row r="9" spans="1:15" x14ac:dyDescent="0.25">
      <c r="A9" t="s">
        <v>1447</v>
      </c>
      <c r="B9" s="116">
        <v>6244045</v>
      </c>
      <c r="C9" s="116">
        <v>4853236</v>
      </c>
      <c r="D9" s="116">
        <v>3595852</v>
      </c>
      <c r="E9" s="116">
        <v>2370265</v>
      </c>
      <c r="F9" s="116">
        <v>2345172</v>
      </c>
      <c r="G9" s="116">
        <v>3003919</v>
      </c>
      <c r="H9" s="116">
        <v>3452581</v>
      </c>
      <c r="I9" s="116">
        <v>4075516</v>
      </c>
      <c r="J9" s="116">
        <v>4100167</v>
      </c>
      <c r="K9" s="116">
        <v>2715069</v>
      </c>
      <c r="L9" s="116">
        <v>1384451</v>
      </c>
      <c r="M9" s="116">
        <v>1196572</v>
      </c>
      <c r="N9" s="116">
        <v>757993</v>
      </c>
      <c r="O9" s="116">
        <v>451599</v>
      </c>
    </row>
    <row r="10" spans="1:15" x14ac:dyDescent="0.25">
      <c r="A10" t="s">
        <v>1448</v>
      </c>
      <c r="B10" s="116">
        <v>5093227</v>
      </c>
      <c r="C10" s="116">
        <v>3872796</v>
      </c>
      <c r="D10" s="116">
        <v>2680585</v>
      </c>
      <c r="E10" s="116">
        <v>1717940</v>
      </c>
      <c r="F10" s="116">
        <v>1757677</v>
      </c>
      <c r="G10" s="116">
        <v>2253867</v>
      </c>
      <c r="H10" s="116">
        <v>2755269</v>
      </c>
      <c r="I10" s="116">
        <v>3196325</v>
      </c>
      <c r="J10" s="116">
        <v>3225223</v>
      </c>
      <c r="K10" s="116">
        <v>2144184</v>
      </c>
      <c r="L10" s="116">
        <v>1116108</v>
      </c>
      <c r="M10" s="116">
        <v>962756</v>
      </c>
      <c r="N10" s="116">
        <v>598420</v>
      </c>
      <c r="O10" s="116">
        <v>339740</v>
      </c>
    </row>
    <row r="11" spans="1:15" x14ac:dyDescent="0.25">
      <c r="A11" t="s">
        <v>1449</v>
      </c>
      <c r="B11" t="s">
        <v>418</v>
      </c>
      <c r="C11" t="s">
        <v>418</v>
      </c>
      <c r="D11" t="s">
        <v>418</v>
      </c>
      <c r="E11" t="s">
        <v>418</v>
      </c>
      <c r="F11" t="s">
        <v>418</v>
      </c>
      <c r="G11" t="s">
        <v>418</v>
      </c>
      <c r="H11" t="s">
        <v>418</v>
      </c>
      <c r="I11" t="s">
        <v>418</v>
      </c>
      <c r="J11" t="s">
        <v>418</v>
      </c>
      <c r="K11">
        <v>0</v>
      </c>
      <c r="L11" t="s">
        <v>418</v>
      </c>
      <c r="M11" t="s">
        <v>418</v>
      </c>
      <c r="N11">
        <v>0</v>
      </c>
      <c r="O11">
        <v>0</v>
      </c>
    </row>
    <row r="12" spans="1:15" x14ac:dyDescent="0.25">
      <c r="A12" t="s">
        <v>1450</v>
      </c>
      <c r="B12" t="s">
        <v>418</v>
      </c>
      <c r="C12" t="s">
        <v>418</v>
      </c>
      <c r="D12" t="s">
        <v>418</v>
      </c>
      <c r="E12" t="s">
        <v>418</v>
      </c>
      <c r="F12" t="s">
        <v>418</v>
      </c>
      <c r="G12" t="s">
        <v>418</v>
      </c>
      <c r="H12" t="s">
        <v>418</v>
      </c>
      <c r="I12" t="s">
        <v>418</v>
      </c>
      <c r="J12" t="s">
        <v>418</v>
      </c>
      <c r="K12">
        <v>0</v>
      </c>
      <c r="L12" t="s">
        <v>418</v>
      </c>
      <c r="M12" t="s">
        <v>418</v>
      </c>
      <c r="N12">
        <v>0</v>
      </c>
      <c r="O12">
        <v>0</v>
      </c>
    </row>
    <row r="13" spans="1:15" x14ac:dyDescent="0.25">
      <c r="A13" t="s">
        <v>1451</v>
      </c>
      <c r="B13" t="s">
        <v>418</v>
      </c>
      <c r="C13" t="s">
        <v>418</v>
      </c>
      <c r="D13" t="s">
        <v>418</v>
      </c>
      <c r="E13" t="s">
        <v>418</v>
      </c>
      <c r="F13" t="s">
        <v>418</v>
      </c>
      <c r="G13" t="s">
        <v>418</v>
      </c>
      <c r="H13" t="s">
        <v>418</v>
      </c>
      <c r="I13" t="s">
        <v>418</v>
      </c>
      <c r="J13" t="s">
        <v>418</v>
      </c>
      <c r="K13">
        <v>0</v>
      </c>
      <c r="L13" t="s">
        <v>418</v>
      </c>
      <c r="M13" t="s">
        <v>418</v>
      </c>
      <c r="N13">
        <v>0</v>
      </c>
      <c r="O13">
        <v>0</v>
      </c>
    </row>
    <row r="14" spans="1:15" x14ac:dyDescent="0.25">
      <c r="A14" t="s">
        <v>1452</v>
      </c>
      <c r="B14" s="116">
        <v>364441</v>
      </c>
      <c r="C14" s="116">
        <v>175448</v>
      </c>
      <c r="D14" t="s">
        <v>418</v>
      </c>
      <c r="E14" t="s">
        <v>418</v>
      </c>
      <c r="F14" t="s">
        <v>418</v>
      </c>
      <c r="G14" t="s">
        <v>418</v>
      </c>
      <c r="H14" t="s">
        <v>418</v>
      </c>
      <c r="I14" t="s">
        <v>418</v>
      </c>
      <c r="J14" t="s">
        <v>418</v>
      </c>
      <c r="K14">
        <v>0</v>
      </c>
      <c r="L14" t="s">
        <v>418</v>
      </c>
      <c r="M14" t="s">
        <v>418</v>
      </c>
      <c r="N14">
        <v>0</v>
      </c>
      <c r="O14">
        <v>0</v>
      </c>
    </row>
    <row r="15" spans="1:15" x14ac:dyDescent="0.25">
      <c r="A15" t="s">
        <v>1453</v>
      </c>
      <c r="B15" t="s">
        <v>418</v>
      </c>
      <c r="C15" t="s">
        <v>418</v>
      </c>
      <c r="D15" t="s">
        <v>418</v>
      </c>
      <c r="E15" t="s">
        <v>418</v>
      </c>
      <c r="F15" t="s">
        <v>418</v>
      </c>
      <c r="G15" t="s">
        <v>418</v>
      </c>
      <c r="H15" t="s">
        <v>418</v>
      </c>
      <c r="I15" t="s">
        <v>418</v>
      </c>
      <c r="J15" t="s">
        <v>418</v>
      </c>
      <c r="K15">
        <v>0</v>
      </c>
      <c r="L15" t="s">
        <v>418</v>
      </c>
      <c r="M15" t="s">
        <v>418</v>
      </c>
      <c r="N15">
        <v>0</v>
      </c>
      <c r="O15">
        <v>0</v>
      </c>
    </row>
    <row r="16" spans="1:15" x14ac:dyDescent="0.25">
      <c r="A16" t="s">
        <v>1454</v>
      </c>
      <c r="B16" t="s">
        <v>418</v>
      </c>
      <c r="C16" t="s">
        <v>418</v>
      </c>
      <c r="D16" t="s">
        <v>418</v>
      </c>
      <c r="E16" t="s">
        <v>418</v>
      </c>
      <c r="F16" t="s">
        <v>418</v>
      </c>
      <c r="G16" t="s">
        <v>418</v>
      </c>
      <c r="H16" t="s">
        <v>418</v>
      </c>
      <c r="I16" t="s">
        <v>418</v>
      </c>
      <c r="J16" t="s">
        <v>418</v>
      </c>
      <c r="K16">
        <v>0</v>
      </c>
      <c r="L16" t="s">
        <v>418</v>
      </c>
      <c r="M16" t="s">
        <v>418</v>
      </c>
      <c r="N16">
        <v>0</v>
      </c>
      <c r="O16">
        <v>0</v>
      </c>
    </row>
    <row r="17" spans="1:15" x14ac:dyDescent="0.25">
      <c r="A17" t="s">
        <v>1455</v>
      </c>
      <c r="B17" t="s">
        <v>418</v>
      </c>
      <c r="C17" t="s">
        <v>418</v>
      </c>
      <c r="D17" t="s">
        <v>418</v>
      </c>
      <c r="E17" t="s">
        <v>418</v>
      </c>
      <c r="F17" t="s">
        <v>418</v>
      </c>
      <c r="G17" t="s">
        <v>418</v>
      </c>
      <c r="H17" t="s">
        <v>418</v>
      </c>
      <c r="I17" t="s">
        <v>418</v>
      </c>
      <c r="J17" t="s">
        <v>418</v>
      </c>
      <c r="K17">
        <v>0</v>
      </c>
      <c r="L17" t="s">
        <v>418</v>
      </c>
      <c r="M17" t="s">
        <v>418</v>
      </c>
      <c r="N17">
        <v>0</v>
      </c>
      <c r="O17">
        <v>0</v>
      </c>
    </row>
    <row r="18" spans="1:15" x14ac:dyDescent="0.25">
      <c r="A18" t="s">
        <v>1456</v>
      </c>
      <c r="B18" t="s">
        <v>418</v>
      </c>
      <c r="C18" t="s">
        <v>418</v>
      </c>
      <c r="D18" t="s">
        <v>418</v>
      </c>
      <c r="E18" t="s">
        <v>418</v>
      </c>
      <c r="F18" t="s">
        <v>418</v>
      </c>
      <c r="G18" t="s">
        <v>418</v>
      </c>
      <c r="H18" t="s">
        <v>418</v>
      </c>
      <c r="I18" t="s">
        <v>418</v>
      </c>
      <c r="J18" t="s">
        <v>418</v>
      </c>
      <c r="K18">
        <v>0</v>
      </c>
      <c r="L18" t="s">
        <v>418</v>
      </c>
      <c r="M18" t="s">
        <v>418</v>
      </c>
      <c r="N18">
        <v>0</v>
      </c>
      <c r="O18">
        <v>0</v>
      </c>
    </row>
    <row r="19" spans="1:15" x14ac:dyDescent="0.25">
      <c r="A19" t="s">
        <v>1457</v>
      </c>
      <c r="B19" t="s">
        <v>418</v>
      </c>
      <c r="C19" t="s">
        <v>418</v>
      </c>
      <c r="D19" t="s">
        <v>418</v>
      </c>
      <c r="E19" t="s">
        <v>418</v>
      </c>
      <c r="F19" t="s">
        <v>418</v>
      </c>
      <c r="G19" t="s">
        <v>418</v>
      </c>
      <c r="H19" t="s">
        <v>418</v>
      </c>
      <c r="I19" t="s">
        <v>418</v>
      </c>
      <c r="J19" t="s">
        <v>418</v>
      </c>
      <c r="K19">
        <v>0</v>
      </c>
      <c r="L19" t="s">
        <v>418</v>
      </c>
      <c r="M19" t="s">
        <v>418</v>
      </c>
      <c r="N19">
        <v>0</v>
      </c>
      <c r="O19">
        <v>0</v>
      </c>
    </row>
    <row r="20" spans="1:15" x14ac:dyDescent="0.25">
      <c r="A20" t="s">
        <v>1458</v>
      </c>
      <c r="B20" t="s">
        <v>418</v>
      </c>
      <c r="C20" t="s">
        <v>418</v>
      </c>
      <c r="D20" t="s">
        <v>418</v>
      </c>
      <c r="E20" t="s">
        <v>418</v>
      </c>
      <c r="F20" t="s">
        <v>418</v>
      </c>
      <c r="G20" t="s">
        <v>418</v>
      </c>
      <c r="H20" t="s">
        <v>418</v>
      </c>
      <c r="I20" t="s">
        <v>418</v>
      </c>
      <c r="J20" t="s">
        <v>418</v>
      </c>
      <c r="K20">
        <v>0</v>
      </c>
      <c r="L20" t="s">
        <v>418</v>
      </c>
      <c r="M20" t="s">
        <v>418</v>
      </c>
      <c r="N20">
        <v>0</v>
      </c>
      <c r="O20">
        <v>0</v>
      </c>
    </row>
    <row r="21" spans="1:15" x14ac:dyDescent="0.25">
      <c r="A21" t="s">
        <v>1459</v>
      </c>
      <c r="B21" s="116">
        <v>37091</v>
      </c>
      <c r="C21" s="116">
        <v>32636</v>
      </c>
      <c r="D21" s="116">
        <v>27922</v>
      </c>
      <c r="E21" s="116">
        <v>21956</v>
      </c>
      <c r="F21" s="116">
        <v>12113</v>
      </c>
      <c r="G21" s="116">
        <v>18315</v>
      </c>
      <c r="H21" s="116">
        <v>23303</v>
      </c>
      <c r="I21" s="116">
        <v>16681</v>
      </c>
      <c r="J21" s="116">
        <v>25952</v>
      </c>
      <c r="K21" s="116">
        <v>13124</v>
      </c>
      <c r="L21" s="116">
        <v>4910</v>
      </c>
      <c r="M21" s="116">
        <v>1778</v>
      </c>
      <c r="N21">
        <v>692</v>
      </c>
      <c r="O21" s="116">
        <v>2046</v>
      </c>
    </row>
    <row r="22" spans="1:15" x14ac:dyDescent="0.25">
      <c r="A22" t="s">
        <v>1460</v>
      </c>
      <c r="B22" s="116">
        <v>548759</v>
      </c>
      <c r="C22" s="116">
        <v>444663</v>
      </c>
      <c r="D22" s="116">
        <v>383226</v>
      </c>
      <c r="E22" s="116">
        <v>235907</v>
      </c>
      <c r="F22" s="116">
        <v>193928</v>
      </c>
      <c r="G22" s="116">
        <v>287217</v>
      </c>
      <c r="H22" s="116">
        <v>304435</v>
      </c>
      <c r="I22" s="116">
        <v>397413</v>
      </c>
      <c r="J22" s="116">
        <v>421600</v>
      </c>
      <c r="K22" s="116">
        <v>320483</v>
      </c>
      <c r="L22" s="116">
        <v>168075</v>
      </c>
      <c r="M22" s="116">
        <v>133146</v>
      </c>
      <c r="N22" s="116">
        <v>88291</v>
      </c>
      <c r="O22" s="116">
        <v>59378</v>
      </c>
    </row>
    <row r="23" spans="1:15" x14ac:dyDescent="0.25">
      <c r="A23" t="s">
        <v>1461</v>
      </c>
      <c r="B23" s="116">
        <v>205166</v>
      </c>
      <c r="C23" s="116">
        <v>204590</v>
      </c>
      <c r="D23" s="116">
        <v>253314</v>
      </c>
      <c r="E23" s="116">
        <v>212081</v>
      </c>
      <c r="F23" s="116">
        <v>200277</v>
      </c>
      <c r="G23" s="116">
        <v>253252</v>
      </c>
      <c r="H23" s="116">
        <v>294545</v>
      </c>
      <c r="I23" s="116">
        <v>336724</v>
      </c>
      <c r="J23" s="116">
        <v>306314</v>
      </c>
      <c r="K23" s="116">
        <v>192150</v>
      </c>
      <c r="L23" s="116">
        <v>77065</v>
      </c>
      <c r="M23" s="116">
        <v>77178</v>
      </c>
      <c r="N23" s="116">
        <v>50393</v>
      </c>
      <c r="O23" s="116">
        <v>34599</v>
      </c>
    </row>
    <row r="24" spans="1:15" x14ac:dyDescent="0.25">
      <c r="A24" t="s">
        <v>1462</v>
      </c>
      <c r="B24" s="116">
        <v>-4639</v>
      </c>
      <c r="C24" s="116">
        <v>13565</v>
      </c>
      <c r="D24" s="116">
        <v>131903</v>
      </c>
      <c r="E24" s="116">
        <v>87539</v>
      </c>
      <c r="F24" s="116">
        <v>132122</v>
      </c>
      <c r="G24" s="116">
        <v>123035</v>
      </c>
      <c r="H24" s="116">
        <v>32495</v>
      </c>
      <c r="I24" s="116">
        <v>135848</v>
      </c>
      <c r="J24" s="116">
        <v>80727</v>
      </c>
      <c r="K24" s="116">
        <v>29833</v>
      </c>
      <c r="L24" s="116">
        <v>8869</v>
      </c>
      <c r="M24" s="116">
        <v>13289</v>
      </c>
      <c r="N24" s="116">
        <v>12097</v>
      </c>
      <c r="O24" s="116">
        <v>11847</v>
      </c>
    </row>
    <row r="25" spans="1:15" x14ac:dyDescent="0.25">
      <c r="A25" t="s">
        <v>1463</v>
      </c>
      <c r="B25" t="s">
        <v>418</v>
      </c>
      <c r="C25" s="116">
        <v>109538</v>
      </c>
      <c r="D25" s="116">
        <v>118902</v>
      </c>
      <c r="E25" s="116">
        <v>94842</v>
      </c>
      <c r="F25" s="116">
        <v>49056</v>
      </c>
      <c r="G25" s="116">
        <v>68233</v>
      </c>
      <c r="H25" s="116">
        <v>42534</v>
      </c>
      <c r="I25" s="116">
        <v>-7475</v>
      </c>
      <c r="J25" s="116">
        <v>40352</v>
      </c>
      <c r="K25" s="116">
        <v>15295</v>
      </c>
      <c r="L25" s="116">
        <v>9423</v>
      </c>
      <c r="M25" s="116">
        <v>8424</v>
      </c>
      <c r="N25" s="116">
        <v>8100</v>
      </c>
      <c r="O25" s="116">
        <v>3990</v>
      </c>
    </row>
    <row r="26" spans="1:15" x14ac:dyDescent="0.25">
      <c r="A26" t="s">
        <v>1464</v>
      </c>
      <c r="B26" s="116">
        <v>28965</v>
      </c>
      <c r="C26" s="116">
        <v>-36168</v>
      </c>
      <c r="D26" s="116">
        <v>40268</v>
      </c>
      <c r="E26" s="116">
        <v>-56337</v>
      </c>
      <c r="F26" s="116">
        <v>28236</v>
      </c>
      <c r="G26" s="116">
        <v>-1528</v>
      </c>
      <c r="H26" s="116">
        <v>14315</v>
      </c>
      <c r="I26" s="116">
        <v>-13936</v>
      </c>
      <c r="J26" s="116">
        <v>-6866</v>
      </c>
      <c r="K26" s="116">
        <v>5035</v>
      </c>
      <c r="L26" s="116">
        <v>4515</v>
      </c>
      <c r="M26" s="116">
        <v>-18403</v>
      </c>
      <c r="N26" s="116">
        <v>9950</v>
      </c>
      <c r="O26" s="116">
        <v>3283</v>
      </c>
    </row>
    <row r="27" spans="1:15" x14ac:dyDescent="0.25">
      <c r="A27" t="s">
        <v>1465</v>
      </c>
      <c r="B27" s="116">
        <v>38285</v>
      </c>
      <c r="C27" s="116">
        <v>63746</v>
      </c>
      <c r="D27" s="116">
        <v>-1929</v>
      </c>
      <c r="E27" s="116">
        <v>218147</v>
      </c>
      <c r="F27" s="116">
        <v>-2697</v>
      </c>
      <c r="G27" s="116">
        <v>40717</v>
      </c>
      <c r="H27" s="116">
        <v>-19762</v>
      </c>
      <c r="I27" s="116">
        <v>16137</v>
      </c>
      <c r="J27" s="116">
        <v>14123</v>
      </c>
      <c r="K27" s="116">
        <v>4229</v>
      </c>
      <c r="L27" s="116">
        <v>-7287</v>
      </c>
      <c r="M27" s="116">
        <v>-6352</v>
      </c>
      <c r="N27" s="116">
        <v>39874</v>
      </c>
      <c r="O27" s="116">
        <v>8778</v>
      </c>
    </row>
    <row r="28" spans="1:15" x14ac:dyDescent="0.25">
      <c r="A28" t="s">
        <v>1466</v>
      </c>
      <c r="B28" s="116">
        <v>13953</v>
      </c>
      <c r="C28" s="116">
        <v>12827</v>
      </c>
      <c r="D28" s="116">
        <v>10224</v>
      </c>
      <c r="E28" s="116">
        <v>5347</v>
      </c>
      <c r="F28" s="116">
        <v>6248</v>
      </c>
      <c r="G28" s="116">
        <v>2321</v>
      </c>
      <c r="H28">
        <v>-361</v>
      </c>
      <c r="I28" s="116">
        <v>2506</v>
      </c>
      <c r="J28" s="116">
        <v>3812</v>
      </c>
      <c r="K28" s="116">
        <v>1642</v>
      </c>
      <c r="L28">
        <v>732</v>
      </c>
      <c r="M28">
        <v>128</v>
      </c>
      <c r="N28">
        <v>195</v>
      </c>
      <c r="O28">
        <v>90</v>
      </c>
    </row>
    <row r="29" spans="1:15" x14ac:dyDescent="0.25">
      <c r="A29" t="s">
        <v>1467</v>
      </c>
      <c r="B29" t="s">
        <v>418</v>
      </c>
      <c r="C29" t="s">
        <v>418</v>
      </c>
      <c r="D29" t="s">
        <v>418</v>
      </c>
      <c r="E29" t="s">
        <v>418</v>
      </c>
      <c r="F29" t="s">
        <v>418</v>
      </c>
      <c r="G29" t="s">
        <v>418</v>
      </c>
      <c r="H29" t="s">
        <v>418</v>
      </c>
      <c r="I29" t="s">
        <v>418</v>
      </c>
      <c r="J29" t="s">
        <v>418</v>
      </c>
      <c r="K29">
        <v>0</v>
      </c>
      <c r="L29" t="s">
        <v>418</v>
      </c>
      <c r="M29" t="s">
        <v>418</v>
      </c>
      <c r="N29">
        <v>0</v>
      </c>
      <c r="O29">
        <v>0</v>
      </c>
    </row>
    <row r="30" spans="1:15" x14ac:dyDescent="0.25">
      <c r="A30" t="s">
        <v>1468</v>
      </c>
      <c r="B30" t="s">
        <v>418</v>
      </c>
      <c r="C30" t="s">
        <v>418</v>
      </c>
      <c r="D30" t="s">
        <v>418</v>
      </c>
      <c r="E30" t="s">
        <v>418</v>
      </c>
      <c r="F30" t="s">
        <v>418</v>
      </c>
      <c r="G30" t="s">
        <v>418</v>
      </c>
      <c r="H30" t="s">
        <v>418</v>
      </c>
      <c r="I30" t="s">
        <v>418</v>
      </c>
      <c r="J30" t="s">
        <v>418</v>
      </c>
      <c r="K30">
        <v>0</v>
      </c>
      <c r="L30" t="s">
        <v>418</v>
      </c>
      <c r="M30" t="s">
        <v>418</v>
      </c>
      <c r="N30">
        <v>0</v>
      </c>
      <c r="O30">
        <v>0</v>
      </c>
    </row>
    <row r="31" spans="1:15" x14ac:dyDescent="0.25">
      <c r="A31" t="s">
        <v>1469</v>
      </c>
      <c r="B31" t="s">
        <v>418</v>
      </c>
      <c r="C31" t="s">
        <v>418</v>
      </c>
      <c r="D31" t="s">
        <v>418</v>
      </c>
      <c r="E31" t="s">
        <v>418</v>
      </c>
      <c r="F31" t="s">
        <v>418</v>
      </c>
      <c r="G31" t="s">
        <v>418</v>
      </c>
      <c r="H31" t="s">
        <v>418</v>
      </c>
      <c r="I31" t="s">
        <v>418</v>
      </c>
      <c r="J31" t="s">
        <v>418</v>
      </c>
      <c r="K31">
        <v>0</v>
      </c>
      <c r="L31" t="s">
        <v>418</v>
      </c>
      <c r="M31" t="s">
        <v>418</v>
      </c>
      <c r="N31">
        <v>0</v>
      </c>
      <c r="O31">
        <v>0</v>
      </c>
    </row>
    <row r="32" spans="1:15" x14ac:dyDescent="0.25">
      <c r="A32" t="s">
        <v>1470</v>
      </c>
      <c r="B32" t="s">
        <v>418</v>
      </c>
      <c r="C32" t="s">
        <v>418</v>
      </c>
      <c r="D32" t="s">
        <v>418</v>
      </c>
      <c r="E32" t="s">
        <v>418</v>
      </c>
      <c r="F32" t="s">
        <v>418</v>
      </c>
      <c r="G32" t="s">
        <v>418</v>
      </c>
      <c r="H32" t="s">
        <v>418</v>
      </c>
      <c r="I32" t="s">
        <v>418</v>
      </c>
      <c r="J32" t="s">
        <v>418</v>
      </c>
      <c r="K32">
        <v>0</v>
      </c>
      <c r="L32" t="s">
        <v>418</v>
      </c>
      <c r="M32" t="s">
        <v>418</v>
      </c>
      <c r="N32">
        <v>0</v>
      </c>
      <c r="O32">
        <v>0</v>
      </c>
    </row>
    <row r="33" spans="1:15" x14ac:dyDescent="0.25">
      <c r="A33" t="s">
        <v>1471</v>
      </c>
      <c r="B33" t="s">
        <v>418</v>
      </c>
      <c r="C33" t="s">
        <v>418</v>
      </c>
      <c r="D33" t="s">
        <v>418</v>
      </c>
      <c r="E33" t="s">
        <v>418</v>
      </c>
      <c r="F33" t="s">
        <v>418</v>
      </c>
      <c r="G33" t="s">
        <v>418</v>
      </c>
      <c r="H33" t="s">
        <v>418</v>
      </c>
      <c r="I33" t="s">
        <v>418</v>
      </c>
      <c r="J33" t="s">
        <v>418</v>
      </c>
      <c r="K33">
        <v>0</v>
      </c>
      <c r="L33" t="s">
        <v>418</v>
      </c>
      <c r="M33" t="s">
        <v>418</v>
      </c>
      <c r="N33">
        <v>0</v>
      </c>
      <c r="O33">
        <v>0</v>
      </c>
    </row>
    <row r="34" spans="1:15" x14ac:dyDescent="0.25">
      <c r="A34" t="s">
        <v>1472</v>
      </c>
      <c r="B34" s="116">
        <v>1377543</v>
      </c>
      <c r="C34" s="116">
        <v>787844</v>
      </c>
      <c r="D34" s="116">
        <v>287603</v>
      </c>
      <c r="E34" s="116">
        <v>119552</v>
      </c>
      <c r="F34" s="116">
        <v>17054</v>
      </c>
      <c r="G34" s="116">
        <v>71743</v>
      </c>
      <c r="H34" s="116">
        <v>274761</v>
      </c>
      <c r="I34" s="116">
        <v>609739</v>
      </c>
      <c r="J34" s="116">
        <v>984720</v>
      </c>
      <c r="K34" s="116">
        <v>689688</v>
      </c>
      <c r="L34" s="116">
        <v>262365</v>
      </c>
      <c r="M34" s="116">
        <v>153199</v>
      </c>
      <c r="N34" s="116">
        <v>206326</v>
      </c>
      <c r="O34" s="116">
        <v>81482</v>
      </c>
    </row>
    <row r="35" spans="1:15" x14ac:dyDescent="0.25">
      <c r="A35" t="s">
        <v>1473</v>
      </c>
      <c r="B35" s="116">
        <v>18269</v>
      </c>
      <c r="C35" s="116">
        <v>12318</v>
      </c>
      <c r="D35" s="116">
        <v>9837</v>
      </c>
      <c r="E35" s="116">
        <v>43761</v>
      </c>
      <c r="F35" s="116">
        <v>37011</v>
      </c>
      <c r="G35" s="116">
        <v>46092</v>
      </c>
      <c r="H35" s="116">
        <v>84620</v>
      </c>
      <c r="I35" s="116">
        <v>100768</v>
      </c>
      <c r="J35" s="116">
        <v>102207</v>
      </c>
      <c r="K35" s="116">
        <v>15082</v>
      </c>
      <c r="L35" s="116">
        <v>4475</v>
      </c>
      <c r="M35" s="116">
        <v>4398</v>
      </c>
      <c r="N35" s="116">
        <v>3368</v>
      </c>
      <c r="O35" s="116">
        <v>1104</v>
      </c>
    </row>
    <row r="36" spans="1:15" x14ac:dyDescent="0.25">
      <c r="A36" t="s">
        <v>1474</v>
      </c>
      <c r="B36" s="116">
        <v>50380</v>
      </c>
      <c r="C36" s="116">
        <v>45138</v>
      </c>
      <c r="D36" s="116">
        <v>10556</v>
      </c>
      <c r="E36" s="116">
        <v>157016</v>
      </c>
      <c r="F36" s="116">
        <v>42076</v>
      </c>
      <c r="G36" s="116">
        <v>19322</v>
      </c>
      <c r="H36" s="116">
        <v>14340</v>
      </c>
      <c r="I36" s="116">
        <v>22441</v>
      </c>
      <c r="J36" s="116">
        <v>7700</v>
      </c>
      <c r="K36" s="116">
        <v>10946</v>
      </c>
      <c r="L36" s="116">
        <v>3951</v>
      </c>
      <c r="M36" s="116">
        <v>3542</v>
      </c>
      <c r="N36" s="116">
        <v>1386</v>
      </c>
      <c r="O36">
        <v>492</v>
      </c>
    </row>
    <row r="37" spans="1:15" x14ac:dyDescent="0.25">
      <c r="A37" t="s">
        <v>1475</v>
      </c>
      <c r="B37" t="s">
        <v>418</v>
      </c>
      <c r="C37" t="s">
        <v>418</v>
      </c>
      <c r="D37" t="s">
        <v>418</v>
      </c>
      <c r="E37" s="116">
        <v>7396</v>
      </c>
      <c r="F37" s="116">
        <v>22190</v>
      </c>
      <c r="G37" s="116">
        <v>5510</v>
      </c>
      <c r="H37" s="116">
        <v>5293</v>
      </c>
      <c r="I37" s="116">
        <v>2525</v>
      </c>
      <c r="J37" s="116">
        <v>3218</v>
      </c>
      <c r="K37" s="116">
        <v>1596</v>
      </c>
      <c r="L37" s="116">
        <v>1140</v>
      </c>
      <c r="M37">
        <v>985</v>
      </c>
      <c r="N37">
        <v>102</v>
      </c>
      <c r="O37">
        <v>107</v>
      </c>
    </row>
    <row r="38" spans="1:15" x14ac:dyDescent="0.25">
      <c r="A38" t="s">
        <v>1476</v>
      </c>
      <c r="B38" s="116">
        <v>1345432</v>
      </c>
      <c r="C38" s="116">
        <v>755024</v>
      </c>
      <c r="D38" s="116">
        <v>286885</v>
      </c>
      <c r="E38" s="116">
        <v>6297</v>
      </c>
      <c r="F38" s="116">
        <v>11989</v>
      </c>
      <c r="G38" s="116">
        <v>98513</v>
      </c>
      <c r="H38" s="116">
        <v>345041</v>
      </c>
      <c r="I38" s="116">
        <v>688066</v>
      </c>
      <c r="J38" s="116">
        <v>1079227</v>
      </c>
      <c r="K38" s="116">
        <v>693825</v>
      </c>
      <c r="L38" s="116">
        <v>262890</v>
      </c>
      <c r="M38" s="116">
        <v>154054</v>
      </c>
      <c r="N38" s="116">
        <v>208309</v>
      </c>
      <c r="O38" s="116">
        <v>82094</v>
      </c>
    </row>
    <row r="39" spans="1:15" x14ac:dyDescent="0.25">
      <c r="A39" t="s">
        <v>1477</v>
      </c>
      <c r="B39" s="116">
        <v>195987</v>
      </c>
      <c r="C39" s="116">
        <v>124676</v>
      </c>
      <c r="D39" s="116">
        <v>64176</v>
      </c>
      <c r="E39" s="116">
        <v>-10083</v>
      </c>
      <c r="F39" s="116">
        <v>-1826</v>
      </c>
      <c r="G39" s="116">
        <v>22916</v>
      </c>
      <c r="H39" s="116">
        <v>35556</v>
      </c>
      <c r="I39" s="116">
        <v>86998</v>
      </c>
      <c r="J39" s="116">
        <v>143071</v>
      </c>
      <c r="K39" s="116">
        <v>77422</v>
      </c>
      <c r="L39" s="116">
        <v>25894</v>
      </c>
      <c r="M39" s="116">
        <v>6614</v>
      </c>
      <c r="N39" s="116">
        <v>17730</v>
      </c>
      <c r="O39" s="116">
        <v>7974</v>
      </c>
    </row>
    <row r="40" spans="1:15" x14ac:dyDescent="0.25">
      <c r="A40" t="s">
        <v>1478</v>
      </c>
      <c r="B40" t="s">
        <v>418</v>
      </c>
      <c r="C40" t="s">
        <v>418</v>
      </c>
      <c r="D40" t="s">
        <v>418</v>
      </c>
      <c r="E40" t="s">
        <v>418</v>
      </c>
      <c r="F40" t="s">
        <v>418</v>
      </c>
      <c r="G40" t="s">
        <v>418</v>
      </c>
      <c r="H40" t="s">
        <v>418</v>
      </c>
      <c r="I40" t="s">
        <v>418</v>
      </c>
      <c r="J40" t="s">
        <v>418</v>
      </c>
      <c r="K40">
        <v>0</v>
      </c>
      <c r="L40" t="s">
        <v>418</v>
      </c>
      <c r="M40" t="s">
        <v>418</v>
      </c>
      <c r="N40">
        <v>0</v>
      </c>
      <c r="O40">
        <v>0</v>
      </c>
    </row>
    <row r="41" spans="1:15" x14ac:dyDescent="0.25">
      <c r="A41" t="s">
        <v>1479</v>
      </c>
      <c r="B41" s="116">
        <v>1149445</v>
      </c>
      <c r="C41" s="116">
        <v>630349</v>
      </c>
      <c r="D41" s="116">
        <v>222709</v>
      </c>
      <c r="E41" s="116">
        <v>16380</v>
      </c>
      <c r="F41" s="116">
        <v>13815</v>
      </c>
      <c r="G41" s="116">
        <v>75597</v>
      </c>
      <c r="H41" s="116">
        <v>309485</v>
      </c>
      <c r="I41" s="116">
        <v>601068</v>
      </c>
      <c r="J41" s="116">
        <v>936155</v>
      </c>
      <c r="K41" s="116">
        <v>616403</v>
      </c>
      <c r="L41" s="116">
        <v>236996</v>
      </c>
      <c r="M41" s="116">
        <v>147441</v>
      </c>
      <c r="N41" s="116">
        <v>190579</v>
      </c>
      <c r="O41" s="116">
        <v>74120</v>
      </c>
    </row>
    <row r="42" spans="1:15" x14ac:dyDescent="0.25">
      <c r="A42" t="s">
        <v>1480</v>
      </c>
      <c r="B42" s="116">
        <v>1120666</v>
      </c>
      <c r="C42" s="116">
        <v>611629</v>
      </c>
      <c r="D42" s="116">
        <v>209225</v>
      </c>
      <c r="E42" s="116">
        <v>20346</v>
      </c>
      <c r="F42" s="116">
        <v>13859</v>
      </c>
      <c r="G42" s="116">
        <v>70921</v>
      </c>
      <c r="H42" s="116">
        <v>290360</v>
      </c>
      <c r="I42" s="116">
        <v>568610</v>
      </c>
      <c r="J42" s="116">
        <v>864890</v>
      </c>
      <c r="K42" s="116">
        <v>561546</v>
      </c>
      <c r="L42" s="116">
        <v>196258</v>
      </c>
      <c r="M42" s="116">
        <v>123223</v>
      </c>
      <c r="N42" s="116">
        <v>160616</v>
      </c>
      <c r="O42" s="116">
        <v>59200</v>
      </c>
    </row>
    <row r="43" spans="1:15" x14ac:dyDescent="0.25">
      <c r="A43" t="s">
        <v>1481</v>
      </c>
      <c r="B43" t="s">
        <v>418</v>
      </c>
      <c r="C43" t="s">
        <v>418</v>
      </c>
      <c r="D43" t="s">
        <v>418</v>
      </c>
      <c r="E43" t="s">
        <v>418</v>
      </c>
      <c r="F43" t="s">
        <v>418</v>
      </c>
      <c r="G43" t="s">
        <v>418</v>
      </c>
      <c r="H43" t="s">
        <v>418</v>
      </c>
      <c r="I43" t="s">
        <v>418</v>
      </c>
      <c r="J43" t="s">
        <v>418</v>
      </c>
      <c r="K43" s="116">
        <v>38353</v>
      </c>
      <c r="L43" t="s">
        <v>418</v>
      </c>
      <c r="M43" t="s">
        <v>418</v>
      </c>
      <c r="N43" s="116">
        <v>7204</v>
      </c>
      <c r="O43" s="116">
        <v>9332</v>
      </c>
    </row>
    <row r="44" spans="1:15" x14ac:dyDescent="0.25">
      <c r="A44" t="s">
        <v>1482</v>
      </c>
      <c r="B44" s="116">
        <v>28779</v>
      </c>
      <c r="C44" s="116">
        <v>18720</v>
      </c>
      <c r="D44" s="116">
        <v>13483</v>
      </c>
      <c r="E44" s="116">
        <v>-3966</v>
      </c>
      <c r="F44">
        <v>-44</v>
      </c>
      <c r="G44" s="116">
        <v>4677</v>
      </c>
      <c r="H44" s="116">
        <v>19126</v>
      </c>
      <c r="I44" s="116">
        <v>32459</v>
      </c>
      <c r="J44" s="116">
        <v>71266</v>
      </c>
      <c r="K44" s="116">
        <v>54857</v>
      </c>
      <c r="L44" s="116">
        <v>40738</v>
      </c>
      <c r="M44" s="116">
        <v>24217</v>
      </c>
      <c r="N44" s="116">
        <v>22759</v>
      </c>
      <c r="O44" s="116">
        <v>5588</v>
      </c>
    </row>
    <row r="45" spans="1:15" x14ac:dyDescent="0.25">
      <c r="A45" t="s">
        <v>1488</v>
      </c>
    </row>
    <row r="46" spans="1:15" x14ac:dyDescent="0.25">
      <c r="A46" t="s">
        <v>1483</v>
      </c>
      <c r="B46">
        <v>1.36</v>
      </c>
      <c r="C46">
        <v>0.79</v>
      </c>
      <c r="D46">
        <v>0.27</v>
      </c>
      <c r="E46">
        <v>0.03</v>
      </c>
      <c r="F46">
        <v>0.02</v>
      </c>
      <c r="G46">
        <v>0.09</v>
      </c>
      <c r="H46">
        <v>0.38</v>
      </c>
      <c r="I46">
        <v>0.75</v>
      </c>
      <c r="J46">
        <v>1.1399999999999999</v>
      </c>
      <c r="K46">
        <v>1.1100000000000001</v>
      </c>
      <c r="L46">
        <v>1.32</v>
      </c>
      <c r="M46">
        <v>0.83</v>
      </c>
      <c r="N46">
        <v>1.65</v>
      </c>
      <c r="O46">
        <v>0.62</v>
      </c>
    </row>
    <row r="47" spans="1:15" x14ac:dyDescent="0.25">
      <c r="A47" t="s">
        <v>170</v>
      </c>
      <c r="B47">
        <v>1.35</v>
      </c>
      <c r="C47">
        <v>0.75</v>
      </c>
      <c r="D47">
        <v>0.27</v>
      </c>
      <c r="E47">
        <v>0.03</v>
      </c>
      <c r="F47">
        <v>0.02</v>
      </c>
      <c r="G47">
        <v>0.09</v>
      </c>
      <c r="H47">
        <v>0.38</v>
      </c>
      <c r="I47">
        <v>0.75</v>
      </c>
      <c r="J47">
        <v>1.1399999999999999</v>
      </c>
      <c r="K47">
        <v>1.1100000000000001</v>
      </c>
      <c r="L47">
        <v>1.32</v>
      </c>
      <c r="M47">
        <v>0.83</v>
      </c>
      <c r="N47">
        <v>1.65</v>
      </c>
      <c r="O47">
        <v>0.62</v>
      </c>
    </row>
  </sheetData>
  <autoFilter ref="A1:O47" xr:uid="{FD6F1E36-0744-4ED0-9FA4-897BF702476E}"/>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O99"/>
  <sheetViews>
    <sheetView workbookViewId="0">
      <selection sqref="A1:XFD1048576"/>
    </sheetView>
  </sheetViews>
  <sheetFormatPr defaultRowHeight="14" x14ac:dyDescent="0.25"/>
  <cols>
    <col min="1" max="1" width="63.1796875" bestFit="1" customWidth="1"/>
    <col min="2" max="15" width="11.36328125" bestFit="1" customWidth="1"/>
  </cols>
  <sheetData>
    <row r="1" spans="1:15" x14ac:dyDescent="0.25">
      <c r="A1" t="s">
        <v>1331</v>
      </c>
      <c r="B1" s="115">
        <v>43830</v>
      </c>
      <c r="C1" s="115">
        <v>43465</v>
      </c>
      <c r="D1" s="115">
        <v>43100</v>
      </c>
      <c r="E1" s="115">
        <v>42735</v>
      </c>
      <c r="F1" s="115">
        <v>42369</v>
      </c>
      <c r="G1" s="115">
        <v>42004</v>
      </c>
      <c r="H1" s="115">
        <v>41639</v>
      </c>
      <c r="I1" s="115">
        <v>41274</v>
      </c>
      <c r="J1" s="115">
        <v>40908</v>
      </c>
      <c r="K1" s="115">
        <v>40543</v>
      </c>
      <c r="L1" s="115">
        <v>40178</v>
      </c>
      <c r="M1" s="115">
        <v>39813</v>
      </c>
      <c r="N1" s="115">
        <v>39447</v>
      </c>
      <c r="O1" s="115">
        <v>39082</v>
      </c>
    </row>
    <row r="2" spans="1:15" x14ac:dyDescent="0.25">
      <c r="A2" t="s">
        <v>278</v>
      </c>
    </row>
    <row r="3" spans="1:15" x14ac:dyDescent="0.25">
      <c r="A3" t="s">
        <v>1489</v>
      </c>
      <c r="B3" s="116">
        <v>7876473</v>
      </c>
      <c r="C3" s="116">
        <v>5964547</v>
      </c>
      <c r="D3" s="116">
        <v>4144025</v>
      </c>
      <c r="E3" s="116">
        <v>2596401</v>
      </c>
      <c r="F3" s="116">
        <v>2394437</v>
      </c>
      <c r="G3" s="116">
        <v>3244284</v>
      </c>
      <c r="H3" s="116">
        <v>3730626</v>
      </c>
      <c r="I3" s="116">
        <v>5052703</v>
      </c>
      <c r="J3" s="116">
        <v>5257022</v>
      </c>
      <c r="K3" s="116">
        <v>3732983</v>
      </c>
      <c r="L3" s="116">
        <v>1657653</v>
      </c>
      <c r="M3" s="116">
        <v>1420493</v>
      </c>
      <c r="N3" s="116">
        <v>804425</v>
      </c>
      <c r="O3" s="116">
        <v>596694</v>
      </c>
    </row>
    <row r="4" spans="1:15" x14ac:dyDescent="0.25">
      <c r="A4" t="s">
        <v>1490</v>
      </c>
      <c r="B4" t="s">
        <v>418</v>
      </c>
      <c r="C4" t="s">
        <v>418</v>
      </c>
      <c r="D4" t="s">
        <v>418</v>
      </c>
      <c r="E4" t="s">
        <v>418</v>
      </c>
      <c r="F4" t="s">
        <v>418</v>
      </c>
      <c r="G4" t="s">
        <v>418</v>
      </c>
      <c r="H4" t="s">
        <v>418</v>
      </c>
      <c r="I4" t="s">
        <v>418</v>
      </c>
      <c r="J4" t="s">
        <v>418</v>
      </c>
      <c r="K4" t="s">
        <v>418</v>
      </c>
      <c r="L4" t="s">
        <v>418</v>
      </c>
      <c r="M4">
        <v>0</v>
      </c>
      <c r="N4">
        <v>0</v>
      </c>
      <c r="O4">
        <v>0</v>
      </c>
    </row>
    <row r="5" spans="1:15" x14ac:dyDescent="0.25">
      <c r="A5" t="s">
        <v>1491</v>
      </c>
      <c r="B5" t="s">
        <v>418</v>
      </c>
      <c r="C5" t="s">
        <v>418</v>
      </c>
      <c r="D5" t="s">
        <v>418</v>
      </c>
      <c r="E5" t="s">
        <v>418</v>
      </c>
      <c r="F5" t="s">
        <v>418</v>
      </c>
      <c r="G5" t="s">
        <v>418</v>
      </c>
      <c r="H5" t="s">
        <v>418</v>
      </c>
      <c r="I5" t="s">
        <v>418</v>
      </c>
      <c r="J5" t="s">
        <v>418</v>
      </c>
      <c r="K5" t="s">
        <v>418</v>
      </c>
      <c r="L5" t="s">
        <v>418</v>
      </c>
      <c r="M5">
        <v>0</v>
      </c>
      <c r="N5">
        <v>0</v>
      </c>
      <c r="O5">
        <v>0</v>
      </c>
    </row>
    <row r="6" spans="1:15" x14ac:dyDescent="0.25">
      <c r="A6" t="s">
        <v>1492</v>
      </c>
      <c r="B6" t="s">
        <v>418</v>
      </c>
      <c r="C6" t="s">
        <v>418</v>
      </c>
      <c r="D6" t="s">
        <v>418</v>
      </c>
      <c r="E6" t="s">
        <v>418</v>
      </c>
      <c r="F6" t="s">
        <v>418</v>
      </c>
      <c r="G6" t="s">
        <v>418</v>
      </c>
      <c r="H6" t="s">
        <v>418</v>
      </c>
      <c r="I6" t="s">
        <v>418</v>
      </c>
      <c r="J6" t="s">
        <v>418</v>
      </c>
      <c r="K6" t="s">
        <v>418</v>
      </c>
      <c r="L6" t="s">
        <v>418</v>
      </c>
      <c r="M6">
        <v>0</v>
      </c>
      <c r="N6">
        <v>0</v>
      </c>
      <c r="O6">
        <v>0</v>
      </c>
    </row>
    <row r="7" spans="1:15" x14ac:dyDescent="0.25">
      <c r="A7" t="s">
        <v>1493</v>
      </c>
      <c r="B7" t="s">
        <v>418</v>
      </c>
      <c r="C7" t="s">
        <v>418</v>
      </c>
      <c r="D7" t="s">
        <v>418</v>
      </c>
      <c r="E7" t="s">
        <v>418</v>
      </c>
      <c r="F7" t="s">
        <v>418</v>
      </c>
      <c r="G7" t="s">
        <v>418</v>
      </c>
      <c r="H7" t="s">
        <v>418</v>
      </c>
      <c r="I7" t="s">
        <v>418</v>
      </c>
      <c r="J7" t="s">
        <v>418</v>
      </c>
      <c r="K7" t="s">
        <v>418</v>
      </c>
      <c r="L7" t="s">
        <v>418</v>
      </c>
      <c r="M7">
        <v>0</v>
      </c>
      <c r="N7">
        <v>0</v>
      </c>
      <c r="O7">
        <v>0</v>
      </c>
    </row>
    <row r="8" spans="1:15" x14ac:dyDescent="0.25">
      <c r="A8" t="s">
        <v>1494</v>
      </c>
      <c r="B8" t="s">
        <v>418</v>
      </c>
      <c r="C8" t="s">
        <v>418</v>
      </c>
      <c r="D8" t="s">
        <v>418</v>
      </c>
      <c r="E8" t="s">
        <v>418</v>
      </c>
      <c r="F8" t="s">
        <v>418</v>
      </c>
      <c r="G8" t="s">
        <v>418</v>
      </c>
      <c r="H8" t="s">
        <v>418</v>
      </c>
      <c r="I8" t="s">
        <v>418</v>
      </c>
      <c r="J8" t="s">
        <v>418</v>
      </c>
      <c r="K8" t="s">
        <v>418</v>
      </c>
      <c r="L8" t="s">
        <v>418</v>
      </c>
      <c r="M8">
        <v>0</v>
      </c>
      <c r="N8">
        <v>0</v>
      </c>
      <c r="O8">
        <v>0</v>
      </c>
    </row>
    <row r="9" spans="1:15" x14ac:dyDescent="0.25">
      <c r="A9" t="s">
        <v>1495</v>
      </c>
      <c r="B9" t="s">
        <v>418</v>
      </c>
      <c r="C9" t="s">
        <v>418</v>
      </c>
      <c r="D9" t="s">
        <v>418</v>
      </c>
      <c r="E9" t="s">
        <v>418</v>
      </c>
      <c r="F9" t="s">
        <v>418</v>
      </c>
      <c r="G9" t="s">
        <v>418</v>
      </c>
      <c r="H9" t="s">
        <v>418</v>
      </c>
      <c r="I9" t="s">
        <v>418</v>
      </c>
      <c r="J9" t="s">
        <v>418</v>
      </c>
      <c r="K9" t="s">
        <v>418</v>
      </c>
      <c r="L9" t="s">
        <v>418</v>
      </c>
      <c r="M9">
        <v>0</v>
      </c>
      <c r="N9">
        <v>0</v>
      </c>
      <c r="O9">
        <v>0</v>
      </c>
    </row>
    <row r="10" spans="1:15" x14ac:dyDescent="0.25">
      <c r="A10" t="s">
        <v>1496</v>
      </c>
      <c r="B10" t="s">
        <v>418</v>
      </c>
      <c r="C10" t="s">
        <v>418</v>
      </c>
      <c r="D10" t="s">
        <v>418</v>
      </c>
      <c r="E10" t="s">
        <v>418</v>
      </c>
      <c r="F10" t="s">
        <v>418</v>
      </c>
      <c r="G10" t="s">
        <v>418</v>
      </c>
      <c r="H10" t="s">
        <v>418</v>
      </c>
      <c r="I10" t="s">
        <v>418</v>
      </c>
      <c r="J10" t="s">
        <v>418</v>
      </c>
      <c r="K10" t="s">
        <v>418</v>
      </c>
      <c r="L10" t="s">
        <v>418</v>
      </c>
      <c r="M10">
        <v>0</v>
      </c>
      <c r="N10">
        <v>0</v>
      </c>
      <c r="O10">
        <v>0</v>
      </c>
    </row>
    <row r="11" spans="1:15" x14ac:dyDescent="0.25">
      <c r="A11" t="s">
        <v>1497</v>
      </c>
      <c r="B11" t="s">
        <v>418</v>
      </c>
      <c r="C11" t="s">
        <v>418</v>
      </c>
      <c r="D11" t="s">
        <v>418</v>
      </c>
      <c r="E11" t="s">
        <v>418</v>
      </c>
      <c r="F11" t="s">
        <v>418</v>
      </c>
      <c r="G11" t="s">
        <v>418</v>
      </c>
      <c r="H11" t="s">
        <v>418</v>
      </c>
      <c r="I11" t="s">
        <v>418</v>
      </c>
      <c r="J11" t="s">
        <v>418</v>
      </c>
      <c r="K11" t="s">
        <v>418</v>
      </c>
      <c r="L11" t="s">
        <v>418</v>
      </c>
      <c r="M11">
        <v>0</v>
      </c>
      <c r="N11">
        <v>0</v>
      </c>
      <c r="O11">
        <v>0</v>
      </c>
    </row>
    <row r="12" spans="1:15" x14ac:dyDescent="0.25">
      <c r="A12" t="s">
        <v>1498</v>
      </c>
      <c r="B12" t="s">
        <v>418</v>
      </c>
      <c r="C12" t="s">
        <v>418</v>
      </c>
      <c r="D12" t="s">
        <v>418</v>
      </c>
      <c r="E12" t="s">
        <v>418</v>
      </c>
      <c r="F12" t="s">
        <v>418</v>
      </c>
      <c r="G12" t="s">
        <v>418</v>
      </c>
      <c r="H12" t="s">
        <v>418</v>
      </c>
      <c r="I12" t="s">
        <v>418</v>
      </c>
      <c r="J12" t="s">
        <v>418</v>
      </c>
      <c r="K12" t="s">
        <v>418</v>
      </c>
      <c r="L12" t="s">
        <v>418</v>
      </c>
      <c r="M12">
        <v>0</v>
      </c>
      <c r="N12">
        <v>0</v>
      </c>
      <c r="O12">
        <v>0</v>
      </c>
    </row>
    <row r="13" spans="1:15" x14ac:dyDescent="0.25">
      <c r="A13" t="s">
        <v>1499</v>
      </c>
      <c r="B13" t="s">
        <v>418</v>
      </c>
      <c r="C13" t="s">
        <v>418</v>
      </c>
      <c r="D13" t="s">
        <v>418</v>
      </c>
      <c r="E13" t="s">
        <v>418</v>
      </c>
      <c r="F13" t="s">
        <v>418</v>
      </c>
      <c r="G13" t="s">
        <v>418</v>
      </c>
      <c r="H13" t="s">
        <v>418</v>
      </c>
      <c r="I13" t="s">
        <v>418</v>
      </c>
      <c r="J13" t="s">
        <v>418</v>
      </c>
      <c r="K13" t="s">
        <v>418</v>
      </c>
      <c r="L13" t="s">
        <v>418</v>
      </c>
      <c r="M13">
        <v>0</v>
      </c>
      <c r="N13">
        <v>0</v>
      </c>
      <c r="O13">
        <v>0</v>
      </c>
    </row>
    <row r="14" spans="1:15" x14ac:dyDescent="0.25">
      <c r="A14" t="s">
        <v>1500</v>
      </c>
      <c r="B14" s="116">
        <v>94789</v>
      </c>
      <c r="C14" s="116">
        <v>42138</v>
      </c>
      <c r="D14" s="116">
        <v>34704</v>
      </c>
      <c r="E14" s="116">
        <v>17764</v>
      </c>
      <c r="F14" s="116">
        <v>25098</v>
      </c>
      <c r="G14" s="116">
        <v>33244</v>
      </c>
      <c r="H14" s="116">
        <v>38448</v>
      </c>
      <c r="I14" s="116">
        <v>21148</v>
      </c>
      <c r="J14" s="116">
        <v>14623</v>
      </c>
      <c r="K14" s="116">
        <v>8139</v>
      </c>
      <c r="L14" s="116">
        <v>10788</v>
      </c>
      <c r="M14" s="116">
        <v>22239</v>
      </c>
      <c r="N14" s="116">
        <v>4805</v>
      </c>
      <c r="O14">
        <v>27</v>
      </c>
    </row>
    <row r="15" spans="1:15" x14ac:dyDescent="0.25">
      <c r="A15" t="s">
        <v>1501</v>
      </c>
      <c r="B15" s="116">
        <v>102683</v>
      </c>
      <c r="C15" s="116">
        <v>121425</v>
      </c>
      <c r="D15" s="116">
        <v>80798</v>
      </c>
      <c r="E15" s="116">
        <v>61619</v>
      </c>
      <c r="F15" s="116">
        <v>101477</v>
      </c>
      <c r="G15" s="116">
        <v>115001</v>
      </c>
      <c r="H15" s="116">
        <v>209687</v>
      </c>
      <c r="I15" s="116">
        <v>231259</v>
      </c>
      <c r="J15" s="116">
        <v>111584</v>
      </c>
      <c r="K15" s="116">
        <v>73819</v>
      </c>
      <c r="L15" s="116">
        <v>56300</v>
      </c>
      <c r="M15" s="116">
        <v>33162</v>
      </c>
      <c r="N15" s="116">
        <v>28298</v>
      </c>
      <c r="O15" s="116">
        <v>8151</v>
      </c>
    </row>
    <row r="16" spans="1:15" x14ac:dyDescent="0.25">
      <c r="A16" t="s">
        <v>1502</v>
      </c>
      <c r="B16" s="116">
        <v>8073945</v>
      </c>
      <c r="C16" s="116">
        <v>6128110</v>
      </c>
      <c r="D16" s="116">
        <v>4259527</v>
      </c>
      <c r="E16" s="116">
        <v>2675783</v>
      </c>
      <c r="F16" s="116">
        <v>2521012</v>
      </c>
      <c r="G16" s="116">
        <v>3392529</v>
      </c>
      <c r="H16" s="116">
        <v>3978761</v>
      </c>
      <c r="I16" s="116">
        <v>5305111</v>
      </c>
      <c r="J16" s="116">
        <v>5383229</v>
      </c>
      <c r="K16" s="116">
        <v>3814941</v>
      </c>
      <c r="L16" s="116">
        <v>1724742</v>
      </c>
      <c r="M16" s="116">
        <v>1475893</v>
      </c>
      <c r="N16" s="116">
        <v>837527</v>
      </c>
      <c r="O16" s="116">
        <v>604871</v>
      </c>
    </row>
    <row r="17" spans="1:15" x14ac:dyDescent="0.25">
      <c r="A17" t="s">
        <v>1503</v>
      </c>
      <c r="B17" s="116">
        <v>5197176</v>
      </c>
      <c r="C17" s="116">
        <v>3874604</v>
      </c>
      <c r="D17" s="116">
        <v>2512174</v>
      </c>
      <c r="E17" s="116">
        <v>1585744</v>
      </c>
      <c r="F17" s="116">
        <v>1641773</v>
      </c>
      <c r="G17" s="116">
        <v>2034027</v>
      </c>
      <c r="H17" s="116">
        <v>2414368</v>
      </c>
      <c r="I17" s="116">
        <v>3470603</v>
      </c>
      <c r="J17" s="116">
        <v>3757134</v>
      </c>
      <c r="K17" s="116">
        <v>2278903</v>
      </c>
      <c r="L17" s="116">
        <v>1087398</v>
      </c>
      <c r="M17" s="116">
        <v>1119622</v>
      </c>
      <c r="N17" s="116">
        <v>574673</v>
      </c>
      <c r="O17" s="116">
        <v>423577</v>
      </c>
    </row>
    <row r="18" spans="1:15" x14ac:dyDescent="0.25">
      <c r="A18" t="s">
        <v>1504</v>
      </c>
      <c r="B18" t="s">
        <v>418</v>
      </c>
      <c r="C18" t="s">
        <v>418</v>
      </c>
      <c r="D18" t="s">
        <v>418</v>
      </c>
      <c r="E18" t="s">
        <v>418</v>
      </c>
      <c r="F18" t="s">
        <v>418</v>
      </c>
      <c r="G18" t="s">
        <v>418</v>
      </c>
      <c r="H18" t="s">
        <v>418</v>
      </c>
      <c r="I18" t="s">
        <v>418</v>
      </c>
      <c r="J18" t="s">
        <v>418</v>
      </c>
      <c r="K18" t="s">
        <v>418</v>
      </c>
      <c r="L18" t="s">
        <v>418</v>
      </c>
      <c r="M18">
        <v>0</v>
      </c>
      <c r="N18">
        <v>0</v>
      </c>
      <c r="O18">
        <v>0</v>
      </c>
    </row>
    <row r="19" spans="1:15" x14ac:dyDescent="0.25">
      <c r="A19" t="s">
        <v>1505</v>
      </c>
      <c r="B19" t="s">
        <v>418</v>
      </c>
      <c r="C19" t="s">
        <v>418</v>
      </c>
      <c r="D19" t="s">
        <v>418</v>
      </c>
      <c r="E19" t="s">
        <v>418</v>
      </c>
      <c r="F19" t="s">
        <v>418</v>
      </c>
      <c r="G19" t="s">
        <v>418</v>
      </c>
      <c r="H19" t="s">
        <v>418</v>
      </c>
      <c r="I19" t="s">
        <v>418</v>
      </c>
      <c r="J19" t="s">
        <v>418</v>
      </c>
      <c r="K19" t="s">
        <v>418</v>
      </c>
      <c r="L19" t="s">
        <v>418</v>
      </c>
      <c r="M19">
        <v>0</v>
      </c>
      <c r="N19">
        <v>0</v>
      </c>
      <c r="O19">
        <v>0</v>
      </c>
    </row>
    <row r="20" spans="1:15" x14ac:dyDescent="0.25">
      <c r="A20" t="s">
        <v>1506</v>
      </c>
      <c r="B20" t="s">
        <v>418</v>
      </c>
      <c r="C20" t="s">
        <v>418</v>
      </c>
      <c r="D20" t="s">
        <v>418</v>
      </c>
      <c r="E20" t="s">
        <v>418</v>
      </c>
      <c r="F20" t="s">
        <v>418</v>
      </c>
      <c r="G20" t="s">
        <v>418</v>
      </c>
      <c r="H20" t="s">
        <v>418</v>
      </c>
      <c r="I20" t="s">
        <v>418</v>
      </c>
      <c r="J20" t="s">
        <v>418</v>
      </c>
      <c r="K20" t="s">
        <v>418</v>
      </c>
      <c r="L20" t="s">
        <v>418</v>
      </c>
      <c r="M20">
        <v>0</v>
      </c>
      <c r="N20">
        <v>0</v>
      </c>
      <c r="O20">
        <v>0</v>
      </c>
    </row>
    <row r="21" spans="1:15" x14ac:dyDescent="0.25">
      <c r="A21" t="s">
        <v>1507</v>
      </c>
      <c r="B21" t="s">
        <v>418</v>
      </c>
      <c r="C21" t="s">
        <v>418</v>
      </c>
      <c r="D21" t="s">
        <v>418</v>
      </c>
      <c r="E21" t="s">
        <v>418</v>
      </c>
      <c r="F21" t="s">
        <v>418</v>
      </c>
      <c r="G21" t="s">
        <v>418</v>
      </c>
      <c r="H21" t="s">
        <v>418</v>
      </c>
      <c r="I21" t="s">
        <v>418</v>
      </c>
      <c r="J21" t="s">
        <v>418</v>
      </c>
      <c r="K21" t="s">
        <v>418</v>
      </c>
      <c r="L21" t="s">
        <v>418</v>
      </c>
      <c r="M21">
        <v>0</v>
      </c>
      <c r="N21">
        <v>0</v>
      </c>
      <c r="O21">
        <v>0</v>
      </c>
    </row>
    <row r="22" spans="1:15" x14ac:dyDescent="0.25">
      <c r="A22" t="s">
        <v>1508</v>
      </c>
      <c r="B22" t="s">
        <v>418</v>
      </c>
      <c r="C22" t="s">
        <v>418</v>
      </c>
      <c r="D22" t="s">
        <v>418</v>
      </c>
      <c r="E22" t="s">
        <v>418</v>
      </c>
      <c r="F22" t="s">
        <v>418</v>
      </c>
      <c r="G22" t="s">
        <v>418</v>
      </c>
      <c r="H22" t="s">
        <v>418</v>
      </c>
      <c r="I22" t="s">
        <v>418</v>
      </c>
      <c r="J22" t="s">
        <v>418</v>
      </c>
      <c r="K22" t="s">
        <v>418</v>
      </c>
      <c r="L22" t="s">
        <v>418</v>
      </c>
      <c r="M22">
        <v>0</v>
      </c>
      <c r="N22">
        <v>0</v>
      </c>
      <c r="O22">
        <v>0</v>
      </c>
    </row>
    <row r="23" spans="1:15" x14ac:dyDescent="0.25">
      <c r="A23" t="s">
        <v>1509</v>
      </c>
      <c r="B23" s="116">
        <v>537389</v>
      </c>
      <c r="C23" s="116">
        <v>464072</v>
      </c>
      <c r="D23" s="116">
        <v>369293</v>
      </c>
      <c r="E23" s="116">
        <v>300624</v>
      </c>
      <c r="F23" s="116">
        <v>287928</v>
      </c>
      <c r="G23" s="116">
        <v>377454</v>
      </c>
      <c r="H23" s="116">
        <v>390762</v>
      </c>
      <c r="I23" s="116">
        <v>423675</v>
      </c>
      <c r="J23" s="116">
        <v>360786</v>
      </c>
      <c r="K23" s="116">
        <v>220504</v>
      </c>
      <c r="L23" s="116">
        <v>90412</v>
      </c>
      <c r="M23" s="116">
        <v>81417</v>
      </c>
      <c r="N23" s="116">
        <v>55395</v>
      </c>
      <c r="O23" s="116">
        <v>25953</v>
      </c>
    </row>
    <row r="24" spans="1:15" x14ac:dyDescent="0.25">
      <c r="A24" t="s">
        <v>1510</v>
      </c>
      <c r="B24" s="116">
        <v>387904</v>
      </c>
      <c r="C24" s="116">
        <v>272084</v>
      </c>
      <c r="D24" s="116">
        <v>180797</v>
      </c>
      <c r="E24" s="116">
        <v>120773</v>
      </c>
      <c r="F24" s="116">
        <v>106349</v>
      </c>
      <c r="G24" s="116">
        <v>241470</v>
      </c>
      <c r="H24" s="116">
        <v>261859</v>
      </c>
      <c r="I24" s="116">
        <v>334507</v>
      </c>
      <c r="J24" s="116">
        <v>457691</v>
      </c>
      <c r="K24" s="116">
        <v>231516</v>
      </c>
      <c r="L24" s="116">
        <v>93583</v>
      </c>
      <c r="M24" s="116">
        <v>49490</v>
      </c>
      <c r="N24" s="116">
        <v>42648</v>
      </c>
      <c r="O24" s="116">
        <v>33642</v>
      </c>
    </row>
    <row r="25" spans="1:15" x14ac:dyDescent="0.25">
      <c r="A25" t="s">
        <v>1511</v>
      </c>
      <c r="B25" s="116">
        <v>624939</v>
      </c>
      <c r="C25" s="116">
        <v>464660</v>
      </c>
      <c r="D25" s="116">
        <v>340812</v>
      </c>
      <c r="E25" s="116">
        <v>343698</v>
      </c>
      <c r="F25" s="116">
        <v>271364</v>
      </c>
      <c r="G25" s="116">
        <v>616384</v>
      </c>
      <c r="H25" s="116">
        <v>634839</v>
      </c>
      <c r="I25" s="116">
        <v>508151</v>
      </c>
      <c r="J25" s="116">
        <v>579716</v>
      </c>
      <c r="K25" s="116">
        <v>409105</v>
      </c>
      <c r="L25" s="116">
        <v>206235</v>
      </c>
      <c r="M25" s="116">
        <v>161315</v>
      </c>
      <c r="N25" s="116">
        <v>101753</v>
      </c>
      <c r="O25" s="116">
        <v>70697</v>
      </c>
    </row>
    <row r="26" spans="1:15" x14ac:dyDescent="0.25">
      <c r="A26" t="s">
        <v>1512</v>
      </c>
      <c r="B26" s="116">
        <v>6747408</v>
      </c>
      <c r="C26" s="116">
        <v>5075420</v>
      </c>
      <c r="D26" s="116">
        <v>3403077</v>
      </c>
      <c r="E26" s="116">
        <v>2350838</v>
      </c>
      <c r="F26" s="116">
        <v>2307415</v>
      </c>
      <c r="G26" s="116">
        <v>3269335</v>
      </c>
      <c r="H26" s="116">
        <v>3701828</v>
      </c>
      <c r="I26" s="116">
        <v>4736937</v>
      </c>
      <c r="J26" s="116">
        <v>5155326</v>
      </c>
      <c r="K26" s="116">
        <v>3140028</v>
      </c>
      <c r="L26" s="116">
        <v>1477629</v>
      </c>
      <c r="M26" s="116">
        <v>1411843</v>
      </c>
      <c r="N26" s="116">
        <v>774469</v>
      </c>
      <c r="O26" s="116">
        <v>553869</v>
      </c>
    </row>
    <row r="27" spans="1:15" x14ac:dyDescent="0.25">
      <c r="A27" t="s">
        <v>1513</v>
      </c>
      <c r="B27" s="116">
        <v>1326538</v>
      </c>
      <c r="C27" s="116">
        <v>1052690</v>
      </c>
      <c r="D27" s="116">
        <v>856450</v>
      </c>
      <c r="E27" s="116">
        <v>324945</v>
      </c>
      <c r="F27" s="116">
        <v>213598</v>
      </c>
      <c r="G27" s="116">
        <v>123194</v>
      </c>
      <c r="H27" s="116">
        <v>276933</v>
      </c>
      <c r="I27" s="116">
        <v>568174</v>
      </c>
      <c r="J27" s="116">
        <v>227903</v>
      </c>
      <c r="K27" s="116">
        <v>674912</v>
      </c>
      <c r="L27" s="116">
        <v>247113</v>
      </c>
      <c r="M27" s="116">
        <v>64050</v>
      </c>
      <c r="N27" s="116">
        <v>63059</v>
      </c>
      <c r="O27" s="116">
        <v>51002</v>
      </c>
    </row>
    <row r="28" spans="1:15" x14ac:dyDescent="0.25">
      <c r="A28" t="s">
        <v>279</v>
      </c>
    </row>
    <row r="29" spans="1:15" x14ac:dyDescent="0.25">
      <c r="A29" t="s">
        <v>1514</v>
      </c>
      <c r="B29" s="116">
        <v>1425434</v>
      </c>
      <c r="C29" s="116">
        <v>219236</v>
      </c>
      <c r="D29" s="116">
        <v>40200</v>
      </c>
      <c r="E29" s="116">
        <v>1168</v>
      </c>
      <c r="F29" s="116">
        <v>6269</v>
      </c>
      <c r="G29">
        <v>596</v>
      </c>
      <c r="H29">
        <v>227</v>
      </c>
      <c r="I29" s="116">
        <v>7909</v>
      </c>
      <c r="J29">
        <v>973</v>
      </c>
      <c r="K29" s="116">
        <v>13160</v>
      </c>
      <c r="L29">
        <v>125</v>
      </c>
      <c r="M29" s="116">
        <v>36840</v>
      </c>
      <c r="N29" s="116">
        <v>135404</v>
      </c>
      <c r="O29" s="116">
        <v>49857</v>
      </c>
    </row>
    <row r="30" spans="1:15" x14ac:dyDescent="0.25">
      <c r="A30" t="s">
        <v>1515</v>
      </c>
      <c r="B30" s="116">
        <v>75615</v>
      </c>
      <c r="C30" s="116">
        <v>50603</v>
      </c>
      <c r="D30" s="116">
        <v>45034</v>
      </c>
      <c r="E30" s="116">
        <v>21970</v>
      </c>
      <c r="F30" s="116">
        <v>8362</v>
      </c>
      <c r="G30" s="116">
        <v>70721</v>
      </c>
      <c r="H30" s="116">
        <v>55260</v>
      </c>
      <c r="I30" s="116">
        <v>22651</v>
      </c>
      <c r="J30" s="116">
        <v>13108</v>
      </c>
      <c r="K30" s="116">
        <v>2936</v>
      </c>
      <c r="L30" s="116">
        <v>1714</v>
      </c>
      <c r="M30">
        <v>372</v>
      </c>
      <c r="N30">
        <v>320</v>
      </c>
      <c r="O30">
        <v>574</v>
      </c>
    </row>
    <row r="31" spans="1:15" x14ac:dyDescent="0.25">
      <c r="A31" t="s">
        <v>1516</v>
      </c>
      <c r="B31" s="116">
        <v>19747</v>
      </c>
      <c r="C31" s="116">
        <v>37704</v>
      </c>
      <c r="D31" s="116">
        <v>48181</v>
      </c>
      <c r="E31" s="116">
        <v>47996</v>
      </c>
      <c r="F31" s="116">
        <v>38503</v>
      </c>
      <c r="G31" s="116">
        <v>47457</v>
      </c>
      <c r="H31" s="116">
        <v>49936</v>
      </c>
      <c r="I31" s="116">
        <v>35778</v>
      </c>
      <c r="J31" s="116">
        <v>11716</v>
      </c>
      <c r="K31" s="116">
        <v>35382</v>
      </c>
      <c r="L31" s="116">
        <v>13933</v>
      </c>
      <c r="M31" s="116">
        <v>5280</v>
      </c>
      <c r="N31" s="116">
        <v>2574</v>
      </c>
      <c r="O31" s="116">
        <v>1942</v>
      </c>
    </row>
    <row r="32" spans="1:15" x14ac:dyDescent="0.25">
      <c r="A32" t="s">
        <v>1517</v>
      </c>
      <c r="B32" s="116">
        <v>15324</v>
      </c>
      <c r="C32" s="116">
        <v>31068</v>
      </c>
      <c r="D32" s="116">
        <v>204625</v>
      </c>
      <c r="E32" s="116">
        <v>267641</v>
      </c>
      <c r="F32" t="s">
        <v>418</v>
      </c>
      <c r="G32" t="s">
        <v>418</v>
      </c>
      <c r="H32">
        <v>472</v>
      </c>
      <c r="I32">
        <v>146</v>
      </c>
      <c r="J32" t="s">
        <v>418</v>
      </c>
      <c r="K32" t="s">
        <v>418</v>
      </c>
      <c r="L32" t="s">
        <v>418</v>
      </c>
      <c r="M32">
        <v>0</v>
      </c>
      <c r="N32">
        <v>0</v>
      </c>
      <c r="O32" s="116">
        <v>6678</v>
      </c>
    </row>
    <row r="33" spans="1:15" x14ac:dyDescent="0.25">
      <c r="A33" t="s">
        <v>1518</v>
      </c>
      <c r="B33" s="116">
        <v>52115</v>
      </c>
      <c r="C33">
        <v>0</v>
      </c>
      <c r="D33" s="116">
        <v>1401</v>
      </c>
      <c r="E33" s="116">
        <v>17208</v>
      </c>
      <c r="F33" s="116">
        <v>91716</v>
      </c>
      <c r="G33" t="s">
        <v>418</v>
      </c>
      <c r="H33" s="116">
        <v>32430</v>
      </c>
      <c r="I33" s="116">
        <v>73127</v>
      </c>
      <c r="J33" s="116">
        <v>7530</v>
      </c>
      <c r="K33" s="116">
        <v>55008</v>
      </c>
      <c r="L33" t="s">
        <v>418</v>
      </c>
      <c r="M33">
        <v>0</v>
      </c>
      <c r="N33">
        <v>0</v>
      </c>
      <c r="O33">
        <v>0</v>
      </c>
    </row>
    <row r="34" spans="1:15" x14ac:dyDescent="0.25">
      <c r="A34" t="s">
        <v>1519</v>
      </c>
      <c r="B34" t="s">
        <v>418</v>
      </c>
      <c r="C34" t="s">
        <v>418</v>
      </c>
      <c r="D34" t="s">
        <v>418</v>
      </c>
      <c r="E34" t="s">
        <v>418</v>
      </c>
      <c r="F34" t="s">
        <v>418</v>
      </c>
      <c r="G34" t="s">
        <v>418</v>
      </c>
      <c r="H34" t="s">
        <v>418</v>
      </c>
      <c r="I34" t="s">
        <v>418</v>
      </c>
      <c r="J34" t="s">
        <v>418</v>
      </c>
      <c r="K34" t="s">
        <v>418</v>
      </c>
      <c r="L34" t="s">
        <v>418</v>
      </c>
      <c r="M34">
        <v>0</v>
      </c>
      <c r="N34">
        <v>0</v>
      </c>
      <c r="O34">
        <v>0</v>
      </c>
    </row>
    <row r="35" spans="1:15" x14ac:dyDescent="0.25">
      <c r="A35" t="s">
        <v>1520</v>
      </c>
      <c r="B35" s="116">
        <v>1588235</v>
      </c>
      <c r="C35" s="116">
        <v>338611</v>
      </c>
      <c r="D35" s="116">
        <v>339440</v>
      </c>
      <c r="E35" s="116">
        <v>355983</v>
      </c>
      <c r="F35" s="116">
        <v>144849</v>
      </c>
      <c r="G35" s="116">
        <v>118774</v>
      </c>
      <c r="H35" s="116">
        <v>138325</v>
      </c>
      <c r="I35" s="116">
        <v>139611</v>
      </c>
      <c r="J35" s="116">
        <v>33326</v>
      </c>
      <c r="K35" s="116">
        <v>106486</v>
      </c>
      <c r="L35" s="116">
        <v>15772</v>
      </c>
      <c r="M35" s="116">
        <v>42492</v>
      </c>
      <c r="N35" s="116">
        <v>138298</v>
      </c>
      <c r="O35" s="116">
        <v>59052</v>
      </c>
    </row>
    <row r="36" spans="1:15" x14ac:dyDescent="0.25">
      <c r="A36" t="s">
        <v>1521</v>
      </c>
      <c r="B36" s="116">
        <v>235463</v>
      </c>
      <c r="C36" s="116">
        <v>138022</v>
      </c>
      <c r="D36" s="116">
        <v>51533</v>
      </c>
      <c r="E36" s="116">
        <v>70495</v>
      </c>
      <c r="F36" s="116">
        <v>151377</v>
      </c>
      <c r="G36" s="116">
        <v>155105</v>
      </c>
      <c r="H36" s="116">
        <v>220190</v>
      </c>
      <c r="I36" s="116">
        <v>479205</v>
      </c>
      <c r="J36" s="116">
        <v>713557</v>
      </c>
      <c r="K36" s="116">
        <v>442618</v>
      </c>
      <c r="L36" s="116">
        <v>114475</v>
      </c>
      <c r="M36" s="116">
        <v>119581</v>
      </c>
      <c r="N36" s="116">
        <v>69987</v>
      </c>
      <c r="O36" s="116">
        <v>18152</v>
      </c>
    </row>
    <row r="37" spans="1:15" x14ac:dyDescent="0.25">
      <c r="A37" t="s">
        <v>1522</v>
      </c>
      <c r="B37" s="116">
        <v>2429762</v>
      </c>
      <c r="C37" s="116">
        <v>1247775</v>
      </c>
      <c r="D37" s="116">
        <v>166008</v>
      </c>
      <c r="E37" s="116">
        <v>59239</v>
      </c>
      <c r="F37" s="116">
        <v>16378</v>
      </c>
      <c r="G37" s="116">
        <v>144268</v>
      </c>
      <c r="H37" s="116">
        <v>100700</v>
      </c>
      <c r="I37" s="116">
        <v>44020</v>
      </c>
      <c r="J37" s="116">
        <v>14533</v>
      </c>
      <c r="K37" s="116">
        <v>18556</v>
      </c>
      <c r="L37" s="116">
        <v>11692</v>
      </c>
      <c r="M37" s="116">
        <v>19684</v>
      </c>
      <c r="N37" s="116">
        <v>114040</v>
      </c>
      <c r="O37" s="116">
        <v>56487</v>
      </c>
    </row>
    <row r="38" spans="1:15" x14ac:dyDescent="0.25">
      <c r="A38" t="s">
        <v>1523</v>
      </c>
      <c r="B38" t="s">
        <v>418</v>
      </c>
      <c r="C38" t="s">
        <v>418</v>
      </c>
      <c r="D38" t="s">
        <v>418</v>
      </c>
      <c r="E38" t="s">
        <v>418</v>
      </c>
      <c r="F38" t="s">
        <v>418</v>
      </c>
      <c r="G38" t="s">
        <v>418</v>
      </c>
      <c r="H38" t="s">
        <v>418</v>
      </c>
      <c r="I38" t="s">
        <v>418</v>
      </c>
      <c r="J38" t="s">
        <v>418</v>
      </c>
      <c r="K38" t="s">
        <v>418</v>
      </c>
      <c r="L38" t="s">
        <v>418</v>
      </c>
      <c r="M38">
        <v>0</v>
      </c>
      <c r="N38">
        <v>0</v>
      </c>
      <c r="O38">
        <v>0</v>
      </c>
    </row>
    <row r="39" spans="1:15" x14ac:dyDescent="0.25">
      <c r="A39" t="s">
        <v>1524</v>
      </c>
      <c r="B39" t="s">
        <v>418</v>
      </c>
      <c r="C39" t="s">
        <v>418</v>
      </c>
      <c r="D39">
        <v>89</v>
      </c>
      <c r="E39" t="s">
        <v>418</v>
      </c>
      <c r="F39" t="s">
        <v>418</v>
      </c>
      <c r="G39" t="s">
        <v>418</v>
      </c>
      <c r="H39" t="s">
        <v>418</v>
      </c>
      <c r="I39" s="116">
        <v>264553</v>
      </c>
      <c r="J39" s="116">
        <v>5938</v>
      </c>
      <c r="K39" s="116">
        <v>228016</v>
      </c>
      <c r="L39" t="s">
        <v>418</v>
      </c>
      <c r="M39">
        <v>0</v>
      </c>
      <c r="N39" s="116">
        <v>80000</v>
      </c>
      <c r="O39" s="116">
        <v>2113</v>
      </c>
    </row>
    <row r="40" spans="1:15" x14ac:dyDescent="0.25">
      <c r="A40" t="s">
        <v>1525</v>
      </c>
      <c r="B40" s="116">
        <v>121098</v>
      </c>
      <c r="C40" s="116">
        <v>29328</v>
      </c>
      <c r="D40" t="s">
        <v>418</v>
      </c>
      <c r="E40" t="s">
        <v>418</v>
      </c>
      <c r="F40" t="s">
        <v>418</v>
      </c>
      <c r="G40" s="116">
        <v>44853</v>
      </c>
      <c r="H40" t="s">
        <v>418</v>
      </c>
      <c r="I40" t="s">
        <v>418</v>
      </c>
      <c r="J40" s="116">
        <v>93317</v>
      </c>
      <c r="K40" s="116">
        <v>94710</v>
      </c>
      <c r="L40" t="s">
        <v>418</v>
      </c>
      <c r="M40">
        <v>0</v>
      </c>
      <c r="N40">
        <v>400</v>
      </c>
      <c r="O40">
        <v>0</v>
      </c>
    </row>
    <row r="41" spans="1:15" x14ac:dyDescent="0.25">
      <c r="A41" t="s">
        <v>1526</v>
      </c>
      <c r="B41" t="s">
        <v>418</v>
      </c>
      <c r="C41" t="s">
        <v>418</v>
      </c>
      <c r="D41" t="s">
        <v>418</v>
      </c>
      <c r="E41" t="s">
        <v>418</v>
      </c>
      <c r="F41" t="s">
        <v>418</v>
      </c>
      <c r="G41" t="s">
        <v>418</v>
      </c>
      <c r="H41" t="s">
        <v>418</v>
      </c>
      <c r="I41" t="s">
        <v>418</v>
      </c>
      <c r="J41" t="s">
        <v>418</v>
      </c>
      <c r="K41" t="s">
        <v>418</v>
      </c>
      <c r="L41" t="s">
        <v>418</v>
      </c>
      <c r="M41">
        <v>0</v>
      </c>
      <c r="N41">
        <v>0</v>
      </c>
      <c r="O41">
        <v>0</v>
      </c>
    </row>
    <row r="42" spans="1:15" x14ac:dyDescent="0.25">
      <c r="A42" t="s">
        <v>1527</v>
      </c>
      <c r="B42" s="116">
        <v>2786323</v>
      </c>
      <c r="C42" s="116">
        <v>1415126</v>
      </c>
      <c r="D42" s="116">
        <v>217630</v>
      </c>
      <c r="E42" s="116">
        <v>129734</v>
      </c>
      <c r="F42" s="116">
        <v>167755</v>
      </c>
      <c r="G42" s="116">
        <v>344226</v>
      </c>
      <c r="H42" s="116">
        <v>320890</v>
      </c>
      <c r="I42" s="116">
        <v>787778</v>
      </c>
      <c r="J42" s="116">
        <v>827346</v>
      </c>
      <c r="K42" s="116">
        <v>783899</v>
      </c>
      <c r="L42" s="116">
        <v>126166</v>
      </c>
      <c r="M42" s="116">
        <v>139265</v>
      </c>
      <c r="N42" s="116">
        <v>264427</v>
      </c>
      <c r="O42" s="116">
        <v>76752</v>
      </c>
    </row>
    <row r="43" spans="1:15" x14ac:dyDescent="0.25">
      <c r="A43" t="s">
        <v>1528</v>
      </c>
      <c r="B43" s="116">
        <v>-1198088</v>
      </c>
      <c r="C43" s="116">
        <v>-1076515</v>
      </c>
      <c r="D43" s="116">
        <v>121810</v>
      </c>
      <c r="E43" s="116">
        <v>226250</v>
      </c>
      <c r="F43" s="116">
        <v>-22905</v>
      </c>
      <c r="G43" s="116">
        <v>-225452</v>
      </c>
      <c r="H43" s="116">
        <v>-182565</v>
      </c>
      <c r="I43" s="116">
        <v>-648167</v>
      </c>
      <c r="J43" s="116">
        <v>-794019</v>
      </c>
      <c r="K43" s="116">
        <v>-677414</v>
      </c>
      <c r="L43" s="116">
        <v>-110395</v>
      </c>
      <c r="M43" s="116">
        <v>-96773</v>
      </c>
      <c r="N43" s="116">
        <v>-126128</v>
      </c>
      <c r="O43" s="116">
        <v>-17701</v>
      </c>
    </row>
    <row r="44" spans="1:15" x14ac:dyDescent="0.25">
      <c r="A44" t="s">
        <v>280</v>
      </c>
    </row>
    <row r="45" spans="1:15" x14ac:dyDescent="0.25">
      <c r="A45" t="s">
        <v>1529</v>
      </c>
      <c r="B45" s="116">
        <v>42774</v>
      </c>
      <c r="C45" s="116">
        <v>53773</v>
      </c>
      <c r="D45" s="116">
        <v>4311</v>
      </c>
      <c r="E45" s="116">
        <v>13276</v>
      </c>
      <c r="F45">
        <v>530</v>
      </c>
      <c r="G45" s="116">
        <v>93981</v>
      </c>
      <c r="H45" s="116">
        <v>17987</v>
      </c>
      <c r="I45" s="116">
        <v>30947</v>
      </c>
      <c r="J45">
        <v>300</v>
      </c>
      <c r="K45" s="116">
        <v>11994</v>
      </c>
      <c r="L45">
        <v>300</v>
      </c>
      <c r="M45">
        <v>36</v>
      </c>
      <c r="N45" s="116">
        <v>106624</v>
      </c>
      <c r="O45" s="116">
        <v>10597</v>
      </c>
    </row>
    <row r="46" spans="1:15" x14ac:dyDescent="0.25">
      <c r="A46" t="s">
        <v>1530</v>
      </c>
      <c r="B46" s="116">
        <v>3253</v>
      </c>
      <c r="C46" s="116">
        <v>1043</v>
      </c>
      <c r="D46" t="s">
        <v>418</v>
      </c>
      <c r="E46" t="s">
        <v>418</v>
      </c>
      <c r="F46">
        <v>530</v>
      </c>
      <c r="G46" s="116">
        <v>93981</v>
      </c>
      <c r="H46" s="116">
        <v>17987</v>
      </c>
      <c r="I46" s="116">
        <v>30947</v>
      </c>
      <c r="J46" t="s">
        <v>418</v>
      </c>
      <c r="K46" t="s">
        <v>418</v>
      </c>
      <c r="L46" t="s">
        <v>418</v>
      </c>
      <c r="M46">
        <v>0</v>
      </c>
      <c r="N46" s="116">
        <v>3500</v>
      </c>
      <c r="O46" s="116">
        <v>10597</v>
      </c>
    </row>
    <row r="47" spans="1:15" x14ac:dyDescent="0.25">
      <c r="A47" t="s">
        <v>1531</v>
      </c>
      <c r="B47" s="116">
        <v>1574974</v>
      </c>
      <c r="C47" s="116">
        <v>952691</v>
      </c>
      <c r="D47" s="116">
        <v>654051</v>
      </c>
      <c r="E47" s="116">
        <v>1727124</v>
      </c>
      <c r="F47" s="116">
        <v>2421847</v>
      </c>
      <c r="G47" s="116">
        <v>1336659</v>
      </c>
      <c r="H47" s="116">
        <v>2370108</v>
      </c>
      <c r="I47" s="116">
        <v>3285069</v>
      </c>
      <c r="J47" s="116">
        <v>2479380</v>
      </c>
      <c r="K47" s="116">
        <v>687451</v>
      </c>
      <c r="L47" s="116">
        <v>218706</v>
      </c>
      <c r="M47" s="116">
        <v>359681</v>
      </c>
      <c r="N47" s="116">
        <v>421164</v>
      </c>
      <c r="O47" s="116">
        <v>222041</v>
      </c>
    </row>
    <row r="48" spans="1:15" x14ac:dyDescent="0.25">
      <c r="A48" t="s">
        <v>1532</v>
      </c>
      <c r="B48" t="s">
        <v>418</v>
      </c>
      <c r="C48" t="s">
        <v>418</v>
      </c>
      <c r="D48" t="s">
        <v>418</v>
      </c>
      <c r="E48" s="116">
        <v>445500</v>
      </c>
      <c r="F48" t="s">
        <v>418</v>
      </c>
      <c r="G48" t="s">
        <v>418</v>
      </c>
      <c r="H48" t="s">
        <v>418</v>
      </c>
      <c r="I48" t="s">
        <v>418</v>
      </c>
      <c r="J48" t="s">
        <v>418</v>
      </c>
      <c r="K48" t="s">
        <v>418</v>
      </c>
      <c r="L48" t="s">
        <v>418</v>
      </c>
      <c r="M48">
        <v>0</v>
      </c>
      <c r="N48" s="116">
        <v>49357</v>
      </c>
      <c r="O48">
        <v>0</v>
      </c>
    </row>
    <row r="49" spans="1:15" x14ac:dyDescent="0.25">
      <c r="A49" t="s">
        <v>1533</v>
      </c>
      <c r="B49" s="116">
        <v>98853</v>
      </c>
      <c r="C49" s="116">
        <v>44210</v>
      </c>
      <c r="D49" t="s">
        <v>418</v>
      </c>
      <c r="E49" t="s">
        <v>418</v>
      </c>
      <c r="F49" t="s">
        <v>418</v>
      </c>
      <c r="G49" t="s">
        <v>418</v>
      </c>
      <c r="H49" t="s">
        <v>418</v>
      </c>
      <c r="I49" s="116">
        <v>90000</v>
      </c>
      <c r="J49" t="s">
        <v>418</v>
      </c>
      <c r="K49" t="s">
        <v>418</v>
      </c>
      <c r="L49" t="s">
        <v>418</v>
      </c>
      <c r="M49">
        <v>0</v>
      </c>
      <c r="N49">
        <v>0</v>
      </c>
      <c r="O49" s="116">
        <v>3000</v>
      </c>
    </row>
    <row r="50" spans="1:15" x14ac:dyDescent="0.25">
      <c r="A50" t="s">
        <v>1534</v>
      </c>
      <c r="B50" s="116">
        <v>1716602</v>
      </c>
      <c r="C50" s="116">
        <v>1050674</v>
      </c>
      <c r="D50" s="116">
        <v>658362</v>
      </c>
      <c r="E50" s="116">
        <v>2185900</v>
      </c>
      <c r="F50" s="116">
        <v>2422377</v>
      </c>
      <c r="G50" s="116">
        <v>1430640</v>
      </c>
      <c r="H50" s="116">
        <v>2388095</v>
      </c>
      <c r="I50" s="116">
        <v>3406016</v>
      </c>
      <c r="J50" s="116">
        <v>2479680</v>
      </c>
      <c r="K50" s="116">
        <v>699445</v>
      </c>
      <c r="L50" s="116">
        <v>219006</v>
      </c>
      <c r="M50" s="116">
        <v>359717</v>
      </c>
      <c r="N50" s="116">
        <v>577145</v>
      </c>
      <c r="O50" s="116">
        <v>235638</v>
      </c>
    </row>
    <row r="51" spans="1:15" x14ac:dyDescent="0.25">
      <c r="A51" t="s">
        <v>1535</v>
      </c>
      <c r="B51" s="116">
        <v>1399394</v>
      </c>
      <c r="C51" s="116">
        <v>794265</v>
      </c>
      <c r="D51" s="116">
        <v>1869893</v>
      </c>
      <c r="E51" s="116">
        <v>2453048</v>
      </c>
      <c r="F51" s="116">
        <v>2317627</v>
      </c>
      <c r="G51" s="116">
        <v>1142914</v>
      </c>
      <c r="H51" s="116">
        <v>2332114</v>
      </c>
      <c r="I51" s="116">
        <v>2906024</v>
      </c>
      <c r="J51" s="116">
        <v>1403429</v>
      </c>
      <c r="K51" s="116">
        <v>345147</v>
      </c>
      <c r="L51" s="116">
        <v>299899</v>
      </c>
      <c r="M51" s="116">
        <v>247483</v>
      </c>
      <c r="N51" s="116">
        <v>341955</v>
      </c>
      <c r="O51" s="116">
        <v>213498</v>
      </c>
    </row>
    <row r="52" spans="1:15" x14ac:dyDescent="0.25">
      <c r="A52" t="s">
        <v>1536</v>
      </c>
      <c r="B52" s="116">
        <v>288328</v>
      </c>
      <c r="C52" s="116">
        <v>173281</v>
      </c>
      <c r="D52" s="116">
        <v>75906</v>
      </c>
      <c r="E52" s="116">
        <v>97749</v>
      </c>
      <c r="F52" s="116">
        <v>124599</v>
      </c>
      <c r="G52" s="116">
        <v>260432</v>
      </c>
      <c r="H52" s="116">
        <v>314193</v>
      </c>
      <c r="I52" s="116">
        <v>407127</v>
      </c>
      <c r="J52" s="116">
        <v>165711</v>
      </c>
      <c r="K52" s="116">
        <v>141306</v>
      </c>
      <c r="L52" s="116">
        <v>39943</v>
      </c>
      <c r="M52" s="116">
        <v>43326</v>
      </c>
      <c r="N52" s="116">
        <v>27644</v>
      </c>
      <c r="O52" s="116">
        <v>10996</v>
      </c>
    </row>
    <row r="53" spans="1:15" x14ac:dyDescent="0.25">
      <c r="A53" t="s">
        <v>1537</v>
      </c>
      <c r="B53" s="116">
        <v>12713</v>
      </c>
      <c r="C53" s="116">
        <v>5095</v>
      </c>
      <c r="D53" s="116">
        <v>1350</v>
      </c>
      <c r="E53" s="116">
        <v>5356</v>
      </c>
      <c r="F53" t="s">
        <v>418</v>
      </c>
      <c r="G53" s="116">
        <v>63897</v>
      </c>
      <c r="H53" t="s">
        <v>418</v>
      </c>
      <c r="I53" t="s">
        <v>418</v>
      </c>
      <c r="J53" t="s">
        <v>418</v>
      </c>
      <c r="K53" t="s">
        <v>418</v>
      </c>
      <c r="L53" t="s">
        <v>418</v>
      </c>
      <c r="M53">
        <v>0</v>
      </c>
      <c r="N53" s="116">
        <v>4896</v>
      </c>
      <c r="O53">
        <v>0</v>
      </c>
    </row>
    <row r="54" spans="1:15" x14ac:dyDescent="0.25">
      <c r="A54" t="s">
        <v>1538</v>
      </c>
      <c r="B54" s="116">
        <v>143953</v>
      </c>
      <c r="C54">
        <v>434</v>
      </c>
      <c r="D54" s="116">
        <v>21018</v>
      </c>
      <c r="E54" s="116">
        <v>101215</v>
      </c>
      <c r="F54" t="s">
        <v>418</v>
      </c>
      <c r="G54" s="116">
        <v>1196</v>
      </c>
      <c r="H54" s="116">
        <v>124314</v>
      </c>
      <c r="I54" s="116">
        <v>5865</v>
      </c>
      <c r="J54" s="116">
        <v>10371</v>
      </c>
      <c r="K54" s="116">
        <v>131110</v>
      </c>
      <c r="L54" t="s">
        <v>418</v>
      </c>
      <c r="M54">
        <v>0</v>
      </c>
      <c r="N54" s="116">
        <v>1948</v>
      </c>
      <c r="O54">
        <v>0</v>
      </c>
    </row>
    <row r="55" spans="1:15" x14ac:dyDescent="0.25">
      <c r="A55" t="s">
        <v>1539</v>
      </c>
      <c r="B55" s="116">
        <v>1831675</v>
      </c>
      <c r="C55" s="116">
        <v>967981</v>
      </c>
      <c r="D55" s="116">
        <v>1966817</v>
      </c>
      <c r="E55" s="116">
        <v>2652011</v>
      </c>
      <c r="F55" s="116">
        <v>2442226</v>
      </c>
      <c r="G55" s="116">
        <v>1404542</v>
      </c>
      <c r="H55" s="116">
        <v>2770622</v>
      </c>
      <c r="I55" s="116">
        <v>3319017</v>
      </c>
      <c r="J55" s="116">
        <v>1579512</v>
      </c>
      <c r="K55" s="116">
        <v>617563</v>
      </c>
      <c r="L55" s="116">
        <v>339842</v>
      </c>
      <c r="M55" s="116">
        <v>290808</v>
      </c>
      <c r="N55" s="116">
        <v>371547</v>
      </c>
      <c r="O55" s="116">
        <v>224494</v>
      </c>
    </row>
    <row r="56" spans="1:15" x14ac:dyDescent="0.25">
      <c r="A56" t="s">
        <v>1540</v>
      </c>
      <c r="B56" s="116">
        <v>-115073</v>
      </c>
      <c r="C56" s="116">
        <v>82693</v>
      </c>
      <c r="D56" s="116">
        <v>-1308455</v>
      </c>
      <c r="E56" s="116">
        <v>-466112</v>
      </c>
      <c r="F56" s="116">
        <v>-19849</v>
      </c>
      <c r="G56" s="116">
        <v>26098</v>
      </c>
      <c r="H56" s="116">
        <v>-382526</v>
      </c>
      <c r="I56" s="116">
        <v>86999</v>
      </c>
      <c r="J56" s="116">
        <v>900168</v>
      </c>
      <c r="K56" s="116">
        <v>81882</v>
      </c>
      <c r="L56" s="116">
        <v>-120836</v>
      </c>
      <c r="M56" s="116">
        <v>68908</v>
      </c>
      <c r="N56" s="116">
        <v>205599</v>
      </c>
      <c r="O56" s="116">
        <v>11144</v>
      </c>
    </row>
    <row r="57" spans="1:15" x14ac:dyDescent="0.25">
      <c r="A57" t="s">
        <v>1541</v>
      </c>
    </row>
    <row r="58" spans="1:15" x14ac:dyDescent="0.25">
      <c r="A58" t="s">
        <v>1542</v>
      </c>
      <c r="B58">
        <v>-318</v>
      </c>
      <c r="C58">
        <v>643</v>
      </c>
      <c r="D58" s="116">
        <v>-2246</v>
      </c>
      <c r="E58" s="116">
        <v>-10771</v>
      </c>
      <c r="F58">
        <v>33</v>
      </c>
      <c r="G58" s="116">
        <v>-1796</v>
      </c>
      <c r="H58" s="116">
        <v>-4493</v>
      </c>
      <c r="I58" s="116">
        <v>-1242</v>
      </c>
      <c r="J58">
        <v>291</v>
      </c>
      <c r="K58" s="116">
        <v>-1027</v>
      </c>
      <c r="L58" s="116">
        <v>-1945</v>
      </c>
      <c r="M58" s="116">
        <v>-2974</v>
      </c>
      <c r="N58" s="116">
        <v>-1973</v>
      </c>
      <c r="O58">
        <v>0</v>
      </c>
    </row>
    <row r="59" spans="1:15" x14ac:dyDescent="0.25">
      <c r="A59" t="s">
        <v>281</v>
      </c>
    </row>
    <row r="60" spans="1:15" x14ac:dyDescent="0.25">
      <c r="A60" t="s">
        <v>1543</v>
      </c>
      <c r="B60" s="116">
        <v>13059</v>
      </c>
      <c r="C60" s="116">
        <v>59511</v>
      </c>
      <c r="D60" s="116">
        <v>-332441</v>
      </c>
      <c r="E60" s="116">
        <v>74312</v>
      </c>
      <c r="F60" s="116">
        <v>170876</v>
      </c>
      <c r="G60" s="116">
        <v>-77955</v>
      </c>
      <c r="H60" s="116">
        <v>-292651</v>
      </c>
      <c r="I60" s="116">
        <v>5764</v>
      </c>
      <c r="J60" s="116">
        <v>334342</v>
      </c>
      <c r="K60" s="116">
        <v>78354</v>
      </c>
      <c r="L60" s="116">
        <v>13937</v>
      </c>
      <c r="M60" s="116">
        <v>33211</v>
      </c>
      <c r="N60" s="116">
        <v>140557</v>
      </c>
      <c r="O60" s="116">
        <v>44446</v>
      </c>
    </row>
    <row r="61" spans="1:15" x14ac:dyDescent="0.25">
      <c r="A61" t="s">
        <v>1544</v>
      </c>
      <c r="B61" s="116">
        <v>432089</v>
      </c>
      <c r="C61" s="116">
        <v>372578</v>
      </c>
      <c r="D61" s="116">
        <v>705019</v>
      </c>
      <c r="E61" s="116">
        <v>630707</v>
      </c>
      <c r="F61" s="116">
        <v>456815</v>
      </c>
      <c r="G61" s="116">
        <v>534771</v>
      </c>
      <c r="H61" s="116">
        <v>827422</v>
      </c>
      <c r="I61" s="116">
        <v>821658</v>
      </c>
      <c r="J61" s="116">
        <v>487315</v>
      </c>
      <c r="K61" s="116">
        <v>408961</v>
      </c>
      <c r="L61" s="116">
        <v>293756</v>
      </c>
      <c r="M61" s="116">
        <v>260545</v>
      </c>
      <c r="N61" s="116">
        <v>119989</v>
      </c>
      <c r="O61" s="116">
        <v>75543</v>
      </c>
    </row>
    <row r="62" spans="1:15" x14ac:dyDescent="0.25">
      <c r="A62" t="s">
        <v>1545</v>
      </c>
      <c r="B62" s="116">
        <v>445148</v>
      </c>
      <c r="C62" s="116">
        <v>432089</v>
      </c>
      <c r="D62" s="116">
        <v>372578</v>
      </c>
      <c r="E62" s="116">
        <v>705019</v>
      </c>
      <c r="F62" s="116">
        <v>627692</v>
      </c>
      <c r="G62" s="116">
        <v>456815</v>
      </c>
      <c r="H62" s="116">
        <v>534771</v>
      </c>
      <c r="I62" s="116">
        <v>827422</v>
      </c>
      <c r="J62" s="116">
        <v>821658</v>
      </c>
      <c r="K62" s="116">
        <v>487315</v>
      </c>
      <c r="L62" s="116">
        <v>307693</v>
      </c>
      <c r="M62" s="116">
        <v>293756</v>
      </c>
      <c r="N62" s="116">
        <v>260545</v>
      </c>
      <c r="O62" s="116">
        <v>119989</v>
      </c>
    </row>
    <row r="63" spans="1:15" x14ac:dyDescent="0.25">
      <c r="A63" t="s">
        <v>1546</v>
      </c>
    </row>
    <row r="64" spans="1:15" x14ac:dyDescent="0.25">
      <c r="A64" t="s">
        <v>1547</v>
      </c>
    </row>
    <row r="65" spans="1:15" x14ac:dyDescent="0.25">
      <c r="A65" t="s">
        <v>1479</v>
      </c>
      <c r="B65" s="116">
        <v>1149445</v>
      </c>
      <c r="C65" s="116">
        <v>630349</v>
      </c>
      <c r="D65" s="116">
        <v>222709</v>
      </c>
      <c r="E65" s="116">
        <v>16380</v>
      </c>
      <c r="F65" s="116">
        <v>13815</v>
      </c>
      <c r="G65" s="116">
        <v>75597</v>
      </c>
      <c r="H65" s="116">
        <v>309485</v>
      </c>
      <c r="I65" s="116">
        <v>601068</v>
      </c>
      <c r="J65" s="116">
        <v>936155</v>
      </c>
      <c r="K65" s="116">
        <v>616403</v>
      </c>
      <c r="L65" s="116">
        <v>236996</v>
      </c>
      <c r="M65" s="116">
        <v>147441</v>
      </c>
      <c r="N65" s="116">
        <v>190579</v>
      </c>
      <c r="O65" s="116">
        <v>74120</v>
      </c>
    </row>
    <row r="66" spans="1:15" x14ac:dyDescent="0.25">
      <c r="A66" t="s">
        <v>1482</v>
      </c>
      <c r="B66" t="s">
        <v>418</v>
      </c>
      <c r="C66" t="s">
        <v>418</v>
      </c>
      <c r="D66" t="s">
        <v>418</v>
      </c>
      <c r="E66" t="s">
        <v>418</v>
      </c>
      <c r="F66" t="s">
        <v>418</v>
      </c>
      <c r="G66" t="s">
        <v>418</v>
      </c>
      <c r="H66" t="s">
        <v>418</v>
      </c>
      <c r="I66" t="s">
        <v>418</v>
      </c>
      <c r="J66" t="s">
        <v>418</v>
      </c>
      <c r="K66" t="s">
        <v>418</v>
      </c>
      <c r="L66" t="s">
        <v>418</v>
      </c>
      <c r="M66">
        <v>0</v>
      </c>
      <c r="N66">
        <v>0</v>
      </c>
      <c r="O66">
        <v>0</v>
      </c>
    </row>
    <row r="67" spans="1:15" x14ac:dyDescent="0.25">
      <c r="A67" t="s">
        <v>1548</v>
      </c>
      <c r="B67" t="s">
        <v>418</v>
      </c>
      <c r="C67" t="s">
        <v>418</v>
      </c>
      <c r="D67" t="s">
        <v>418</v>
      </c>
      <c r="E67" t="s">
        <v>418</v>
      </c>
      <c r="F67" t="s">
        <v>418</v>
      </c>
      <c r="G67" t="s">
        <v>418</v>
      </c>
      <c r="H67" t="s">
        <v>418</v>
      </c>
      <c r="I67" t="s">
        <v>418</v>
      </c>
      <c r="J67" t="s">
        <v>418</v>
      </c>
      <c r="K67" t="s">
        <v>418</v>
      </c>
      <c r="L67" t="s">
        <v>418</v>
      </c>
      <c r="M67">
        <v>0</v>
      </c>
      <c r="N67">
        <v>0</v>
      </c>
      <c r="O67">
        <v>0</v>
      </c>
    </row>
    <row r="68" spans="1:15" x14ac:dyDescent="0.25">
      <c r="A68" t="s">
        <v>1549</v>
      </c>
      <c r="B68" s="116">
        <v>24904</v>
      </c>
      <c r="C68">
        <v>-752</v>
      </c>
      <c r="D68" s="116">
        <v>90311</v>
      </c>
      <c r="E68" s="116">
        <v>20359</v>
      </c>
      <c r="F68" s="116">
        <v>43571</v>
      </c>
      <c r="G68" s="116">
        <v>58165</v>
      </c>
      <c r="H68" s="116">
        <v>33830</v>
      </c>
      <c r="I68" s="116">
        <v>-19491</v>
      </c>
      <c r="J68" s="116">
        <v>28880</v>
      </c>
      <c r="K68" s="116">
        <v>12692</v>
      </c>
      <c r="L68" s="116">
        <v>7232</v>
      </c>
      <c r="M68" s="116">
        <v>8424</v>
      </c>
      <c r="N68" s="116">
        <v>8100</v>
      </c>
      <c r="O68" s="116">
        <v>3990</v>
      </c>
    </row>
    <row r="69" spans="1:15" x14ac:dyDescent="0.25">
      <c r="A69" t="s">
        <v>1550</v>
      </c>
      <c r="B69" s="116">
        <v>165443</v>
      </c>
      <c r="C69" s="116">
        <v>153606</v>
      </c>
      <c r="D69" s="116">
        <v>157481</v>
      </c>
      <c r="E69" s="116">
        <v>170060</v>
      </c>
      <c r="F69" s="116">
        <v>152229</v>
      </c>
      <c r="G69" s="116">
        <v>148427</v>
      </c>
      <c r="H69" s="116">
        <v>129228</v>
      </c>
      <c r="I69" s="116">
        <v>108327</v>
      </c>
      <c r="J69" s="116">
        <v>66838</v>
      </c>
      <c r="K69" s="116">
        <v>48544</v>
      </c>
      <c r="L69" s="116">
        <v>26761</v>
      </c>
      <c r="M69" s="116">
        <v>18734</v>
      </c>
      <c r="N69" s="116">
        <v>13952</v>
      </c>
      <c r="O69" s="116">
        <v>10768</v>
      </c>
    </row>
    <row r="70" spans="1:15" x14ac:dyDescent="0.25">
      <c r="A70" t="s">
        <v>1551</v>
      </c>
      <c r="B70" s="116">
        <v>35534</v>
      </c>
      <c r="C70" s="116">
        <v>37820</v>
      </c>
      <c r="D70" s="116">
        <v>33865</v>
      </c>
      <c r="E70" s="116">
        <v>39437</v>
      </c>
      <c r="F70" s="116">
        <v>25522</v>
      </c>
      <c r="G70" s="116">
        <v>24596</v>
      </c>
      <c r="H70" s="116">
        <v>21808</v>
      </c>
      <c r="I70" s="116">
        <v>15008</v>
      </c>
      <c r="J70" s="116">
        <v>5006</v>
      </c>
      <c r="K70" s="116">
        <v>3688</v>
      </c>
      <c r="L70" s="116">
        <v>1776</v>
      </c>
      <c r="M70" s="116">
        <v>1562</v>
      </c>
      <c r="N70" s="116">
        <v>1056</v>
      </c>
      <c r="O70">
        <v>312</v>
      </c>
    </row>
    <row r="71" spans="1:15" x14ac:dyDescent="0.25">
      <c r="A71" t="s">
        <v>1552</v>
      </c>
      <c r="B71" s="116">
        <v>1052</v>
      </c>
      <c r="C71" s="116">
        <v>1792</v>
      </c>
      <c r="D71" t="s">
        <v>418</v>
      </c>
      <c r="E71">
        <v>278</v>
      </c>
      <c r="F71">
        <v>34</v>
      </c>
      <c r="G71" t="s">
        <v>418</v>
      </c>
      <c r="H71" t="s">
        <v>418</v>
      </c>
      <c r="I71" t="s">
        <v>418</v>
      </c>
      <c r="J71">
        <v>500</v>
      </c>
      <c r="K71">
        <v>145</v>
      </c>
      <c r="L71">
        <v>149</v>
      </c>
      <c r="M71">
        <v>118</v>
      </c>
      <c r="N71">
        <v>80</v>
      </c>
      <c r="O71">
        <v>10</v>
      </c>
    </row>
    <row r="72" spans="1:15" x14ac:dyDescent="0.25">
      <c r="A72" t="s">
        <v>1553</v>
      </c>
      <c r="B72" t="s">
        <v>418</v>
      </c>
      <c r="C72" t="s">
        <v>418</v>
      </c>
      <c r="D72" t="s">
        <v>418</v>
      </c>
      <c r="E72" t="s">
        <v>418</v>
      </c>
      <c r="F72" t="s">
        <v>418</v>
      </c>
      <c r="G72" t="s">
        <v>418</v>
      </c>
      <c r="H72" t="s">
        <v>418</v>
      </c>
      <c r="I72" t="s">
        <v>418</v>
      </c>
      <c r="J72" t="s">
        <v>418</v>
      </c>
      <c r="K72" t="s">
        <v>418</v>
      </c>
      <c r="L72" t="s">
        <v>418</v>
      </c>
      <c r="M72">
        <v>0</v>
      </c>
      <c r="N72">
        <v>-200</v>
      </c>
      <c r="O72">
        <v>-277</v>
      </c>
    </row>
    <row r="73" spans="1:15" x14ac:dyDescent="0.25">
      <c r="A73" t="s">
        <v>1554</v>
      </c>
      <c r="B73" t="s">
        <v>418</v>
      </c>
      <c r="C73" t="s">
        <v>418</v>
      </c>
      <c r="D73" t="s">
        <v>418</v>
      </c>
      <c r="E73" t="s">
        <v>418</v>
      </c>
      <c r="F73" t="s">
        <v>418</v>
      </c>
      <c r="G73" t="s">
        <v>418</v>
      </c>
      <c r="H73" t="s">
        <v>418</v>
      </c>
      <c r="I73" t="s">
        <v>418</v>
      </c>
      <c r="J73" t="s">
        <v>418</v>
      </c>
      <c r="K73" t="s">
        <v>418</v>
      </c>
      <c r="L73" t="s">
        <v>418</v>
      </c>
      <c r="M73">
        <v>0</v>
      </c>
      <c r="N73" s="116">
        <v>5872</v>
      </c>
      <c r="O73" s="116">
        <v>1253</v>
      </c>
    </row>
    <row r="74" spans="1:15" x14ac:dyDescent="0.25">
      <c r="A74" t="s">
        <v>1555</v>
      </c>
      <c r="B74" s="116">
        <v>-56875</v>
      </c>
      <c r="C74" s="116">
        <v>2805</v>
      </c>
      <c r="D74" s="116">
        <v>1827</v>
      </c>
      <c r="E74" s="116">
        <v>-5143</v>
      </c>
      <c r="F74" s="116">
        <v>19270</v>
      </c>
      <c r="G74">
        <v>271</v>
      </c>
      <c r="H74" s="116">
        <v>-7702</v>
      </c>
      <c r="I74">
        <v>2</v>
      </c>
      <c r="J74">
        <v>76</v>
      </c>
      <c r="K74">
        <v>-803</v>
      </c>
      <c r="L74">
        <v>169</v>
      </c>
      <c r="M74">
        <v>215</v>
      </c>
      <c r="N74">
        <v>-286</v>
      </c>
      <c r="O74">
        <v>-216</v>
      </c>
    </row>
    <row r="75" spans="1:15" x14ac:dyDescent="0.25">
      <c r="A75" t="s">
        <v>1556</v>
      </c>
      <c r="B75" s="116">
        <v>9073</v>
      </c>
      <c r="C75" s="116">
        <v>4434</v>
      </c>
      <c r="D75" t="s">
        <v>418</v>
      </c>
      <c r="E75" t="s">
        <v>418</v>
      </c>
      <c r="F75" t="s">
        <v>418</v>
      </c>
      <c r="G75" t="s">
        <v>418</v>
      </c>
      <c r="H75" t="s">
        <v>418</v>
      </c>
      <c r="I75" t="s">
        <v>418</v>
      </c>
      <c r="J75">
        <v>0</v>
      </c>
      <c r="K75" t="s">
        <v>418</v>
      </c>
      <c r="L75" t="s">
        <v>418</v>
      </c>
      <c r="M75">
        <v>0</v>
      </c>
      <c r="N75">
        <v>0</v>
      </c>
      <c r="O75">
        <v>0</v>
      </c>
    </row>
    <row r="76" spans="1:15" x14ac:dyDescent="0.25">
      <c r="A76" t="s">
        <v>1557</v>
      </c>
      <c r="B76" s="116">
        <v>-28965</v>
      </c>
      <c r="C76" s="116">
        <v>36168</v>
      </c>
      <c r="D76" s="116">
        <v>-40268</v>
      </c>
      <c r="E76" s="116">
        <v>56337</v>
      </c>
      <c r="F76" s="116">
        <v>-28236</v>
      </c>
      <c r="G76" s="116">
        <v>1528</v>
      </c>
      <c r="H76" s="116">
        <v>-14315</v>
      </c>
      <c r="I76" s="116">
        <v>13936</v>
      </c>
      <c r="J76" s="116">
        <v>6866</v>
      </c>
      <c r="K76" s="116">
        <v>-5035</v>
      </c>
      <c r="L76" s="116">
        <v>-4515</v>
      </c>
      <c r="M76" s="116">
        <v>18403</v>
      </c>
      <c r="N76" s="116">
        <v>-9950</v>
      </c>
      <c r="O76" s="116">
        <v>-3283</v>
      </c>
    </row>
    <row r="77" spans="1:15" x14ac:dyDescent="0.25">
      <c r="A77" t="s">
        <v>1558</v>
      </c>
      <c r="B77" t="s">
        <v>418</v>
      </c>
      <c r="C77" t="s">
        <v>418</v>
      </c>
      <c r="D77" t="s">
        <v>418</v>
      </c>
      <c r="E77" t="s">
        <v>418</v>
      </c>
      <c r="F77" t="s">
        <v>418</v>
      </c>
      <c r="G77" t="s">
        <v>418</v>
      </c>
      <c r="H77" t="s">
        <v>418</v>
      </c>
      <c r="I77" t="s">
        <v>418</v>
      </c>
      <c r="J77" t="s">
        <v>418</v>
      </c>
      <c r="K77" t="s">
        <v>418</v>
      </c>
      <c r="L77" t="s">
        <v>418</v>
      </c>
      <c r="M77">
        <v>0</v>
      </c>
      <c r="N77">
        <v>0</v>
      </c>
      <c r="O77">
        <v>0</v>
      </c>
    </row>
    <row r="78" spans="1:15" x14ac:dyDescent="0.25">
      <c r="A78" t="s">
        <v>1559</v>
      </c>
      <c r="B78" t="s">
        <v>418</v>
      </c>
      <c r="C78" t="s">
        <v>418</v>
      </c>
      <c r="D78" t="s">
        <v>418</v>
      </c>
      <c r="E78" t="s">
        <v>418</v>
      </c>
      <c r="F78" t="s">
        <v>418</v>
      </c>
      <c r="G78" t="s">
        <v>418</v>
      </c>
      <c r="H78" t="s">
        <v>418</v>
      </c>
      <c r="I78" t="s">
        <v>418</v>
      </c>
      <c r="J78" t="s">
        <v>418</v>
      </c>
      <c r="K78" t="s">
        <v>418</v>
      </c>
      <c r="L78" t="s">
        <v>418</v>
      </c>
      <c r="M78">
        <v>0</v>
      </c>
      <c r="N78">
        <v>0</v>
      </c>
      <c r="O78">
        <v>0</v>
      </c>
    </row>
    <row r="79" spans="1:15" x14ac:dyDescent="0.25">
      <c r="A79" t="s">
        <v>1462</v>
      </c>
      <c r="B79" s="116">
        <v>11991</v>
      </c>
      <c r="C79" s="116">
        <v>38795</v>
      </c>
      <c r="D79" s="116">
        <v>127085</v>
      </c>
      <c r="E79" s="116">
        <v>189191</v>
      </c>
      <c r="F79" s="116">
        <v>134592</v>
      </c>
      <c r="G79" s="116">
        <v>90236</v>
      </c>
      <c r="H79" s="116">
        <v>67968</v>
      </c>
      <c r="I79" s="116">
        <v>121115</v>
      </c>
      <c r="J79" s="116">
        <v>57556</v>
      </c>
      <c r="K79" s="116">
        <v>19978</v>
      </c>
      <c r="L79" s="116">
        <v>9430</v>
      </c>
      <c r="M79">
        <v>-968</v>
      </c>
      <c r="N79" s="116">
        <v>11913</v>
      </c>
      <c r="O79" s="116">
        <v>10227</v>
      </c>
    </row>
    <row r="80" spans="1:15" x14ac:dyDescent="0.25">
      <c r="A80" t="s">
        <v>1560</v>
      </c>
      <c r="B80" s="116">
        <v>-38285</v>
      </c>
      <c r="C80" s="116">
        <v>-63746</v>
      </c>
      <c r="D80" s="116">
        <v>1929</v>
      </c>
      <c r="E80" s="116">
        <v>-218147</v>
      </c>
      <c r="F80" s="116">
        <v>2697</v>
      </c>
      <c r="G80" s="116">
        <v>-40717</v>
      </c>
      <c r="H80" s="116">
        <v>19762</v>
      </c>
      <c r="I80" s="116">
        <v>-16137</v>
      </c>
      <c r="J80" s="116">
        <v>-14123</v>
      </c>
      <c r="K80" s="116">
        <v>-4229</v>
      </c>
      <c r="L80" s="116">
        <v>7287</v>
      </c>
      <c r="M80" s="116">
        <v>6352</v>
      </c>
      <c r="N80" s="116">
        <v>-39874</v>
      </c>
      <c r="O80" s="116">
        <v>-8778</v>
      </c>
    </row>
    <row r="81" spans="1:15" x14ac:dyDescent="0.25">
      <c r="A81" t="s">
        <v>1561</v>
      </c>
      <c r="B81">
        <v>731</v>
      </c>
      <c r="C81" s="116">
        <v>29086</v>
      </c>
      <c r="D81" s="116">
        <v>-26200</v>
      </c>
      <c r="E81" s="116">
        <v>-32323</v>
      </c>
      <c r="F81" s="116">
        <v>-49298</v>
      </c>
      <c r="G81" s="116">
        <v>3070</v>
      </c>
      <c r="H81" s="116">
        <v>-28274</v>
      </c>
      <c r="I81" s="116">
        <v>18352</v>
      </c>
      <c r="J81" s="116">
        <v>-3214</v>
      </c>
      <c r="K81" s="116">
        <v>14337</v>
      </c>
      <c r="L81" s="116">
        <v>-1513</v>
      </c>
      <c r="M81" s="116">
        <v>-5200</v>
      </c>
      <c r="N81" s="116">
        <v>-16632</v>
      </c>
      <c r="O81">
        <v>-446</v>
      </c>
    </row>
    <row r="82" spans="1:15" x14ac:dyDescent="0.25">
      <c r="A82" t="s">
        <v>1562</v>
      </c>
      <c r="B82" s="116">
        <v>-5958</v>
      </c>
      <c r="C82" s="116">
        <v>-8968</v>
      </c>
      <c r="D82" s="116">
        <v>42747</v>
      </c>
      <c r="E82" s="116">
        <v>-5580</v>
      </c>
      <c r="F82" s="116">
        <v>-1880</v>
      </c>
      <c r="G82" s="116">
        <v>5364</v>
      </c>
      <c r="H82" s="116">
        <v>-21123</v>
      </c>
      <c r="I82" s="116">
        <v>-19646</v>
      </c>
      <c r="J82">
        <v>750</v>
      </c>
      <c r="K82" s="116">
        <v>-15214</v>
      </c>
      <c r="L82">
        <v>610</v>
      </c>
      <c r="M82" s="116">
        <v>-1875</v>
      </c>
      <c r="N82" s="116">
        <v>18060</v>
      </c>
      <c r="O82">
        <v>335</v>
      </c>
    </row>
    <row r="83" spans="1:15" x14ac:dyDescent="0.25">
      <c r="A83" t="s">
        <v>1563</v>
      </c>
      <c r="B83" s="116">
        <v>-273864</v>
      </c>
      <c r="C83" s="116">
        <v>-416662</v>
      </c>
      <c r="D83" s="116">
        <v>-156547</v>
      </c>
      <c r="E83" s="116">
        <v>-66300</v>
      </c>
      <c r="F83" s="116">
        <v>180681</v>
      </c>
      <c r="G83" s="116">
        <v>211922</v>
      </c>
      <c r="H83" s="116">
        <v>110846</v>
      </c>
      <c r="I83" s="116">
        <v>-52629</v>
      </c>
      <c r="J83" s="116">
        <v>-257010</v>
      </c>
      <c r="K83" s="116">
        <v>-172467</v>
      </c>
      <c r="L83" s="116">
        <v>-6192</v>
      </c>
      <c r="M83" s="116">
        <v>-67373</v>
      </c>
      <c r="N83" s="116">
        <v>-80868</v>
      </c>
      <c r="O83" s="116">
        <v>-40707</v>
      </c>
    </row>
    <row r="84" spans="1:15" x14ac:dyDescent="0.25">
      <c r="A84" t="s">
        <v>1564</v>
      </c>
      <c r="B84" s="116">
        <v>-301857</v>
      </c>
      <c r="C84" s="116">
        <v>-244817</v>
      </c>
      <c r="D84" s="116">
        <v>-121313</v>
      </c>
      <c r="E84" s="116">
        <v>-129416</v>
      </c>
      <c r="F84" s="116">
        <v>-25603</v>
      </c>
      <c r="G84" s="116">
        <v>-280327</v>
      </c>
      <c r="H84" s="116">
        <v>-356959</v>
      </c>
      <c r="I84" s="116">
        <v>-306081</v>
      </c>
      <c r="J84" s="116">
        <v>-676719</v>
      </c>
      <c r="K84" s="116">
        <v>-322460</v>
      </c>
      <c r="L84" s="116">
        <v>-83281</v>
      </c>
      <c r="M84" s="116">
        <v>-130447</v>
      </c>
      <c r="N84" s="116">
        <v>-168161</v>
      </c>
      <c r="O84" s="116">
        <v>-50192</v>
      </c>
    </row>
    <row r="85" spans="1:15" x14ac:dyDescent="0.25">
      <c r="A85" t="s">
        <v>1565</v>
      </c>
      <c r="B85" s="116">
        <v>628860</v>
      </c>
      <c r="C85" s="116">
        <v>840275</v>
      </c>
      <c r="D85" s="116">
        <v>490424</v>
      </c>
      <c r="E85" s="116">
        <v>289813</v>
      </c>
      <c r="F85" s="116">
        <v>-253797</v>
      </c>
      <c r="G85" s="116">
        <v>-163494</v>
      </c>
      <c r="H85">
        <v>858</v>
      </c>
      <c r="I85" s="116">
        <v>139484</v>
      </c>
      <c r="J85" s="116">
        <v>76342</v>
      </c>
      <c r="K85" s="116">
        <v>479332</v>
      </c>
      <c r="L85" s="116">
        <v>52204</v>
      </c>
      <c r="M85" s="116">
        <v>68663</v>
      </c>
      <c r="N85" s="116">
        <v>129419</v>
      </c>
      <c r="O85" s="116">
        <v>53885</v>
      </c>
    </row>
    <row r="86" spans="1:15" x14ac:dyDescent="0.25">
      <c r="A86" t="s">
        <v>1566</v>
      </c>
      <c r="B86" t="s">
        <v>418</v>
      </c>
      <c r="C86" t="s">
        <v>418</v>
      </c>
      <c r="D86" t="s">
        <v>418</v>
      </c>
      <c r="E86" t="s">
        <v>418</v>
      </c>
      <c r="F86" t="s">
        <v>418</v>
      </c>
      <c r="G86" t="s">
        <v>418</v>
      </c>
      <c r="H86" t="s">
        <v>418</v>
      </c>
      <c r="I86" t="s">
        <v>418</v>
      </c>
      <c r="J86" t="s">
        <v>418</v>
      </c>
      <c r="K86" t="s">
        <v>418</v>
      </c>
      <c r="L86" t="s">
        <v>418</v>
      </c>
      <c r="M86">
        <v>0</v>
      </c>
      <c r="N86">
        <v>0</v>
      </c>
      <c r="O86">
        <v>0</v>
      </c>
    </row>
    <row r="87" spans="1:15" x14ac:dyDescent="0.25">
      <c r="A87" t="s">
        <v>1567</v>
      </c>
      <c r="B87" t="s">
        <v>418</v>
      </c>
      <c r="C87" t="s">
        <v>418</v>
      </c>
      <c r="D87" t="s">
        <v>418</v>
      </c>
      <c r="E87" t="s">
        <v>418</v>
      </c>
      <c r="F87" t="s">
        <v>418</v>
      </c>
      <c r="G87" t="s">
        <v>418</v>
      </c>
      <c r="H87" t="s">
        <v>418</v>
      </c>
      <c r="I87" t="s">
        <v>418</v>
      </c>
      <c r="J87" t="s">
        <v>418</v>
      </c>
      <c r="K87" t="s">
        <v>418</v>
      </c>
      <c r="L87" t="s">
        <v>418</v>
      </c>
      <c r="M87">
        <v>0</v>
      </c>
      <c r="N87">
        <v>0</v>
      </c>
      <c r="O87">
        <v>0</v>
      </c>
    </row>
    <row r="88" spans="1:15" x14ac:dyDescent="0.25">
      <c r="A88" t="s">
        <v>1568</v>
      </c>
      <c r="B88" s="116">
        <v>5309</v>
      </c>
      <c r="C88" s="116">
        <v>12506</v>
      </c>
      <c r="D88" s="116">
        <v>32400</v>
      </c>
      <c r="E88" t="s">
        <v>418</v>
      </c>
      <c r="F88" t="s">
        <v>418</v>
      </c>
      <c r="G88" s="116">
        <v>-11444</v>
      </c>
      <c r="H88" s="116">
        <v>11520</v>
      </c>
      <c r="I88" s="116">
        <v>-35134</v>
      </c>
      <c r="J88">
        <v>0</v>
      </c>
      <c r="K88" t="s">
        <v>418</v>
      </c>
      <c r="L88">
        <v>0</v>
      </c>
      <c r="M88">
        <v>0</v>
      </c>
      <c r="N88">
        <v>0</v>
      </c>
      <c r="O88">
        <v>0</v>
      </c>
    </row>
    <row r="89" spans="1:15" x14ac:dyDescent="0.25">
      <c r="A89" t="s">
        <v>1569</v>
      </c>
      <c r="B89" s="116">
        <v>1326538</v>
      </c>
      <c r="C89" s="116">
        <v>1052690</v>
      </c>
      <c r="D89" s="116">
        <v>856450</v>
      </c>
      <c r="E89" s="116">
        <v>324945</v>
      </c>
      <c r="F89" s="116">
        <v>213598</v>
      </c>
      <c r="G89" s="116">
        <v>123194</v>
      </c>
      <c r="H89" s="116">
        <v>276933</v>
      </c>
      <c r="I89" s="116">
        <v>568174</v>
      </c>
      <c r="J89" s="116">
        <v>227903</v>
      </c>
      <c r="K89" s="116">
        <v>674912</v>
      </c>
      <c r="L89" s="116">
        <v>247113</v>
      </c>
      <c r="M89" s="116">
        <v>64050</v>
      </c>
      <c r="N89" s="116">
        <v>63059</v>
      </c>
      <c r="O89" s="116">
        <v>51002</v>
      </c>
    </row>
    <row r="90" spans="1:15" x14ac:dyDescent="0.25">
      <c r="A90" t="s">
        <v>282</v>
      </c>
    </row>
    <row r="91" spans="1:15" x14ac:dyDescent="0.25">
      <c r="A91" t="s">
        <v>1570</v>
      </c>
      <c r="B91" s="116">
        <v>409479</v>
      </c>
      <c r="C91" s="116">
        <v>29286</v>
      </c>
      <c r="D91" s="116">
        <v>10273</v>
      </c>
      <c r="E91">
        <v>16</v>
      </c>
      <c r="F91" t="s">
        <v>418</v>
      </c>
      <c r="G91" t="s">
        <v>418</v>
      </c>
      <c r="H91" t="s">
        <v>418</v>
      </c>
      <c r="I91" t="s">
        <v>418</v>
      </c>
      <c r="J91" t="s">
        <v>418</v>
      </c>
      <c r="K91" t="s">
        <v>418</v>
      </c>
      <c r="L91" t="s">
        <v>418</v>
      </c>
      <c r="M91">
        <v>0</v>
      </c>
      <c r="N91">
        <v>0</v>
      </c>
      <c r="O91">
        <v>0</v>
      </c>
    </row>
    <row r="92" spans="1:15" x14ac:dyDescent="0.25">
      <c r="A92" t="s">
        <v>1571</v>
      </c>
      <c r="B92" t="s">
        <v>418</v>
      </c>
      <c r="C92" t="s">
        <v>418</v>
      </c>
      <c r="D92" t="s">
        <v>418</v>
      </c>
      <c r="E92" t="s">
        <v>418</v>
      </c>
      <c r="F92" t="s">
        <v>418</v>
      </c>
      <c r="G92" t="s">
        <v>418</v>
      </c>
      <c r="H92" t="s">
        <v>418</v>
      </c>
      <c r="I92" t="s">
        <v>418</v>
      </c>
      <c r="J92" t="s">
        <v>418</v>
      </c>
      <c r="K92" t="s">
        <v>418</v>
      </c>
      <c r="L92" t="s">
        <v>418</v>
      </c>
      <c r="M92">
        <v>0</v>
      </c>
      <c r="N92">
        <v>0</v>
      </c>
      <c r="O92">
        <v>0</v>
      </c>
    </row>
    <row r="93" spans="1:15" x14ac:dyDescent="0.25">
      <c r="A93" t="s">
        <v>1572</v>
      </c>
      <c r="B93" t="s">
        <v>418</v>
      </c>
      <c r="C93" t="s">
        <v>418</v>
      </c>
      <c r="D93" t="s">
        <v>418</v>
      </c>
      <c r="E93" t="s">
        <v>418</v>
      </c>
      <c r="F93" t="s">
        <v>418</v>
      </c>
      <c r="G93" t="s">
        <v>418</v>
      </c>
      <c r="H93" t="s">
        <v>418</v>
      </c>
      <c r="I93" t="s">
        <v>418</v>
      </c>
      <c r="J93" t="s">
        <v>418</v>
      </c>
      <c r="K93" t="s">
        <v>418</v>
      </c>
      <c r="L93" t="s">
        <v>418</v>
      </c>
      <c r="M93">
        <v>0</v>
      </c>
      <c r="N93">
        <v>0</v>
      </c>
      <c r="O93">
        <v>0</v>
      </c>
    </row>
    <row r="94" spans="1:15" x14ac:dyDescent="0.25">
      <c r="A94" t="s">
        <v>1573</v>
      </c>
    </row>
    <row r="95" spans="1:15" x14ac:dyDescent="0.25">
      <c r="A95" t="s">
        <v>1574</v>
      </c>
      <c r="B95" s="116">
        <v>445148</v>
      </c>
      <c r="C95" s="116">
        <v>432089</v>
      </c>
      <c r="D95" s="116">
        <v>372578</v>
      </c>
      <c r="E95" s="116">
        <v>705019</v>
      </c>
      <c r="F95" s="116">
        <v>627692</v>
      </c>
      <c r="G95" s="116">
        <v>456815</v>
      </c>
      <c r="H95" s="116">
        <v>534771</v>
      </c>
      <c r="I95" s="116">
        <v>827422</v>
      </c>
      <c r="J95" s="116">
        <v>821658</v>
      </c>
      <c r="K95" s="116">
        <v>487315</v>
      </c>
      <c r="L95" s="116">
        <v>307693</v>
      </c>
      <c r="M95" s="116">
        <v>293756</v>
      </c>
      <c r="N95" s="116">
        <v>260545</v>
      </c>
      <c r="O95" s="116">
        <v>119989</v>
      </c>
    </row>
    <row r="96" spans="1:15" x14ac:dyDescent="0.25">
      <c r="A96" t="s">
        <v>1575</v>
      </c>
      <c r="B96" s="116">
        <v>432089</v>
      </c>
      <c r="C96" s="116">
        <v>372578</v>
      </c>
      <c r="D96" s="116">
        <v>705019</v>
      </c>
      <c r="E96" s="116">
        <v>630707</v>
      </c>
      <c r="F96" s="116">
        <v>456815</v>
      </c>
      <c r="G96" s="116">
        <v>534771</v>
      </c>
      <c r="H96" s="116">
        <v>827422</v>
      </c>
      <c r="I96" s="116">
        <v>821658</v>
      </c>
      <c r="J96" s="116">
        <v>487315</v>
      </c>
      <c r="K96" s="116">
        <v>408961</v>
      </c>
      <c r="L96" s="116">
        <v>293756</v>
      </c>
      <c r="M96" s="116">
        <v>260545</v>
      </c>
      <c r="N96" s="116">
        <v>119989</v>
      </c>
      <c r="O96" s="116">
        <v>75543</v>
      </c>
    </row>
    <row r="97" spans="1:15" x14ac:dyDescent="0.25">
      <c r="A97" t="s">
        <v>1576</v>
      </c>
      <c r="B97" t="s">
        <v>418</v>
      </c>
      <c r="C97" t="s">
        <v>418</v>
      </c>
      <c r="D97" t="s">
        <v>418</v>
      </c>
      <c r="E97" t="s">
        <v>418</v>
      </c>
      <c r="F97" t="s">
        <v>418</v>
      </c>
      <c r="G97" t="s">
        <v>418</v>
      </c>
      <c r="H97" t="s">
        <v>418</v>
      </c>
      <c r="I97" t="s">
        <v>418</v>
      </c>
      <c r="J97" t="s">
        <v>418</v>
      </c>
      <c r="K97" t="s">
        <v>418</v>
      </c>
      <c r="L97" t="s">
        <v>418</v>
      </c>
      <c r="M97">
        <v>0</v>
      </c>
      <c r="N97">
        <v>0</v>
      </c>
      <c r="O97">
        <v>0</v>
      </c>
    </row>
    <row r="98" spans="1:15" x14ac:dyDescent="0.25">
      <c r="A98" t="s">
        <v>1577</v>
      </c>
      <c r="B98" t="s">
        <v>418</v>
      </c>
      <c r="C98" t="s">
        <v>418</v>
      </c>
      <c r="D98" t="s">
        <v>418</v>
      </c>
      <c r="E98" t="s">
        <v>418</v>
      </c>
      <c r="F98" t="s">
        <v>418</v>
      </c>
      <c r="G98" t="s">
        <v>418</v>
      </c>
      <c r="H98" t="s">
        <v>418</v>
      </c>
      <c r="I98" t="s">
        <v>418</v>
      </c>
      <c r="J98" t="s">
        <v>418</v>
      </c>
      <c r="K98" t="s">
        <v>418</v>
      </c>
      <c r="L98" t="s">
        <v>418</v>
      </c>
      <c r="M98">
        <v>0</v>
      </c>
      <c r="N98">
        <v>0</v>
      </c>
      <c r="O98">
        <v>0</v>
      </c>
    </row>
    <row r="99" spans="1:15" x14ac:dyDescent="0.25">
      <c r="A99" t="s">
        <v>1578</v>
      </c>
      <c r="B99" s="116">
        <v>13059</v>
      </c>
      <c r="C99" s="116">
        <v>59511</v>
      </c>
      <c r="D99" s="116">
        <v>-332441</v>
      </c>
      <c r="E99" s="116">
        <v>74312</v>
      </c>
      <c r="F99" s="116">
        <v>170876</v>
      </c>
      <c r="G99" s="116">
        <v>-77955</v>
      </c>
      <c r="H99" s="116">
        <v>-292651</v>
      </c>
      <c r="I99" s="116">
        <v>5764</v>
      </c>
      <c r="J99" s="116">
        <v>334342</v>
      </c>
      <c r="K99" s="116">
        <v>78354</v>
      </c>
      <c r="L99" s="116">
        <v>13937</v>
      </c>
      <c r="M99" s="116">
        <v>33211</v>
      </c>
      <c r="N99" s="116">
        <v>140557</v>
      </c>
      <c r="O99" s="116">
        <v>44446</v>
      </c>
    </row>
  </sheetData>
  <phoneticPr fontId="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O116"/>
  <sheetViews>
    <sheetView workbookViewId="0">
      <selection activeCell="B1" sqref="B1"/>
    </sheetView>
  </sheetViews>
  <sheetFormatPr defaultColWidth="12.7265625" defaultRowHeight="14" x14ac:dyDescent="0.25"/>
  <cols>
    <col min="1" max="1" width="41.6328125" bestFit="1" customWidth="1"/>
    <col min="2" max="15" width="11.36328125" bestFit="1" customWidth="1"/>
  </cols>
  <sheetData>
    <row r="1" spans="1:15" x14ac:dyDescent="0.25">
      <c r="A1" t="s">
        <v>1331</v>
      </c>
      <c r="B1" s="115">
        <v>43830</v>
      </c>
      <c r="C1" s="115">
        <v>43465</v>
      </c>
      <c r="D1" s="115">
        <v>43100</v>
      </c>
      <c r="E1" s="115">
        <v>42735</v>
      </c>
      <c r="F1" s="115">
        <v>42369</v>
      </c>
      <c r="G1" s="115">
        <v>42004</v>
      </c>
      <c r="H1" s="115">
        <v>41639</v>
      </c>
      <c r="I1" s="115">
        <v>41274</v>
      </c>
      <c r="J1" s="115">
        <v>40908</v>
      </c>
      <c r="K1" s="115">
        <v>40543</v>
      </c>
      <c r="L1" s="115">
        <v>40178</v>
      </c>
      <c r="M1" s="115">
        <v>39813</v>
      </c>
      <c r="N1" s="115">
        <v>39447</v>
      </c>
      <c r="O1" s="115">
        <v>39082</v>
      </c>
    </row>
    <row r="2" spans="1:15" x14ac:dyDescent="0.25">
      <c r="A2" t="s">
        <v>2</v>
      </c>
    </row>
    <row r="3" spans="1:15" x14ac:dyDescent="0.25">
      <c r="A3" t="s">
        <v>3</v>
      </c>
    </row>
    <row r="4" spans="1:15" x14ac:dyDescent="0.25">
      <c r="A4" t="s">
        <v>1332</v>
      </c>
      <c r="B4" s="116">
        <v>1352674</v>
      </c>
      <c r="C4" s="116">
        <v>1198504</v>
      </c>
      <c r="D4" s="116">
        <v>410365</v>
      </c>
      <c r="E4" s="116">
        <v>744206</v>
      </c>
      <c r="F4" s="116">
        <v>684088</v>
      </c>
      <c r="G4" s="116">
        <v>604927</v>
      </c>
      <c r="H4" s="116">
        <v>638029</v>
      </c>
      <c r="I4" s="116">
        <v>963111</v>
      </c>
      <c r="J4" s="116">
        <v>1024699</v>
      </c>
      <c r="K4" s="116">
        <v>597040</v>
      </c>
      <c r="L4" s="116">
        <v>307693</v>
      </c>
      <c r="M4" s="116">
        <v>293756</v>
      </c>
      <c r="N4" s="116">
        <v>260545</v>
      </c>
      <c r="O4" s="116">
        <v>119989</v>
      </c>
    </row>
    <row r="5" spans="1:15" x14ac:dyDescent="0.25">
      <c r="A5" t="s">
        <v>1333</v>
      </c>
      <c r="B5" t="s">
        <v>418</v>
      </c>
      <c r="C5" t="s">
        <v>418</v>
      </c>
      <c r="D5" t="s">
        <v>418</v>
      </c>
      <c r="E5" t="s">
        <v>418</v>
      </c>
      <c r="F5" t="s">
        <v>418</v>
      </c>
      <c r="G5" t="s">
        <v>418</v>
      </c>
      <c r="H5" t="s">
        <v>418</v>
      </c>
      <c r="I5" t="s">
        <v>418</v>
      </c>
      <c r="J5" t="s">
        <v>418</v>
      </c>
      <c r="K5" t="s">
        <v>418</v>
      </c>
      <c r="L5">
        <v>0</v>
      </c>
      <c r="M5" t="s">
        <v>418</v>
      </c>
      <c r="N5">
        <v>0</v>
      </c>
      <c r="O5">
        <v>0</v>
      </c>
    </row>
    <row r="6" spans="1:15" x14ac:dyDescent="0.25">
      <c r="A6" t="s">
        <v>1334</v>
      </c>
      <c r="B6" t="s">
        <v>418</v>
      </c>
      <c r="C6" t="s">
        <v>418</v>
      </c>
      <c r="D6" t="s">
        <v>418</v>
      </c>
      <c r="E6" t="s">
        <v>418</v>
      </c>
      <c r="F6" t="s">
        <v>418</v>
      </c>
      <c r="G6" t="s">
        <v>418</v>
      </c>
      <c r="H6" t="s">
        <v>418</v>
      </c>
      <c r="I6" t="s">
        <v>418</v>
      </c>
      <c r="J6" t="s">
        <v>418</v>
      </c>
      <c r="K6" t="s">
        <v>418</v>
      </c>
      <c r="L6">
        <v>0</v>
      </c>
      <c r="M6" t="s">
        <v>418</v>
      </c>
      <c r="N6">
        <v>0</v>
      </c>
      <c r="O6">
        <v>0</v>
      </c>
    </row>
    <row r="7" spans="1:15" x14ac:dyDescent="0.25">
      <c r="A7" t="s">
        <v>1335</v>
      </c>
      <c r="B7" s="116">
        <v>836740</v>
      </c>
      <c r="C7" s="116">
        <v>155672</v>
      </c>
      <c r="D7" s="116">
        <v>4007</v>
      </c>
      <c r="E7" s="116">
        <v>3076</v>
      </c>
      <c r="F7" s="116">
        <v>3116</v>
      </c>
      <c r="G7" s="116">
        <v>3578</v>
      </c>
      <c r="H7" s="116">
        <v>34412</v>
      </c>
      <c r="I7" s="116">
        <v>8089</v>
      </c>
      <c r="J7" s="116">
        <v>2073</v>
      </c>
      <c r="K7" s="116">
        <v>5314</v>
      </c>
      <c r="L7">
        <v>258</v>
      </c>
      <c r="M7" s="116">
        <v>1444</v>
      </c>
      <c r="N7" s="116">
        <v>41920</v>
      </c>
      <c r="O7" s="116">
        <v>25145</v>
      </c>
    </row>
    <row r="8" spans="1:15" x14ac:dyDescent="0.25">
      <c r="A8" t="s">
        <v>1336</v>
      </c>
      <c r="B8" s="116">
        <v>32373</v>
      </c>
      <c r="C8" s="116">
        <v>55907</v>
      </c>
      <c r="D8" s="116">
        <v>101318</v>
      </c>
      <c r="E8" s="116">
        <v>5086</v>
      </c>
      <c r="F8" s="116">
        <v>33444</v>
      </c>
      <c r="G8" s="116">
        <v>1991</v>
      </c>
      <c r="H8" t="s">
        <v>418</v>
      </c>
      <c r="I8" t="s">
        <v>418</v>
      </c>
      <c r="J8" t="s">
        <v>418</v>
      </c>
      <c r="K8" t="s">
        <v>418</v>
      </c>
      <c r="L8">
        <v>0</v>
      </c>
      <c r="M8" t="s">
        <v>418</v>
      </c>
      <c r="N8">
        <v>0</v>
      </c>
      <c r="O8">
        <v>0</v>
      </c>
    </row>
    <row r="9" spans="1:15" x14ac:dyDescent="0.25">
      <c r="A9" t="s">
        <v>1337</v>
      </c>
      <c r="B9" t="s">
        <v>418</v>
      </c>
      <c r="C9" s="116">
        <v>66864</v>
      </c>
      <c r="D9" s="116">
        <v>87377</v>
      </c>
      <c r="E9" s="116">
        <v>28301</v>
      </c>
      <c r="F9" s="116">
        <v>54732</v>
      </c>
      <c r="G9" s="116">
        <v>121498</v>
      </c>
      <c r="H9" s="116">
        <v>106586</v>
      </c>
      <c r="I9" s="116">
        <v>170678</v>
      </c>
      <c r="J9" s="116">
        <v>105092</v>
      </c>
      <c r="K9" s="116">
        <v>111317</v>
      </c>
      <c r="L9" s="116">
        <v>18387</v>
      </c>
      <c r="M9" s="116">
        <v>18956</v>
      </c>
      <c r="N9" s="116">
        <v>33188</v>
      </c>
      <c r="O9" s="116">
        <v>20099</v>
      </c>
    </row>
    <row r="10" spans="1:15" x14ac:dyDescent="0.25">
      <c r="A10" t="s">
        <v>1338</v>
      </c>
      <c r="B10" s="116">
        <v>2179289</v>
      </c>
      <c r="C10" s="116">
        <v>2013336</v>
      </c>
      <c r="D10" s="116">
        <v>1836563</v>
      </c>
      <c r="E10" s="116">
        <v>1808479</v>
      </c>
      <c r="F10" s="116">
        <v>2096139</v>
      </c>
      <c r="G10" s="116">
        <v>1985131</v>
      </c>
      <c r="H10" s="116">
        <v>1872766</v>
      </c>
      <c r="I10" s="116">
        <v>1497445</v>
      </c>
      <c r="J10" s="116">
        <v>1130487</v>
      </c>
      <c r="K10" s="116">
        <v>572791</v>
      </c>
      <c r="L10" s="116">
        <v>385152</v>
      </c>
      <c r="M10" s="116">
        <v>310186</v>
      </c>
      <c r="N10" s="116">
        <v>206650</v>
      </c>
      <c r="O10" s="116">
        <v>80160</v>
      </c>
    </row>
    <row r="11" spans="1:15" x14ac:dyDescent="0.25">
      <c r="A11" t="s">
        <v>1339</v>
      </c>
      <c r="B11" s="116">
        <v>63359</v>
      </c>
      <c r="C11" s="116">
        <v>98165</v>
      </c>
      <c r="D11" s="116">
        <v>69744</v>
      </c>
      <c r="E11" s="116">
        <v>33741</v>
      </c>
      <c r="F11" s="116">
        <v>25039</v>
      </c>
      <c r="G11" s="116">
        <v>28838</v>
      </c>
      <c r="H11" s="116">
        <v>56659</v>
      </c>
      <c r="I11" s="116">
        <v>99725</v>
      </c>
      <c r="J11" s="116">
        <v>197712</v>
      </c>
      <c r="K11" s="116">
        <v>133536</v>
      </c>
      <c r="L11" s="116">
        <v>51180</v>
      </c>
      <c r="M11" s="116">
        <v>66942</v>
      </c>
      <c r="N11" s="116">
        <v>49126</v>
      </c>
      <c r="O11" s="116">
        <v>39354</v>
      </c>
    </row>
    <row r="12" spans="1:15" x14ac:dyDescent="0.25">
      <c r="A12" t="s">
        <v>1340</v>
      </c>
      <c r="B12" t="s">
        <v>418</v>
      </c>
      <c r="C12" t="s">
        <v>418</v>
      </c>
      <c r="D12" t="s">
        <v>418</v>
      </c>
      <c r="E12" t="s">
        <v>418</v>
      </c>
      <c r="F12" t="s">
        <v>418</v>
      </c>
      <c r="G12" t="s">
        <v>418</v>
      </c>
      <c r="H12" t="s">
        <v>418</v>
      </c>
      <c r="I12" t="s">
        <v>418</v>
      </c>
      <c r="J12" t="s">
        <v>418</v>
      </c>
      <c r="K12" t="s">
        <v>418</v>
      </c>
      <c r="L12">
        <v>0</v>
      </c>
      <c r="M12" t="s">
        <v>418</v>
      </c>
      <c r="N12">
        <v>0</v>
      </c>
      <c r="O12">
        <v>0</v>
      </c>
    </row>
    <row r="13" spans="1:15" x14ac:dyDescent="0.25">
      <c r="A13" t="s">
        <v>1341</v>
      </c>
      <c r="B13" t="s">
        <v>418</v>
      </c>
      <c r="C13" t="s">
        <v>418</v>
      </c>
      <c r="D13" t="s">
        <v>418</v>
      </c>
      <c r="E13" t="s">
        <v>418</v>
      </c>
      <c r="F13" t="s">
        <v>418</v>
      </c>
      <c r="G13" t="s">
        <v>418</v>
      </c>
      <c r="H13" t="s">
        <v>418</v>
      </c>
      <c r="I13" t="s">
        <v>418</v>
      </c>
      <c r="J13" t="s">
        <v>418</v>
      </c>
      <c r="K13" t="s">
        <v>418</v>
      </c>
      <c r="L13">
        <v>0</v>
      </c>
      <c r="M13" t="s">
        <v>418</v>
      </c>
      <c r="N13">
        <v>0</v>
      </c>
      <c r="O13">
        <v>0</v>
      </c>
    </row>
    <row r="14" spans="1:15" x14ac:dyDescent="0.25">
      <c r="A14" t="s">
        <v>1342</v>
      </c>
      <c r="B14" t="s">
        <v>418</v>
      </c>
      <c r="C14" t="s">
        <v>418</v>
      </c>
      <c r="D14" t="s">
        <v>418</v>
      </c>
      <c r="E14" t="s">
        <v>418</v>
      </c>
      <c r="F14" t="s">
        <v>418</v>
      </c>
      <c r="G14" t="s">
        <v>418</v>
      </c>
      <c r="H14" t="s">
        <v>418</v>
      </c>
      <c r="I14" t="s">
        <v>418</v>
      </c>
      <c r="J14" t="s">
        <v>418</v>
      </c>
      <c r="K14" t="s">
        <v>418</v>
      </c>
      <c r="L14">
        <v>0</v>
      </c>
      <c r="M14" t="s">
        <v>418</v>
      </c>
      <c r="N14">
        <v>0</v>
      </c>
      <c r="O14">
        <v>0</v>
      </c>
    </row>
    <row r="15" spans="1:15" x14ac:dyDescent="0.25">
      <c r="A15" t="s">
        <v>1343</v>
      </c>
      <c r="B15" t="s">
        <v>418</v>
      </c>
      <c r="C15" s="116">
        <v>14259</v>
      </c>
      <c r="D15">
        <v>468</v>
      </c>
      <c r="E15">
        <v>344</v>
      </c>
      <c r="F15">
        <v>99</v>
      </c>
      <c r="G15">
        <v>28</v>
      </c>
      <c r="H15">
        <v>241</v>
      </c>
      <c r="I15" t="s">
        <v>418</v>
      </c>
      <c r="J15" t="s">
        <v>418</v>
      </c>
      <c r="K15" t="s">
        <v>418</v>
      </c>
      <c r="L15">
        <v>0</v>
      </c>
      <c r="M15" t="s">
        <v>418</v>
      </c>
      <c r="N15">
        <v>0</v>
      </c>
      <c r="O15">
        <v>0</v>
      </c>
    </row>
    <row r="16" spans="1:15" x14ac:dyDescent="0.25">
      <c r="A16" t="s">
        <v>1344</v>
      </c>
      <c r="B16" t="s">
        <v>418</v>
      </c>
      <c r="C16" t="s">
        <v>418</v>
      </c>
      <c r="D16" t="s">
        <v>418</v>
      </c>
      <c r="E16" t="s">
        <v>418</v>
      </c>
      <c r="F16" t="s">
        <v>418</v>
      </c>
      <c r="G16" t="s">
        <v>418</v>
      </c>
      <c r="H16" t="s">
        <v>418</v>
      </c>
      <c r="I16" t="s">
        <v>418</v>
      </c>
      <c r="J16" t="s">
        <v>418</v>
      </c>
      <c r="K16" t="s">
        <v>418</v>
      </c>
      <c r="L16">
        <v>0</v>
      </c>
      <c r="M16" t="s">
        <v>418</v>
      </c>
      <c r="N16">
        <v>0</v>
      </c>
      <c r="O16">
        <v>0</v>
      </c>
    </row>
    <row r="17" spans="1:15" x14ac:dyDescent="0.25">
      <c r="A17" t="s">
        <v>1345</v>
      </c>
      <c r="B17" s="116">
        <v>278650</v>
      </c>
      <c r="C17" s="116">
        <v>156102</v>
      </c>
      <c r="D17" s="116">
        <v>178416</v>
      </c>
      <c r="E17" s="116">
        <v>478153</v>
      </c>
      <c r="F17" s="116">
        <v>225971</v>
      </c>
      <c r="G17" s="116">
        <v>240529</v>
      </c>
      <c r="H17" s="116">
        <v>173392</v>
      </c>
      <c r="I17" s="116">
        <v>133974</v>
      </c>
      <c r="J17" s="116">
        <v>78386</v>
      </c>
      <c r="K17" s="116">
        <v>54951</v>
      </c>
      <c r="L17" s="116">
        <v>16629</v>
      </c>
      <c r="M17" s="116">
        <v>15043</v>
      </c>
      <c r="N17" s="116">
        <v>12451</v>
      </c>
      <c r="O17" s="116">
        <v>13029</v>
      </c>
    </row>
    <row r="18" spans="1:15" x14ac:dyDescent="0.25">
      <c r="A18" t="s">
        <v>1346</v>
      </c>
      <c r="B18" t="s">
        <v>418</v>
      </c>
      <c r="C18" t="s">
        <v>418</v>
      </c>
      <c r="D18" t="s">
        <v>418</v>
      </c>
      <c r="E18" t="s">
        <v>418</v>
      </c>
      <c r="F18" t="s">
        <v>418</v>
      </c>
      <c r="G18" t="s">
        <v>418</v>
      </c>
      <c r="H18" t="s">
        <v>418</v>
      </c>
      <c r="I18" t="s">
        <v>418</v>
      </c>
      <c r="J18" t="s">
        <v>418</v>
      </c>
      <c r="K18" t="s">
        <v>418</v>
      </c>
      <c r="L18">
        <v>0</v>
      </c>
      <c r="M18" t="s">
        <v>418</v>
      </c>
      <c r="N18">
        <v>0</v>
      </c>
      <c r="O18">
        <v>0</v>
      </c>
    </row>
    <row r="19" spans="1:15" x14ac:dyDescent="0.25">
      <c r="A19" t="s">
        <v>1347</v>
      </c>
      <c r="B19" t="s">
        <v>418</v>
      </c>
      <c r="C19" t="s">
        <v>418</v>
      </c>
      <c r="D19" t="s">
        <v>418</v>
      </c>
      <c r="E19" t="s">
        <v>418</v>
      </c>
      <c r="F19" t="s">
        <v>418</v>
      </c>
      <c r="G19" t="s">
        <v>418</v>
      </c>
      <c r="H19" t="s">
        <v>418</v>
      </c>
      <c r="I19" t="s">
        <v>418</v>
      </c>
      <c r="J19" t="s">
        <v>418</v>
      </c>
      <c r="K19" t="s">
        <v>418</v>
      </c>
      <c r="L19">
        <v>0</v>
      </c>
      <c r="M19" t="s">
        <v>418</v>
      </c>
      <c r="N19">
        <v>0</v>
      </c>
      <c r="O19">
        <v>0</v>
      </c>
    </row>
    <row r="20" spans="1:15" x14ac:dyDescent="0.25">
      <c r="A20" t="s">
        <v>1348</v>
      </c>
      <c r="B20" t="s">
        <v>418</v>
      </c>
      <c r="C20" t="s">
        <v>418</v>
      </c>
      <c r="D20" t="s">
        <v>418</v>
      </c>
      <c r="E20" t="s">
        <v>418</v>
      </c>
      <c r="F20" t="s">
        <v>418</v>
      </c>
      <c r="G20" t="s">
        <v>418</v>
      </c>
      <c r="H20" t="s">
        <v>418</v>
      </c>
      <c r="I20" t="s">
        <v>418</v>
      </c>
      <c r="J20" t="s">
        <v>418</v>
      </c>
      <c r="K20" t="s">
        <v>418</v>
      </c>
      <c r="L20">
        <v>0</v>
      </c>
      <c r="M20" t="s">
        <v>418</v>
      </c>
      <c r="N20">
        <v>0</v>
      </c>
      <c r="O20">
        <v>0</v>
      </c>
    </row>
    <row r="21" spans="1:15" x14ac:dyDescent="0.25">
      <c r="A21" t="s">
        <v>1349</v>
      </c>
      <c r="B21" t="s">
        <v>418</v>
      </c>
      <c r="C21" t="s">
        <v>418</v>
      </c>
      <c r="D21" t="s">
        <v>418</v>
      </c>
      <c r="E21" t="s">
        <v>418</v>
      </c>
      <c r="F21" t="s">
        <v>418</v>
      </c>
      <c r="G21" t="s">
        <v>418</v>
      </c>
      <c r="H21" t="s">
        <v>418</v>
      </c>
      <c r="I21" t="s">
        <v>418</v>
      </c>
      <c r="J21" t="s">
        <v>418</v>
      </c>
      <c r="K21" t="s">
        <v>418</v>
      </c>
      <c r="L21">
        <v>0</v>
      </c>
      <c r="M21" t="s">
        <v>418</v>
      </c>
      <c r="N21">
        <v>0</v>
      </c>
      <c r="O21">
        <v>0</v>
      </c>
    </row>
    <row r="22" spans="1:15" x14ac:dyDescent="0.25">
      <c r="A22" t="s">
        <v>1350</v>
      </c>
      <c r="B22" t="s">
        <v>418</v>
      </c>
      <c r="C22" t="s">
        <v>418</v>
      </c>
      <c r="D22" t="s">
        <v>418</v>
      </c>
      <c r="E22" t="s">
        <v>418</v>
      </c>
      <c r="F22" t="s">
        <v>418</v>
      </c>
      <c r="G22" t="s">
        <v>418</v>
      </c>
      <c r="H22" t="s">
        <v>418</v>
      </c>
      <c r="I22" t="s">
        <v>418</v>
      </c>
      <c r="J22" t="s">
        <v>418</v>
      </c>
      <c r="K22" t="s">
        <v>418</v>
      </c>
      <c r="L22">
        <v>0</v>
      </c>
      <c r="M22" t="s">
        <v>418</v>
      </c>
      <c r="N22">
        <v>0</v>
      </c>
      <c r="O22">
        <v>0</v>
      </c>
    </row>
    <row r="23" spans="1:15" x14ac:dyDescent="0.25">
      <c r="A23" t="s">
        <v>1351</v>
      </c>
      <c r="B23" s="116">
        <v>1425174</v>
      </c>
      <c r="C23" s="116">
        <v>1159463</v>
      </c>
      <c r="D23" s="116">
        <v>764189</v>
      </c>
      <c r="E23" s="116">
        <v>622030</v>
      </c>
      <c r="F23" s="116">
        <v>552085</v>
      </c>
      <c r="G23" s="116">
        <v>726915</v>
      </c>
      <c r="H23" s="116">
        <v>941684</v>
      </c>
      <c r="I23" s="116">
        <v>1051136</v>
      </c>
      <c r="J23" s="116">
        <v>813441</v>
      </c>
      <c r="K23" s="116">
        <v>568727</v>
      </c>
      <c r="L23" s="116">
        <v>293953</v>
      </c>
      <c r="M23" s="116">
        <v>301258</v>
      </c>
      <c r="N23" s="116">
        <v>234290</v>
      </c>
      <c r="O23" s="116">
        <v>159164</v>
      </c>
    </row>
    <row r="24" spans="1:15" x14ac:dyDescent="0.25">
      <c r="A24" t="s">
        <v>1352</v>
      </c>
      <c r="B24" t="s">
        <v>418</v>
      </c>
      <c r="C24" t="s">
        <v>418</v>
      </c>
      <c r="D24" t="s">
        <v>418</v>
      </c>
      <c r="E24" t="s">
        <v>418</v>
      </c>
      <c r="F24" t="s">
        <v>418</v>
      </c>
      <c r="G24" t="s">
        <v>418</v>
      </c>
      <c r="H24" t="s">
        <v>418</v>
      </c>
      <c r="I24" t="s">
        <v>418</v>
      </c>
      <c r="J24" t="s">
        <v>418</v>
      </c>
      <c r="K24" t="s">
        <v>418</v>
      </c>
      <c r="L24">
        <v>0</v>
      </c>
      <c r="M24" t="s">
        <v>418</v>
      </c>
      <c r="N24">
        <v>0</v>
      </c>
      <c r="O24">
        <v>0</v>
      </c>
    </row>
    <row r="25" spans="1:15" x14ac:dyDescent="0.25">
      <c r="A25" t="s">
        <v>1353</v>
      </c>
      <c r="B25" t="s">
        <v>418</v>
      </c>
      <c r="C25" t="s">
        <v>418</v>
      </c>
      <c r="D25" t="s">
        <v>418</v>
      </c>
      <c r="E25" t="s">
        <v>418</v>
      </c>
      <c r="F25" t="s">
        <v>418</v>
      </c>
      <c r="G25" t="s">
        <v>418</v>
      </c>
      <c r="H25" t="s">
        <v>418</v>
      </c>
      <c r="I25" t="s">
        <v>418</v>
      </c>
      <c r="J25" t="s">
        <v>418</v>
      </c>
      <c r="K25" t="s">
        <v>418</v>
      </c>
      <c r="L25">
        <v>0</v>
      </c>
      <c r="M25" t="s">
        <v>418</v>
      </c>
      <c r="N25">
        <v>0</v>
      </c>
      <c r="O25">
        <v>0</v>
      </c>
    </row>
    <row r="26" spans="1:15" x14ac:dyDescent="0.25">
      <c r="A26" t="s">
        <v>1354</v>
      </c>
      <c r="B26" s="116">
        <v>50816</v>
      </c>
      <c r="C26" s="116">
        <v>23323</v>
      </c>
      <c r="D26" s="116">
        <v>20986</v>
      </c>
      <c r="E26" s="116">
        <v>15959</v>
      </c>
      <c r="F26" s="116">
        <v>18228</v>
      </c>
      <c r="G26" s="116">
        <v>8794</v>
      </c>
      <c r="H26" s="116">
        <v>7161</v>
      </c>
      <c r="I26" t="s">
        <v>418</v>
      </c>
      <c r="J26" t="s">
        <v>418</v>
      </c>
      <c r="K26" t="s">
        <v>418</v>
      </c>
      <c r="L26">
        <v>0</v>
      </c>
      <c r="M26" t="s">
        <v>418</v>
      </c>
      <c r="N26">
        <v>0</v>
      </c>
      <c r="O26">
        <v>0</v>
      </c>
    </row>
    <row r="27" spans="1:15" x14ac:dyDescent="0.25">
      <c r="A27" t="s">
        <v>1355</v>
      </c>
      <c r="B27" s="116">
        <v>527201</v>
      </c>
      <c r="C27" s="116">
        <v>247999</v>
      </c>
      <c r="D27" s="116">
        <v>147314</v>
      </c>
      <c r="E27" s="116">
        <v>59852</v>
      </c>
      <c r="F27" s="116">
        <v>39943</v>
      </c>
      <c r="G27" s="116">
        <v>89007</v>
      </c>
      <c r="H27" s="116">
        <v>56052</v>
      </c>
      <c r="I27" s="116">
        <v>64158</v>
      </c>
      <c r="J27" s="116">
        <v>26489</v>
      </c>
      <c r="K27" t="s">
        <v>418</v>
      </c>
      <c r="L27">
        <v>0</v>
      </c>
      <c r="M27" t="s">
        <v>418</v>
      </c>
      <c r="N27">
        <v>0</v>
      </c>
      <c r="O27">
        <v>0</v>
      </c>
    </row>
    <row r="28" spans="1:15" x14ac:dyDescent="0.25">
      <c r="A28" t="s">
        <v>1356</v>
      </c>
      <c r="B28" s="116">
        <v>6850022</v>
      </c>
      <c r="C28" s="116">
        <v>5189594</v>
      </c>
      <c r="D28" s="116">
        <v>3620745</v>
      </c>
      <c r="E28" s="116">
        <v>3799227</v>
      </c>
      <c r="F28" s="116">
        <v>3732883</v>
      </c>
      <c r="G28" s="116">
        <v>3811236</v>
      </c>
      <c r="H28" s="116">
        <v>3886981</v>
      </c>
      <c r="I28" s="116">
        <v>3988315</v>
      </c>
      <c r="J28" s="116">
        <v>3378378</v>
      </c>
      <c r="K28" s="116">
        <v>2043675</v>
      </c>
      <c r="L28" s="116">
        <v>1073252</v>
      </c>
      <c r="M28" s="116">
        <v>1007585</v>
      </c>
      <c r="N28" s="116">
        <v>838170</v>
      </c>
      <c r="O28" s="116">
        <v>456940</v>
      </c>
    </row>
    <row r="29" spans="1:15" x14ac:dyDescent="0.25">
      <c r="A29" t="s">
        <v>1484</v>
      </c>
    </row>
    <row r="30" spans="1:15" x14ac:dyDescent="0.25">
      <c r="A30" t="s">
        <v>1357</v>
      </c>
      <c r="B30" t="s">
        <v>418</v>
      </c>
      <c r="C30" t="s">
        <v>418</v>
      </c>
      <c r="D30" t="s">
        <v>418</v>
      </c>
      <c r="E30" t="s">
        <v>418</v>
      </c>
      <c r="F30" t="s">
        <v>418</v>
      </c>
      <c r="G30" t="s">
        <v>418</v>
      </c>
      <c r="H30" t="s">
        <v>418</v>
      </c>
      <c r="I30" t="s">
        <v>418</v>
      </c>
      <c r="J30" t="s">
        <v>418</v>
      </c>
      <c r="K30" t="s">
        <v>418</v>
      </c>
      <c r="L30">
        <v>0</v>
      </c>
      <c r="M30" t="s">
        <v>418</v>
      </c>
      <c r="N30">
        <v>0</v>
      </c>
      <c r="O30">
        <v>0</v>
      </c>
    </row>
    <row r="31" spans="1:15" x14ac:dyDescent="0.25">
      <c r="A31" t="s">
        <v>1358</v>
      </c>
      <c r="B31" t="s">
        <v>418</v>
      </c>
      <c r="C31" s="116">
        <v>112051</v>
      </c>
      <c r="D31" s="116">
        <v>68124</v>
      </c>
      <c r="E31" s="116">
        <v>65251</v>
      </c>
      <c r="F31" s="116">
        <v>39605</v>
      </c>
      <c r="G31" s="116">
        <v>51975</v>
      </c>
      <c r="H31" s="116">
        <v>40133</v>
      </c>
      <c r="I31" s="116">
        <v>29444</v>
      </c>
      <c r="J31" t="s">
        <v>418</v>
      </c>
      <c r="K31" t="s">
        <v>418</v>
      </c>
      <c r="L31">
        <v>0</v>
      </c>
      <c r="M31">
        <v>0</v>
      </c>
      <c r="N31">
        <v>0</v>
      </c>
      <c r="O31">
        <v>0</v>
      </c>
    </row>
    <row r="32" spans="1:15" x14ac:dyDescent="0.25">
      <c r="A32" t="s">
        <v>1359</v>
      </c>
      <c r="B32" t="s">
        <v>418</v>
      </c>
      <c r="C32" t="s">
        <v>418</v>
      </c>
      <c r="D32" t="s">
        <v>418</v>
      </c>
      <c r="E32" t="s">
        <v>418</v>
      </c>
      <c r="F32" t="s">
        <v>418</v>
      </c>
      <c r="G32" t="s">
        <v>418</v>
      </c>
      <c r="H32" t="s">
        <v>418</v>
      </c>
      <c r="I32" t="s">
        <v>418</v>
      </c>
      <c r="J32" t="s">
        <v>418</v>
      </c>
      <c r="K32" t="s">
        <v>418</v>
      </c>
      <c r="L32">
        <v>0</v>
      </c>
      <c r="M32" t="s">
        <v>418</v>
      </c>
      <c r="N32">
        <v>0</v>
      </c>
      <c r="O32">
        <v>0</v>
      </c>
    </row>
    <row r="33" spans="1:15" x14ac:dyDescent="0.25">
      <c r="A33" t="s">
        <v>1360</v>
      </c>
      <c r="B33" s="116">
        <v>128589</v>
      </c>
      <c r="C33" s="116">
        <v>36579</v>
      </c>
      <c r="D33" s="116">
        <v>27324</v>
      </c>
      <c r="E33" s="116">
        <v>29759</v>
      </c>
      <c r="F33" s="116">
        <v>26217</v>
      </c>
      <c r="G33" s="116">
        <v>36416</v>
      </c>
      <c r="H33" s="116">
        <v>14532</v>
      </c>
      <c r="I33" t="s">
        <v>418</v>
      </c>
      <c r="J33" t="s">
        <v>418</v>
      </c>
      <c r="K33" t="s">
        <v>418</v>
      </c>
      <c r="L33">
        <v>0</v>
      </c>
      <c r="M33" t="s">
        <v>418</v>
      </c>
      <c r="N33">
        <v>0</v>
      </c>
      <c r="O33">
        <v>0</v>
      </c>
    </row>
    <row r="34" spans="1:15" x14ac:dyDescent="0.25">
      <c r="A34" t="s">
        <v>1361</v>
      </c>
      <c r="B34" s="116">
        <v>298544</v>
      </c>
      <c r="C34" s="116">
        <v>232835</v>
      </c>
      <c r="D34" s="116">
        <v>140427</v>
      </c>
      <c r="E34" s="116">
        <v>152794</v>
      </c>
      <c r="F34" s="116">
        <v>102553</v>
      </c>
      <c r="G34" s="116">
        <v>101724</v>
      </c>
      <c r="H34" s="116">
        <v>37550</v>
      </c>
      <c r="I34" s="116">
        <v>31041</v>
      </c>
      <c r="J34" s="116">
        <v>32890</v>
      </c>
      <c r="K34" s="116">
        <v>19794</v>
      </c>
      <c r="L34" s="116">
        <v>20667</v>
      </c>
      <c r="M34" s="116">
        <v>18621</v>
      </c>
      <c r="N34" s="116">
        <v>16941</v>
      </c>
      <c r="O34" s="116">
        <v>4743</v>
      </c>
    </row>
    <row r="35" spans="1:15" x14ac:dyDescent="0.25">
      <c r="A35" t="s">
        <v>1362</v>
      </c>
      <c r="B35" t="s">
        <v>418</v>
      </c>
      <c r="C35" t="s">
        <v>418</v>
      </c>
      <c r="D35" t="s">
        <v>418</v>
      </c>
      <c r="E35" t="s">
        <v>418</v>
      </c>
      <c r="F35" t="s">
        <v>418</v>
      </c>
      <c r="G35" t="s">
        <v>418</v>
      </c>
      <c r="H35" t="s">
        <v>418</v>
      </c>
      <c r="I35" t="s">
        <v>418</v>
      </c>
      <c r="J35" t="s">
        <v>418</v>
      </c>
      <c r="K35" t="s">
        <v>418</v>
      </c>
      <c r="L35">
        <v>0</v>
      </c>
      <c r="M35" t="s">
        <v>418</v>
      </c>
      <c r="N35">
        <v>0</v>
      </c>
      <c r="O35">
        <v>0</v>
      </c>
    </row>
    <row r="36" spans="1:15" x14ac:dyDescent="0.25">
      <c r="A36" t="s">
        <v>1363</v>
      </c>
      <c r="B36" s="116">
        <v>12632</v>
      </c>
      <c r="C36" s="116">
        <v>5011</v>
      </c>
      <c r="D36" s="116">
        <v>3770</v>
      </c>
      <c r="E36" t="s">
        <v>418</v>
      </c>
      <c r="F36" t="s">
        <v>418</v>
      </c>
      <c r="G36" t="s">
        <v>418</v>
      </c>
      <c r="H36" t="s">
        <v>418</v>
      </c>
      <c r="I36" t="s">
        <v>418</v>
      </c>
      <c r="J36" t="s">
        <v>418</v>
      </c>
      <c r="K36" t="s">
        <v>418</v>
      </c>
      <c r="L36">
        <v>0</v>
      </c>
      <c r="M36" t="s">
        <v>418</v>
      </c>
      <c r="N36">
        <v>0</v>
      </c>
      <c r="O36">
        <v>0</v>
      </c>
    </row>
    <row r="37" spans="1:15" x14ac:dyDescent="0.25">
      <c r="A37" t="s">
        <v>1364</v>
      </c>
      <c r="B37" s="116">
        <v>2234428</v>
      </c>
      <c r="C37" s="116">
        <v>2313570</v>
      </c>
      <c r="D37" s="116">
        <v>2286967</v>
      </c>
      <c r="E37" s="116">
        <v>2285596</v>
      </c>
      <c r="F37" s="116">
        <v>2261432</v>
      </c>
      <c r="G37" s="116">
        <v>2228060</v>
      </c>
      <c r="H37" s="116">
        <v>2122388</v>
      </c>
      <c r="I37" s="116">
        <v>1895019</v>
      </c>
      <c r="J37" s="116">
        <v>1252681</v>
      </c>
      <c r="K37" s="116">
        <v>757391</v>
      </c>
      <c r="L37" s="116">
        <v>377308</v>
      </c>
      <c r="M37" s="116">
        <v>300713</v>
      </c>
      <c r="N37" s="116">
        <v>206903</v>
      </c>
      <c r="O37" s="116">
        <v>171807</v>
      </c>
    </row>
    <row r="38" spans="1:15" x14ac:dyDescent="0.25">
      <c r="A38" t="s">
        <v>1365</v>
      </c>
      <c r="B38" s="116">
        <v>1166542</v>
      </c>
      <c r="C38" s="116">
        <v>1125559</v>
      </c>
      <c r="D38" s="116">
        <v>1005134</v>
      </c>
      <c r="E38" s="116">
        <v>881733</v>
      </c>
      <c r="F38" s="116">
        <v>736099</v>
      </c>
      <c r="G38" s="116">
        <v>619391</v>
      </c>
      <c r="H38" s="116">
        <v>502891</v>
      </c>
      <c r="I38" s="116">
        <v>402308</v>
      </c>
      <c r="J38" s="116">
        <v>198721</v>
      </c>
      <c r="K38" s="116">
        <v>141761</v>
      </c>
      <c r="L38" s="116">
        <v>81734</v>
      </c>
      <c r="M38" s="116">
        <v>58074</v>
      </c>
      <c r="N38" s="116">
        <v>41190</v>
      </c>
      <c r="O38" s="116">
        <v>33605</v>
      </c>
    </row>
    <row r="39" spans="1:15" x14ac:dyDescent="0.25">
      <c r="A39" t="s">
        <v>1366</v>
      </c>
      <c r="B39" s="116">
        <v>1067886</v>
      </c>
      <c r="C39" s="116">
        <v>1188011</v>
      </c>
      <c r="D39" s="116">
        <v>1281833</v>
      </c>
      <c r="E39" s="116">
        <v>1403863</v>
      </c>
      <c r="F39" s="116">
        <v>1525333</v>
      </c>
      <c r="G39" s="116">
        <v>1608669</v>
      </c>
      <c r="H39" s="116">
        <v>1619497</v>
      </c>
      <c r="I39" s="116">
        <v>1492711</v>
      </c>
      <c r="J39" s="116">
        <v>1053960</v>
      </c>
      <c r="K39" s="116">
        <v>615630</v>
      </c>
      <c r="L39" s="116">
        <v>295574</v>
      </c>
      <c r="M39" s="116">
        <v>242639</v>
      </c>
      <c r="N39" s="116">
        <v>165713</v>
      </c>
      <c r="O39" s="116">
        <v>138201</v>
      </c>
    </row>
    <row r="40" spans="1:15" x14ac:dyDescent="0.25">
      <c r="A40" t="s">
        <v>1367</v>
      </c>
      <c r="B40" s="116">
        <v>6348</v>
      </c>
      <c r="C40" s="116">
        <v>1287</v>
      </c>
      <c r="D40" s="116">
        <v>1289</v>
      </c>
      <c r="E40" s="116">
        <v>2421</v>
      </c>
      <c r="F40" s="116">
        <v>2739</v>
      </c>
      <c r="G40">
        <v>438</v>
      </c>
      <c r="H40">
        <v>617</v>
      </c>
      <c r="I40">
        <v>972</v>
      </c>
      <c r="J40" s="116">
        <v>1076</v>
      </c>
      <c r="K40">
        <v>792</v>
      </c>
      <c r="L40">
        <v>643</v>
      </c>
      <c r="M40">
        <v>643</v>
      </c>
      <c r="N40">
        <v>659</v>
      </c>
      <c r="O40">
        <v>585</v>
      </c>
    </row>
    <row r="41" spans="1:15" x14ac:dyDescent="0.25">
      <c r="A41" t="s">
        <v>1368</v>
      </c>
      <c r="B41" s="116">
        <v>1061538</v>
      </c>
      <c r="C41" s="116">
        <v>1186724</v>
      </c>
      <c r="D41" s="116">
        <v>1280543</v>
      </c>
      <c r="E41" s="116">
        <v>1401442</v>
      </c>
      <c r="F41" s="116">
        <v>1522594</v>
      </c>
      <c r="G41" s="116">
        <v>1608232</v>
      </c>
      <c r="H41" s="116">
        <v>1618880</v>
      </c>
      <c r="I41" s="116">
        <v>1491739</v>
      </c>
      <c r="J41" s="116">
        <v>1052884</v>
      </c>
      <c r="K41" s="116">
        <v>614838</v>
      </c>
      <c r="L41" s="116">
        <v>294931</v>
      </c>
      <c r="M41" s="116">
        <v>241996</v>
      </c>
      <c r="N41" s="116">
        <v>165055</v>
      </c>
      <c r="O41" s="116">
        <v>137617</v>
      </c>
    </row>
    <row r="42" spans="1:15" x14ac:dyDescent="0.25">
      <c r="A42" t="s">
        <v>1369</v>
      </c>
      <c r="B42" s="116">
        <v>106714</v>
      </c>
      <c r="C42" s="116">
        <v>73000</v>
      </c>
      <c r="D42" s="116">
        <v>76102</v>
      </c>
      <c r="E42" s="116">
        <v>96581</v>
      </c>
      <c r="F42" s="116">
        <v>98308</v>
      </c>
      <c r="G42" s="116">
        <v>128173</v>
      </c>
      <c r="H42" s="116">
        <v>199369</v>
      </c>
      <c r="I42" s="116">
        <v>316865</v>
      </c>
      <c r="J42" s="116">
        <v>314231</v>
      </c>
      <c r="K42" s="116">
        <v>216649</v>
      </c>
      <c r="L42" s="116">
        <v>91663</v>
      </c>
      <c r="M42" s="116">
        <v>63317</v>
      </c>
      <c r="N42" s="116">
        <v>45961</v>
      </c>
      <c r="O42" s="116">
        <v>11688</v>
      </c>
    </row>
    <row r="43" spans="1:15" x14ac:dyDescent="0.25">
      <c r="A43" t="s">
        <v>1370</v>
      </c>
      <c r="B43" s="116">
        <v>3764</v>
      </c>
      <c r="C43" s="116">
        <v>6107</v>
      </c>
      <c r="D43" s="116">
        <v>7235</v>
      </c>
      <c r="E43" s="116">
        <v>11654</v>
      </c>
      <c r="F43" s="116">
        <v>11098</v>
      </c>
      <c r="G43" s="116">
        <v>21040</v>
      </c>
      <c r="H43" s="116">
        <v>23224</v>
      </c>
      <c r="I43" s="116">
        <v>68205</v>
      </c>
      <c r="J43" s="116">
        <v>116337</v>
      </c>
      <c r="K43" s="116">
        <v>67492</v>
      </c>
      <c r="L43" s="116">
        <v>14662</v>
      </c>
      <c r="M43" s="116">
        <v>9548</v>
      </c>
      <c r="N43" s="116">
        <v>5837</v>
      </c>
      <c r="O43" s="116">
        <v>3436</v>
      </c>
    </row>
    <row r="44" spans="1:15" x14ac:dyDescent="0.25">
      <c r="A44" t="s">
        <v>1371</v>
      </c>
      <c r="B44" t="s">
        <v>418</v>
      </c>
      <c r="C44" t="s">
        <v>418</v>
      </c>
      <c r="D44" t="s">
        <v>418</v>
      </c>
      <c r="E44" t="s">
        <v>418</v>
      </c>
      <c r="F44" t="s">
        <v>418</v>
      </c>
      <c r="G44" t="s">
        <v>418</v>
      </c>
      <c r="H44" t="s">
        <v>418</v>
      </c>
      <c r="I44" t="s">
        <v>418</v>
      </c>
      <c r="J44" t="s">
        <v>418</v>
      </c>
      <c r="K44" t="s">
        <v>418</v>
      </c>
      <c r="L44">
        <v>0</v>
      </c>
      <c r="M44" t="s">
        <v>418</v>
      </c>
      <c r="N44">
        <v>0</v>
      </c>
      <c r="O44">
        <v>0</v>
      </c>
    </row>
    <row r="45" spans="1:15" x14ac:dyDescent="0.25">
      <c r="A45" t="s">
        <v>1372</v>
      </c>
      <c r="B45" t="s">
        <v>418</v>
      </c>
      <c r="C45" t="s">
        <v>418</v>
      </c>
      <c r="D45" t="s">
        <v>418</v>
      </c>
      <c r="E45" t="s">
        <v>418</v>
      </c>
      <c r="F45" t="s">
        <v>418</v>
      </c>
      <c r="G45" t="s">
        <v>418</v>
      </c>
      <c r="H45" t="s">
        <v>418</v>
      </c>
      <c r="I45" t="s">
        <v>418</v>
      </c>
      <c r="J45" t="s">
        <v>418</v>
      </c>
      <c r="K45" t="s">
        <v>418</v>
      </c>
      <c r="L45">
        <v>0</v>
      </c>
      <c r="M45" t="s">
        <v>418</v>
      </c>
      <c r="N45">
        <v>0</v>
      </c>
      <c r="O45">
        <v>0</v>
      </c>
    </row>
    <row r="46" spans="1:15" x14ac:dyDescent="0.25">
      <c r="A46" t="s">
        <v>1373</v>
      </c>
      <c r="B46" t="s">
        <v>418</v>
      </c>
      <c r="C46" t="s">
        <v>418</v>
      </c>
      <c r="D46" t="s">
        <v>418</v>
      </c>
      <c r="E46" t="s">
        <v>418</v>
      </c>
      <c r="F46" t="s">
        <v>418</v>
      </c>
      <c r="G46" t="s">
        <v>418</v>
      </c>
      <c r="H46" t="s">
        <v>418</v>
      </c>
      <c r="I46" t="s">
        <v>418</v>
      </c>
      <c r="J46" t="s">
        <v>418</v>
      </c>
      <c r="K46" t="s">
        <v>418</v>
      </c>
      <c r="L46">
        <v>0</v>
      </c>
      <c r="M46" t="s">
        <v>418</v>
      </c>
      <c r="N46">
        <v>0</v>
      </c>
      <c r="O46">
        <v>0</v>
      </c>
    </row>
    <row r="47" spans="1:15" x14ac:dyDescent="0.25">
      <c r="A47" t="s">
        <v>1374</v>
      </c>
      <c r="B47" t="s">
        <v>418</v>
      </c>
      <c r="C47" t="s">
        <v>418</v>
      </c>
      <c r="D47" t="s">
        <v>418</v>
      </c>
      <c r="E47" t="s">
        <v>418</v>
      </c>
      <c r="F47" t="s">
        <v>418</v>
      </c>
      <c r="G47" t="s">
        <v>418</v>
      </c>
      <c r="H47" t="s">
        <v>418</v>
      </c>
      <c r="I47" t="s">
        <v>418</v>
      </c>
      <c r="J47" t="s">
        <v>418</v>
      </c>
      <c r="K47" t="s">
        <v>418</v>
      </c>
      <c r="L47">
        <v>0</v>
      </c>
      <c r="M47" t="s">
        <v>418</v>
      </c>
      <c r="N47">
        <v>0</v>
      </c>
      <c r="O47">
        <v>0</v>
      </c>
    </row>
    <row r="48" spans="1:15" x14ac:dyDescent="0.25">
      <c r="A48" t="s">
        <v>1375</v>
      </c>
      <c r="B48" s="116">
        <v>333931</v>
      </c>
      <c r="C48" s="116">
        <v>387950</v>
      </c>
      <c r="D48" s="116">
        <v>409181</v>
      </c>
      <c r="E48" s="116">
        <v>418778</v>
      </c>
      <c r="F48" s="116">
        <v>443624</v>
      </c>
      <c r="G48" s="116">
        <v>452577</v>
      </c>
      <c r="H48" s="116">
        <v>481345</v>
      </c>
      <c r="I48" s="116">
        <v>475457</v>
      </c>
      <c r="J48" s="116">
        <v>215994</v>
      </c>
      <c r="K48" s="116">
        <v>156010</v>
      </c>
      <c r="L48" s="116">
        <v>63136</v>
      </c>
      <c r="M48" s="116">
        <v>31395</v>
      </c>
      <c r="N48" s="116">
        <v>27903</v>
      </c>
      <c r="O48" s="116">
        <v>15330</v>
      </c>
    </row>
    <row r="49" spans="1:15" x14ac:dyDescent="0.25">
      <c r="A49" t="s">
        <v>1376</v>
      </c>
      <c r="B49" s="116">
        <v>5329</v>
      </c>
      <c r="C49" s="116">
        <v>14796</v>
      </c>
      <c r="D49" s="116">
        <v>29868</v>
      </c>
      <c r="E49" s="116">
        <v>48950</v>
      </c>
      <c r="F49" s="116">
        <v>42665</v>
      </c>
      <c r="G49" s="116">
        <v>34055</v>
      </c>
      <c r="H49" s="116">
        <v>26106</v>
      </c>
      <c r="I49" s="116">
        <v>15876</v>
      </c>
      <c r="J49">
        <v>91</v>
      </c>
      <c r="K49">
        <v>356</v>
      </c>
      <c r="L49">
        <v>86</v>
      </c>
      <c r="M49">
        <v>812</v>
      </c>
      <c r="N49">
        <v>0</v>
      </c>
      <c r="O49">
        <v>0</v>
      </c>
    </row>
    <row r="50" spans="1:15" x14ac:dyDescent="0.25">
      <c r="A50" t="s">
        <v>1377</v>
      </c>
      <c r="B50" s="116">
        <v>4945</v>
      </c>
      <c r="C50" s="116">
        <v>5085</v>
      </c>
      <c r="D50" s="116">
        <v>5062</v>
      </c>
      <c r="E50" s="116">
        <v>3617</v>
      </c>
      <c r="F50" s="116">
        <v>3513</v>
      </c>
      <c r="G50" s="116">
        <v>3693</v>
      </c>
      <c r="H50" s="116">
        <v>4170</v>
      </c>
      <c r="I50" s="116">
        <v>4118</v>
      </c>
      <c r="J50" t="s">
        <v>418</v>
      </c>
      <c r="K50" t="s">
        <v>418</v>
      </c>
      <c r="L50">
        <v>0</v>
      </c>
      <c r="M50" t="s">
        <v>418</v>
      </c>
      <c r="N50">
        <v>0</v>
      </c>
      <c r="O50">
        <v>0</v>
      </c>
    </row>
    <row r="51" spans="1:15" x14ac:dyDescent="0.25">
      <c r="A51" t="s">
        <v>1378</v>
      </c>
      <c r="B51" s="116">
        <v>7631</v>
      </c>
      <c r="C51" s="116">
        <v>2736</v>
      </c>
      <c r="D51" s="116">
        <v>1611</v>
      </c>
      <c r="E51" s="116">
        <v>3579</v>
      </c>
      <c r="F51" s="116">
        <v>1463</v>
      </c>
      <c r="G51" s="116">
        <v>1497</v>
      </c>
      <c r="H51" s="116">
        <v>1782</v>
      </c>
      <c r="I51" s="116">
        <v>1812</v>
      </c>
      <c r="J51" s="116">
        <v>1608</v>
      </c>
      <c r="K51">
        <v>218</v>
      </c>
      <c r="L51">
        <v>363</v>
      </c>
      <c r="M51">
        <v>213</v>
      </c>
      <c r="N51">
        <v>0</v>
      </c>
      <c r="O51">
        <v>80</v>
      </c>
    </row>
    <row r="52" spans="1:15" x14ac:dyDescent="0.25">
      <c r="A52" t="s">
        <v>1379</v>
      </c>
      <c r="B52" t="s">
        <v>418</v>
      </c>
      <c r="C52" t="s">
        <v>418</v>
      </c>
      <c r="D52" t="s">
        <v>418</v>
      </c>
      <c r="E52" t="s">
        <v>418</v>
      </c>
      <c r="F52" t="s">
        <v>418</v>
      </c>
      <c r="G52" t="s">
        <v>418</v>
      </c>
      <c r="H52" t="s">
        <v>418</v>
      </c>
      <c r="I52" t="s">
        <v>418</v>
      </c>
      <c r="J52" t="s">
        <v>418</v>
      </c>
      <c r="K52" t="s">
        <v>418</v>
      </c>
      <c r="L52">
        <v>0</v>
      </c>
      <c r="M52" t="s">
        <v>418</v>
      </c>
      <c r="N52">
        <v>0</v>
      </c>
      <c r="O52">
        <v>0</v>
      </c>
    </row>
    <row r="53" spans="1:15" x14ac:dyDescent="0.25">
      <c r="A53" t="s">
        <v>1380</v>
      </c>
      <c r="B53" s="116">
        <v>110937</v>
      </c>
      <c r="C53" s="116">
        <v>115195</v>
      </c>
      <c r="D53" s="116">
        <v>145157</v>
      </c>
      <c r="E53" s="116">
        <v>116591</v>
      </c>
      <c r="F53" s="116">
        <v>90114</v>
      </c>
      <c r="G53" s="116">
        <v>43491</v>
      </c>
      <c r="H53" s="116">
        <v>47695</v>
      </c>
      <c r="I53" s="116">
        <v>18371</v>
      </c>
      <c r="J53" s="116">
        <v>18259</v>
      </c>
      <c r="K53" s="116">
        <v>15045</v>
      </c>
      <c r="L53" s="116">
        <v>24760</v>
      </c>
      <c r="M53" s="116">
        <v>23246</v>
      </c>
      <c r="N53" s="116">
        <v>18046</v>
      </c>
      <c r="O53" s="116">
        <v>1414</v>
      </c>
    </row>
    <row r="54" spans="1:15" x14ac:dyDescent="0.25">
      <c r="A54" t="s">
        <v>1381</v>
      </c>
      <c r="B54" s="116">
        <v>15006</v>
      </c>
      <c r="C54" s="116">
        <v>9808</v>
      </c>
      <c r="D54" s="116">
        <v>8620</v>
      </c>
      <c r="E54" s="116">
        <v>7274</v>
      </c>
      <c r="F54" s="116">
        <v>8138</v>
      </c>
      <c r="G54" s="116">
        <v>6837</v>
      </c>
      <c r="H54" s="116">
        <v>5012</v>
      </c>
      <c r="I54" s="116">
        <v>4898</v>
      </c>
      <c r="J54" t="s">
        <v>418</v>
      </c>
      <c r="K54" t="s">
        <v>418</v>
      </c>
      <c r="L54">
        <v>180</v>
      </c>
      <c r="M54" t="s">
        <v>418</v>
      </c>
      <c r="N54">
        <v>0</v>
      </c>
      <c r="O54">
        <v>0</v>
      </c>
    </row>
    <row r="55" spans="1:15" x14ac:dyDescent="0.25">
      <c r="A55" t="s">
        <v>1382</v>
      </c>
      <c r="B55" s="116">
        <v>2204108</v>
      </c>
      <c r="C55" s="116">
        <v>2187878</v>
      </c>
      <c r="D55" s="116">
        <v>2203024</v>
      </c>
      <c r="E55" s="116">
        <v>2356270</v>
      </c>
      <c r="F55" s="116">
        <v>2389891</v>
      </c>
      <c r="G55" s="116">
        <v>2489709</v>
      </c>
      <c r="H55" s="116">
        <v>2499797</v>
      </c>
      <c r="I55" s="116">
        <v>2457825</v>
      </c>
      <c r="J55" s="116">
        <v>1752294</v>
      </c>
      <c r="K55" s="116">
        <v>1090401</v>
      </c>
      <c r="L55" s="116">
        <v>510448</v>
      </c>
      <c r="M55" s="116">
        <v>389149</v>
      </c>
      <c r="N55" s="116">
        <v>279743</v>
      </c>
      <c r="O55" s="116">
        <v>174308</v>
      </c>
    </row>
    <row r="56" spans="1:15" x14ac:dyDescent="0.25">
      <c r="A56" t="s">
        <v>1383</v>
      </c>
      <c r="B56" s="116">
        <v>9054130</v>
      </c>
      <c r="C56" s="116">
        <v>7377472</v>
      </c>
      <c r="D56" s="116">
        <v>5823769</v>
      </c>
      <c r="E56" s="116">
        <v>6155497</v>
      </c>
      <c r="F56" s="116">
        <v>6122774</v>
      </c>
      <c r="G56" s="116">
        <v>6300945</v>
      </c>
      <c r="H56" s="116">
        <v>6386778</v>
      </c>
      <c r="I56" s="116">
        <v>6446140</v>
      </c>
      <c r="J56" s="116">
        <v>5130672</v>
      </c>
      <c r="K56" s="116">
        <v>3134077</v>
      </c>
      <c r="L56" s="116">
        <v>1583700</v>
      </c>
      <c r="M56" s="116">
        <v>1396734</v>
      </c>
      <c r="N56" s="116">
        <v>1117913</v>
      </c>
      <c r="O56" s="116">
        <v>631247</v>
      </c>
    </row>
    <row r="57" spans="1:15" x14ac:dyDescent="0.25">
      <c r="A57" t="s">
        <v>1485</v>
      </c>
    </row>
    <row r="58" spans="1:15" x14ac:dyDescent="0.25">
      <c r="A58" t="s">
        <v>1486</v>
      </c>
    </row>
    <row r="59" spans="1:15" x14ac:dyDescent="0.25">
      <c r="A59" t="s">
        <v>1384</v>
      </c>
      <c r="B59" s="116">
        <v>864116</v>
      </c>
      <c r="C59" s="116">
        <v>541675</v>
      </c>
      <c r="D59" s="116">
        <v>225696</v>
      </c>
      <c r="E59" s="116">
        <v>890849</v>
      </c>
      <c r="F59" s="116">
        <v>1157052</v>
      </c>
      <c r="G59" s="116">
        <v>460192</v>
      </c>
      <c r="H59" s="116">
        <v>242376</v>
      </c>
      <c r="I59" s="116">
        <v>565856</v>
      </c>
      <c r="J59" s="116">
        <v>950213</v>
      </c>
      <c r="K59" s="116">
        <v>499444</v>
      </c>
      <c r="L59" s="116">
        <v>94060</v>
      </c>
      <c r="M59" s="116">
        <v>96176</v>
      </c>
      <c r="N59" s="116">
        <v>118729</v>
      </c>
      <c r="O59" s="116">
        <v>106442</v>
      </c>
    </row>
    <row r="60" spans="1:15" x14ac:dyDescent="0.25">
      <c r="A60" t="s">
        <v>1385</v>
      </c>
      <c r="B60" t="s">
        <v>418</v>
      </c>
      <c r="C60" t="s">
        <v>418</v>
      </c>
      <c r="D60" t="s">
        <v>418</v>
      </c>
      <c r="E60" t="s">
        <v>418</v>
      </c>
      <c r="F60" t="s">
        <v>418</v>
      </c>
      <c r="G60" t="s">
        <v>418</v>
      </c>
      <c r="H60" t="s">
        <v>418</v>
      </c>
      <c r="I60" t="s">
        <v>418</v>
      </c>
      <c r="J60" t="s">
        <v>418</v>
      </c>
      <c r="K60" t="s">
        <v>418</v>
      </c>
      <c r="L60">
        <v>0</v>
      </c>
      <c r="M60" t="s">
        <v>418</v>
      </c>
      <c r="N60">
        <v>0</v>
      </c>
      <c r="O60">
        <v>0</v>
      </c>
    </row>
    <row r="61" spans="1:15" x14ac:dyDescent="0.25">
      <c r="A61" t="s">
        <v>1386</v>
      </c>
      <c r="B61" t="s">
        <v>418</v>
      </c>
      <c r="C61" t="s">
        <v>418</v>
      </c>
      <c r="D61" t="s">
        <v>418</v>
      </c>
      <c r="E61" t="s">
        <v>418</v>
      </c>
      <c r="F61" t="s">
        <v>418</v>
      </c>
      <c r="G61" t="s">
        <v>418</v>
      </c>
      <c r="H61" t="s">
        <v>418</v>
      </c>
      <c r="I61" t="s">
        <v>418</v>
      </c>
      <c r="J61" t="s">
        <v>418</v>
      </c>
      <c r="K61" t="s">
        <v>418</v>
      </c>
      <c r="L61">
        <v>0</v>
      </c>
      <c r="M61" t="s">
        <v>418</v>
      </c>
      <c r="N61">
        <v>0</v>
      </c>
      <c r="O61">
        <v>0</v>
      </c>
    </row>
    <row r="62" spans="1:15" x14ac:dyDescent="0.25">
      <c r="A62" t="s">
        <v>1387</v>
      </c>
      <c r="B62" t="s">
        <v>418</v>
      </c>
      <c r="C62" t="s">
        <v>418</v>
      </c>
      <c r="D62" t="s">
        <v>418</v>
      </c>
      <c r="E62" t="s">
        <v>418</v>
      </c>
      <c r="F62" t="s">
        <v>418</v>
      </c>
      <c r="G62" t="s">
        <v>418</v>
      </c>
      <c r="H62" t="s">
        <v>418</v>
      </c>
      <c r="I62" t="s">
        <v>418</v>
      </c>
      <c r="J62" t="s">
        <v>418</v>
      </c>
      <c r="K62" t="s">
        <v>418</v>
      </c>
      <c r="L62">
        <v>0</v>
      </c>
      <c r="M62" t="s">
        <v>418</v>
      </c>
      <c r="N62">
        <v>0</v>
      </c>
      <c r="O62">
        <v>0</v>
      </c>
    </row>
    <row r="63" spans="1:15" x14ac:dyDescent="0.25">
      <c r="A63" t="s">
        <v>1388</v>
      </c>
      <c r="B63" t="s">
        <v>418</v>
      </c>
      <c r="C63" t="s">
        <v>418</v>
      </c>
      <c r="D63" t="s">
        <v>418</v>
      </c>
      <c r="E63" t="s">
        <v>418</v>
      </c>
      <c r="F63" t="s">
        <v>418</v>
      </c>
      <c r="G63" t="s">
        <v>418</v>
      </c>
      <c r="H63" s="116">
        <v>39905</v>
      </c>
      <c r="I63" s="116">
        <v>27931</v>
      </c>
      <c r="J63" s="116">
        <v>3646</v>
      </c>
      <c r="K63">
        <v>21</v>
      </c>
      <c r="L63">
        <v>0</v>
      </c>
      <c r="M63" s="116">
        <v>5636</v>
      </c>
      <c r="N63" s="116">
        <v>1042</v>
      </c>
      <c r="O63">
        <v>0</v>
      </c>
    </row>
    <row r="64" spans="1:15" x14ac:dyDescent="0.25">
      <c r="A64" t="s">
        <v>1389</v>
      </c>
      <c r="B64" s="116">
        <v>50303</v>
      </c>
      <c r="C64" s="116">
        <v>89855</v>
      </c>
      <c r="D64" s="116">
        <v>92621</v>
      </c>
      <c r="E64" s="116">
        <v>38779</v>
      </c>
      <c r="F64" s="116">
        <v>10687</v>
      </c>
      <c r="G64" s="116">
        <v>12589</v>
      </c>
      <c r="H64" t="s">
        <v>418</v>
      </c>
      <c r="I64" t="s">
        <v>418</v>
      </c>
      <c r="J64" t="s">
        <v>418</v>
      </c>
      <c r="K64" t="s">
        <v>418</v>
      </c>
      <c r="L64">
        <v>0</v>
      </c>
      <c r="M64" t="s">
        <v>418</v>
      </c>
      <c r="N64">
        <v>0</v>
      </c>
      <c r="O64">
        <v>0</v>
      </c>
    </row>
    <row r="65" spans="1:15" x14ac:dyDescent="0.25">
      <c r="A65" t="s">
        <v>1390</v>
      </c>
      <c r="B65" s="116">
        <v>801839</v>
      </c>
      <c r="C65" s="116">
        <v>840500</v>
      </c>
      <c r="D65" s="116">
        <v>471992</v>
      </c>
      <c r="E65" s="116">
        <v>292322</v>
      </c>
      <c r="F65" s="116">
        <v>258654</v>
      </c>
      <c r="G65" s="116">
        <v>305373</v>
      </c>
      <c r="H65" s="116">
        <v>193020</v>
      </c>
      <c r="I65" s="116">
        <v>162878</v>
      </c>
      <c r="J65" s="116">
        <v>260348</v>
      </c>
      <c r="K65" s="116">
        <v>227700</v>
      </c>
      <c r="L65" s="116">
        <v>51638</v>
      </c>
      <c r="M65" s="116">
        <v>36909</v>
      </c>
      <c r="N65" s="116">
        <v>43373</v>
      </c>
      <c r="O65" s="116">
        <v>29647</v>
      </c>
    </row>
    <row r="66" spans="1:15" x14ac:dyDescent="0.25">
      <c r="A66" t="s">
        <v>1391</v>
      </c>
      <c r="B66" s="116">
        <v>1227623</v>
      </c>
      <c r="C66" s="116">
        <v>878571</v>
      </c>
      <c r="D66" s="116">
        <v>621783</v>
      </c>
      <c r="E66" s="116">
        <v>460535</v>
      </c>
      <c r="F66" s="116">
        <v>364212</v>
      </c>
      <c r="G66" s="116">
        <v>448794</v>
      </c>
      <c r="H66" s="116">
        <v>621781</v>
      </c>
      <c r="I66" s="116">
        <v>419206</v>
      </c>
      <c r="J66" s="116">
        <v>406682</v>
      </c>
      <c r="K66" s="116">
        <v>438874</v>
      </c>
      <c r="L66" s="116">
        <v>126416</v>
      </c>
      <c r="M66" s="116">
        <v>120146</v>
      </c>
      <c r="N66" s="116">
        <v>127174</v>
      </c>
      <c r="O66" s="116">
        <v>58332</v>
      </c>
    </row>
    <row r="67" spans="1:15" x14ac:dyDescent="0.25">
      <c r="A67" t="s">
        <v>1392</v>
      </c>
      <c r="B67" s="116">
        <v>128095</v>
      </c>
      <c r="C67" s="116">
        <v>135710</v>
      </c>
      <c r="D67" s="116">
        <v>147017</v>
      </c>
      <c r="E67" s="116">
        <v>106270</v>
      </c>
      <c r="F67" s="116">
        <v>89251</v>
      </c>
      <c r="G67" s="116">
        <v>164359</v>
      </c>
      <c r="H67" s="116">
        <v>103878</v>
      </c>
      <c r="I67" s="116">
        <v>188599</v>
      </c>
      <c r="J67" s="116">
        <v>89212</v>
      </c>
      <c r="K67" s="116">
        <v>95849</v>
      </c>
      <c r="L67" s="116">
        <v>44142</v>
      </c>
      <c r="M67" s="116">
        <v>59280</v>
      </c>
      <c r="N67" s="116">
        <v>32709</v>
      </c>
      <c r="O67" s="116">
        <v>15430</v>
      </c>
    </row>
    <row r="68" spans="1:15" x14ac:dyDescent="0.25">
      <c r="A68" t="s">
        <v>1393</v>
      </c>
      <c r="B68" t="s">
        <v>418</v>
      </c>
      <c r="C68" t="s">
        <v>418</v>
      </c>
      <c r="D68" t="s">
        <v>418</v>
      </c>
      <c r="E68" t="s">
        <v>418</v>
      </c>
      <c r="F68" t="s">
        <v>418</v>
      </c>
      <c r="G68" t="s">
        <v>418</v>
      </c>
      <c r="H68" t="s">
        <v>418</v>
      </c>
      <c r="I68" t="s">
        <v>418</v>
      </c>
      <c r="J68" t="s">
        <v>418</v>
      </c>
      <c r="K68" t="s">
        <v>418</v>
      </c>
      <c r="L68">
        <v>0</v>
      </c>
      <c r="M68" t="s">
        <v>418</v>
      </c>
      <c r="N68">
        <v>0</v>
      </c>
      <c r="O68">
        <v>0</v>
      </c>
    </row>
    <row r="69" spans="1:15" x14ac:dyDescent="0.25">
      <c r="A69" t="s">
        <v>1394</v>
      </c>
      <c r="B69" t="s">
        <v>418</v>
      </c>
      <c r="C69" t="s">
        <v>418</v>
      </c>
      <c r="D69" t="s">
        <v>418</v>
      </c>
      <c r="E69" t="s">
        <v>418</v>
      </c>
      <c r="F69" t="s">
        <v>418</v>
      </c>
      <c r="G69" t="s">
        <v>418</v>
      </c>
      <c r="H69" t="s">
        <v>418</v>
      </c>
      <c r="I69" t="s">
        <v>418</v>
      </c>
      <c r="J69" t="s">
        <v>418</v>
      </c>
      <c r="K69" t="s">
        <v>418</v>
      </c>
      <c r="L69">
        <v>0</v>
      </c>
      <c r="M69" t="s">
        <v>418</v>
      </c>
      <c r="N69">
        <v>0</v>
      </c>
      <c r="O69">
        <v>0</v>
      </c>
    </row>
    <row r="70" spans="1:15" x14ac:dyDescent="0.25">
      <c r="A70" t="s">
        <v>1395</v>
      </c>
      <c r="B70" s="116">
        <v>128962</v>
      </c>
      <c r="C70" s="116">
        <v>104625</v>
      </c>
      <c r="D70" s="116">
        <v>48861</v>
      </c>
      <c r="E70" s="116">
        <v>30797</v>
      </c>
      <c r="F70" s="116">
        <v>29283</v>
      </c>
      <c r="G70" s="116">
        <v>29727</v>
      </c>
      <c r="H70" s="116">
        <v>33514</v>
      </c>
      <c r="I70" s="116">
        <v>33301</v>
      </c>
      <c r="J70" s="116">
        <v>30940</v>
      </c>
      <c r="K70" s="116">
        <v>31363</v>
      </c>
      <c r="L70" s="116">
        <v>4998</v>
      </c>
      <c r="M70" s="116">
        <v>3320</v>
      </c>
      <c r="N70" s="116">
        <v>2856</v>
      </c>
      <c r="O70" s="116">
        <v>2443</v>
      </c>
    </row>
    <row r="71" spans="1:15" x14ac:dyDescent="0.25">
      <c r="A71" t="s">
        <v>1396</v>
      </c>
      <c r="B71" s="116">
        <v>149046</v>
      </c>
      <c r="C71" s="116">
        <v>52375</v>
      </c>
      <c r="D71" s="116">
        <v>53312</v>
      </c>
      <c r="E71" s="116">
        <v>35085</v>
      </c>
      <c r="F71" s="116">
        <v>17814</v>
      </c>
      <c r="G71" s="116">
        <v>20498</v>
      </c>
      <c r="H71" s="116">
        <v>52157</v>
      </c>
      <c r="I71" s="116">
        <v>37442</v>
      </c>
      <c r="J71" s="116">
        <v>100572</v>
      </c>
      <c r="K71" s="116">
        <v>73495</v>
      </c>
      <c r="L71" s="116">
        <v>33451</v>
      </c>
      <c r="M71" s="116">
        <v>22982</v>
      </c>
      <c r="N71" s="116">
        <v>7468</v>
      </c>
      <c r="O71" s="116">
        <v>10113</v>
      </c>
    </row>
    <row r="72" spans="1:15" x14ac:dyDescent="0.25">
      <c r="A72" t="s">
        <v>1397</v>
      </c>
      <c r="B72" t="s">
        <v>418</v>
      </c>
      <c r="C72" s="116">
        <v>5412</v>
      </c>
      <c r="D72" s="116">
        <v>4800</v>
      </c>
      <c r="E72" s="116">
        <v>6963</v>
      </c>
      <c r="F72" s="116">
        <v>4470</v>
      </c>
      <c r="G72" s="116">
        <v>3885</v>
      </c>
      <c r="H72" s="116">
        <v>4893</v>
      </c>
      <c r="I72" s="116">
        <v>7592</v>
      </c>
      <c r="J72" s="116">
        <v>6926</v>
      </c>
      <c r="K72" s="116">
        <v>2077</v>
      </c>
      <c r="L72" s="116">
        <v>1388</v>
      </c>
      <c r="M72" s="116">
        <v>1980</v>
      </c>
      <c r="N72" s="116">
        <v>1199</v>
      </c>
      <c r="O72">
        <v>0</v>
      </c>
    </row>
    <row r="73" spans="1:15" x14ac:dyDescent="0.25">
      <c r="A73" t="s">
        <v>1398</v>
      </c>
      <c r="B73" s="116">
        <v>10074</v>
      </c>
      <c r="C73" s="116">
        <v>9116</v>
      </c>
      <c r="D73" s="116">
        <v>8564</v>
      </c>
      <c r="E73" s="116">
        <v>11537</v>
      </c>
      <c r="F73" s="116">
        <v>10953</v>
      </c>
      <c r="G73" s="116">
        <v>10844</v>
      </c>
      <c r="H73" s="116">
        <v>26712</v>
      </c>
      <c r="I73" s="116">
        <v>10000</v>
      </c>
      <c r="J73" s="116">
        <v>10000</v>
      </c>
      <c r="K73" s="116">
        <v>51732</v>
      </c>
      <c r="L73">
        <v>0</v>
      </c>
      <c r="M73" t="s">
        <v>418</v>
      </c>
      <c r="N73">
        <v>438</v>
      </c>
      <c r="O73">
        <v>0</v>
      </c>
    </row>
    <row r="74" spans="1:15" x14ac:dyDescent="0.25">
      <c r="A74" t="s">
        <v>1399</v>
      </c>
      <c r="B74" t="s">
        <v>418</v>
      </c>
      <c r="C74" t="s">
        <v>418</v>
      </c>
      <c r="D74" t="s">
        <v>418</v>
      </c>
      <c r="E74" t="s">
        <v>418</v>
      </c>
      <c r="F74" t="s">
        <v>418</v>
      </c>
      <c r="G74" t="s">
        <v>418</v>
      </c>
      <c r="H74" t="s">
        <v>418</v>
      </c>
      <c r="I74" t="s">
        <v>418</v>
      </c>
      <c r="J74" t="s">
        <v>418</v>
      </c>
      <c r="K74" t="s">
        <v>418</v>
      </c>
      <c r="L74">
        <v>0</v>
      </c>
      <c r="M74" t="s">
        <v>418</v>
      </c>
      <c r="N74">
        <v>0</v>
      </c>
      <c r="O74">
        <v>0</v>
      </c>
    </row>
    <row r="75" spans="1:15" x14ac:dyDescent="0.25">
      <c r="A75" t="s">
        <v>1400</v>
      </c>
      <c r="B75" t="s">
        <v>418</v>
      </c>
      <c r="C75" t="s">
        <v>418</v>
      </c>
      <c r="D75" t="s">
        <v>418</v>
      </c>
      <c r="E75" t="s">
        <v>418</v>
      </c>
      <c r="F75" t="s">
        <v>418</v>
      </c>
      <c r="G75" t="s">
        <v>418</v>
      </c>
      <c r="H75" t="s">
        <v>418</v>
      </c>
      <c r="I75" t="s">
        <v>418</v>
      </c>
      <c r="J75" t="s">
        <v>418</v>
      </c>
      <c r="K75" t="s">
        <v>418</v>
      </c>
      <c r="L75">
        <v>0</v>
      </c>
      <c r="M75" t="s">
        <v>418</v>
      </c>
      <c r="N75">
        <v>0</v>
      </c>
      <c r="O75">
        <v>0</v>
      </c>
    </row>
    <row r="76" spans="1:15" x14ac:dyDescent="0.25">
      <c r="A76" t="s">
        <v>1401</v>
      </c>
      <c r="B76" t="s">
        <v>418</v>
      </c>
      <c r="C76" t="s">
        <v>418</v>
      </c>
      <c r="D76" t="s">
        <v>418</v>
      </c>
      <c r="E76" t="s">
        <v>418</v>
      </c>
      <c r="F76" t="s">
        <v>418</v>
      </c>
      <c r="G76" t="s">
        <v>418</v>
      </c>
      <c r="H76" t="s">
        <v>418</v>
      </c>
      <c r="I76" t="s">
        <v>418</v>
      </c>
      <c r="J76" t="s">
        <v>418</v>
      </c>
      <c r="K76" t="s">
        <v>418</v>
      </c>
      <c r="L76">
        <v>0</v>
      </c>
      <c r="M76" t="s">
        <v>418</v>
      </c>
      <c r="N76">
        <v>0</v>
      </c>
      <c r="O76">
        <v>0</v>
      </c>
    </row>
    <row r="77" spans="1:15" x14ac:dyDescent="0.25">
      <c r="A77" t="s">
        <v>1402</v>
      </c>
      <c r="B77" s="116">
        <v>404881</v>
      </c>
      <c r="C77" s="116">
        <v>281547</v>
      </c>
      <c r="D77" s="116">
        <v>220582</v>
      </c>
      <c r="E77" s="116">
        <v>229716</v>
      </c>
      <c r="F77" s="116">
        <v>216569</v>
      </c>
      <c r="G77" s="116">
        <v>241914</v>
      </c>
      <c r="H77" s="116">
        <v>389301</v>
      </c>
      <c r="I77" s="116">
        <v>650303</v>
      </c>
      <c r="J77" s="116">
        <v>308461</v>
      </c>
      <c r="K77" s="116">
        <v>229310</v>
      </c>
      <c r="L77" s="116">
        <v>149688</v>
      </c>
      <c r="M77" s="116">
        <v>104154</v>
      </c>
      <c r="N77" s="116">
        <v>65766</v>
      </c>
      <c r="O77" s="116">
        <v>15990</v>
      </c>
    </row>
    <row r="78" spans="1:15" x14ac:dyDescent="0.25">
      <c r="A78" t="s">
        <v>1403</v>
      </c>
      <c r="B78" t="s">
        <v>418</v>
      </c>
      <c r="C78" t="s">
        <v>418</v>
      </c>
      <c r="D78" t="s">
        <v>418</v>
      </c>
      <c r="E78" t="s">
        <v>418</v>
      </c>
      <c r="F78" t="s">
        <v>418</v>
      </c>
      <c r="G78" t="s">
        <v>418</v>
      </c>
      <c r="H78" t="s">
        <v>418</v>
      </c>
      <c r="I78" t="s">
        <v>418</v>
      </c>
      <c r="J78" t="s">
        <v>418</v>
      </c>
      <c r="K78" t="s">
        <v>418</v>
      </c>
      <c r="L78">
        <v>0</v>
      </c>
      <c r="M78" t="s">
        <v>418</v>
      </c>
      <c r="N78">
        <v>0</v>
      </c>
      <c r="O78">
        <v>0</v>
      </c>
    </row>
    <row r="79" spans="1:15" x14ac:dyDescent="0.25">
      <c r="A79" t="s">
        <v>1404</v>
      </c>
      <c r="B79" t="s">
        <v>418</v>
      </c>
      <c r="C79" t="s">
        <v>418</v>
      </c>
      <c r="D79" t="s">
        <v>418</v>
      </c>
      <c r="E79" t="s">
        <v>418</v>
      </c>
      <c r="F79" t="s">
        <v>418</v>
      </c>
      <c r="G79" t="s">
        <v>418</v>
      </c>
      <c r="H79" t="s">
        <v>418</v>
      </c>
      <c r="I79" t="s">
        <v>418</v>
      </c>
      <c r="J79" t="s">
        <v>418</v>
      </c>
      <c r="K79" t="s">
        <v>418</v>
      </c>
      <c r="L79">
        <v>0</v>
      </c>
      <c r="M79" t="s">
        <v>418</v>
      </c>
      <c r="N79">
        <v>0</v>
      </c>
      <c r="O79">
        <v>0</v>
      </c>
    </row>
    <row r="80" spans="1:15" x14ac:dyDescent="0.25">
      <c r="A80" t="s">
        <v>1405</v>
      </c>
      <c r="B80" t="s">
        <v>418</v>
      </c>
      <c r="C80" t="s">
        <v>418</v>
      </c>
      <c r="D80" t="s">
        <v>418</v>
      </c>
      <c r="E80" t="s">
        <v>418</v>
      </c>
      <c r="F80" t="s">
        <v>418</v>
      </c>
      <c r="G80" t="s">
        <v>418</v>
      </c>
      <c r="H80" t="s">
        <v>418</v>
      </c>
      <c r="I80" t="s">
        <v>418</v>
      </c>
      <c r="J80" t="s">
        <v>418</v>
      </c>
      <c r="K80" t="s">
        <v>418</v>
      </c>
      <c r="L80">
        <v>0</v>
      </c>
      <c r="M80" t="s">
        <v>418</v>
      </c>
      <c r="N80">
        <v>0</v>
      </c>
      <c r="O80">
        <v>0</v>
      </c>
    </row>
    <row r="81" spans="1:15" x14ac:dyDescent="0.25">
      <c r="A81" t="s">
        <v>1406</v>
      </c>
      <c r="B81" t="s">
        <v>418</v>
      </c>
      <c r="C81" t="s">
        <v>418</v>
      </c>
      <c r="D81" t="s">
        <v>418</v>
      </c>
      <c r="E81" t="s">
        <v>418</v>
      </c>
      <c r="F81" t="s">
        <v>418</v>
      </c>
      <c r="G81" t="s">
        <v>418</v>
      </c>
      <c r="H81" t="s">
        <v>418</v>
      </c>
      <c r="I81" t="s">
        <v>418</v>
      </c>
      <c r="J81" t="s">
        <v>418</v>
      </c>
      <c r="K81" t="s">
        <v>418</v>
      </c>
      <c r="L81">
        <v>0</v>
      </c>
      <c r="M81" t="s">
        <v>418</v>
      </c>
      <c r="N81">
        <v>0</v>
      </c>
      <c r="O81">
        <v>0</v>
      </c>
    </row>
    <row r="82" spans="1:15" x14ac:dyDescent="0.25">
      <c r="A82" t="s">
        <v>1407</v>
      </c>
      <c r="B82" t="s">
        <v>418</v>
      </c>
      <c r="C82" t="s">
        <v>418</v>
      </c>
      <c r="D82" t="s">
        <v>418</v>
      </c>
      <c r="E82" t="s">
        <v>418</v>
      </c>
      <c r="F82" t="s">
        <v>418</v>
      </c>
      <c r="G82" t="s">
        <v>418</v>
      </c>
      <c r="H82" t="s">
        <v>418</v>
      </c>
      <c r="I82" t="s">
        <v>418</v>
      </c>
      <c r="J82" t="s">
        <v>418</v>
      </c>
      <c r="K82" t="s">
        <v>418</v>
      </c>
      <c r="L82">
        <v>0</v>
      </c>
      <c r="M82" t="s">
        <v>418</v>
      </c>
      <c r="N82">
        <v>0</v>
      </c>
      <c r="O82">
        <v>0</v>
      </c>
    </row>
    <row r="83" spans="1:15" x14ac:dyDescent="0.25">
      <c r="A83" t="s">
        <v>1408</v>
      </c>
      <c r="B83" t="s">
        <v>418</v>
      </c>
      <c r="C83" t="s">
        <v>418</v>
      </c>
      <c r="D83" t="s">
        <v>418</v>
      </c>
      <c r="E83" t="s">
        <v>418</v>
      </c>
      <c r="F83" t="s">
        <v>418</v>
      </c>
      <c r="G83" t="s">
        <v>418</v>
      </c>
      <c r="H83" t="s">
        <v>418</v>
      </c>
      <c r="I83" t="s">
        <v>418</v>
      </c>
      <c r="J83" t="s">
        <v>418</v>
      </c>
      <c r="K83" t="s">
        <v>418</v>
      </c>
      <c r="L83">
        <v>0</v>
      </c>
      <c r="M83" t="s">
        <v>418</v>
      </c>
      <c r="N83">
        <v>0</v>
      </c>
      <c r="O83">
        <v>0</v>
      </c>
    </row>
    <row r="84" spans="1:15" x14ac:dyDescent="0.25">
      <c r="A84" t="s">
        <v>1409</v>
      </c>
      <c r="B84" t="s">
        <v>418</v>
      </c>
      <c r="C84" t="s">
        <v>418</v>
      </c>
      <c r="D84" t="s">
        <v>418</v>
      </c>
      <c r="E84" t="s">
        <v>418</v>
      </c>
      <c r="F84" t="s">
        <v>418</v>
      </c>
      <c r="G84" t="s">
        <v>418</v>
      </c>
      <c r="H84" t="s">
        <v>418</v>
      </c>
      <c r="I84" t="s">
        <v>418</v>
      </c>
      <c r="J84" t="s">
        <v>418</v>
      </c>
      <c r="K84" t="s">
        <v>418</v>
      </c>
      <c r="L84">
        <v>0</v>
      </c>
      <c r="M84" t="s">
        <v>418</v>
      </c>
      <c r="N84">
        <v>0</v>
      </c>
      <c r="O84">
        <v>0</v>
      </c>
    </row>
    <row r="85" spans="1:15" x14ac:dyDescent="0.25">
      <c r="A85" t="s">
        <v>1410</v>
      </c>
      <c r="B85" t="s">
        <v>418</v>
      </c>
      <c r="C85" t="s">
        <v>418</v>
      </c>
      <c r="D85" t="s">
        <v>418</v>
      </c>
      <c r="E85" t="s">
        <v>418</v>
      </c>
      <c r="F85" t="s">
        <v>418</v>
      </c>
      <c r="G85" t="s">
        <v>418</v>
      </c>
      <c r="H85" t="s">
        <v>418</v>
      </c>
      <c r="I85" t="s">
        <v>418</v>
      </c>
      <c r="J85" t="s">
        <v>418</v>
      </c>
      <c r="K85" t="s">
        <v>418</v>
      </c>
      <c r="L85">
        <v>0</v>
      </c>
      <c r="M85" t="s">
        <v>418</v>
      </c>
      <c r="N85">
        <v>0</v>
      </c>
      <c r="O85">
        <v>0</v>
      </c>
    </row>
    <row r="86" spans="1:15" x14ac:dyDescent="0.25">
      <c r="A86" t="s">
        <v>1411</v>
      </c>
      <c r="B86" t="s">
        <v>418</v>
      </c>
      <c r="C86" t="s">
        <v>418</v>
      </c>
      <c r="D86" t="s">
        <v>418</v>
      </c>
      <c r="E86" t="s">
        <v>418</v>
      </c>
      <c r="F86" t="s">
        <v>418</v>
      </c>
      <c r="G86" t="s">
        <v>418</v>
      </c>
      <c r="H86" t="s">
        <v>418</v>
      </c>
      <c r="I86" t="s">
        <v>418</v>
      </c>
      <c r="J86" t="s">
        <v>418</v>
      </c>
      <c r="K86" t="s">
        <v>418</v>
      </c>
      <c r="L86">
        <v>0</v>
      </c>
      <c r="M86" t="s">
        <v>418</v>
      </c>
      <c r="N86">
        <v>0</v>
      </c>
      <c r="O86">
        <v>0</v>
      </c>
    </row>
    <row r="87" spans="1:15" x14ac:dyDescent="0.25">
      <c r="A87" t="s">
        <v>1412</v>
      </c>
      <c r="B87" t="s">
        <v>418</v>
      </c>
      <c r="C87" t="s">
        <v>418</v>
      </c>
      <c r="D87" t="s">
        <v>418</v>
      </c>
      <c r="E87" t="s">
        <v>418</v>
      </c>
      <c r="F87" t="s">
        <v>418</v>
      </c>
      <c r="G87" t="s">
        <v>418</v>
      </c>
      <c r="H87" t="s">
        <v>418</v>
      </c>
      <c r="I87" t="s">
        <v>418</v>
      </c>
      <c r="J87" t="s">
        <v>418</v>
      </c>
      <c r="K87" t="s">
        <v>418</v>
      </c>
      <c r="L87">
        <v>0</v>
      </c>
      <c r="M87" t="s">
        <v>418</v>
      </c>
      <c r="N87">
        <v>0</v>
      </c>
      <c r="O87">
        <v>0</v>
      </c>
    </row>
    <row r="88" spans="1:15" x14ac:dyDescent="0.25">
      <c r="A88" t="s">
        <v>1413</v>
      </c>
      <c r="B88" s="116">
        <v>212969</v>
      </c>
      <c r="C88" s="116">
        <v>291908</v>
      </c>
      <c r="D88" s="116">
        <v>299921</v>
      </c>
      <c r="E88" s="116">
        <v>219925</v>
      </c>
      <c r="F88" s="116">
        <v>621457</v>
      </c>
      <c r="G88" s="116">
        <v>386789</v>
      </c>
      <c r="H88" s="116">
        <v>87647</v>
      </c>
      <c r="I88" s="116">
        <v>166159</v>
      </c>
      <c r="J88" s="116">
        <v>146179</v>
      </c>
      <c r="K88" s="116">
        <v>103234</v>
      </c>
      <c r="L88" s="116">
        <v>46090</v>
      </c>
      <c r="M88" s="116">
        <v>6835</v>
      </c>
      <c r="N88" s="116">
        <v>5844</v>
      </c>
      <c r="O88" s="116">
        <v>10000</v>
      </c>
    </row>
    <row r="89" spans="1:15" x14ac:dyDescent="0.25">
      <c r="A89" t="s">
        <v>1414</v>
      </c>
      <c r="B89" s="116">
        <v>236952</v>
      </c>
      <c r="C89" s="116">
        <v>162244</v>
      </c>
      <c r="D89" s="116">
        <v>103106</v>
      </c>
      <c r="E89" s="116">
        <v>57256</v>
      </c>
      <c r="F89" t="s">
        <v>418</v>
      </c>
      <c r="G89" t="s">
        <v>418</v>
      </c>
      <c r="H89" t="s">
        <v>418</v>
      </c>
      <c r="I89" t="s">
        <v>418</v>
      </c>
      <c r="J89" t="s">
        <v>418</v>
      </c>
      <c r="K89" t="s">
        <v>418</v>
      </c>
      <c r="L89">
        <v>0</v>
      </c>
      <c r="M89" t="s">
        <v>418</v>
      </c>
      <c r="N89">
        <v>0</v>
      </c>
      <c r="O89">
        <v>0</v>
      </c>
    </row>
    <row r="90" spans="1:15" x14ac:dyDescent="0.25">
      <c r="A90" t="s">
        <v>1415</v>
      </c>
      <c r="B90" s="116">
        <v>4214859</v>
      </c>
      <c r="C90" s="116">
        <v>3393536</v>
      </c>
      <c r="D90" s="116">
        <v>2298254</v>
      </c>
      <c r="E90" s="116">
        <v>2380034</v>
      </c>
      <c r="F90" s="116">
        <v>2780400</v>
      </c>
      <c r="G90" s="116">
        <v>2084963</v>
      </c>
      <c r="H90" s="116">
        <v>1795185</v>
      </c>
      <c r="I90" s="116">
        <v>2269266</v>
      </c>
      <c r="J90" s="116">
        <v>2313180</v>
      </c>
      <c r="K90" s="116">
        <v>1753099</v>
      </c>
      <c r="L90" s="116">
        <v>551873</v>
      </c>
      <c r="M90" s="116">
        <v>457417</v>
      </c>
      <c r="N90" s="116">
        <v>406599</v>
      </c>
      <c r="O90" s="116">
        <v>248397</v>
      </c>
    </row>
    <row r="91" spans="1:15" x14ac:dyDescent="0.25">
      <c r="A91" t="s">
        <v>1487</v>
      </c>
    </row>
    <row r="92" spans="1:15" x14ac:dyDescent="0.25">
      <c r="A92" t="s">
        <v>1416</v>
      </c>
      <c r="B92" s="116">
        <v>130284</v>
      </c>
      <c r="C92" s="116">
        <v>194070</v>
      </c>
      <c r="D92" s="116">
        <v>336692</v>
      </c>
      <c r="E92" s="116">
        <v>941295</v>
      </c>
      <c r="F92" s="116">
        <v>870218</v>
      </c>
      <c r="G92" s="116">
        <v>1613159</v>
      </c>
      <c r="H92" s="116">
        <v>1961399</v>
      </c>
      <c r="I92" s="116">
        <v>1569231</v>
      </c>
      <c r="J92" s="116">
        <v>668038</v>
      </c>
      <c r="K92" s="116">
        <v>121223</v>
      </c>
      <c r="L92" s="116">
        <v>133568</v>
      </c>
      <c r="M92" s="116">
        <v>253156</v>
      </c>
      <c r="N92" s="116">
        <v>137944</v>
      </c>
      <c r="O92" s="116">
        <v>77247</v>
      </c>
    </row>
    <row r="93" spans="1:15" x14ac:dyDescent="0.25">
      <c r="A93" t="s">
        <v>1417</v>
      </c>
      <c r="B93" t="s">
        <v>418</v>
      </c>
      <c r="C93" s="116">
        <v>403348</v>
      </c>
      <c r="D93" s="116">
        <v>420962</v>
      </c>
      <c r="E93" s="116">
        <v>418417</v>
      </c>
      <c r="F93" s="116">
        <v>49696</v>
      </c>
      <c r="G93" s="116">
        <v>49513</v>
      </c>
      <c r="H93" s="116">
        <v>49336</v>
      </c>
      <c r="I93" s="116">
        <v>49168</v>
      </c>
      <c r="J93" s="116">
        <v>49009</v>
      </c>
      <c r="K93" s="116">
        <v>48856</v>
      </c>
      <c r="L93" s="116">
        <v>48710</v>
      </c>
      <c r="M93" s="116">
        <v>48575</v>
      </c>
      <c r="N93" s="116">
        <v>48442</v>
      </c>
      <c r="O93">
        <v>0</v>
      </c>
    </row>
    <row r="94" spans="1:15" x14ac:dyDescent="0.25">
      <c r="A94" t="s">
        <v>1418</v>
      </c>
      <c r="B94" s="116">
        <v>12150</v>
      </c>
      <c r="C94" s="116">
        <v>24273</v>
      </c>
      <c r="D94" s="116">
        <v>25276</v>
      </c>
      <c r="E94" s="116">
        <v>17392</v>
      </c>
      <c r="F94" s="116">
        <v>4984</v>
      </c>
      <c r="G94" s="116">
        <v>6857</v>
      </c>
      <c r="H94" s="116">
        <v>8052</v>
      </c>
      <c r="I94" s="116">
        <v>5003</v>
      </c>
      <c r="J94" t="s">
        <v>418</v>
      </c>
      <c r="K94" t="s">
        <v>418</v>
      </c>
      <c r="L94">
        <v>0</v>
      </c>
      <c r="M94" t="s">
        <v>418</v>
      </c>
      <c r="N94">
        <v>0</v>
      </c>
      <c r="O94">
        <v>0</v>
      </c>
    </row>
    <row r="95" spans="1:15" x14ac:dyDescent="0.25">
      <c r="A95" t="s">
        <v>1419</v>
      </c>
      <c r="B95" t="s">
        <v>418</v>
      </c>
      <c r="C95" t="s">
        <v>418</v>
      </c>
      <c r="D95" t="s">
        <v>418</v>
      </c>
      <c r="E95" t="s">
        <v>418</v>
      </c>
      <c r="F95" t="s">
        <v>418</v>
      </c>
      <c r="G95" t="s">
        <v>418</v>
      </c>
      <c r="H95" t="s">
        <v>418</v>
      </c>
      <c r="I95" t="s">
        <v>418</v>
      </c>
      <c r="J95" t="s">
        <v>418</v>
      </c>
      <c r="K95" t="s">
        <v>418</v>
      </c>
      <c r="L95">
        <v>0</v>
      </c>
      <c r="M95" t="s">
        <v>418</v>
      </c>
      <c r="N95">
        <v>0</v>
      </c>
      <c r="O95">
        <v>0</v>
      </c>
    </row>
    <row r="96" spans="1:15" x14ac:dyDescent="0.25">
      <c r="A96" t="s">
        <v>1420</v>
      </c>
      <c r="B96" s="116">
        <v>23451</v>
      </c>
      <c r="C96" s="116">
        <v>11721</v>
      </c>
      <c r="D96" s="116">
        <v>9228</v>
      </c>
      <c r="E96" s="116">
        <v>10251</v>
      </c>
      <c r="F96" s="116">
        <v>10863</v>
      </c>
      <c r="G96" s="116">
        <v>21629</v>
      </c>
      <c r="H96" s="116">
        <v>29111</v>
      </c>
      <c r="I96" s="116">
        <v>19478</v>
      </c>
      <c r="J96" s="116">
        <v>10511</v>
      </c>
      <c r="K96" s="116">
        <v>8717</v>
      </c>
      <c r="L96" s="116">
        <v>2624</v>
      </c>
      <c r="M96" s="116">
        <v>1742</v>
      </c>
      <c r="N96" s="116">
        <v>1114</v>
      </c>
      <c r="O96">
        <v>0</v>
      </c>
    </row>
    <row r="97" spans="1:15" x14ac:dyDescent="0.25">
      <c r="A97" t="s">
        <v>1421</v>
      </c>
      <c r="B97" s="116">
        <v>40191</v>
      </c>
      <c r="C97" s="116">
        <v>27175</v>
      </c>
      <c r="D97" s="116">
        <v>23035</v>
      </c>
      <c r="E97" s="116">
        <v>12706</v>
      </c>
      <c r="F97" s="116">
        <v>11353</v>
      </c>
      <c r="G97" s="116">
        <v>10408</v>
      </c>
      <c r="H97" t="s">
        <v>418</v>
      </c>
      <c r="I97" t="s">
        <v>418</v>
      </c>
      <c r="J97" t="s">
        <v>418</v>
      </c>
      <c r="K97" t="s">
        <v>418</v>
      </c>
      <c r="L97">
        <v>0</v>
      </c>
      <c r="M97" t="s">
        <v>418</v>
      </c>
      <c r="N97">
        <v>582</v>
      </c>
      <c r="O97" t="s">
        <v>418</v>
      </c>
    </row>
    <row r="98" spans="1:15" x14ac:dyDescent="0.25">
      <c r="A98" t="s">
        <v>1422</v>
      </c>
      <c r="B98" s="116">
        <v>71387</v>
      </c>
      <c r="C98" s="116">
        <v>64982</v>
      </c>
      <c r="D98" s="116">
        <v>64628</v>
      </c>
      <c r="E98" s="116">
        <v>21881</v>
      </c>
      <c r="F98" s="116">
        <v>24771</v>
      </c>
      <c r="G98" s="116">
        <v>29342</v>
      </c>
      <c r="H98" s="116">
        <v>29760</v>
      </c>
      <c r="I98" s="116">
        <v>50146</v>
      </c>
      <c r="J98" s="116">
        <v>4058</v>
      </c>
      <c r="K98" s="116">
        <v>3308</v>
      </c>
      <c r="L98" s="116">
        <v>17244</v>
      </c>
      <c r="M98" s="116">
        <v>16634</v>
      </c>
      <c r="N98" s="116">
        <v>18509</v>
      </c>
      <c r="O98">
        <v>450</v>
      </c>
    </row>
    <row r="99" spans="1:15" x14ac:dyDescent="0.25">
      <c r="A99" t="s">
        <v>1423</v>
      </c>
      <c r="B99">
        <v>737</v>
      </c>
      <c r="C99">
        <v>257</v>
      </c>
      <c r="D99">
        <v>396</v>
      </c>
      <c r="E99">
        <v>306</v>
      </c>
      <c r="F99" t="s">
        <v>418</v>
      </c>
      <c r="G99" s="116">
        <v>1986</v>
      </c>
      <c r="H99" s="116">
        <v>13051</v>
      </c>
      <c r="I99" s="116">
        <v>22501</v>
      </c>
      <c r="J99" s="116">
        <v>10516</v>
      </c>
      <c r="K99" s="116">
        <v>7021</v>
      </c>
      <c r="L99" s="116">
        <v>1213</v>
      </c>
      <c r="M99">
        <v>722</v>
      </c>
      <c r="N99">
        <v>0</v>
      </c>
      <c r="O99">
        <v>0</v>
      </c>
    </row>
    <row r="100" spans="1:15" x14ac:dyDescent="0.25">
      <c r="A100" t="s">
        <v>1424</v>
      </c>
      <c r="B100" s="116">
        <v>286596</v>
      </c>
      <c r="C100" s="116">
        <v>733725</v>
      </c>
      <c r="D100" s="116">
        <v>888197</v>
      </c>
      <c r="E100" s="116">
        <v>1430192</v>
      </c>
      <c r="F100" s="116">
        <v>979301</v>
      </c>
      <c r="G100" s="116">
        <v>1741899</v>
      </c>
      <c r="H100" s="116">
        <v>2090710</v>
      </c>
      <c r="I100" s="116">
        <v>1715528</v>
      </c>
      <c r="J100" s="116">
        <v>742131</v>
      </c>
      <c r="K100" s="116">
        <v>189126</v>
      </c>
      <c r="L100" s="116">
        <v>203360</v>
      </c>
      <c r="M100" s="116">
        <v>320830</v>
      </c>
      <c r="N100" s="116">
        <v>206591</v>
      </c>
      <c r="O100" s="116">
        <v>77696</v>
      </c>
    </row>
    <row r="101" spans="1:15" x14ac:dyDescent="0.25">
      <c r="A101" t="s">
        <v>1425</v>
      </c>
      <c r="B101" s="116">
        <v>4501455</v>
      </c>
      <c r="C101" s="116">
        <v>4127261</v>
      </c>
      <c r="D101" s="116">
        <v>3186451</v>
      </c>
      <c r="E101" s="116">
        <v>3810226</v>
      </c>
      <c r="F101" s="116">
        <v>3759702</v>
      </c>
      <c r="G101" s="116">
        <v>3826862</v>
      </c>
      <c r="H101" s="116">
        <v>3885895</v>
      </c>
      <c r="I101" s="116">
        <v>3984794</v>
      </c>
      <c r="J101" s="116">
        <v>3055311</v>
      </c>
      <c r="K101" s="116">
        <v>1942224</v>
      </c>
      <c r="L101" s="116">
        <v>755232</v>
      </c>
      <c r="M101" s="116">
        <v>778247</v>
      </c>
      <c r="N101" s="116">
        <v>613190</v>
      </c>
      <c r="O101" s="116">
        <v>326093</v>
      </c>
    </row>
    <row r="102" spans="1:15" x14ac:dyDescent="0.25">
      <c r="A102" t="s">
        <v>115</v>
      </c>
    </row>
    <row r="103" spans="1:15" x14ac:dyDescent="0.25">
      <c r="A103" t="s">
        <v>1426</v>
      </c>
      <c r="B103" s="116">
        <v>842625</v>
      </c>
      <c r="C103" s="116">
        <v>780071</v>
      </c>
      <c r="D103" s="116">
        <v>766821</v>
      </c>
      <c r="E103" s="116">
        <v>765795</v>
      </c>
      <c r="F103" s="116">
        <v>761650</v>
      </c>
      <c r="G103" s="116">
        <v>761650</v>
      </c>
      <c r="H103" s="116">
        <v>761650</v>
      </c>
      <c r="I103" s="116">
        <v>759371</v>
      </c>
      <c r="J103" s="116">
        <v>759371</v>
      </c>
      <c r="K103" s="116">
        <v>506247</v>
      </c>
      <c r="L103" s="116">
        <v>148800</v>
      </c>
      <c r="M103" s="116">
        <v>148800</v>
      </c>
      <c r="N103" s="116">
        <v>99200</v>
      </c>
      <c r="O103" s="116">
        <v>48000</v>
      </c>
    </row>
    <row r="104" spans="1:15" x14ac:dyDescent="0.25">
      <c r="A104" t="s">
        <v>1427</v>
      </c>
      <c r="B104" s="116">
        <v>594832</v>
      </c>
      <c r="C104" s="116">
        <v>188339</v>
      </c>
      <c r="D104" s="116">
        <v>104980</v>
      </c>
      <c r="E104" s="116">
        <v>59460</v>
      </c>
      <c r="F104" s="116">
        <v>76295</v>
      </c>
      <c r="G104" s="116">
        <v>76295</v>
      </c>
      <c r="H104" s="116">
        <v>12811</v>
      </c>
      <c r="I104">
        <v>284</v>
      </c>
      <c r="J104">
        <v>969</v>
      </c>
      <c r="K104">
        <v>969</v>
      </c>
      <c r="L104" s="116">
        <v>72111</v>
      </c>
      <c r="M104" s="116">
        <v>72111</v>
      </c>
      <c r="N104" s="116">
        <v>101871</v>
      </c>
      <c r="O104" s="116">
        <v>86066</v>
      </c>
    </row>
    <row r="105" spans="1:15" x14ac:dyDescent="0.25">
      <c r="A105" t="s">
        <v>1428</v>
      </c>
      <c r="B105" s="116">
        <v>83955</v>
      </c>
      <c r="C105" s="116">
        <v>11111</v>
      </c>
      <c r="D105" s="116">
        <v>17582</v>
      </c>
      <c r="E105" s="116">
        <v>13276</v>
      </c>
      <c r="F105" t="s">
        <v>418</v>
      </c>
      <c r="G105" t="s">
        <v>418</v>
      </c>
      <c r="H105" t="s">
        <v>418</v>
      </c>
      <c r="I105" t="s">
        <v>418</v>
      </c>
      <c r="J105" t="s">
        <v>418</v>
      </c>
      <c r="K105" t="s">
        <v>418</v>
      </c>
      <c r="L105">
        <v>0</v>
      </c>
      <c r="M105" t="s">
        <v>418</v>
      </c>
      <c r="N105">
        <v>0</v>
      </c>
      <c r="O105">
        <v>0</v>
      </c>
    </row>
    <row r="106" spans="1:15" x14ac:dyDescent="0.25">
      <c r="A106" t="s">
        <v>1429</v>
      </c>
      <c r="B106" t="s">
        <v>418</v>
      </c>
      <c r="C106" t="s">
        <v>418</v>
      </c>
      <c r="D106" t="s">
        <v>418</v>
      </c>
      <c r="E106">
        <v>341</v>
      </c>
      <c r="F106">
        <v>456</v>
      </c>
      <c r="G106">
        <v>412</v>
      </c>
      <c r="H106">
        <v>348</v>
      </c>
      <c r="I106" t="s">
        <v>418</v>
      </c>
      <c r="J106" t="s">
        <v>418</v>
      </c>
      <c r="K106" t="s">
        <v>418</v>
      </c>
      <c r="L106">
        <v>0</v>
      </c>
      <c r="M106" t="s">
        <v>418</v>
      </c>
      <c r="N106">
        <v>0</v>
      </c>
      <c r="O106" t="s">
        <v>418</v>
      </c>
    </row>
    <row r="107" spans="1:15" x14ac:dyDescent="0.25">
      <c r="A107" t="s">
        <v>1430</v>
      </c>
      <c r="B107" s="116">
        <v>322514</v>
      </c>
      <c r="C107" s="116">
        <v>318181</v>
      </c>
      <c r="D107" s="116">
        <v>296576</v>
      </c>
      <c r="E107" s="116">
        <v>261265</v>
      </c>
      <c r="F107" s="116">
        <v>261265</v>
      </c>
      <c r="G107" s="116">
        <v>261265</v>
      </c>
      <c r="H107" s="116">
        <v>243708</v>
      </c>
      <c r="I107" s="116">
        <v>224295</v>
      </c>
      <c r="J107" s="116">
        <v>183500</v>
      </c>
      <c r="K107" s="116">
        <v>137188</v>
      </c>
      <c r="L107" s="116">
        <v>80494</v>
      </c>
      <c r="M107" s="116">
        <v>60868</v>
      </c>
      <c r="N107" s="116">
        <v>48546</v>
      </c>
      <c r="O107" s="116">
        <v>35810</v>
      </c>
    </row>
    <row r="108" spans="1:15" x14ac:dyDescent="0.25">
      <c r="A108" t="s">
        <v>1431</v>
      </c>
      <c r="B108" t="s">
        <v>418</v>
      </c>
      <c r="C108" t="s">
        <v>418</v>
      </c>
      <c r="D108" t="s">
        <v>418</v>
      </c>
      <c r="E108" t="s">
        <v>418</v>
      </c>
      <c r="F108" t="s">
        <v>418</v>
      </c>
      <c r="G108" t="s">
        <v>418</v>
      </c>
      <c r="H108" t="s">
        <v>418</v>
      </c>
      <c r="I108" t="s">
        <v>418</v>
      </c>
      <c r="J108" t="s">
        <v>418</v>
      </c>
      <c r="K108" t="s">
        <v>418</v>
      </c>
      <c r="L108">
        <v>0</v>
      </c>
      <c r="M108" t="s">
        <v>418</v>
      </c>
      <c r="N108">
        <v>0</v>
      </c>
      <c r="O108">
        <v>0</v>
      </c>
    </row>
    <row r="109" spans="1:15" x14ac:dyDescent="0.25">
      <c r="A109" t="s">
        <v>1432</v>
      </c>
      <c r="B109" t="s">
        <v>418</v>
      </c>
      <c r="C109" t="s">
        <v>418</v>
      </c>
      <c r="D109" t="s">
        <v>418</v>
      </c>
      <c r="E109" t="s">
        <v>418</v>
      </c>
      <c r="F109" t="s">
        <v>418</v>
      </c>
      <c r="G109" t="s">
        <v>418</v>
      </c>
      <c r="H109" t="s">
        <v>418</v>
      </c>
      <c r="I109" t="s">
        <v>418</v>
      </c>
      <c r="J109" t="s">
        <v>418</v>
      </c>
      <c r="K109" t="s">
        <v>418</v>
      </c>
      <c r="L109">
        <v>0</v>
      </c>
      <c r="M109" t="s">
        <v>418</v>
      </c>
      <c r="N109">
        <v>0</v>
      </c>
      <c r="O109">
        <v>0</v>
      </c>
    </row>
    <row r="110" spans="1:15" x14ac:dyDescent="0.25">
      <c r="A110" t="s">
        <v>1433</v>
      </c>
      <c r="B110" s="116">
        <v>2895223</v>
      </c>
      <c r="C110" s="116">
        <v>1978135</v>
      </c>
      <c r="D110" s="116">
        <v>1512595</v>
      </c>
      <c r="E110" s="116">
        <v>1361625</v>
      </c>
      <c r="F110" s="116">
        <v>1355662</v>
      </c>
      <c r="G110" s="116">
        <v>1378362</v>
      </c>
      <c r="H110" s="116">
        <v>1416397</v>
      </c>
      <c r="I110" s="116">
        <v>1335863</v>
      </c>
      <c r="J110" s="116">
        <v>1035859</v>
      </c>
      <c r="K110" s="116">
        <v>500780</v>
      </c>
      <c r="L110" s="116">
        <v>461917</v>
      </c>
      <c r="M110" s="116">
        <v>312068</v>
      </c>
      <c r="N110" s="116">
        <v>225967</v>
      </c>
      <c r="O110" s="116">
        <v>124363</v>
      </c>
    </row>
    <row r="111" spans="1:15" x14ac:dyDescent="0.25">
      <c r="A111" t="s">
        <v>1434</v>
      </c>
      <c r="B111" t="s">
        <v>418</v>
      </c>
      <c r="C111" t="s">
        <v>418</v>
      </c>
      <c r="D111" t="s">
        <v>418</v>
      </c>
      <c r="E111" t="s">
        <v>418</v>
      </c>
      <c r="F111" t="s">
        <v>418</v>
      </c>
      <c r="G111" t="s">
        <v>418</v>
      </c>
      <c r="H111" t="s">
        <v>418</v>
      </c>
      <c r="I111" t="s">
        <v>418</v>
      </c>
      <c r="J111" t="s">
        <v>418</v>
      </c>
      <c r="K111" t="s">
        <v>418</v>
      </c>
      <c r="L111">
        <v>0</v>
      </c>
      <c r="M111" t="s">
        <v>418</v>
      </c>
      <c r="N111">
        <v>0</v>
      </c>
      <c r="O111">
        <v>0</v>
      </c>
    </row>
    <row r="112" spans="1:15" x14ac:dyDescent="0.25">
      <c r="A112" t="s">
        <v>1435</v>
      </c>
      <c r="B112" t="s">
        <v>418</v>
      </c>
      <c r="C112" t="s">
        <v>418</v>
      </c>
      <c r="D112" t="s">
        <v>418</v>
      </c>
      <c r="E112" t="s">
        <v>418</v>
      </c>
      <c r="F112" t="s">
        <v>418</v>
      </c>
      <c r="G112" t="s">
        <v>418</v>
      </c>
      <c r="H112" s="116">
        <v>-46142</v>
      </c>
      <c r="I112" s="116">
        <v>-17872</v>
      </c>
      <c r="J112" s="116">
        <v>-13428</v>
      </c>
      <c r="K112" s="116">
        <v>-10153</v>
      </c>
      <c r="L112" s="116">
        <v>-10610</v>
      </c>
      <c r="M112" s="116">
        <v>-10042</v>
      </c>
      <c r="N112" s="116">
        <v>-2431</v>
      </c>
      <c r="O112">
        <v>-130</v>
      </c>
    </row>
    <row r="113" spans="1:15" x14ac:dyDescent="0.25">
      <c r="A113" t="s">
        <v>1436</v>
      </c>
      <c r="B113" s="116">
        <v>4442098</v>
      </c>
      <c r="C113" s="116">
        <v>3148491</v>
      </c>
      <c r="D113" s="116">
        <v>2549760</v>
      </c>
      <c r="E113" s="116">
        <v>2271740</v>
      </c>
      <c r="F113" s="116">
        <v>2267071</v>
      </c>
      <c r="G113" s="116">
        <v>2378543</v>
      </c>
      <c r="H113" s="116">
        <v>2388772</v>
      </c>
      <c r="I113" s="116">
        <v>2301941</v>
      </c>
      <c r="J113" s="116">
        <v>1966271</v>
      </c>
      <c r="K113" s="116">
        <v>1135032</v>
      </c>
      <c r="L113" s="116">
        <v>752711</v>
      </c>
      <c r="M113" s="116">
        <v>583806</v>
      </c>
      <c r="N113" s="116">
        <v>473153</v>
      </c>
      <c r="O113" s="116">
        <v>294110</v>
      </c>
    </row>
    <row r="114" spans="1:15" x14ac:dyDescent="0.25">
      <c r="A114" t="s">
        <v>1437</v>
      </c>
      <c r="B114" s="116">
        <v>110576</v>
      </c>
      <c r="C114" s="116">
        <v>101721</v>
      </c>
      <c r="D114" s="116">
        <v>87558</v>
      </c>
      <c r="E114" s="116">
        <v>73530</v>
      </c>
      <c r="F114" s="116">
        <v>96002</v>
      </c>
      <c r="G114" s="116">
        <v>95540</v>
      </c>
      <c r="H114" s="116">
        <v>112112</v>
      </c>
      <c r="I114" s="116">
        <v>159405</v>
      </c>
      <c r="J114" s="116">
        <v>109090</v>
      </c>
      <c r="K114" s="116">
        <v>56821</v>
      </c>
      <c r="L114" s="116">
        <v>75757</v>
      </c>
      <c r="M114" s="116">
        <v>34682</v>
      </c>
      <c r="N114" s="116">
        <v>31569</v>
      </c>
      <c r="O114" s="116">
        <v>11044</v>
      </c>
    </row>
    <row r="115" spans="1:15" x14ac:dyDescent="0.25">
      <c r="A115" t="s">
        <v>1438</v>
      </c>
      <c r="B115" s="116">
        <v>4552675</v>
      </c>
      <c r="C115" s="116">
        <v>3250211</v>
      </c>
      <c r="D115" s="116">
        <v>2637318</v>
      </c>
      <c r="E115" s="116">
        <v>2345270</v>
      </c>
      <c r="F115" s="116">
        <v>2363072</v>
      </c>
      <c r="G115" s="116">
        <v>2474083</v>
      </c>
      <c r="H115" s="116">
        <v>2500884</v>
      </c>
      <c r="I115" s="116">
        <v>2461346</v>
      </c>
      <c r="J115" s="116">
        <v>2075361</v>
      </c>
      <c r="K115" s="116">
        <v>1191852</v>
      </c>
      <c r="L115" s="116">
        <v>828468</v>
      </c>
      <c r="M115" s="116">
        <v>618487</v>
      </c>
      <c r="N115" s="116">
        <v>504722</v>
      </c>
      <c r="O115" s="116">
        <v>305154</v>
      </c>
    </row>
    <row r="116" spans="1:15" x14ac:dyDescent="0.25">
      <c r="A116" t="s">
        <v>1439</v>
      </c>
      <c r="B116" s="116">
        <v>9054130</v>
      </c>
      <c r="C116" s="116">
        <v>7377472</v>
      </c>
      <c r="D116" s="116">
        <v>5823769</v>
      </c>
      <c r="E116" s="116">
        <v>6155497</v>
      </c>
      <c r="F116" s="116">
        <v>6122774</v>
      </c>
      <c r="G116" s="116">
        <v>6300945</v>
      </c>
      <c r="H116" s="116">
        <v>6386778</v>
      </c>
      <c r="I116" s="116">
        <v>6446140</v>
      </c>
      <c r="J116" s="116">
        <v>5130672</v>
      </c>
      <c r="K116" s="116">
        <v>3134077</v>
      </c>
      <c r="L116" s="116">
        <v>1583700</v>
      </c>
      <c r="M116" s="116">
        <v>1396734</v>
      </c>
      <c r="N116" s="116">
        <v>1117913</v>
      </c>
      <c r="O116" s="116">
        <v>631247</v>
      </c>
    </row>
  </sheetData>
  <phoneticPr fontId="3"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O47"/>
  <sheetViews>
    <sheetView workbookViewId="0">
      <selection activeCell="B1" sqref="B1"/>
    </sheetView>
  </sheetViews>
  <sheetFormatPr defaultRowHeight="14" x14ac:dyDescent="0.25"/>
  <cols>
    <col min="1" max="1" width="39.453125" bestFit="1" customWidth="1"/>
    <col min="2" max="15" width="11.36328125" bestFit="1" customWidth="1"/>
  </cols>
  <sheetData>
    <row r="1" spans="1:15" x14ac:dyDescent="0.25">
      <c r="A1" t="s">
        <v>1331</v>
      </c>
      <c r="B1" s="115">
        <v>43830</v>
      </c>
      <c r="C1" s="115">
        <v>43465</v>
      </c>
      <c r="D1" s="115">
        <v>43100</v>
      </c>
      <c r="E1" s="115">
        <v>42735</v>
      </c>
      <c r="F1" s="115">
        <v>42369</v>
      </c>
      <c r="G1" s="115">
        <v>42004</v>
      </c>
      <c r="H1" s="115">
        <v>41639</v>
      </c>
      <c r="I1" s="115">
        <v>41274</v>
      </c>
      <c r="J1" s="115">
        <v>40908</v>
      </c>
      <c r="K1" s="115">
        <v>40543</v>
      </c>
      <c r="L1" s="115">
        <v>40178</v>
      </c>
      <c r="M1" s="115">
        <v>39813</v>
      </c>
      <c r="N1" s="115">
        <v>39447</v>
      </c>
      <c r="O1" s="115">
        <v>39082</v>
      </c>
    </row>
    <row r="2" spans="1:15" x14ac:dyDescent="0.25">
      <c r="A2" t="s">
        <v>1440</v>
      </c>
      <c r="B2" s="116">
        <v>7566576</v>
      </c>
      <c r="C2" s="116">
        <v>5582150</v>
      </c>
      <c r="D2" s="116">
        <v>3833509</v>
      </c>
      <c r="E2" s="116">
        <v>2328007</v>
      </c>
      <c r="F2" s="116">
        <v>2336687</v>
      </c>
      <c r="G2" s="116">
        <v>3036472</v>
      </c>
      <c r="H2" s="116">
        <v>3732789</v>
      </c>
      <c r="I2" s="116">
        <v>4683054</v>
      </c>
      <c r="J2" s="116">
        <v>5077630</v>
      </c>
      <c r="K2" s="116">
        <v>3395494</v>
      </c>
      <c r="L2" s="116">
        <v>1649588</v>
      </c>
      <c r="M2" s="116">
        <v>1374526</v>
      </c>
      <c r="N2" s="116">
        <v>914495</v>
      </c>
      <c r="O2" s="116">
        <v>521019</v>
      </c>
    </row>
    <row r="3" spans="1:15" x14ac:dyDescent="0.25">
      <c r="A3" t="s">
        <v>1441</v>
      </c>
      <c r="B3" s="116">
        <v>7566576</v>
      </c>
      <c r="C3" s="116">
        <v>5582150</v>
      </c>
      <c r="D3" s="116">
        <v>3833509</v>
      </c>
      <c r="E3" s="116">
        <v>2328007</v>
      </c>
      <c r="F3" s="116">
        <v>2336687</v>
      </c>
      <c r="G3" s="116">
        <v>3036472</v>
      </c>
      <c r="H3" s="116">
        <v>3732789</v>
      </c>
      <c r="I3" s="116">
        <v>4683054</v>
      </c>
      <c r="J3" s="116">
        <v>5077630</v>
      </c>
      <c r="K3" s="116">
        <v>3395494</v>
      </c>
      <c r="L3" s="116">
        <v>1649588</v>
      </c>
      <c r="M3" s="116">
        <v>1374526</v>
      </c>
      <c r="N3" s="116">
        <v>914495</v>
      </c>
      <c r="O3" s="116">
        <v>521019</v>
      </c>
    </row>
    <row r="4" spans="1:15" x14ac:dyDescent="0.25">
      <c r="A4" t="s">
        <v>1442</v>
      </c>
      <c r="B4" t="s">
        <v>418</v>
      </c>
      <c r="C4" t="s">
        <v>418</v>
      </c>
      <c r="D4" t="s">
        <v>418</v>
      </c>
      <c r="E4" t="s">
        <v>418</v>
      </c>
      <c r="F4" t="s">
        <v>418</v>
      </c>
      <c r="G4" t="s">
        <v>418</v>
      </c>
      <c r="H4" t="s">
        <v>418</v>
      </c>
      <c r="I4" t="s">
        <v>418</v>
      </c>
      <c r="J4" t="s">
        <v>418</v>
      </c>
      <c r="K4">
        <v>0</v>
      </c>
      <c r="L4" t="s">
        <v>418</v>
      </c>
      <c r="M4" t="s">
        <v>418</v>
      </c>
      <c r="N4">
        <v>0</v>
      </c>
      <c r="O4">
        <v>0</v>
      </c>
    </row>
    <row r="5" spans="1:15" x14ac:dyDescent="0.25">
      <c r="A5" t="s">
        <v>1443</v>
      </c>
      <c r="B5" t="s">
        <v>418</v>
      </c>
      <c r="C5" t="s">
        <v>418</v>
      </c>
      <c r="D5" t="s">
        <v>418</v>
      </c>
      <c r="E5" t="s">
        <v>418</v>
      </c>
      <c r="F5" t="s">
        <v>418</v>
      </c>
      <c r="G5" t="s">
        <v>418</v>
      </c>
      <c r="H5" t="s">
        <v>418</v>
      </c>
      <c r="I5" t="s">
        <v>418</v>
      </c>
      <c r="J5" t="s">
        <v>418</v>
      </c>
      <c r="K5">
        <v>0</v>
      </c>
      <c r="L5" t="s">
        <v>418</v>
      </c>
      <c r="M5" t="s">
        <v>418</v>
      </c>
      <c r="N5">
        <v>0</v>
      </c>
      <c r="O5">
        <v>0</v>
      </c>
    </row>
    <row r="6" spans="1:15" x14ac:dyDescent="0.25">
      <c r="A6" t="s">
        <v>1444</v>
      </c>
      <c r="B6" t="s">
        <v>418</v>
      </c>
      <c r="C6" t="s">
        <v>418</v>
      </c>
      <c r="D6" t="s">
        <v>418</v>
      </c>
      <c r="E6" t="s">
        <v>418</v>
      </c>
      <c r="F6" t="s">
        <v>418</v>
      </c>
      <c r="G6" t="s">
        <v>418</v>
      </c>
      <c r="H6" t="s">
        <v>418</v>
      </c>
      <c r="I6" t="s">
        <v>418</v>
      </c>
      <c r="J6" t="s">
        <v>418</v>
      </c>
      <c r="K6">
        <v>0</v>
      </c>
      <c r="L6" t="s">
        <v>418</v>
      </c>
      <c r="M6" t="s">
        <v>418</v>
      </c>
      <c r="N6">
        <v>0</v>
      </c>
      <c r="O6">
        <v>0</v>
      </c>
    </row>
    <row r="7" spans="1:15" x14ac:dyDescent="0.25">
      <c r="A7" t="s">
        <v>1445</v>
      </c>
      <c r="B7" t="s">
        <v>418</v>
      </c>
      <c r="C7" t="s">
        <v>418</v>
      </c>
      <c r="D7" t="s">
        <v>418</v>
      </c>
      <c r="E7" t="s">
        <v>418</v>
      </c>
      <c r="F7" t="s">
        <v>418</v>
      </c>
      <c r="G7" t="s">
        <v>418</v>
      </c>
      <c r="H7" t="s">
        <v>418</v>
      </c>
      <c r="I7" t="s">
        <v>418</v>
      </c>
      <c r="J7" t="s">
        <v>418</v>
      </c>
      <c r="K7">
        <v>0</v>
      </c>
      <c r="L7" t="s">
        <v>418</v>
      </c>
      <c r="M7" t="s">
        <v>418</v>
      </c>
      <c r="N7">
        <v>0</v>
      </c>
      <c r="O7">
        <v>0</v>
      </c>
    </row>
    <row r="8" spans="1:15" x14ac:dyDescent="0.25">
      <c r="A8" t="s">
        <v>1446</v>
      </c>
      <c r="B8" t="s">
        <v>418</v>
      </c>
      <c r="C8" t="s">
        <v>418</v>
      </c>
      <c r="D8" t="s">
        <v>418</v>
      </c>
      <c r="E8" t="s">
        <v>418</v>
      </c>
      <c r="F8" t="s">
        <v>418</v>
      </c>
      <c r="G8" t="s">
        <v>418</v>
      </c>
      <c r="H8" t="s">
        <v>418</v>
      </c>
      <c r="I8" t="s">
        <v>418</v>
      </c>
      <c r="J8" t="s">
        <v>418</v>
      </c>
      <c r="K8">
        <v>0</v>
      </c>
      <c r="L8" t="s">
        <v>418</v>
      </c>
      <c r="M8" t="s">
        <v>418</v>
      </c>
      <c r="N8">
        <v>0</v>
      </c>
      <c r="O8">
        <v>0</v>
      </c>
    </row>
    <row r="9" spans="1:15" x14ac:dyDescent="0.25">
      <c r="A9" t="s">
        <v>1447</v>
      </c>
      <c r="B9" s="116">
        <v>6244045</v>
      </c>
      <c r="C9" s="116">
        <v>4853236</v>
      </c>
      <c r="D9" s="116">
        <v>3595852</v>
      </c>
      <c r="E9" s="116">
        <v>2370265</v>
      </c>
      <c r="F9" s="116">
        <v>2345172</v>
      </c>
      <c r="G9" s="116">
        <v>3003919</v>
      </c>
      <c r="H9" s="116">
        <v>3452581</v>
      </c>
      <c r="I9" s="116">
        <v>4075516</v>
      </c>
      <c r="J9" s="116">
        <v>4100167</v>
      </c>
      <c r="K9" s="116">
        <v>2715069</v>
      </c>
      <c r="L9" s="116">
        <v>1384451</v>
      </c>
      <c r="M9" s="116">
        <v>1196572</v>
      </c>
      <c r="N9" s="116">
        <v>757993</v>
      </c>
      <c r="O9" s="116">
        <v>451599</v>
      </c>
    </row>
    <row r="10" spans="1:15" x14ac:dyDescent="0.25">
      <c r="A10" t="s">
        <v>1448</v>
      </c>
      <c r="B10" s="116">
        <v>5093227</v>
      </c>
      <c r="C10" s="116">
        <v>3872796</v>
      </c>
      <c r="D10" s="116">
        <v>2680585</v>
      </c>
      <c r="E10" s="116">
        <v>1717940</v>
      </c>
      <c r="F10" s="116">
        <v>1757677</v>
      </c>
      <c r="G10" s="116">
        <v>2253867</v>
      </c>
      <c r="H10" s="116">
        <v>2755269</v>
      </c>
      <c r="I10" s="116">
        <v>3196325</v>
      </c>
      <c r="J10" s="116">
        <v>3225223</v>
      </c>
      <c r="K10" s="116">
        <v>2144184</v>
      </c>
      <c r="L10" s="116">
        <v>1116108</v>
      </c>
      <c r="M10" s="116">
        <v>962756</v>
      </c>
      <c r="N10" s="116">
        <v>598420</v>
      </c>
      <c r="O10" s="116">
        <v>339740</v>
      </c>
    </row>
    <row r="11" spans="1:15" x14ac:dyDescent="0.25">
      <c r="A11" t="s">
        <v>1449</v>
      </c>
      <c r="B11" t="s">
        <v>418</v>
      </c>
      <c r="C11" t="s">
        <v>418</v>
      </c>
      <c r="D11" t="s">
        <v>418</v>
      </c>
      <c r="E11" t="s">
        <v>418</v>
      </c>
      <c r="F11" t="s">
        <v>418</v>
      </c>
      <c r="G11" t="s">
        <v>418</v>
      </c>
      <c r="H11" t="s">
        <v>418</v>
      </c>
      <c r="I11" t="s">
        <v>418</v>
      </c>
      <c r="J11" t="s">
        <v>418</v>
      </c>
      <c r="K11">
        <v>0</v>
      </c>
      <c r="L11" t="s">
        <v>418</v>
      </c>
      <c r="M11" t="s">
        <v>418</v>
      </c>
      <c r="N11">
        <v>0</v>
      </c>
      <c r="O11">
        <v>0</v>
      </c>
    </row>
    <row r="12" spans="1:15" x14ac:dyDescent="0.25">
      <c r="A12" t="s">
        <v>1450</v>
      </c>
      <c r="B12" t="s">
        <v>418</v>
      </c>
      <c r="C12" t="s">
        <v>418</v>
      </c>
      <c r="D12" t="s">
        <v>418</v>
      </c>
      <c r="E12" t="s">
        <v>418</v>
      </c>
      <c r="F12" t="s">
        <v>418</v>
      </c>
      <c r="G12" t="s">
        <v>418</v>
      </c>
      <c r="H12" t="s">
        <v>418</v>
      </c>
      <c r="I12" t="s">
        <v>418</v>
      </c>
      <c r="J12" t="s">
        <v>418</v>
      </c>
      <c r="K12">
        <v>0</v>
      </c>
      <c r="L12" t="s">
        <v>418</v>
      </c>
      <c r="M12" t="s">
        <v>418</v>
      </c>
      <c r="N12">
        <v>0</v>
      </c>
      <c r="O12">
        <v>0</v>
      </c>
    </row>
    <row r="13" spans="1:15" x14ac:dyDescent="0.25">
      <c r="A13" t="s">
        <v>1451</v>
      </c>
      <c r="B13" t="s">
        <v>418</v>
      </c>
      <c r="C13" t="s">
        <v>418</v>
      </c>
      <c r="D13" t="s">
        <v>418</v>
      </c>
      <c r="E13" t="s">
        <v>418</v>
      </c>
      <c r="F13" t="s">
        <v>418</v>
      </c>
      <c r="G13" t="s">
        <v>418</v>
      </c>
      <c r="H13" t="s">
        <v>418</v>
      </c>
      <c r="I13" t="s">
        <v>418</v>
      </c>
      <c r="J13" t="s">
        <v>418</v>
      </c>
      <c r="K13">
        <v>0</v>
      </c>
      <c r="L13" t="s">
        <v>418</v>
      </c>
      <c r="M13" t="s">
        <v>418</v>
      </c>
      <c r="N13">
        <v>0</v>
      </c>
      <c r="O13">
        <v>0</v>
      </c>
    </row>
    <row r="14" spans="1:15" x14ac:dyDescent="0.25">
      <c r="A14" t="s">
        <v>1452</v>
      </c>
      <c r="B14" s="116">
        <v>364441</v>
      </c>
      <c r="C14" s="116">
        <v>175448</v>
      </c>
      <c r="D14" t="s">
        <v>418</v>
      </c>
      <c r="E14" t="s">
        <v>418</v>
      </c>
      <c r="F14" t="s">
        <v>418</v>
      </c>
      <c r="G14" t="s">
        <v>418</v>
      </c>
      <c r="H14" t="s">
        <v>418</v>
      </c>
      <c r="I14" t="s">
        <v>418</v>
      </c>
      <c r="J14" t="s">
        <v>418</v>
      </c>
      <c r="K14">
        <v>0</v>
      </c>
      <c r="L14" t="s">
        <v>418</v>
      </c>
      <c r="M14" t="s">
        <v>418</v>
      </c>
      <c r="N14">
        <v>0</v>
      </c>
      <c r="O14">
        <v>0</v>
      </c>
    </row>
    <row r="15" spans="1:15" x14ac:dyDescent="0.25">
      <c r="A15" t="s">
        <v>1453</v>
      </c>
      <c r="B15" t="s">
        <v>418</v>
      </c>
      <c r="C15" t="s">
        <v>418</v>
      </c>
      <c r="D15" t="s">
        <v>418</v>
      </c>
      <c r="E15" t="s">
        <v>418</v>
      </c>
      <c r="F15" t="s">
        <v>418</v>
      </c>
      <c r="G15" t="s">
        <v>418</v>
      </c>
      <c r="H15" t="s">
        <v>418</v>
      </c>
      <c r="I15" t="s">
        <v>418</v>
      </c>
      <c r="J15" t="s">
        <v>418</v>
      </c>
      <c r="K15">
        <v>0</v>
      </c>
      <c r="L15" t="s">
        <v>418</v>
      </c>
      <c r="M15" t="s">
        <v>418</v>
      </c>
      <c r="N15">
        <v>0</v>
      </c>
      <c r="O15">
        <v>0</v>
      </c>
    </row>
    <row r="16" spans="1:15" x14ac:dyDescent="0.25">
      <c r="A16" t="s">
        <v>1454</v>
      </c>
      <c r="B16" t="s">
        <v>418</v>
      </c>
      <c r="C16" t="s">
        <v>418</v>
      </c>
      <c r="D16" t="s">
        <v>418</v>
      </c>
      <c r="E16" t="s">
        <v>418</v>
      </c>
      <c r="F16" t="s">
        <v>418</v>
      </c>
      <c r="G16" t="s">
        <v>418</v>
      </c>
      <c r="H16" t="s">
        <v>418</v>
      </c>
      <c r="I16" t="s">
        <v>418</v>
      </c>
      <c r="J16" t="s">
        <v>418</v>
      </c>
      <c r="K16">
        <v>0</v>
      </c>
      <c r="L16" t="s">
        <v>418</v>
      </c>
      <c r="M16" t="s">
        <v>418</v>
      </c>
      <c r="N16">
        <v>0</v>
      </c>
      <c r="O16">
        <v>0</v>
      </c>
    </row>
    <row r="17" spans="1:15" x14ac:dyDescent="0.25">
      <c r="A17" t="s">
        <v>1455</v>
      </c>
      <c r="B17" t="s">
        <v>418</v>
      </c>
      <c r="C17" t="s">
        <v>418</v>
      </c>
      <c r="D17" t="s">
        <v>418</v>
      </c>
      <c r="E17" t="s">
        <v>418</v>
      </c>
      <c r="F17" t="s">
        <v>418</v>
      </c>
      <c r="G17" t="s">
        <v>418</v>
      </c>
      <c r="H17" t="s">
        <v>418</v>
      </c>
      <c r="I17" t="s">
        <v>418</v>
      </c>
      <c r="J17" t="s">
        <v>418</v>
      </c>
      <c r="K17">
        <v>0</v>
      </c>
      <c r="L17" t="s">
        <v>418</v>
      </c>
      <c r="M17" t="s">
        <v>418</v>
      </c>
      <c r="N17">
        <v>0</v>
      </c>
      <c r="O17">
        <v>0</v>
      </c>
    </row>
    <row r="18" spans="1:15" x14ac:dyDescent="0.25">
      <c r="A18" t="s">
        <v>1456</v>
      </c>
      <c r="B18" t="s">
        <v>418</v>
      </c>
      <c r="C18" t="s">
        <v>418</v>
      </c>
      <c r="D18" t="s">
        <v>418</v>
      </c>
      <c r="E18" t="s">
        <v>418</v>
      </c>
      <c r="F18" t="s">
        <v>418</v>
      </c>
      <c r="G18" t="s">
        <v>418</v>
      </c>
      <c r="H18" t="s">
        <v>418</v>
      </c>
      <c r="I18" t="s">
        <v>418</v>
      </c>
      <c r="J18" t="s">
        <v>418</v>
      </c>
      <c r="K18">
        <v>0</v>
      </c>
      <c r="L18" t="s">
        <v>418</v>
      </c>
      <c r="M18" t="s">
        <v>418</v>
      </c>
      <c r="N18">
        <v>0</v>
      </c>
      <c r="O18">
        <v>0</v>
      </c>
    </row>
    <row r="19" spans="1:15" x14ac:dyDescent="0.25">
      <c r="A19" t="s">
        <v>1457</v>
      </c>
      <c r="B19" t="s">
        <v>418</v>
      </c>
      <c r="C19" t="s">
        <v>418</v>
      </c>
      <c r="D19" t="s">
        <v>418</v>
      </c>
      <c r="E19" t="s">
        <v>418</v>
      </c>
      <c r="F19" t="s">
        <v>418</v>
      </c>
      <c r="G19" t="s">
        <v>418</v>
      </c>
      <c r="H19" t="s">
        <v>418</v>
      </c>
      <c r="I19" t="s">
        <v>418</v>
      </c>
      <c r="J19" t="s">
        <v>418</v>
      </c>
      <c r="K19">
        <v>0</v>
      </c>
      <c r="L19" t="s">
        <v>418</v>
      </c>
      <c r="M19" t="s">
        <v>418</v>
      </c>
      <c r="N19">
        <v>0</v>
      </c>
      <c r="O19">
        <v>0</v>
      </c>
    </row>
    <row r="20" spans="1:15" x14ac:dyDescent="0.25">
      <c r="A20" t="s">
        <v>1458</v>
      </c>
      <c r="B20" t="s">
        <v>418</v>
      </c>
      <c r="C20" t="s">
        <v>418</v>
      </c>
      <c r="D20" t="s">
        <v>418</v>
      </c>
      <c r="E20" t="s">
        <v>418</v>
      </c>
      <c r="F20" t="s">
        <v>418</v>
      </c>
      <c r="G20" t="s">
        <v>418</v>
      </c>
      <c r="H20" t="s">
        <v>418</v>
      </c>
      <c r="I20" t="s">
        <v>418</v>
      </c>
      <c r="J20" t="s">
        <v>418</v>
      </c>
      <c r="K20">
        <v>0</v>
      </c>
      <c r="L20" t="s">
        <v>418</v>
      </c>
      <c r="M20" t="s">
        <v>418</v>
      </c>
      <c r="N20">
        <v>0</v>
      </c>
      <c r="O20">
        <v>0</v>
      </c>
    </row>
    <row r="21" spans="1:15" x14ac:dyDescent="0.25">
      <c r="A21" t="s">
        <v>1459</v>
      </c>
      <c r="B21" s="116">
        <v>37091</v>
      </c>
      <c r="C21" s="116">
        <v>32636</v>
      </c>
      <c r="D21" s="116">
        <v>27922</v>
      </c>
      <c r="E21" s="116">
        <v>21956</v>
      </c>
      <c r="F21" s="116">
        <v>12113</v>
      </c>
      <c r="G21" s="116">
        <v>18315</v>
      </c>
      <c r="H21" s="116">
        <v>23303</v>
      </c>
      <c r="I21" s="116">
        <v>16681</v>
      </c>
      <c r="J21" s="116">
        <v>25952</v>
      </c>
      <c r="K21" s="116">
        <v>13124</v>
      </c>
      <c r="L21" s="116">
        <v>4910</v>
      </c>
      <c r="M21" s="116">
        <v>1778</v>
      </c>
      <c r="N21">
        <v>692</v>
      </c>
      <c r="O21" s="116">
        <v>2046</v>
      </c>
    </row>
    <row r="22" spans="1:15" x14ac:dyDescent="0.25">
      <c r="A22" t="s">
        <v>1460</v>
      </c>
      <c r="B22" s="116">
        <v>548759</v>
      </c>
      <c r="C22" s="116">
        <v>444663</v>
      </c>
      <c r="D22" s="116">
        <v>383226</v>
      </c>
      <c r="E22" s="116">
        <v>235907</v>
      </c>
      <c r="F22" s="116">
        <v>193928</v>
      </c>
      <c r="G22" s="116">
        <v>287217</v>
      </c>
      <c r="H22" s="116">
        <v>304435</v>
      </c>
      <c r="I22" s="116">
        <v>397413</v>
      </c>
      <c r="J22" s="116">
        <v>421600</v>
      </c>
      <c r="K22" s="116">
        <v>320483</v>
      </c>
      <c r="L22" s="116">
        <v>168075</v>
      </c>
      <c r="M22" s="116">
        <v>133146</v>
      </c>
      <c r="N22" s="116">
        <v>88291</v>
      </c>
      <c r="O22" s="116">
        <v>59378</v>
      </c>
    </row>
    <row r="23" spans="1:15" x14ac:dyDescent="0.25">
      <c r="A23" t="s">
        <v>1461</v>
      </c>
      <c r="B23" s="116">
        <v>205166</v>
      </c>
      <c r="C23" s="116">
        <v>204590</v>
      </c>
      <c r="D23" s="116">
        <v>253314</v>
      </c>
      <c r="E23" s="116">
        <v>212081</v>
      </c>
      <c r="F23" s="116">
        <v>200277</v>
      </c>
      <c r="G23" s="116">
        <v>253252</v>
      </c>
      <c r="H23" s="116">
        <v>294545</v>
      </c>
      <c r="I23" s="116">
        <v>336724</v>
      </c>
      <c r="J23" s="116">
        <v>306314</v>
      </c>
      <c r="K23" s="116">
        <v>192150</v>
      </c>
      <c r="L23" s="116">
        <v>77065</v>
      </c>
      <c r="M23" s="116">
        <v>77178</v>
      </c>
      <c r="N23" s="116">
        <v>50393</v>
      </c>
      <c r="O23" s="116">
        <v>34599</v>
      </c>
    </row>
    <row r="24" spans="1:15" x14ac:dyDescent="0.25">
      <c r="A24" t="s">
        <v>1462</v>
      </c>
      <c r="B24" s="116">
        <v>-4639</v>
      </c>
      <c r="C24" s="116">
        <v>13565</v>
      </c>
      <c r="D24" s="116">
        <v>131903</v>
      </c>
      <c r="E24" s="116">
        <v>87539</v>
      </c>
      <c r="F24" s="116">
        <v>132122</v>
      </c>
      <c r="G24" s="116">
        <v>123035</v>
      </c>
      <c r="H24" s="116">
        <v>32495</v>
      </c>
      <c r="I24" s="116">
        <v>135848</v>
      </c>
      <c r="J24" s="116">
        <v>80727</v>
      </c>
      <c r="K24" s="116">
        <v>29833</v>
      </c>
      <c r="L24" s="116">
        <v>8869</v>
      </c>
      <c r="M24" s="116">
        <v>13289</v>
      </c>
      <c r="N24" s="116">
        <v>12097</v>
      </c>
      <c r="O24" s="116">
        <v>11847</v>
      </c>
    </row>
    <row r="25" spans="1:15" x14ac:dyDescent="0.25">
      <c r="A25" t="s">
        <v>1463</v>
      </c>
      <c r="B25" t="s">
        <v>418</v>
      </c>
      <c r="C25" s="116">
        <v>109538</v>
      </c>
      <c r="D25" s="116">
        <v>118902</v>
      </c>
      <c r="E25" s="116">
        <v>94842</v>
      </c>
      <c r="F25" s="116">
        <v>49056</v>
      </c>
      <c r="G25" s="116">
        <v>68233</v>
      </c>
      <c r="H25" s="116">
        <v>42534</v>
      </c>
      <c r="I25" s="116">
        <v>-7475</v>
      </c>
      <c r="J25" s="116">
        <v>40352</v>
      </c>
      <c r="K25" s="116">
        <v>15295</v>
      </c>
      <c r="L25" s="116">
        <v>9423</v>
      </c>
      <c r="M25" s="116">
        <v>8424</v>
      </c>
      <c r="N25" s="116">
        <v>8100</v>
      </c>
      <c r="O25" s="116">
        <v>3990</v>
      </c>
    </row>
    <row r="26" spans="1:15" x14ac:dyDescent="0.25">
      <c r="A26" t="s">
        <v>1464</v>
      </c>
      <c r="B26" s="116">
        <v>28965</v>
      </c>
      <c r="C26" s="116">
        <v>-36168</v>
      </c>
      <c r="D26" s="116">
        <v>40268</v>
      </c>
      <c r="E26" s="116">
        <v>-56337</v>
      </c>
      <c r="F26" s="116">
        <v>28236</v>
      </c>
      <c r="G26" s="116">
        <v>-1528</v>
      </c>
      <c r="H26" s="116">
        <v>14315</v>
      </c>
      <c r="I26" s="116">
        <v>-13936</v>
      </c>
      <c r="J26" s="116">
        <v>-6866</v>
      </c>
      <c r="K26" s="116">
        <v>5035</v>
      </c>
      <c r="L26" s="116">
        <v>4515</v>
      </c>
      <c r="M26" s="116">
        <v>-18403</v>
      </c>
      <c r="N26" s="116">
        <v>9950</v>
      </c>
      <c r="O26" s="116">
        <v>3283</v>
      </c>
    </row>
    <row r="27" spans="1:15" x14ac:dyDescent="0.25">
      <c r="A27" t="s">
        <v>1465</v>
      </c>
      <c r="B27" s="116">
        <v>38285</v>
      </c>
      <c r="C27" s="116">
        <v>63746</v>
      </c>
      <c r="D27" s="116">
        <v>-1929</v>
      </c>
      <c r="E27" s="116">
        <v>218147</v>
      </c>
      <c r="F27" s="116">
        <v>-2697</v>
      </c>
      <c r="G27" s="116">
        <v>40717</v>
      </c>
      <c r="H27" s="116">
        <v>-19762</v>
      </c>
      <c r="I27" s="116">
        <v>16137</v>
      </c>
      <c r="J27" s="116">
        <v>14123</v>
      </c>
      <c r="K27" s="116">
        <v>4229</v>
      </c>
      <c r="L27" s="116">
        <v>-7287</v>
      </c>
      <c r="M27" s="116">
        <v>-6352</v>
      </c>
      <c r="N27" s="116">
        <v>39874</v>
      </c>
      <c r="O27" s="116">
        <v>8778</v>
      </c>
    </row>
    <row r="28" spans="1:15" x14ac:dyDescent="0.25">
      <c r="A28" t="s">
        <v>1466</v>
      </c>
      <c r="B28" s="116">
        <v>13953</v>
      </c>
      <c r="C28" s="116">
        <v>12827</v>
      </c>
      <c r="D28" s="116">
        <v>10224</v>
      </c>
      <c r="E28" s="116">
        <v>5347</v>
      </c>
      <c r="F28" s="116">
        <v>6248</v>
      </c>
      <c r="G28" s="116">
        <v>2321</v>
      </c>
      <c r="H28">
        <v>-361</v>
      </c>
      <c r="I28" s="116">
        <v>2506</v>
      </c>
      <c r="J28" s="116">
        <v>3812</v>
      </c>
      <c r="K28" s="116">
        <v>1642</v>
      </c>
      <c r="L28">
        <v>732</v>
      </c>
      <c r="M28">
        <v>128</v>
      </c>
      <c r="N28">
        <v>195</v>
      </c>
      <c r="O28">
        <v>90</v>
      </c>
    </row>
    <row r="29" spans="1:15" x14ac:dyDescent="0.25">
      <c r="A29" t="s">
        <v>1467</v>
      </c>
      <c r="B29" t="s">
        <v>418</v>
      </c>
      <c r="C29" t="s">
        <v>418</v>
      </c>
      <c r="D29" t="s">
        <v>418</v>
      </c>
      <c r="E29" t="s">
        <v>418</v>
      </c>
      <c r="F29" t="s">
        <v>418</v>
      </c>
      <c r="G29" t="s">
        <v>418</v>
      </c>
      <c r="H29" t="s">
        <v>418</v>
      </c>
      <c r="I29" t="s">
        <v>418</v>
      </c>
      <c r="J29" t="s">
        <v>418</v>
      </c>
      <c r="K29">
        <v>0</v>
      </c>
      <c r="L29" t="s">
        <v>418</v>
      </c>
      <c r="M29" t="s">
        <v>418</v>
      </c>
      <c r="N29">
        <v>0</v>
      </c>
      <c r="O29">
        <v>0</v>
      </c>
    </row>
    <row r="30" spans="1:15" x14ac:dyDescent="0.25">
      <c r="A30" t="s">
        <v>1468</v>
      </c>
      <c r="B30" t="s">
        <v>418</v>
      </c>
      <c r="C30" t="s">
        <v>418</v>
      </c>
      <c r="D30" t="s">
        <v>418</v>
      </c>
      <c r="E30" t="s">
        <v>418</v>
      </c>
      <c r="F30" t="s">
        <v>418</v>
      </c>
      <c r="G30" t="s">
        <v>418</v>
      </c>
      <c r="H30" t="s">
        <v>418</v>
      </c>
      <c r="I30" t="s">
        <v>418</v>
      </c>
      <c r="J30" t="s">
        <v>418</v>
      </c>
      <c r="K30">
        <v>0</v>
      </c>
      <c r="L30" t="s">
        <v>418</v>
      </c>
      <c r="M30" t="s">
        <v>418</v>
      </c>
      <c r="N30">
        <v>0</v>
      </c>
      <c r="O30">
        <v>0</v>
      </c>
    </row>
    <row r="31" spans="1:15" x14ac:dyDescent="0.25">
      <c r="A31" t="s">
        <v>1469</v>
      </c>
      <c r="B31" t="s">
        <v>418</v>
      </c>
      <c r="C31" t="s">
        <v>418</v>
      </c>
      <c r="D31" t="s">
        <v>418</v>
      </c>
      <c r="E31" t="s">
        <v>418</v>
      </c>
      <c r="F31" t="s">
        <v>418</v>
      </c>
      <c r="G31" t="s">
        <v>418</v>
      </c>
      <c r="H31" t="s">
        <v>418</v>
      </c>
      <c r="I31" t="s">
        <v>418</v>
      </c>
      <c r="J31" t="s">
        <v>418</v>
      </c>
      <c r="K31">
        <v>0</v>
      </c>
      <c r="L31" t="s">
        <v>418</v>
      </c>
      <c r="M31" t="s">
        <v>418</v>
      </c>
      <c r="N31">
        <v>0</v>
      </c>
      <c r="O31">
        <v>0</v>
      </c>
    </row>
    <row r="32" spans="1:15" x14ac:dyDescent="0.25">
      <c r="A32" t="s">
        <v>1470</v>
      </c>
      <c r="B32" t="s">
        <v>418</v>
      </c>
      <c r="C32" t="s">
        <v>418</v>
      </c>
      <c r="D32" t="s">
        <v>418</v>
      </c>
      <c r="E32" t="s">
        <v>418</v>
      </c>
      <c r="F32" t="s">
        <v>418</v>
      </c>
      <c r="G32" t="s">
        <v>418</v>
      </c>
      <c r="H32" t="s">
        <v>418</v>
      </c>
      <c r="I32" t="s">
        <v>418</v>
      </c>
      <c r="J32" t="s">
        <v>418</v>
      </c>
      <c r="K32">
        <v>0</v>
      </c>
      <c r="L32" t="s">
        <v>418</v>
      </c>
      <c r="M32" t="s">
        <v>418</v>
      </c>
      <c r="N32">
        <v>0</v>
      </c>
      <c r="O32">
        <v>0</v>
      </c>
    </row>
    <row r="33" spans="1:15" x14ac:dyDescent="0.25">
      <c r="A33" t="s">
        <v>1471</v>
      </c>
      <c r="B33" t="s">
        <v>418</v>
      </c>
      <c r="C33" t="s">
        <v>418</v>
      </c>
      <c r="D33" t="s">
        <v>418</v>
      </c>
      <c r="E33" t="s">
        <v>418</v>
      </c>
      <c r="F33" t="s">
        <v>418</v>
      </c>
      <c r="G33" t="s">
        <v>418</v>
      </c>
      <c r="H33" t="s">
        <v>418</v>
      </c>
      <c r="I33" t="s">
        <v>418</v>
      </c>
      <c r="J33" t="s">
        <v>418</v>
      </c>
      <c r="K33">
        <v>0</v>
      </c>
      <c r="L33" t="s">
        <v>418</v>
      </c>
      <c r="M33" t="s">
        <v>418</v>
      </c>
      <c r="N33">
        <v>0</v>
      </c>
      <c r="O33">
        <v>0</v>
      </c>
    </row>
    <row r="34" spans="1:15" x14ac:dyDescent="0.25">
      <c r="A34" t="s">
        <v>1472</v>
      </c>
      <c r="B34" s="116">
        <v>1377543</v>
      </c>
      <c r="C34" s="116">
        <v>787844</v>
      </c>
      <c r="D34" s="116">
        <v>287603</v>
      </c>
      <c r="E34" s="116">
        <v>119552</v>
      </c>
      <c r="F34" s="116">
        <v>17054</v>
      </c>
      <c r="G34" s="116">
        <v>71743</v>
      </c>
      <c r="H34" s="116">
        <v>274761</v>
      </c>
      <c r="I34" s="116">
        <v>609739</v>
      </c>
      <c r="J34" s="116">
        <v>984720</v>
      </c>
      <c r="K34" s="116">
        <v>689688</v>
      </c>
      <c r="L34" s="116">
        <v>262365</v>
      </c>
      <c r="M34" s="116">
        <v>153199</v>
      </c>
      <c r="N34" s="116">
        <v>206326</v>
      </c>
      <c r="O34" s="116">
        <v>81482</v>
      </c>
    </row>
    <row r="35" spans="1:15" x14ac:dyDescent="0.25">
      <c r="A35" t="s">
        <v>1473</v>
      </c>
      <c r="B35" s="116">
        <v>18269</v>
      </c>
      <c r="C35" s="116">
        <v>12318</v>
      </c>
      <c r="D35" s="116">
        <v>9837</v>
      </c>
      <c r="E35" s="116">
        <v>43761</v>
      </c>
      <c r="F35" s="116">
        <v>37011</v>
      </c>
      <c r="G35" s="116">
        <v>46092</v>
      </c>
      <c r="H35" s="116">
        <v>84620</v>
      </c>
      <c r="I35" s="116">
        <v>100768</v>
      </c>
      <c r="J35" s="116">
        <v>102207</v>
      </c>
      <c r="K35" s="116">
        <v>15082</v>
      </c>
      <c r="L35" s="116">
        <v>4475</v>
      </c>
      <c r="M35" s="116">
        <v>4398</v>
      </c>
      <c r="N35" s="116">
        <v>3368</v>
      </c>
      <c r="O35" s="116">
        <v>1104</v>
      </c>
    </row>
    <row r="36" spans="1:15" x14ac:dyDescent="0.25">
      <c r="A36" t="s">
        <v>1474</v>
      </c>
      <c r="B36" s="116">
        <v>50380</v>
      </c>
      <c r="C36" s="116">
        <v>45138</v>
      </c>
      <c r="D36" s="116">
        <v>10556</v>
      </c>
      <c r="E36" s="116">
        <v>157016</v>
      </c>
      <c r="F36" s="116">
        <v>42076</v>
      </c>
      <c r="G36" s="116">
        <v>19322</v>
      </c>
      <c r="H36" s="116">
        <v>14340</v>
      </c>
      <c r="I36" s="116">
        <v>22441</v>
      </c>
      <c r="J36" s="116">
        <v>7700</v>
      </c>
      <c r="K36" s="116">
        <v>10946</v>
      </c>
      <c r="L36" s="116">
        <v>3951</v>
      </c>
      <c r="M36" s="116">
        <v>3542</v>
      </c>
      <c r="N36" s="116">
        <v>1386</v>
      </c>
      <c r="O36">
        <v>492</v>
      </c>
    </row>
    <row r="37" spans="1:15" x14ac:dyDescent="0.25">
      <c r="A37" t="s">
        <v>1475</v>
      </c>
      <c r="B37" t="s">
        <v>418</v>
      </c>
      <c r="C37" t="s">
        <v>418</v>
      </c>
      <c r="D37" t="s">
        <v>418</v>
      </c>
      <c r="E37" s="116">
        <v>7396</v>
      </c>
      <c r="F37" s="116">
        <v>22190</v>
      </c>
      <c r="G37" s="116">
        <v>5510</v>
      </c>
      <c r="H37" s="116">
        <v>5293</v>
      </c>
      <c r="I37" s="116">
        <v>2525</v>
      </c>
      <c r="J37" s="116">
        <v>3218</v>
      </c>
      <c r="K37" s="116">
        <v>1596</v>
      </c>
      <c r="L37" s="116">
        <v>1140</v>
      </c>
      <c r="M37">
        <v>985</v>
      </c>
      <c r="N37">
        <v>102</v>
      </c>
      <c r="O37">
        <v>107</v>
      </c>
    </row>
    <row r="38" spans="1:15" x14ac:dyDescent="0.25">
      <c r="A38" t="s">
        <v>1476</v>
      </c>
      <c r="B38" s="116">
        <v>1345432</v>
      </c>
      <c r="C38" s="116">
        <v>755024</v>
      </c>
      <c r="D38" s="116">
        <v>286885</v>
      </c>
      <c r="E38" s="116">
        <v>6297</v>
      </c>
      <c r="F38" s="116">
        <v>11989</v>
      </c>
      <c r="G38" s="116">
        <v>98513</v>
      </c>
      <c r="H38" s="116">
        <v>345041</v>
      </c>
      <c r="I38" s="116">
        <v>688066</v>
      </c>
      <c r="J38" s="116">
        <v>1079227</v>
      </c>
      <c r="K38" s="116">
        <v>693825</v>
      </c>
      <c r="L38" s="116">
        <v>262890</v>
      </c>
      <c r="M38" s="116">
        <v>154054</v>
      </c>
      <c r="N38" s="116">
        <v>208309</v>
      </c>
      <c r="O38" s="116">
        <v>82094</v>
      </c>
    </row>
    <row r="39" spans="1:15" x14ac:dyDescent="0.25">
      <c r="A39" t="s">
        <v>1477</v>
      </c>
      <c r="B39" s="116">
        <v>195987</v>
      </c>
      <c r="C39" s="116">
        <v>124676</v>
      </c>
      <c r="D39" s="116">
        <v>64176</v>
      </c>
      <c r="E39" s="116">
        <v>-10083</v>
      </c>
      <c r="F39" s="116">
        <v>-1826</v>
      </c>
      <c r="G39" s="116">
        <v>22916</v>
      </c>
      <c r="H39" s="116">
        <v>35556</v>
      </c>
      <c r="I39" s="116">
        <v>86998</v>
      </c>
      <c r="J39" s="116">
        <v>143071</v>
      </c>
      <c r="K39" s="116">
        <v>77422</v>
      </c>
      <c r="L39" s="116">
        <v>25894</v>
      </c>
      <c r="M39" s="116">
        <v>6614</v>
      </c>
      <c r="N39" s="116">
        <v>17730</v>
      </c>
      <c r="O39" s="116">
        <v>7974</v>
      </c>
    </row>
    <row r="40" spans="1:15" x14ac:dyDescent="0.25">
      <c r="A40" t="s">
        <v>1478</v>
      </c>
      <c r="B40" t="s">
        <v>418</v>
      </c>
      <c r="C40" t="s">
        <v>418</v>
      </c>
      <c r="D40" t="s">
        <v>418</v>
      </c>
      <c r="E40" t="s">
        <v>418</v>
      </c>
      <c r="F40" t="s">
        <v>418</v>
      </c>
      <c r="G40" t="s">
        <v>418</v>
      </c>
      <c r="H40" t="s">
        <v>418</v>
      </c>
      <c r="I40" t="s">
        <v>418</v>
      </c>
      <c r="J40" t="s">
        <v>418</v>
      </c>
      <c r="K40">
        <v>0</v>
      </c>
      <c r="L40" t="s">
        <v>418</v>
      </c>
      <c r="M40" t="s">
        <v>418</v>
      </c>
      <c r="N40">
        <v>0</v>
      </c>
      <c r="O40">
        <v>0</v>
      </c>
    </row>
    <row r="41" spans="1:15" x14ac:dyDescent="0.25">
      <c r="A41" t="s">
        <v>1479</v>
      </c>
      <c r="B41" s="116">
        <v>1149445</v>
      </c>
      <c r="C41" s="116">
        <v>630349</v>
      </c>
      <c r="D41" s="116">
        <v>222709</v>
      </c>
      <c r="E41" s="116">
        <v>16380</v>
      </c>
      <c r="F41" s="116">
        <v>13815</v>
      </c>
      <c r="G41" s="116">
        <v>75597</v>
      </c>
      <c r="H41" s="116">
        <v>309485</v>
      </c>
      <c r="I41" s="116">
        <v>601068</v>
      </c>
      <c r="J41" s="116">
        <v>936155</v>
      </c>
      <c r="K41" s="116">
        <v>616403</v>
      </c>
      <c r="L41" s="116">
        <v>236996</v>
      </c>
      <c r="M41" s="116">
        <v>147441</v>
      </c>
      <c r="N41" s="116">
        <v>190579</v>
      </c>
      <c r="O41" s="116">
        <v>74120</v>
      </c>
    </row>
    <row r="42" spans="1:15" x14ac:dyDescent="0.25">
      <c r="A42" t="s">
        <v>1480</v>
      </c>
      <c r="B42" s="116">
        <v>1120666</v>
      </c>
      <c r="C42" s="116">
        <v>611629</v>
      </c>
      <c r="D42" s="116">
        <v>209225</v>
      </c>
      <c r="E42" s="116">
        <v>20346</v>
      </c>
      <c r="F42" s="116">
        <v>13859</v>
      </c>
      <c r="G42" s="116">
        <v>70921</v>
      </c>
      <c r="H42" s="116">
        <v>290360</v>
      </c>
      <c r="I42" s="116">
        <v>568610</v>
      </c>
      <c r="J42" s="116">
        <v>864890</v>
      </c>
      <c r="K42" s="116">
        <v>561546</v>
      </c>
      <c r="L42" s="116">
        <v>196258</v>
      </c>
      <c r="M42" s="116">
        <v>123223</v>
      </c>
      <c r="N42" s="116">
        <v>160616</v>
      </c>
      <c r="O42" s="116">
        <v>59200</v>
      </c>
    </row>
    <row r="43" spans="1:15" x14ac:dyDescent="0.25">
      <c r="A43" t="s">
        <v>1481</v>
      </c>
      <c r="B43" t="s">
        <v>418</v>
      </c>
      <c r="C43" t="s">
        <v>418</v>
      </c>
      <c r="D43" t="s">
        <v>418</v>
      </c>
      <c r="E43" t="s">
        <v>418</v>
      </c>
      <c r="F43" t="s">
        <v>418</v>
      </c>
      <c r="G43" t="s">
        <v>418</v>
      </c>
      <c r="H43" t="s">
        <v>418</v>
      </c>
      <c r="I43" t="s">
        <v>418</v>
      </c>
      <c r="J43" t="s">
        <v>418</v>
      </c>
      <c r="K43" s="116">
        <v>38353</v>
      </c>
      <c r="L43" t="s">
        <v>418</v>
      </c>
      <c r="M43" t="s">
        <v>418</v>
      </c>
      <c r="N43" s="116">
        <v>7204</v>
      </c>
      <c r="O43" s="116">
        <v>9332</v>
      </c>
    </row>
    <row r="44" spans="1:15" x14ac:dyDescent="0.25">
      <c r="A44" t="s">
        <v>1482</v>
      </c>
      <c r="B44" s="116">
        <v>28779</v>
      </c>
      <c r="C44" s="116">
        <v>18720</v>
      </c>
      <c r="D44" s="116">
        <v>13483</v>
      </c>
      <c r="E44" s="116">
        <v>-3966</v>
      </c>
      <c r="F44">
        <v>-44</v>
      </c>
      <c r="G44" s="116">
        <v>4677</v>
      </c>
      <c r="H44" s="116">
        <v>19126</v>
      </c>
      <c r="I44" s="116">
        <v>32459</v>
      </c>
      <c r="J44" s="116">
        <v>71266</v>
      </c>
      <c r="K44" s="116">
        <v>54857</v>
      </c>
      <c r="L44" s="116">
        <v>40738</v>
      </c>
      <c r="M44" s="116">
        <v>24217</v>
      </c>
      <c r="N44" s="116">
        <v>22759</v>
      </c>
      <c r="O44" s="116">
        <v>5588</v>
      </c>
    </row>
    <row r="45" spans="1:15" x14ac:dyDescent="0.25">
      <c r="A45" t="s">
        <v>1488</v>
      </c>
    </row>
    <row r="46" spans="1:15" x14ac:dyDescent="0.25">
      <c r="A46" t="s">
        <v>1483</v>
      </c>
      <c r="B46">
        <v>1.36</v>
      </c>
      <c r="C46">
        <v>0.79</v>
      </c>
      <c r="D46">
        <v>0.27</v>
      </c>
      <c r="E46">
        <v>0.03</v>
      </c>
      <c r="F46">
        <v>0.02</v>
      </c>
      <c r="G46">
        <v>0.09</v>
      </c>
      <c r="H46">
        <v>0.38</v>
      </c>
      <c r="I46">
        <v>0.75</v>
      </c>
      <c r="J46">
        <v>1.1399999999999999</v>
      </c>
      <c r="K46">
        <v>1.1100000000000001</v>
      </c>
      <c r="L46">
        <v>1.32</v>
      </c>
      <c r="M46">
        <v>0.83</v>
      </c>
      <c r="N46">
        <v>1.65</v>
      </c>
      <c r="O46">
        <v>0.62</v>
      </c>
    </row>
    <row r="47" spans="1:15" x14ac:dyDescent="0.25">
      <c r="A47" t="s">
        <v>170</v>
      </c>
      <c r="B47">
        <v>1.35</v>
      </c>
      <c r="C47">
        <v>0.75</v>
      </c>
      <c r="D47">
        <v>0.27</v>
      </c>
      <c r="E47">
        <v>0.03</v>
      </c>
      <c r="F47">
        <v>0.02</v>
      </c>
      <c r="G47">
        <v>0.09</v>
      </c>
      <c r="H47">
        <v>0.38</v>
      </c>
      <c r="I47">
        <v>0.75</v>
      </c>
      <c r="J47">
        <v>1.1399999999999999</v>
      </c>
      <c r="K47">
        <v>1.1100000000000001</v>
      </c>
      <c r="L47">
        <v>1.32</v>
      </c>
      <c r="M47">
        <v>0.83</v>
      </c>
      <c r="N47">
        <v>1.65</v>
      </c>
      <c r="O47">
        <v>0.62</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O99"/>
  <sheetViews>
    <sheetView workbookViewId="0">
      <selection activeCell="B1" sqref="B1"/>
    </sheetView>
  </sheetViews>
  <sheetFormatPr defaultRowHeight="14" x14ac:dyDescent="0.25"/>
  <cols>
    <col min="1" max="1" width="63.1796875" bestFit="1" customWidth="1"/>
    <col min="2" max="15" width="11.36328125" bestFit="1" customWidth="1"/>
  </cols>
  <sheetData>
    <row r="1" spans="1:15" x14ac:dyDescent="0.25">
      <c r="A1" t="s">
        <v>1331</v>
      </c>
      <c r="B1" s="115">
        <v>43830</v>
      </c>
      <c r="C1" s="115">
        <v>43465</v>
      </c>
      <c r="D1" s="115">
        <v>43100</v>
      </c>
      <c r="E1" s="115">
        <v>42735</v>
      </c>
      <c r="F1" s="115">
        <v>42369</v>
      </c>
      <c r="G1" s="115">
        <v>42004</v>
      </c>
      <c r="H1" s="115">
        <v>41639</v>
      </c>
      <c r="I1" s="115">
        <v>41274</v>
      </c>
      <c r="J1" s="115">
        <v>40908</v>
      </c>
      <c r="K1" s="115">
        <v>40543</v>
      </c>
      <c r="L1" s="115">
        <v>40178</v>
      </c>
      <c r="M1" s="115">
        <v>39813</v>
      </c>
      <c r="N1" s="115">
        <v>39447</v>
      </c>
      <c r="O1" s="115">
        <v>39082</v>
      </c>
    </row>
    <row r="2" spans="1:15" x14ac:dyDescent="0.25">
      <c r="A2" t="s">
        <v>278</v>
      </c>
    </row>
    <row r="3" spans="1:15" x14ac:dyDescent="0.25">
      <c r="A3" t="s">
        <v>1489</v>
      </c>
      <c r="B3" s="116">
        <v>7876473</v>
      </c>
      <c r="C3" s="116">
        <v>5964547</v>
      </c>
      <c r="D3" s="116">
        <v>4144025</v>
      </c>
      <c r="E3" s="116">
        <v>2596401</v>
      </c>
      <c r="F3" s="116">
        <v>2394437</v>
      </c>
      <c r="G3" s="116">
        <v>3244284</v>
      </c>
      <c r="H3" s="116">
        <v>3730626</v>
      </c>
      <c r="I3" s="116">
        <v>5052703</v>
      </c>
      <c r="J3" s="116">
        <v>5257022</v>
      </c>
      <c r="K3" s="116">
        <v>3732983</v>
      </c>
      <c r="L3" s="116">
        <v>1657653</v>
      </c>
      <c r="M3" s="116">
        <v>1420493</v>
      </c>
      <c r="N3" s="116">
        <v>804425</v>
      </c>
      <c r="O3" s="116">
        <v>596694</v>
      </c>
    </row>
    <row r="4" spans="1:15" x14ac:dyDescent="0.25">
      <c r="A4" t="s">
        <v>1490</v>
      </c>
      <c r="B4" t="s">
        <v>418</v>
      </c>
      <c r="C4" t="s">
        <v>418</v>
      </c>
      <c r="D4" t="s">
        <v>418</v>
      </c>
      <c r="E4" t="s">
        <v>418</v>
      </c>
      <c r="F4" t="s">
        <v>418</v>
      </c>
      <c r="G4" t="s">
        <v>418</v>
      </c>
      <c r="H4" t="s">
        <v>418</v>
      </c>
      <c r="I4" t="s">
        <v>418</v>
      </c>
      <c r="J4" t="s">
        <v>418</v>
      </c>
      <c r="K4" t="s">
        <v>418</v>
      </c>
      <c r="L4" t="s">
        <v>418</v>
      </c>
      <c r="M4">
        <v>0</v>
      </c>
      <c r="N4">
        <v>0</v>
      </c>
      <c r="O4">
        <v>0</v>
      </c>
    </row>
    <row r="5" spans="1:15" x14ac:dyDescent="0.25">
      <c r="A5" t="s">
        <v>1491</v>
      </c>
      <c r="B5" t="s">
        <v>418</v>
      </c>
      <c r="C5" t="s">
        <v>418</v>
      </c>
      <c r="D5" t="s">
        <v>418</v>
      </c>
      <c r="E5" t="s">
        <v>418</v>
      </c>
      <c r="F5" t="s">
        <v>418</v>
      </c>
      <c r="G5" t="s">
        <v>418</v>
      </c>
      <c r="H5" t="s">
        <v>418</v>
      </c>
      <c r="I5" t="s">
        <v>418</v>
      </c>
      <c r="J5" t="s">
        <v>418</v>
      </c>
      <c r="K5" t="s">
        <v>418</v>
      </c>
      <c r="L5" t="s">
        <v>418</v>
      </c>
      <c r="M5">
        <v>0</v>
      </c>
      <c r="N5">
        <v>0</v>
      </c>
      <c r="O5">
        <v>0</v>
      </c>
    </row>
    <row r="6" spans="1:15" x14ac:dyDescent="0.25">
      <c r="A6" t="s">
        <v>1492</v>
      </c>
      <c r="B6" t="s">
        <v>418</v>
      </c>
      <c r="C6" t="s">
        <v>418</v>
      </c>
      <c r="D6" t="s">
        <v>418</v>
      </c>
      <c r="E6" t="s">
        <v>418</v>
      </c>
      <c r="F6" t="s">
        <v>418</v>
      </c>
      <c r="G6" t="s">
        <v>418</v>
      </c>
      <c r="H6" t="s">
        <v>418</v>
      </c>
      <c r="I6" t="s">
        <v>418</v>
      </c>
      <c r="J6" t="s">
        <v>418</v>
      </c>
      <c r="K6" t="s">
        <v>418</v>
      </c>
      <c r="L6" t="s">
        <v>418</v>
      </c>
      <c r="M6">
        <v>0</v>
      </c>
      <c r="N6">
        <v>0</v>
      </c>
      <c r="O6">
        <v>0</v>
      </c>
    </row>
    <row r="7" spans="1:15" x14ac:dyDescent="0.25">
      <c r="A7" t="s">
        <v>1493</v>
      </c>
      <c r="B7" t="s">
        <v>418</v>
      </c>
      <c r="C7" t="s">
        <v>418</v>
      </c>
      <c r="D7" t="s">
        <v>418</v>
      </c>
      <c r="E7" t="s">
        <v>418</v>
      </c>
      <c r="F7" t="s">
        <v>418</v>
      </c>
      <c r="G7" t="s">
        <v>418</v>
      </c>
      <c r="H7" t="s">
        <v>418</v>
      </c>
      <c r="I7" t="s">
        <v>418</v>
      </c>
      <c r="J7" t="s">
        <v>418</v>
      </c>
      <c r="K7" t="s">
        <v>418</v>
      </c>
      <c r="L7" t="s">
        <v>418</v>
      </c>
      <c r="M7">
        <v>0</v>
      </c>
      <c r="N7">
        <v>0</v>
      </c>
      <c r="O7">
        <v>0</v>
      </c>
    </row>
    <row r="8" spans="1:15" x14ac:dyDescent="0.25">
      <c r="A8" t="s">
        <v>1494</v>
      </c>
      <c r="B8" t="s">
        <v>418</v>
      </c>
      <c r="C8" t="s">
        <v>418</v>
      </c>
      <c r="D8" t="s">
        <v>418</v>
      </c>
      <c r="E8" t="s">
        <v>418</v>
      </c>
      <c r="F8" t="s">
        <v>418</v>
      </c>
      <c r="G8" t="s">
        <v>418</v>
      </c>
      <c r="H8" t="s">
        <v>418</v>
      </c>
      <c r="I8" t="s">
        <v>418</v>
      </c>
      <c r="J8" t="s">
        <v>418</v>
      </c>
      <c r="K8" t="s">
        <v>418</v>
      </c>
      <c r="L8" t="s">
        <v>418</v>
      </c>
      <c r="M8">
        <v>0</v>
      </c>
      <c r="N8">
        <v>0</v>
      </c>
      <c r="O8">
        <v>0</v>
      </c>
    </row>
    <row r="9" spans="1:15" x14ac:dyDescent="0.25">
      <c r="A9" t="s">
        <v>1495</v>
      </c>
      <c r="B9" t="s">
        <v>418</v>
      </c>
      <c r="C9" t="s">
        <v>418</v>
      </c>
      <c r="D9" t="s">
        <v>418</v>
      </c>
      <c r="E9" t="s">
        <v>418</v>
      </c>
      <c r="F9" t="s">
        <v>418</v>
      </c>
      <c r="G9" t="s">
        <v>418</v>
      </c>
      <c r="H9" t="s">
        <v>418</v>
      </c>
      <c r="I9" t="s">
        <v>418</v>
      </c>
      <c r="J9" t="s">
        <v>418</v>
      </c>
      <c r="K9" t="s">
        <v>418</v>
      </c>
      <c r="L9" t="s">
        <v>418</v>
      </c>
      <c r="M9">
        <v>0</v>
      </c>
      <c r="N9">
        <v>0</v>
      </c>
      <c r="O9">
        <v>0</v>
      </c>
    </row>
    <row r="10" spans="1:15" x14ac:dyDescent="0.25">
      <c r="A10" t="s">
        <v>1496</v>
      </c>
      <c r="B10" t="s">
        <v>418</v>
      </c>
      <c r="C10" t="s">
        <v>418</v>
      </c>
      <c r="D10" t="s">
        <v>418</v>
      </c>
      <c r="E10" t="s">
        <v>418</v>
      </c>
      <c r="F10" t="s">
        <v>418</v>
      </c>
      <c r="G10" t="s">
        <v>418</v>
      </c>
      <c r="H10" t="s">
        <v>418</v>
      </c>
      <c r="I10" t="s">
        <v>418</v>
      </c>
      <c r="J10" t="s">
        <v>418</v>
      </c>
      <c r="K10" t="s">
        <v>418</v>
      </c>
      <c r="L10" t="s">
        <v>418</v>
      </c>
      <c r="M10">
        <v>0</v>
      </c>
      <c r="N10">
        <v>0</v>
      </c>
      <c r="O10">
        <v>0</v>
      </c>
    </row>
    <row r="11" spans="1:15" x14ac:dyDescent="0.25">
      <c r="A11" t="s">
        <v>1497</v>
      </c>
      <c r="B11" t="s">
        <v>418</v>
      </c>
      <c r="C11" t="s">
        <v>418</v>
      </c>
      <c r="D11" t="s">
        <v>418</v>
      </c>
      <c r="E11" t="s">
        <v>418</v>
      </c>
      <c r="F11" t="s">
        <v>418</v>
      </c>
      <c r="G11" t="s">
        <v>418</v>
      </c>
      <c r="H11" t="s">
        <v>418</v>
      </c>
      <c r="I11" t="s">
        <v>418</v>
      </c>
      <c r="J11" t="s">
        <v>418</v>
      </c>
      <c r="K11" t="s">
        <v>418</v>
      </c>
      <c r="L11" t="s">
        <v>418</v>
      </c>
      <c r="M11">
        <v>0</v>
      </c>
      <c r="N11">
        <v>0</v>
      </c>
      <c r="O11">
        <v>0</v>
      </c>
    </row>
    <row r="12" spans="1:15" x14ac:dyDescent="0.25">
      <c r="A12" t="s">
        <v>1498</v>
      </c>
      <c r="B12" t="s">
        <v>418</v>
      </c>
      <c r="C12" t="s">
        <v>418</v>
      </c>
      <c r="D12" t="s">
        <v>418</v>
      </c>
      <c r="E12" t="s">
        <v>418</v>
      </c>
      <c r="F12" t="s">
        <v>418</v>
      </c>
      <c r="G12" t="s">
        <v>418</v>
      </c>
      <c r="H12" t="s">
        <v>418</v>
      </c>
      <c r="I12" t="s">
        <v>418</v>
      </c>
      <c r="J12" t="s">
        <v>418</v>
      </c>
      <c r="K12" t="s">
        <v>418</v>
      </c>
      <c r="L12" t="s">
        <v>418</v>
      </c>
      <c r="M12">
        <v>0</v>
      </c>
      <c r="N12">
        <v>0</v>
      </c>
      <c r="O12">
        <v>0</v>
      </c>
    </row>
    <row r="13" spans="1:15" x14ac:dyDescent="0.25">
      <c r="A13" t="s">
        <v>1499</v>
      </c>
      <c r="B13" t="s">
        <v>418</v>
      </c>
      <c r="C13" t="s">
        <v>418</v>
      </c>
      <c r="D13" t="s">
        <v>418</v>
      </c>
      <c r="E13" t="s">
        <v>418</v>
      </c>
      <c r="F13" t="s">
        <v>418</v>
      </c>
      <c r="G13" t="s">
        <v>418</v>
      </c>
      <c r="H13" t="s">
        <v>418</v>
      </c>
      <c r="I13" t="s">
        <v>418</v>
      </c>
      <c r="J13" t="s">
        <v>418</v>
      </c>
      <c r="K13" t="s">
        <v>418</v>
      </c>
      <c r="L13" t="s">
        <v>418</v>
      </c>
      <c r="M13">
        <v>0</v>
      </c>
      <c r="N13">
        <v>0</v>
      </c>
      <c r="O13">
        <v>0</v>
      </c>
    </row>
    <row r="14" spans="1:15" x14ac:dyDescent="0.25">
      <c r="A14" t="s">
        <v>1500</v>
      </c>
      <c r="B14" s="116">
        <v>94789</v>
      </c>
      <c r="C14" s="116">
        <v>42138</v>
      </c>
      <c r="D14" s="116">
        <v>34704</v>
      </c>
      <c r="E14" s="116">
        <v>17764</v>
      </c>
      <c r="F14" s="116">
        <v>25098</v>
      </c>
      <c r="G14" s="116">
        <v>33244</v>
      </c>
      <c r="H14" s="116">
        <v>38448</v>
      </c>
      <c r="I14" s="116">
        <v>21148</v>
      </c>
      <c r="J14" s="116">
        <v>14623</v>
      </c>
      <c r="K14" s="116">
        <v>8139</v>
      </c>
      <c r="L14" s="116">
        <v>10788</v>
      </c>
      <c r="M14" s="116">
        <v>22239</v>
      </c>
      <c r="N14" s="116">
        <v>4805</v>
      </c>
      <c r="O14">
        <v>27</v>
      </c>
    </row>
    <row r="15" spans="1:15" x14ac:dyDescent="0.25">
      <c r="A15" t="s">
        <v>1501</v>
      </c>
      <c r="B15" s="116">
        <v>102683</v>
      </c>
      <c r="C15" s="116">
        <v>121425</v>
      </c>
      <c r="D15" s="116">
        <v>80798</v>
      </c>
      <c r="E15" s="116">
        <v>61619</v>
      </c>
      <c r="F15" s="116">
        <v>101477</v>
      </c>
      <c r="G15" s="116">
        <v>115001</v>
      </c>
      <c r="H15" s="116">
        <v>209687</v>
      </c>
      <c r="I15" s="116">
        <v>231259</v>
      </c>
      <c r="J15" s="116">
        <v>111584</v>
      </c>
      <c r="K15" s="116">
        <v>73819</v>
      </c>
      <c r="L15" s="116">
        <v>56300</v>
      </c>
      <c r="M15" s="116">
        <v>33162</v>
      </c>
      <c r="N15" s="116">
        <v>28298</v>
      </c>
      <c r="O15" s="116">
        <v>8151</v>
      </c>
    </row>
    <row r="16" spans="1:15" x14ac:dyDescent="0.25">
      <c r="A16" t="s">
        <v>1502</v>
      </c>
      <c r="B16" s="116">
        <v>8073945</v>
      </c>
      <c r="C16" s="116">
        <v>6128110</v>
      </c>
      <c r="D16" s="116">
        <v>4259527</v>
      </c>
      <c r="E16" s="116">
        <v>2675783</v>
      </c>
      <c r="F16" s="116">
        <v>2521012</v>
      </c>
      <c r="G16" s="116">
        <v>3392529</v>
      </c>
      <c r="H16" s="116">
        <v>3978761</v>
      </c>
      <c r="I16" s="116">
        <v>5305111</v>
      </c>
      <c r="J16" s="116">
        <v>5383229</v>
      </c>
      <c r="K16" s="116">
        <v>3814941</v>
      </c>
      <c r="L16" s="116">
        <v>1724742</v>
      </c>
      <c r="M16" s="116">
        <v>1475893</v>
      </c>
      <c r="N16" s="116">
        <v>837527</v>
      </c>
      <c r="O16" s="116">
        <v>604871</v>
      </c>
    </row>
    <row r="17" spans="1:15" x14ac:dyDescent="0.25">
      <c r="A17" t="s">
        <v>1503</v>
      </c>
      <c r="B17" s="116">
        <v>5197176</v>
      </c>
      <c r="C17" s="116">
        <v>3874604</v>
      </c>
      <c r="D17" s="116">
        <v>2512174</v>
      </c>
      <c r="E17" s="116">
        <v>1585744</v>
      </c>
      <c r="F17" s="116">
        <v>1641773</v>
      </c>
      <c r="G17" s="116">
        <v>2034027</v>
      </c>
      <c r="H17" s="116">
        <v>2414368</v>
      </c>
      <c r="I17" s="116">
        <v>3470603</v>
      </c>
      <c r="J17" s="116">
        <v>3757134</v>
      </c>
      <c r="K17" s="116">
        <v>2278903</v>
      </c>
      <c r="L17" s="116">
        <v>1087398</v>
      </c>
      <c r="M17" s="116">
        <v>1119622</v>
      </c>
      <c r="N17" s="116">
        <v>574673</v>
      </c>
      <c r="O17" s="116">
        <v>423577</v>
      </c>
    </row>
    <row r="18" spans="1:15" x14ac:dyDescent="0.25">
      <c r="A18" t="s">
        <v>1504</v>
      </c>
      <c r="B18" t="s">
        <v>418</v>
      </c>
      <c r="C18" t="s">
        <v>418</v>
      </c>
      <c r="D18" t="s">
        <v>418</v>
      </c>
      <c r="E18" t="s">
        <v>418</v>
      </c>
      <c r="F18" t="s">
        <v>418</v>
      </c>
      <c r="G18" t="s">
        <v>418</v>
      </c>
      <c r="H18" t="s">
        <v>418</v>
      </c>
      <c r="I18" t="s">
        <v>418</v>
      </c>
      <c r="J18" t="s">
        <v>418</v>
      </c>
      <c r="K18" t="s">
        <v>418</v>
      </c>
      <c r="L18" t="s">
        <v>418</v>
      </c>
      <c r="M18">
        <v>0</v>
      </c>
      <c r="N18">
        <v>0</v>
      </c>
      <c r="O18">
        <v>0</v>
      </c>
    </row>
    <row r="19" spans="1:15" x14ac:dyDescent="0.25">
      <c r="A19" t="s">
        <v>1505</v>
      </c>
      <c r="B19" t="s">
        <v>418</v>
      </c>
      <c r="C19" t="s">
        <v>418</v>
      </c>
      <c r="D19" t="s">
        <v>418</v>
      </c>
      <c r="E19" t="s">
        <v>418</v>
      </c>
      <c r="F19" t="s">
        <v>418</v>
      </c>
      <c r="G19" t="s">
        <v>418</v>
      </c>
      <c r="H19" t="s">
        <v>418</v>
      </c>
      <c r="I19" t="s">
        <v>418</v>
      </c>
      <c r="J19" t="s">
        <v>418</v>
      </c>
      <c r="K19" t="s">
        <v>418</v>
      </c>
      <c r="L19" t="s">
        <v>418</v>
      </c>
      <c r="M19">
        <v>0</v>
      </c>
      <c r="N19">
        <v>0</v>
      </c>
      <c r="O19">
        <v>0</v>
      </c>
    </row>
    <row r="20" spans="1:15" x14ac:dyDescent="0.25">
      <c r="A20" t="s">
        <v>1506</v>
      </c>
      <c r="B20" t="s">
        <v>418</v>
      </c>
      <c r="C20" t="s">
        <v>418</v>
      </c>
      <c r="D20" t="s">
        <v>418</v>
      </c>
      <c r="E20" t="s">
        <v>418</v>
      </c>
      <c r="F20" t="s">
        <v>418</v>
      </c>
      <c r="G20" t="s">
        <v>418</v>
      </c>
      <c r="H20" t="s">
        <v>418</v>
      </c>
      <c r="I20" t="s">
        <v>418</v>
      </c>
      <c r="J20" t="s">
        <v>418</v>
      </c>
      <c r="K20" t="s">
        <v>418</v>
      </c>
      <c r="L20" t="s">
        <v>418</v>
      </c>
      <c r="M20">
        <v>0</v>
      </c>
      <c r="N20">
        <v>0</v>
      </c>
      <c r="O20">
        <v>0</v>
      </c>
    </row>
    <row r="21" spans="1:15" x14ac:dyDescent="0.25">
      <c r="A21" t="s">
        <v>1507</v>
      </c>
      <c r="B21" t="s">
        <v>418</v>
      </c>
      <c r="C21" t="s">
        <v>418</v>
      </c>
      <c r="D21" t="s">
        <v>418</v>
      </c>
      <c r="E21" t="s">
        <v>418</v>
      </c>
      <c r="F21" t="s">
        <v>418</v>
      </c>
      <c r="G21" t="s">
        <v>418</v>
      </c>
      <c r="H21" t="s">
        <v>418</v>
      </c>
      <c r="I21" t="s">
        <v>418</v>
      </c>
      <c r="J21" t="s">
        <v>418</v>
      </c>
      <c r="K21" t="s">
        <v>418</v>
      </c>
      <c r="L21" t="s">
        <v>418</v>
      </c>
      <c r="M21">
        <v>0</v>
      </c>
      <c r="N21">
        <v>0</v>
      </c>
      <c r="O21">
        <v>0</v>
      </c>
    </row>
    <row r="22" spans="1:15" x14ac:dyDescent="0.25">
      <c r="A22" t="s">
        <v>1508</v>
      </c>
      <c r="B22" t="s">
        <v>418</v>
      </c>
      <c r="C22" t="s">
        <v>418</v>
      </c>
      <c r="D22" t="s">
        <v>418</v>
      </c>
      <c r="E22" t="s">
        <v>418</v>
      </c>
      <c r="F22" t="s">
        <v>418</v>
      </c>
      <c r="G22" t="s">
        <v>418</v>
      </c>
      <c r="H22" t="s">
        <v>418</v>
      </c>
      <c r="I22" t="s">
        <v>418</v>
      </c>
      <c r="J22" t="s">
        <v>418</v>
      </c>
      <c r="K22" t="s">
        <v>418</v>
      </c>
      <c r="L22" t="s">
        <v>418</v>
      </c>
      <c r="M22">
        <v>0</v>
      </c>
      <c r="N22">
        <v>0</v>
      </c>
      <c r="O22">
        <v>0</v>
      </c>
    </row>
    <row r="23" spans="1:15" x14ac:dyDescent="0.25">
      <c r="A23" t="s">
        <v>1509</v>
      </c>
      <c r="B23" s="116">
        <v>537389</v>
      </c>
      <c r="C23" s="116">
        <v>464072</v>
      </c>
      <c r="D23" s="116">
        <v>369293</v>
      </c>
      <c r="E23" s="116">
        <v>300624</v>
      </c>
      <c r="F23" s="116">
        <v>287928</v>
      </c>
      <c r="G23" s="116">
        <v>377454</v>
      </c>
      <c r="H23" s="116">
        <v>390762</v>
      </c>
      <c r="I23" s="116">
        <v>423675</v>
      </c>
      <c r="J23" s="116">
        <v>360786</v>
      </c>
      <c r="K23" s="116">
        <v>220504</v>
      </c>
      <c r="L23" s="116">
        <v>90412</v>
      </c>
      <c r="M23" s="116">
        <v>81417</v>
      </c>
      <c r="N23" s="116">
        <v>55395</v>
      </c>
      <c r="O23" s="116">
        <v>25953</v>
      </c>
    </row>
    <row r="24" spans="1:15" x14ac:dyDescent="0.25">
      <c r="A24" t="s">
        <v>1510</v>
      </c>
      <c r="B24" s="116">
        <v>387904</v>
      </c>
      <c r="C24" s="116">
        <v>272084</v>
      </c>
      <c r="D24" s="116">
        <v>180797</v>
      </c>
      <c r="E24" s="116">
        <v>120773</v>
      </c>
      <c r="F24" s="116">
        <v>106349</v>
      </c>
      <c r="G24" s="116">
        <v>241470</v>
      </c>
      <c r="H24" s="116">
        <v>261859</v>
      </c>
      <c r="I24" s="116">
        <v>334507</v>
      </c>
      <c r="J24" s="116">
        <v>457691</v>
      </c>
      <c r="K24" s="116">
        <v>231516</v>
      </c>
      <c r="L24" s="116">
        <v>93583</v>
      </c>
      <c r="M24" s="116">
        <v>49490</v>
      </c>
      <c r="N24" s="116">
        <v>42648</v>
      </c>
      <c r="O24" s="116">
        <v>33642</v>
      </c>
    </row>
    <row r="25" spans="1:15" x14ac:dyDescent="0.25">
      <c r="A25" t="s">
        <v>1511</v>
      </c>
      <c r="B25" s="116">
        <v>624939</v>
      </c>
      <c r="C25" s="116">
        <v>464660</v>
      </c>
      <c r="D25" s="116">
        <v>340812</v>
      </c>
      <c r="E25" s="116">
        <v>343698</v>
      </c>
      <c r="F25" s="116">
        <v>271364</v>
      </c>
      <c r="G25" s="116">
        <v>616384</v>
      </c>
      <c r="H25" s="116">
        <v>634839</v>
      </c>
      <c r="I25" s="116">
        <v>508151</v>
      </c>
      <c r="J25" s="116">
        <v>579716</v>
      </c>
      <c r="K25" s="116">
        <v>409105</v>
      </c>
      <c r="L25" s="116">
        <v>206235</v>
      </c>
      <c r="M25" s="116">
        <v>161315</v>
      </c>
      <c r="N25" s="116">
        <v>101753</v>
      </c>
      <c r="O25" s="116">
        <v>70697</v>
      </c>
    </row>
    <row r="26" spans="1:15" x14ac:dyDescent="0.25">
      <c r="A26" t="s">
        <v>1512</v>
      </c>
      <c r="B26" s="116">
        <v>6747408</v>
      </c>
      <c r="C26" s="116">
        <v>5075420</v>
      </c>
      <c r="D26" s="116">
        <v>3403077</v>
      </c>
      <c r="E26" s="116">
        <v>2350838</v>
      </c>
      <c r="F26" s="116">
        <v>2307415</v>
      </c>
      <c r="G26" s="116">
        <v>3269335</v>
      </c>
      <c r="H26" s="116">
        <v>3701828</v>
      </c>
      <c r="I26" s="116">
        <v>4736937</v>
      </c>
      <c r="J26" s="116">
        <v>5155326</v>
      </c>
      <c r="K26" s="116">
        <v>3140028</v>
      </c>
      <c r="L26" s="116">
        <v>1477629</v>
      </c>
      <c r="M26" s="116">
        <v>1411843</v>
      </c>
      <c r="N26" s="116">
        <v>774469</v>
      </c>
      <c r="O26" s="116">
        <v>553869</v>
      </c>
    </row>
    <row r="27" spans="1:15" x14ac:dyDescent="0.25">
      <c r="A27" t="s">
        <v>1513</v>
      </c>
      <c r="B27" s="116">
        <v>1326538</v>
      </c>
      <c r="C27" s="116">
        <v>1052690</v>
      </c>
      <c r="D27" s="116">
        <v>856450</v>
      </c>
      <c r="E27" s="116">
        <v>324945</v>
      </c>
      <c r="F27" s="116">
        <v>213598</v>
      </c>
      <c r="G27" s="116">
        <v>123194</v>
      </c>
      <c r="H27" s="116">
        <v>276933</v>
      </c>
      <c r="I27" s="116">
        <v>568174</v>
      </c>
      <c r="J27" s="116">
        <v>227903</v>
      </c>
      <c r="K27" s="116">
        <v>674912</v>
      </c>
      <c r="L27" s="116">
        <v>247113</v>
      </c>
      <c r="M27" s="116">
        <v>64050</v>
      </c>
      <c r="N27" s="116">
        <v>63059</v>
      </c>
      <c r="O27" s="116">
        <v>51002</v>
      </c>
    </row>
    <row r="28" spans="1:15" x14ac:dyDescent="0.25">
      <c r="A28" t="s">
        <v>279</v>
      </c>
    </row>
    <row r="29" spans="1:15" x14ac:dyDescent="0.25">
      <c r="A29" t="s">
        <v>1514</v>
      </c>
      <c r="B29" s="116">
        <v>1425434</v>
      </c>
      <c r="C29" s="116">
        <v>219236</v>
      </c>
      <c r="D29" s="116">
        <v>40200</v>
      </c>
      <c r="E29" s="116">
        <v>1168</v>
      </c>
      <c r="F29" s="116">
        <v>6269</v>
      </c>
      <c r="G29">
        <v>596</v>
      </c>
      <c r="H29">
        <v>227</v>
      </c>
      <c r="I29" s="116">
        <v>7909</v>
      </c>
      <c r="J29">
        <v>973</v>
      </c>
      <c r="K29" s="116">
        <v>13160</v>
      </c>
      <c r="L29">
        <v>125</v>
      </c>
      <c r="M29" s="116">
        <v>36840</v>
      </c>
      <c r="N29" s="116">
        <v>135404</v>
      </c>
      <c r="O29" s="116">
        <v>49857</v>
      </c>
    </row>
    <row r="30" spans="1:15" x14ac:dyDescent="0.25">
      <c r="A30" t="s">
        <v>1515</v>
      </c>
      <c r="B30" s="116">
        <v>75615</v>
      </c>
      <c r="C30" s="116">
        <v>50603</v>
      </c>
      <c r="D30" s="116">
        <v>45034</v>
      </c>
      <c r="E30" s="116">
        <v>21970</v>
      </c>
      <c r="F30" s="116">
        <v>8362</v>
      </c>
      <c r="G30" s="116">
        <v>70721</v>
      </c>
      <c r="H30" s="116">
        <v>55260</v>
      </c>
      <c r="I30" s="116">
        <v>22651</v>
      </c>
      <c r="J30" s="116">
        <v>13108</v>
      </c>
      <c r="K30" s="116">
        <v>2936</v>
      </c>
      <c r="L30" s="116">
        <v>1714</v>
      </c>
      <c r="M30">
        <v>372</v>
      </c>
      <c r="N30">
        <v>320</v>
      </c>
      <c r="O30">
        <v>574</v>
      </c>
    </row>
    <row r="31" spans="1:15" x14ac:dyDescent="0.25">
      <c r="A31" t="s">
        <v>1516</v>
      </c>
      <c r="B31" s="116">
        <v>19747</v>
      </c>
      <c r="C31" s="116">
        <v>37704</v>
      </c>
      <c r="D31" s="116">
        <v>48181</v>
      </c>
      <c r="E31" s="116">
        <v>47996</v>
      </c>
      <c r="F31" s="116">
        <v>38503</v>
      </c>
      <c r="G31" s="116">
        <v>47457</v>
      </c>
      <c r="H31" s="116">
        <v>49936</v>
      </c>
      <c r="I31" s="116">
        <v>35778</v>
      </c>
      <c r="J31" s="116">
        <v>11716</v>
      </c>
      <c r="K31" s="116">
        <v>35382</v>
      </c>
      <c r="L31" s="116">
        <v>13933</v>
      </c>
      <c r="M31" s="116">
        <v>5280</v>
      </c>
      <c r="N31" s="116">
        <v>2574</v>
      </c>
      <c r="O31" s="116">
        <v>1942</v>
      </c>
    </row>
    <row r="32" spans="1:15" x14ac:dyDescent="0.25">
      <c r="A32" t="s">
        <v>1517</v>
      </c>
      <c r="B32" s="116">
        <v>15324</v>
      </c>
      <c r="C32" s="116">
        <v>31068</v>
      </c>
      <c r="D32" s="116">
        <v>204625</v>
      </c>
      <c r="E32" s="116">
        <v>267641</v>
      </c>
      <c r="F32" t="s">
        <v>418</v>
      </c>
      <c r="G32" t="s">
        <v>418</v>
      </c>
      <c r="H32">
        <v>472</v>
      </c>
      <c r="I32">
        <v>146</v>
      </c>
      <c r="J32" t="s">
        <v>418</v>
      </c>
      <c r="K32" t="s">
        <v>418</v>
      </c>
      <c r="L32" t="s">
        <v>418</v>
      </c>
      <c r="M32">
        <v>0</v>
      </c>
      <c r="N32">
        <v>0</v>
      </c>
      <c r="O32" s="116">
        <v>6678</v>
      </c>
    </row>
    <row r="33" spans="1:15" x14ac:dyDescent="0.25">
      <c r="A33" t="s">
        <v>1518</v>
      </c>
      <c r="B33" s="116">
        <v>52115</v>
      </c>
      <c r="C33">
        <v>0</v>
      </c>
      <c r="D33" s="116">
        <v>1401</v>
      </c>
      <c r="E33" s="116">
        <v>17208</v>
      </c>
      <c r="F33" s="116">
        <v>91716</v>
      </c>
      <c r="G33" t="s">
        <v>418</v>
      </c>
      <c r="H33" s="116">
        <v>32430</v>
      </c>
      <c r="I33" s="116">
        <v>73127</v>
      </c>
      <c r="J33" s="116">
        <v>7530</v>
      </c>
      <c r="K33" s="116">
        <v>55008</v>
      </c>
      <c r="L33" t="s">
        <v>418</v>
      </c>
      <c r="M33">
        <v>0</v>
      </c>
      <c r="N33">
        <v>0</v>
      </c>
      <c r="O33">
        <v>0</v>
      </c>
    </row>
    <row r="34" spans="1:15" x14ac:dyDescent="0.25">
      <c r="A34" t="s">
        <v>1519</v>
      </c>
      <c r="B34" t="s">
        <v>418</v>
      </c>
      <c r="C34" t="s">
        <v>418</v>
      </c>
      <c r="D34" t="s">
        <v>418</v>
      </c>
      <c r="E34" t="s">
        <v>418</v>
      </c>
      <c r="F34" t="s">
        <v>418</v>
      </c>
      <c r="G34" t="s">
        <v>418</v>
      </c>
      <c r="H34" t="s">
        <v>418</v>
      </c>
      <c r="I34" t="s">
        <v>418</v>
      </c>
      <c r="J34" t="s">
        <v>418</v>
      </c>
      <c r="K34" t="s">
        <v>418</v>
      </c>
      <c r="L34" t="s">
        <v>418</v>
      </c>
      <c r="M34">
        <v>0</v>
      </c>
      <c r="N34">
        <v>0</v>
      </c>
      <c r="O34">
        <v>0</v>
      </c>
    </row>
    <row r="35" spans="1:15" x14ac:dyDescent="0.25">
      <c r="A35" t="s">
        <v>1520</v>
      </c>
      <c r="B35" s="116">
        <v>1588235</v>
      </c>
      <c r="C35" s="116">
        <v>338611</v>
      </c>
      <c r="D35" s="116">
        <v>339440</v>
      </c>
      <c r="E35" s="116">
        <v>355983</v>
      </c>
      <c r="F35" s="116">
        <v>144849</v>
      </c>
      <c r="G35" s="116">
        <v>118774</v>
      </c>
      <c r="H35" s="116">
        <v>138325</v>
      </c>
      <c r="I35" s="116">
        <v>139611</v>
      </c>
      <c r="J35" s="116">
        <v>33326</v>
      </c>
      <c r="K35" s="116">
        <v>106486</v>
      </c>
      <c r="L35" s="116">
        <v>15772</v>
      </c>
      <c r="M35" s="116">
        <v>42492</v>
      </c>
      <c r="N35" s="116">
        <v>138298</v>
      </c>
      <c r="O35" s="116">
        <v>59052</v>
      </c>
    </row>
    <row r="36" spans="1:15" x14ac:dyDescent="0.25">
      <c r="A36" t="s">
        <v>1521</v>
      </c>
      <c r="B36" s="116">
        <v>235463</v>
      </c>
      <c r="C36" s="116">
        <v>138022</v>
      </c>
      <c r="D36" s="116">
        <v>51533</v>
      </c>
      <c r="E36" s="116">
        <v>70495</v>
      </c>
      <c r="F36" s="116">
        <v>151377</v>
      </c>
      <c r="G36" s="116">
        <v>155105</v>
      </c>
      <c r="H36" s="116">
        <v>220190</v>
      </c>
      <c r="I36" s="116">
        <v>479205</v>
      </c>
      <c r="J36" s="116">
        <v>713557</v>
      </c>
      <c r="K36" s="116">
        <v>442618</v>
      </c>
      <c r="L36" s="116">
        <v>114475</v>
      </c>
      <c r="M36" s="116">
        <v>119581</v>
      </c>
      <c r="N36" s="116">
        <v>69987</v>
      </c>
      <c r="O36" s="116">
        <v>18152</v>
      </c>
    </row>
    <row r="37" spans="1:15" x14ac:dyDescent="0.25">
      <c r="A37" t="s">
        <v>1522</v>
      </c>
      <c r="B37" s="116">
        <v>2429762</v>
      </c>
      <c r="C37" s="116">
        <v>1247775</v>
      </c>
      <c r="D37" s="116">
        <v>166008</v>
      </c>
      <c r="E37" s="116">
        <v>59239</v>
      </c>
      <c r="F37" s="116">
        <v>16378</v>
      </c>
      <c r="G37" s="116">
        <v>144268</v>
      </c>
      <c r="H37" s="116">
        <v>100700</v>
      </c>
      <c r="I37" s="116">
        <v>44020</v>
      </c>
      <c r="J37" s="116">
        <v>14533</v>
      </c>
      <c r="K37" s="116">
        <v>18556</v>
      </c>
      <c r="L37" s="116">
        <v>11692</v>
      </c>
      <c r="M37" s="116">
        <v>19684</v>
      </c>
      <c r="N37" s="116">
        <v>114040</v>
      </c>
      <c r="O37" s="116">
        <v>56487</v>
      </c>
    </row>
    <row r="38" spans="1:15" x14ac:dyDescent="0.25">
      <c r="A38" t="s">
        <v>1523</v>
      </c>
      <c r="B38" t="s">
        <v>418</v>
      </c>
      <c r="C38" t="s">
        <v>418</v>
      </c>
      <c r="D38" t="s">
        <v>418</v>
      </c>
      <c r="E38" t="s">
        <v>418</v>
      </c>
      <c r="F38" t="s">
        <v>418</v>
      </c>
      <c r="G38" t="s">
        <v>418</v>
      </c>
      <c r="H38" t="s">
        <v>418</v>
      </c>
      <c r="I38" t="s">
        <v>418</v>
      </c>
      <c r="J38" t="s">
        <v>418</v>
      </c>
      <c r="K38" t="s">
        <v>418</v>
      </c>
      <c r="L38" t="s">
        <v>418</v>
      </c>
      <c r="M38">
        <v>0</v>
      </c>
      <c r="N38">
        <v>0</v>
      </c>
      <c r="O38">
        <v>0</v>
      </c>
    </row>
    <row r="39" spans="1:15" x14ac:dyDescent="0.25">
      <c r="A39" t="s">
        <v>1524</v>
      </c>
      <c r="B39" t="s">
        <v>418</v>
      </c>
      <c r="C39" t="s">
        <v>418</v>
      </c>
      <c r="D39">
        <v>89</v>
      </c>
      <c r="E39" t="s">
        <v>418</v>
      </c>
      <c r="F39" t="s">
        <v>418</v>
      </c>
      <c r="G39" t="s">
        <v>418</v>
      </c>
      <c r="H39" t="s">
        <v>418</v>
      </c>
      <c r="I39" s="116">
        <v>264553</v>
      </c>
      <c r="J39" s="116">
        <v>5938</v>
      </c>
      <c r="K39" s="116">
        <v>228016</v>
      </c>
      <c r="L39" t="s">
        <v>418</v>
      </c>
      <c r="M39">
        <v>0</v>
      </c>
      <c r="N39" s="116">
        <v>80000</v>
      </c>
      <c r="O39" s="116">
        <v>2113</v>
      </c>
    </row>
    <row r="40" spans="1:15" x14ac:dyDescent="0.25">
      <c r="A40" t="s">
        <v>1525</v>
      </c>
      <c r="B40" s="116">
        <v>121098</v>
      </c>
      <c r="C40" s="116">
        <v>29328</v>
      </c>
      <c r="D40" t="s">
        <v>418</v>
      </c>
      <c r="E40" t="s">
        <v>418</v>
      </c>
      <c r="F40" t="s">
        <v>418</v>
      </c>
      <c r="G40" s="116">
        <v>44853</v>
      </c>
      <c r="H40" t="s">
        <v>418</v>
      </c>
      <c r="I40" t="s">
        <v>418</v>
      </c>
      <c r="J40" s="116">
        <v>93317</v>
      </c>
      <c r="K40" s="116">
        <v>94710</v>
      </c>
      <c r="L40" t="s">
        <v>418</v>
      </c>
      <c r="M40">
        <v>0</v>
      </c>
      <c r="N40">
        <v>400</v>
      </c>
      <c r="O40">
        <v>0</v>
      </c>
    </row>
    <row r="41" spans="1:15" x14ac:dyDescent="0.25">
      <c r="A41" t="s">
        <v>1526</v>
      </c>
      <c r="B41" t="s">
        <v>418</v>
      </c>
      <c r="C41" t="s">
        <v>418</v>
      </c>
      <c r="D41" t="s">
        <v>418</v>
      </c>
      <c r="E41" t="s">
        <v>418</v>
      </c>
      <c r="F41" t="s">
        <v>418</v>
      </c>
      <c r="G41" t="s">
        <v>418</v>
      </c>
      <c r="H41" t="s">
        <v>418</v>
      </c>
      <c r="I41" t="s">
        <v>418</v>
      </c>
      <c r="J41" t="s">
        <v>418</v>
      </c>
      <c r="K41" t="s">
        <v>418</v>
      </c>
      <c r="L41" t="s">
        <v>418</v>
      </c>
      <c r="M41">
        <v>0</v>
      </c>
      <c r="N41">
        <v>0</v>
      </c>
      <c r="O41">
        <v>0</v>
      </c>
    </row>
    <row r="42" spans="1:15" x14ac:dyDescent="0.25">
      <c r="A42" t="s">
        <v>1527</v>
      </c>
      <c r="B42" s="116">
        <v>2786323</v>
      </c>
      <c r="C42" s="116">
        <v>1415126</v>
      </c>
      <c r="D42" s="116">
        <v>217630</v>
      </c>
      <c r="E42" s="116">
        <v>129734</v>
      </c>
      <c r="F42" s="116">
        <v>167755</v>
      </c>
      <c r="G42" s="116">
        <v>344226</v>
      </c>
      <c r="H42" s="116">
        <v>320890</v>
      </c>
      <c r="I42" s="116">
        <v>787778</v>
      </c>
      <c r="J42" s="116">
        <v>827346</v>
      </c>
      <c r="K42" s="116">
        <v>783899</v>
      </c>
      <c r="L42" s="116">
        <v>126166</v>
      </c>
      <c r="M42" s="116">
        <v>139265</v>
      </c>
      <c r="N42" s="116">
        <v>264427</v>
      </c>
      <c r="O42" s="116">
        <v>76752</v>
      </c>
    </row>
    <row r="43" spans="1:15" x14ac:dyDescent="0.25">
      <c r="A43" t="s">
        <v>1528</v>
      </c>
      <c r="B43" s="116">
        <v>-1198088</v>
      </c>
      <c r="C43" s="116">
        <v>-1076515</v>
      </c>
      <c r="D43" s="116">
        <v>121810</v>
      </c>
      <c r="E43" s="116">
        <v>226250</v>
      </c>
      <c r="F43" s="116">
        <v>-22905</v>
      </c>
      <c r="G43" s="116">
        <v>-225452</v>
      </c>
      <c r="H43" s="116">
        <v>-182565</v>
      </c>
      <c r="I43" s="116">
        <v>-648167</v>
      </c>
      <c r="J43" s="116">
        <v>-794019</v>
      </c>
      <c r="K43" s="116">
        <v>-677414</v>
      </c>
      <c r="L43" s="116">
        <v>-110395</v>
      </c>
      <c r="M43" s="116">
        <v>-96773</v>
      </c>
      <c r="N43" s="116">
        <v>-126128</v>
      </c>
      <c r="O43" s="116">
        <v>-17701</v>
      </c>
    </row>
    <row r="44" spans="1:15" x14ac:dyDescent="0.25">
      <c r="A44" t="s">
        <v>280</v>
      </c>
    </row>
    <row r="45" spans="1:15" x14ac:dyDescent="0.25">
      <c r="A45" t="s">
        <v>1529</v>
      </c>
      <c r="B45" s="116">
        <v>42774</v>
      </c>
      <c r="C45" s="116">
        <v>53773</v>
      </c>
      <c r="D45" s="116">
        <v>4311</v>
      </c>
      <c r="E45" s="116">
        <v>13276</v>
      </c>
      <c r="F45">
        <v>530</v>
      </c>
      <c r="G45" s="116">
        <v>93981</v>
      </c>
      <c r="H45" s="116">
        <v>17987</v>
      </c>
      <c r="I45" s="116">
        <v>30947</v>
      </c>
      <c r="J45">
        <v>300</v>
      </c>
      <c r="K45" s="116">
        <v>11994</v>
      </c>
      <c r="L45">
        <v>300</v>
      </c>
      <c r="M45">
        <v>36</v>
      </c>
      <c r="N45" s="116">
        <v>106624</v>
      </c>
      <c r="O45" s="116">
        <v>10597</v>
      </c>
    </row>
    <row r="46" spans="1:15" x14ac:dyDescent="0.25">
      <c r="A46" t="s">
        <v>1530</v>
      </c>
      <c r="B46" s="116">
        <v>3253</v>
      </c>
      <c r="C46" s="116">
        <v>1043</v>
      </c>
      <c r="D46" t="s">
        <v>418</v>
      </c>
      <c r="E46" t="s">
        <v>418</v>
      </c>
      <c r="F46">
        <v>530</v>
      </c>
      <c r="G46" s="116">
        <v>93981</v>
      </c>
      <c r="H46" s="116">
        <v>17987</v>
      </c>
      <c r="I46" s="116">
        <v>30947</v>
      </c>
      <c r="J46" t="s">
        <v>418</v>
      </c>
      <c r="K46" t="s">
        <v>418</v>
      </c>
      <c r="L46" t="s">
        <v>418</v>
      </c>
      <c r="M46">
        <v>0</v>
      </c>
      <c r="N46" s="116">
        <v>3500</v>
      </c>
      <c r="O46" s="116">
        <v>10597</v>
      </c>
    </row>
    <row r="47" spans="1:15" x14ac:dyDescent="0.25">
      <c r="A47" t="s">
        <v>1531</v>
      </c>
      <c r="B47" s="116">
        <v>1574974</v>
      </c>
      <c r="C47" s="116">
        <v>952691</v>
      </c>
      <c r="D47" s="116">
        <v>654051</v>
      </c>
      <c r="E47" s="116">
        <v>1727124</v>
      </c>
      <c r="F47" s="116">
        <v>2421847</v>
      </c>
      <c r="G47" s="116">
        <v>1336659</v>
      </c>
      <c r="H47" s="116">
        <v>2370108</v>
      </c>
      <c r="I47" s="116">
        <v>3285069</v>
      </c>
      <c r="J47" s="116">
        <v>2479380</v>
      </c>
      <c r="K47" s="116">
        <v>687451</v>
      </c>
      <c r="L47" s="116">
        <v>218706</v>
      </c>
      <c r="M47" s="116">
        <v>359681</v>
      </c>
      <c r="N47" s="116">
        <v>421164</v>
      </c>
      <c r="O47" s="116">
        <v>222041</v>
      </c>
    </row>
    <row r="48" spans="1:15" x14ac:dyDescent="0.25">
      <c r="A48" t="s">
        <v>1532</v>
      </c>
      <c r="B48" t="s">
        <v>418</v>
      </c>
      <c r="C48" t="s">
        <v>418</v>
      </c>
      <c r="D48" t="s">
        <v>418</v>
      </c>
      <c r="E48" s="116">
        <v>445500</v>
      </c>
      <c r="F48" t="s">
        <v>418</v>
      </c>
      <c r="G48" t="s">
        <v>418</v>
      </c>
      <c r="H48" t="s">
        <v>418</v>
      </c>
      <c r="I48" t="s">
        <v>418</v>
      </c>
      <c r="J48" t="s">
        <v>418</v>
      </c>
      <c r="K48" t="s">
        <v>418</v>
      </c>
      <c r="L48" t="s">
        <v>418</v>
      </c>
      <c r="M48">
        <v>0</v>
      </c>
      <c r="N48" s="116">
        <v>49357</v>
      </c>
      <c r="O48">
        <v>0</v>
      </c>
    </row>
    <row r="49" spans="1:15" x14ac:dyDescent="0.25">
      <c r="A49" t="s">
        <v>1533</v>
      </c>
      <c r="B49" s="116">
        <v>98853</v>
      </c>
      <c r="C49" s="116">
        <v>44210</v>
      </c>
      <c r="D49" t="s">
        <v>418</v>
      </c>
      <c r="E49" t="s">
        <v>418</v>
      </c>
      <c r="F49" t="s">
        <v>418</v>
      </c>
      <c r="G49" t="s">
        <v>418</v>
      </c>
      <c r="H49" t="s">
        <v>418</v>
      </c>
      <c r="I49" s="116">
        <v>90000</v>
      </c>
      <c r="J49" t="s">
        <v>418</v>
      </c>
      <c r="K49" t="s">
        <v>418</v>
      </c>
      <c r="L49" t="s">
        <v>418</v>
      </c>
      <c r="M49">
        <v>0</v>
      </c>
      <c r="N49">
        <v>0</v>
      </c>
      <c r="O49" s="116">
        <v>3000</v>
      </c>
    </row>
    <row r="50" spans="1:15" x14ac:dyDescent="0.25">
      <c r="A50" t="s">
        <v>1534</v>
      </c>
      <c r="B50" s="116">
        <v>1716602</v>
      </c>
      <c r="C50" s="116">
        <v>1050674</v>
      </c>
      <c r="D50" s="116">
        <v>658362</v>
      </c>
      <c r="E50" s="116">
        <v>2185900</v>
      </c>
      <c r="F50" s="116">
        <v>2422377</v>
      </c>
      <c r="G50" s="116">
        <v>1430640</v>
      </c>
      <c r="H50" s="116">
        <v>2388095</v>
      </c>
      <c r="I50" s="116">
        <v>3406016</v>
      </c>
      <c r="J50" s="116">
        <v>2479680</v>
      </c>
      <c r="K50" s="116">
        <v>699445</v>
      </c>
      <c r="L50" s="116">
        <v>219006</v>
      </c>
      <c r="M50" s="116">
        <v>359717</v>
      </c>
      <c r="N50" s="116">
        <v>577145</v>
      </c>
      <c r="O50" s="116">
        <v>235638</v>
      </c>
    </row>
    <row r="51" spans="1:15" x14ac:dyDescent="0.25">
      <c r="A51" t="s">
        <v>1535</v>
      </c>
      <c r="B51" s="116">
        <v>1399394</v>
      </c>
      <c r="C51" s="116">
        <v>794265</v>
      </c>
      <c r="D51" s="116">
        <v>1869893</v>
      </c>
      <c r="E51" s="116">
        <v>2453048</v>
      </c>
      <c r="F51" s="116">
        <v>2317627</v>
      </c>
      <c r="G51" s="116">
        <v>1142914</v>
      </c>
      <c r="H51" s="116">
        <v>2332114</v>
      </c>
      <c r="I51" s="116">
        <v>2906024</v>
      </c>
      <c r="J51" s="116">
        <v>1403429</v>
      </c>
      <c r="K51" s="116">
        <v>345147</v>
      </c>
      <c r="L51" s="116">
        <v>299899</v>
      </c>
      <c r="M51" s="116">
        <v>247483</v>
      </c>
      <c r="N51" s="116">
        <v>341955</v>
      </c>
      <c r="O51" s="116">
        <v>213498</v>
      </c>
    </row>
    <row r="52" spans="1:15" x14ac:dyDescent="0.25">
      <c r="A52" t="s">
        <v>1536</v>
      </c>
      <c r="B52" s="116">
        <v>288328</v>
      </c>
      <c r="C52" s="116">
        <v>173281</v>
      </c>
      <c r="D52" s="116">
        <v>75906</v>
      </c>
      <c r="E52" s="116">
        <v>97749</v>
      </c>
      <c r="F52" s="116">
        <v>124599</v>
      </c>
      <c r="G52" s="116">
        <v>260432</v>
      </c>
      <c r="H52" s="116">
        <v>314193</v>
      </c>
      <c r="I52" s="116">
        <v>407127</v>
      </c>
      <c r="J52" s="116">
        <v>165711</v>
      </c>
      <c r="K52" s="116">
        <v>141306</v>
      </c>
      <c r="L52" s="116">
        <v>39943</v>
      </c>
      <c r="M52" s="116">
        <v>43326</v>
      </c>
      <c r="N52" s="116">
        <v>27644</v>
      </c>
      <c r="O52" s="116">
        <v>10996</v>
      </c>
    </row>
    <row r="53" spans="1:15" x14ac:dyDescent="0.25">
      <c r="A53" t="s">
        <v>1537</v>
      </c>
      <c r="B53" s="116">
        <v>12713</v>
      </c>
      <c r="C53" s="116">
        <v>5095</v>
      </c>
      <c r="D53" s="116">
        <v>1350</v>
      </c>
      <c r="E53" s="116">
        <v>5356</v>
      </c>
      <c r="F53" t="s">
        <v>418</v>
      </c>
      <c r="G53" s="116">
        <v>63897</v>
      </c>
      <c r="H53" t="s">
        <v>418</v>
      </c>
      <c r="I53" t="s">
        <v>418</v>
      </c>
      <c r="J53" t="s">
        <v>418</v>
      </c>
      <c r="K53" t="s">
        <v>418</v>
      </c>
      <c r="L53" t="s">
        <v>418</v>
      </c>
      <c r="M53">
        <v>0</v>
      </c>
      <c r="N53" s="116">
        <v>4896</v>
      </c>
      <c r="O53">
        <v>0</v>
      </c>
    </row>
    <row r="54" spans="1:15" x14ac:dyDescent="0.25">
      <c r="A54" t="s">
        <v>1538</v>
      </c>
      <c r="B54" s="116">
        <v>143953</v>
      </c>
      <c r="C54">
        <v>434</v>
      </c>
      <c r="D54" s="116">
        <v>21018</v>
      </c>
      <c r="E54" s="116">
        <v>101215</v>
      </c>
      <c r="F54" t="s">
        <v>418</v>
      </c>
      <c r="G54" s="116">
        <v>1196</v>
      </c>
      <c r="H54" s="116">
        <v>124314</v>
      </c>
      <c r="I54" s="116">
        <v>5865</v>
      </c>
      <c r="J54" s="116">
        <v>10371</v>
      </c>
      <c r="K54" s="116">
        <v>131110</v>
      </c>
      <c r="L54" t="s">
        <v>418</v>
      </c>
      <c r="M54">
        <v>0</v>
      </c>
      <c r="N54" s="116">
        <v>1948</v>
      </c>
      <c r="O54">
        <v>0</v>
      </c>
    </row>
    <row r="55" spans="1:15" x14ac:dyDescent="0.25">
      <c r="A55" t="s">
        <v>1539</v>
      </c>
      <c r="B55" s="116">
        <v>1831675</v>
      </c>
      <c r="C55" s="116">
        <v>967981</v>
      </c>
      <c r="D55" s="116">
        <v>1966817</v>
      </c>
      <c r="E55" s="116">
        <v>2652011</v>
      </c>
      <c r="F55" s="116">
        <v>2442226</v>
      </c>
      <c r="G55" s="116">
        <v>1404542</v>
      </c>
      <c r="H55" s="116">
        <v>2770622</v>
      </c>
      <c r="I55" s="116">
        <v>3319017</v>
      </c>
      <c r="J55" s="116">
        <v>1579512</v>
      </c>
      <c r="K55" s="116">
        <v>617563</v>
      </c>
      <c r="L55" s="116">
        <v>339842</v>
      </c>
      <c r="M55" s="116">
        <v>290808</v>
      </c>
      <c r="N55" s="116">
        <v>371547</v>
      </c>
      <c r="O55" s="116">
        <v>224494</v>
      </c>
    </row>
    <row r="56" spans="1:15" x14ac:dyDescent="0.25">
      <c r="A56" t="s">
        <v>1540</v>
      </c>
      <c r="B56" s="116">
        <v>-115073</v>
      </c>
      <c r="C56" s="116">
        <v>82693</v>
      </c>
      <c r="D56" s="116">
        <v>-1308455</v>
      </c>
      <c r="E56" s="116">
        <v>-466112</v>
      </c>
      <c r="F56" s="116">
        <v>-19849</v>
      </c>
      <c r="G56" s="116">
        <v>26098</v>
      </c>
      <c r="H56" s="116">
        <v>-382526</v>
      </c>
      <c r="I56" s="116">
        <v>86999</v>
      </c>
      <c r="J56" s="116">
        <v>900168</v>
      </c>
      <c r="K56" s="116">
        <v>81882</v>
      </c>
      <c r="L56" s="116">
        <v>-120836</v>
      </c>
      <c r="M56" s="116">
        <v>68908</v>
      </c>
      <c r="N56" s="116">
        <v>205599</v>
      </c>
      <c r="O56" s="116">
        <v>11144</v>
      </c>
    </row>
    <row r="57" spans="1:15" x14ac:dyDescent="0.25">
      <c r="A57" t="s">
        <v>1541</v>
      </c>
    </row>
    <row r="58" spans="1:15" x14ac:dyDescent="0.25">
      <c r="A58" t="s">
        <v>1542</v>
      </c>
      <c r="B58">
        <v>-318</v>
      </c>
      <c r="C58">
        <v>643</v>
      </c>
      <c r="D58" s="116">
        <v>-2246</v>
      </c>
      <c r="E58" s="116">
        <v>-10771</v>
      </c>
      <c r="F58">
        <v>33</v>
      </c>
      <c r="G58" s="116">
        <v>-1796</v>
      </c>
      <c r="H58" s="116">
        <v>-4493</v>
      </c>
      <c r="I58" s="116">
        <v>-1242</v>
      </c>
      <c r="J58">
        <v>291</v>
      </c>
      <c r="K58" s="116">
        <v>-1027</v>
      </c>
      <c r="L58" s="116">
        <v>-1945</v>
      </c>
      <c r="M58" s="116">
        <v>-2974</v>
      </c>
      <c r="N58" s="116">
        <v>-1973</v>
      </c>
      <c r="O58">
        <v>0</v>
      </c>
    </row>
    <row r="59" spans="1:15" x14ac:dyDescent="0.25">
      <c r="A59" t="s">
        <v>281</v>
      </c>
    </row>
    <row r="60" spans="1:15" x14ac:dyDescent="0.25">
      <c r="A60" t="s">
        <v>1543</v>
      </c>
      <c r="B60" s="116">
        <v>13059</v>
      </c>
      <c r="C60" s="116">
        <v>59511</v>
      </c>
      <c r="D60" s="116">
        <v>-332441</v>
      </c>
      <c r="E60" s="116">
        <v>74312</v>
      </c>
      <c r="F60" s="116">
        <v>170876</v>
      </c>
      <c r="G60" s="116">
        <v>-77955</v>
      </c>
      <c r="H60" s="116">
        <v>-292651</v>
      </c>
      <c r="I60" s="116">
        <v>5764</v>
      </c>
      <c r="J60" s="116">
        <v>334342</v>
      </c>
      <c r="K60" s="116">
        <v>78354</v>
      </c>
      <c r="L60" s="116">
        <v>13937</v>
      </c>
      <c r="M60" s="116">
        <v>33211</v>
      </c>
      <c r="N60" s="116">
        <v>140557</v>
      </c>
      <c r="O60" s="116">
        <v>44446</v>
      </c>
    </row>
    <row r="61" spans="1:15" x14ac:dyDescent="0.25">
      <c r="A61" t="s">
        <v>1544</v>
      </c>
      <c r="B61" s="116">
        <v>432089</v>
      </c>
      <c r="C61" s="116">
        <v>372578</v>
      </c>
      <c r="D61" s="116">
        <v>705019</v>
      </c>
      <c r="E61" s="116">
        <v>630707</v>
      </c>
      <c r="F61" s="116">
        <v>456815</v>
      </c>
      <c r="G61" s="116">
        <v>534771</v>
      </c>
      <c r="H61" s="116">
        <v>827422</v>
      </c>
      <c r="I61" s="116">
        <v>821658</v>
      </c>
      <c r="J61" s="116">
        <v>487315</v>
      </c>
      <c r="K61" s="116">
        <v>408961</v>
      </c>
      <c r="L61" s="116">
        <v>293756</v>
      </c>
      <c r="M61" s="116">
        <v>260545</v>
      </c>
      <c r="N61" s="116">
        <v>119989</v>
      </c>
      <c r="O61" s="116">
        <v>75543</v>
      </c>
    </row>
    <row r="62" spans="1:15" x14ac:dyDescent="0.25">
      <c r="A62" t="s">
        <v>1545</v>
      </c>
      <c r="B62" s="116">
        <v>445148</v>
      </c>
      <c r="C62" s="116">
        <v>432089</v>
      </c>
      <c r="D62" s="116">
        <v>372578</v>
      </c>
      <c r="E62" s="116">
        <v>705019</v>
      </c>
      <c r="F62" s="116">
        <v>627692</v>
      </c>
      <c r="G62" s="116">
        <v>456815</v>
      </c>
      <c r="H62" s="116">
        <v>534771</v>
      </c>
      <c r="I62" s="116">
        <v>827422</v>
      </c>
      <c r="J62" s="116">
        <v>821658</v>
      </c>
      <c r="K62" s="116">
        <v>487315</v>
      </c>
      <c r="L62" s="116">
        <v>307693</v>
      </c>
      <c r="M62" s="116">
        <v>293756</v>
      </c>
      <c r="N62" s="116">
        <v>260545</v>
      </c>
      <c r="O62" s="116">
        <v>119989</v>
      </c>
    </row>
    <row r="63" spans="1:15" x14ac:dyDescent="0.25">
      <c r="A63" t="s">
        <v>1546</v>
      </c>
    </row>
    <row r="64" spans="1:15" x14ac:dyDescent="0.25">
      <c r="A64" t="s">
        <v>1547</v>
      </c>
    </row>
    <row r="65" spans="1:15" x14ac:dyDescent="0.25">
      <c r="A65" t="s">
        <v>1479</v>
      </c>
      <c r="B65" s="116">
        <v>1149445</v>
      </c>
      <c r="C65" s="116">
        <v>630349</v>
      </c>
      <c r="D65" s="116">
        <v>222709</v>
      </c>
      <c r="E65" s="116">
        <v>16380</v>
      </c>
      <c r="F65" s="116">
        <v>13815</v>
      </c>
      <c r="G65" s="116">
        <v>75597</v>
      </c>
      <c r="H65" s="116">
        <v>309485</v>
      </c>
      <c r="I65" s="116">
        <v>601068</v>
      </c>
      <c r="J65" s="116">
        <v>936155</v>
      </c>
      <c r="K65" s="116">
        <v>616403</v>
      </c>
      <c r="L65" s="116">
        <v>236996</v>
      </c>
      <c r="M65" s="116">
        <v>147441</v>
      </c>
      <c r="N65" s="116">
        <v>190579</v>
      </c>
      <c r="O65" s="116">
        <v>74120</v>
      </c>
    </row>
    <row r="66" spans="1:15" x14ac:dyDescent="0.25">
      <c r="A66" t="s">
        <v>1482</v>
      </c>
      <c r="B66" t="s">
        <v>418</v>
      </c>
      <c r="C66" t="s">
        <v>418</v>
      </c>
      <c r="D66" t="s">
        <v>418</v>
      </c>
      <c r="E66" t="s">
        <v>418</v>
      </c>
      <c r="F66" t="s">
        <v>418</v>
      </c>
      <c r="G66" t="s">
        <v>418</v>
      </c>
      <c r="H66" t="s">
        <v>418</v>
      </c>
      <c r="I66" t="s">
        <v>418</v>
      </c>
      <c r="J66" t="s">
        <v>418</v>
      </c>
      <c r="K66" t="s">
        <v>418</v>
      </c>
      <c r="L66" t="s">
        <v>418</v>
      </c>
      <c r="M66">
        <v>0</v>
      </c>
      <c r="N66">
        <v>0</v>
      </c>
      <c r="O66">
        <v>0</v>
      </c>
    </row>
    <row r="67" spans="1:15" x14ac:dyDescent="0.25">
      <c r="A67" t="s">
        <v>1548</v>
      </c>
      <c r="B67" t="s">
        <v>418</v>
      </c>
      <c r="C67" t="s">
        <v>418</v>
      </c>
      <c r="D67" t="s">
        <v>418</v>
      </c>
      <c r="E67" t="s">
        <v>418</v>
      </c>
      <c r="F67" t="s">
        <v>418</v>
      </c>
      <c r="G67" t="s">
        <v>418</v>
      </c>
      <c r="H67" t="s">
        <v>418</v>
      </c>
      <c r="I67" t="s">
        <v>418</v>
      </c>
      <c r="J67" t="s">
        <v>418</v>
      </c>
      <c r="K67" t="s">
        <v>418</v>
      </c>
      <c r="L67" t="s">
        <v>418</v>
      </c>
      <c r="M67">
        <v>0</v>
      </c>
      <c r="N67">
        <v>0</v>
      </c>
      <c r="O67">
        <v>0</v>
      </c>
    </row>
    <row r="68" spans="1:15" x14ac:dyDescent="0.25">
      <c r="A68" t="s">
        <v>1549</v>
      </c>
      <c r="B68" s="116">
        <v>24904</v>
      </c>
      <c r="C68">
        <v>-752</v>
      </c>
      <c r="D68" s="116">
        <v>90311</v>
      </c>
      <c r="E68" s="116">
        <v>20359</v>
      </c>
      <c r="F68" s="116">
        <v>43571</v>
      </c>
      <c r="G68" s="116">
        <v>58165</v>
      </c>
      <c r="H68" s="116">
        <v>33830</v>
      </c>
      <c r="I68" s="116">
        <v>-19491</v>
      </c>
      <c r="J68" s="116">
        <v>28880</v>
      </c>
      <c r="K68" s="116">
        <v>12692</v>
      </c>
      <c r="L68" s="116">
        <v>7232</v>
      </c>
      <c r="M68" s="116">
        <v>8424</v>
      </c>
      <c r="N68" s="116">
        <v>8100</v>
      </c>
      <c r="O68" s="116">
        <v>3990</v>
      </c>
    </row>
    <row r="69" spans="1:15" x14ac:dyDescent="0.25">
      <c r="A69" t="s">
        <v>1550</v>
      </c>
      <c r="B69" s="116">
        <v>165443</v>
      </c>
      <c r="C69" s="116">
        <v>153606</v>
      </c>
      <c r="D69" s="116">
        <v>157481</v>
      </c>
      <c r="E69" s="116">
        <v>170060</v>
      </c>
      <c r="F69" s="116">
        <v>152229</v>
      </c>
      <c r="G69" s="116">
        <v>148427</v>
      </c>
      <c r="H69" s="116">
        <v>129228</v>
      </c>
      <c r="I69" s="116">
        <v>108327</v>
      </c>
      <c r="J69" s="116">
        <v>66838</v>
      </c>
      <c r="K69" s="116">
        <v>48544</v>
      </c>
      <c r="L69" s="116">
        <v>26761</v>
      </c>
      <c r="M69" s="116">
        <v>18734</v>
      </c>
      <c r="N69" s="116">
        <v>13952</v>
      </c>
      <c r="O69" s="116">
        <v>10768</v>
      </c>
    </row>
    <row r="70" spans="1:15" x14ac:dyDescent="0.25">
      <c r="A70" t="s">
        <v>1551</v>
      </c>
      <c r="B70" s="116">
        <v>35534</v>
      </c>
      <c r="C70" s="116">
        <v>37820</v>
      </c>
      <c r="D70" s="116">
        <v>33865</v>
      </c>
      <c r="E70" s="116">
        <v>39437</v>
      </c>
      <c r="F70" s="116">
        <v>25522</v>
      </c>
      <c r="G70" s="116">
        <v>24596</v>
      </c>
      <c r="H70" s="116">
        <v>21808</v>
      </c>
      <c r="I70" s="116">
        <v>15008</v>
      </c>
      <c r="J70" s="116">
        <v>5006</v>
      </c>
      <c r="K70" s="116">
        <v>3688</v>
      </c>
      <c r="L70" s="116">
        <v>1776</v>
      </c>
      <c r="M70" s="116">
        <v>1562</v>
      </c>
      <c r="N70" s="116">
        <v>1056</v>
      </c>
      <c r="O70">
        <v>312</v>
      </c>
    </row>
    <row r="71" spans="1:15" x14ac:dyDescent="0.25">
      <c r="A71" t="s">
        <v>1552</v>
      </c>
      <c r="B71" s="116">
        <v>1052</v>
      </c>
      <c r="C71" s="116">
        <v>1792</v>
      </c>
      <c r="D71" t="s">
        <v>418</v>
      </c>
      <c r="E71">
        <v>278</v>
      </c>
      <c r="F71">
        <v>34</v>
      </c>
      <c r="G71" t="s">
        <v>418</v>
      </c>
      <c r="H71" t="s">
        <v>418</v>
      </c>
      <c r="I71" t="s">
        <v>418</v>
      </c>
      <c r="J71">
        <v>500</v>
      </c>
      <c r="K71">
        <v>145</v>
      </c>
      <c r="L71">
        <v>149</v>
      </c>
      <c r="M71">
        <v>118</v>
      </c>
      <c r="N71">
        <v>80</v>
      </c>
      <c r="O71">
        <v>10</v>
      </c>
    </row>
    <row r="72" spans="1:15" x14ac:dyDescent="0.25">
      <c r="A72" t="s">
        <v>1553</v>
      </c>
      <c r="B72" t="s">
        <v>418</v>
      </c>
      <c r="C72" t="s">
        <v>418</v>
      </c>
      <c r="D72" t="s">
        <v>418</v>
      </c>
      <c r="E72" t="s">
        <v>418</v>
      </c>
      <c r="F72" t="s">
        <v>418</v>
      </c>
      <c r="G72" t="s">
        <v>418</v>
      </c>
      <c r="H72" t="s">
        <v>418</v>
      </c>
      <c r="I72" t="s">
        <v>418</v>
      </c>
      <c r="J72" t="s">
        <v>418</v>
      </c>
      <c r="K72" t="s">
        <v>418</v>
      </c>
      <c r="L72" t="s">
        <v>418</v>
      </c>
      <c r="M72">
        <v>0</v>
      </c>
      <c r="N72">
        <v>-200</v>
      </c>
      <c r="O72">
        <v>-277</v>
      </c>
    </row>
    <row r="73" spans="1:15" x14ac:dyDescent="0.25">
      <c r="A73" t="s">
        <v>1554</v>
      </c>
      <c r="B73" t="s">
        <v>418</v>
      </c>
      <c r="C73" t="s">
        <v>418</v>
      </c>
      <c r="D73" t="s">
        <v>418</v>
      </c>
      <c r="E73" t="s">
        <v>418</v>
      </c>
      <c r="F73" t="s">
        <v>418</v>
      </c>
      <c r="G73" t="s">
        <v>418</v>
      </c>
      <c r="H73" t="s">
        <v>418</v>
      </c>
      <c r="I73" t="s">
        <v>418</v>
      </c>
      <c r="J73" t="s">
        <v>418</v>
      </c>
      <c r="K73" t="s">
        <v>418</v>
      </c>
      <c r="L73" t="s">
        <v>418</v>
      </c>
      <c r="M73">
        <v>0</v>
      </c>
      <c r="N73" s="116">
        <v>5872</v>
      </c>
      <c r="O73" s="116">
        <v>1253</v>
      </c>
    </row>
    <row r="74" spans="1:15" x14ac:dyDescent="0.25">
      <c r="A74" t="s">
        <v>1555</v>
      </c>
      <c r="B74" s="116">
        <v>-56875</v>
      </c>
      <c r="C74" s="116">
        <v>2805</v>
      </c>
      <c r="D74" s="116">
        <v>1827</v>
      </c>
      <c r="E74" s="116">
        <v>-5143</v>
      </c>
      <c r="F74" s="116">
        <v>19270</v>
      </c>
      <c r="G74">
        <v>271</v>
      </c>
      <c r="H74" s="116">
        <v>-7702</v>
      </c>
      <c r="I74">
        <v>2</v>
      </c>
      <c r="J74">
        <v>76</v>
      </c>
      <c r="K74">
        <v>-803</v>
      </c>
      <c r="L74">
        <v>169</v>
      </c>
      <c r="M74">
        <v>215</v>
      </c>
      <c r="N74">
        <v>-286</v>
      </c>
      <c r="O74">
        <v>-216</v>
      </c>
    </row>
    <row r="75" spans="1:15" x14ac:dyDescent="0.25">
      <c r="A75" t="s">
        <v>1556</v>
      </c>
      <c r="B75" s="116">
        <v>9073</v>
      </c>
      <c r="C75" s="116">
        <v>4434</v>
      </c>
      <c r="D75" t="s">
        <v>418</v>
      </c>
      <c r="E75" t="s">
        <v>418</v>
      </c>
      <c r="F75" t="s">
        <v>418</v>
      </c>
      <c r="G75" t="s">
        <v>418</v>
      </c>
      <c r="H75" t="s">
        <v>418</v>
      </c>
      <c r="I75" t="s">
        <v>418</v>
      </c>
      <c r="J75">
        <v>0</v>
      </c>
      <c r="K75" t="s">
        <v>418</v>
      </c>
      <c r="L75" t="s">
        <v>418</v>
      </c>
      <c r="M75">
        <v>0</v>
      </c>
      <c r="N75">
        <v>0</v>
      </c>
      <c r="O75">
        <v>0</v>
      </c>
    </row>
    <row r="76" spans="1:15" x14ac:dyDescent="0.25">
      <c r="A76" t="s">
        <v>1557</v>
      </c>
      <c r="B76" s="116">
        <v>-28965</v>
      </c>
      <c r="C76" s="116">
        <v>36168</v>
      </c>
      <c r="D76" s="116">
        <v>-40268</v>
      </c>
      <c r="E76" s="116">
        <v>56337</v>
      </c>
      <c r="F76" s="116">
        <v>-28236</v>
      </c>
      <c r="G76" s="116">
        <v>1528</v>
      </c>
      <c r="H76" s="116">
        <v>-14315</v>
      </c>
      <c r="I76" s="116">
        <v>13936</v>
      </c>
      <c r="J76" s="116">
        <v>6866</v>
      </c>
      <c r="K76" s="116">
        <v>-5035</v>
      </c>
      <c r="L76" s="116">
        <v>-4515</v>
      </c>
      <c r="M76" s="116">
        <v>18403</v>
      </c>
      <c r="N76" s="116">
        <v>-9950</v>
      </c>
      <c r="O76" s="116">
        <v>-3283</v>
      </c>
    </row>
    <row r="77" spans="1:15" x14ac:dyDescent="0.25">
      <c r="A77" t="s">
        <v>1558</v>
      </c>
      <c r="B77" t="s">
        <v>418</v>
      </c>
      <c r="C77" t="s">
        <v>418</v>
      </c>
      <c r="D77" t="s">
        <v>418</v>
      </c>
      <c r="E77" t="s">
        <v>418</v>
      </c>
      <c r="F77" t="s">
        <v>418</v>
      </c>
      <c r="G77" t="s">
        <v>418</v>
      </c>
      <c r="H77" t="s">
        <v>418</v>
      </c>
      <c r="I77" t="s">
        <v>418</v>
      </c>
      <c r="J77" t="s">
        <v>418</v>
      </c>
      <c r="K77" t="s">
        <v>418</v>
      </c>
      <c r="L77" t="s">
        <v>418</v>
      </c>
      <c r="M77">
        <v>0</v>
      </c>
      <c r="N77">
        <v>0</v>
      </c>
      <c r="O77">
        <v>0</v>
      </c>
    </row>
    <row r="78" spans="1:15" x14ac:dyDescent="0.25">
      <c r="A78" t="s">
        <v>1559</v>
      </c>
      <c r="B78" t="s">
        <v>418</v>
      </c>
      <c r="C78" t="s">
        <v>418</v>
      </c>
      <c r="D78" t="s">
        <v>418</v>
      </c>
      <c r="E78" t="s">
        <v>418</v>
      </c>
      <c r="F78" t="s">
        <v>418</v>
      </c>
      <c r="G78" t="s">
        <v>418</v>
      </c>
      <c r="H78" t="s">
        <v>418</v>
      </c>
      <c r="I78" t="s">
        <v>418</v>
      </c>
      <c r="J78" t="s">
        <v>418</v>
      </c>
      <c r="K78" t="s">
        <v>418</v>
      </c>
      <c r="L78" t="s">
        <v>418</v>
      </c>
      <c r="M78">
        <v>0</v>
      </c>
      <c r="N78">
        <v>0</v>
      </c>
      <c r="O78">
        <v>0</v>
      </c>
    </row>
    <row r="79" spans="1:15" x14ac:dyDescent="0.25">
      <c r="A79" t="s">
        <v>1462</v>
      </c>
      <c r="B79" s="116">
        <v>11991</v>
      </c>
      <c r="C79" s="116">
        <v>38795</v>
      </c>
      <c r="D79" s="116">
        <v>127085</v>
      </c>
      <c r="E79" s="116">
        <v>189191</v>
      </c>
      <c r="F79" s="116">
        <v>134592</v>
      </c>
      <c r="G79" s="116">
        <v>90236</v>
      </c>
      <c r="H79" s="116">
        <v>67968</v>
      </c>
      <c r="I79" s="116">
        <v>121115</v>
      </c>
      <c r="J79" s="116">
        <v>57556</v>
      </c>
      <c r="K79" s="116">
        <v>19978</v>
      </c>
      <c r="L79" s="116">
        <v>9430</v>
      </c>
      <c r="M79">
        <v>-968</v>
      </c>
      <c r="N79" s="116">
        <v>11913</v>
      </c>
      <c r="O79" s="116">
        <v>10227</v>
      </c>
    </row>
    <row r="80" spans="1:15" x14ac:dyDescent="0.25">
      <c r="A80" t="s">
        <v>1560</v>
      </c>
      <c r="B80" s="116">
        <v>-38285</v>
      </c>
      <c r="C80" s="116">
        <v>-63746</v>
      </c>
      <c r="D80" s="116">
        <v>1929</v>
      </c>
      <c r="E80" s="116">
        <v>-218147</v>
      </c>
      <c r="F80" s="116">
        <v>2697</v>
      </c>
      <c r="G80" s="116">
        <v>-40717</v>
      </c>
      <c r="H80" s="116">
        <v>19762</v>
      </c>
      <c r="I80" s="116">
        <v>-16137</v>
      </c>
      <c r="J80" s="116">
        <v>-14123</v>
      </c>
      <c r="K80" s="116">
        <v>-4229</v>
      </c>
      <c r="L80" s="116">
        <v>7287</v>
      </c>
      <c r="M80" s="116">
        <v>6352</v>
      </c>
      <c r="N80" s="116">
        <v>-39874</v>
      </c>
      <c r="O80" s="116">
        <v>-8778</v>
      </c>
    </row>
    <row r="81" spans="1:15" x14ac:dyDescent="0.25">
      <c r="A81" t="s">
        <v>1561</v>
      </c>
      <c r="B81">
        <v>731</v>
      </c>
      <c r="C81" s="116">
        <v>29086</v>
      </c>
      <c r="D81" s="116">
        <v>-26200</v>
      </c>
      <c r="E81" s="116">
        <v>-32323</v>
      </c>
      <c r="F81" s="116">
        <v>-49298</v>
      </c>
      <c r="G81" s="116">
        <v>3070</v>
      </c>
      <c r="H81" s="116">
        <v>-28274</v>
      </c>
      <c r="I81" s="116">
        <v>18352</v>
      </c>
      <c r="J81" s="116">
        <v>-3214</v>
      </c>
      <c r="K81" s="116">
        <v>14337</v>
      </c>
      <c r="L81" s="116">
        <v>-1513</v>
      </c>
      <c r="M81" s="116">
        <v>-5200</v>
      </c>
      <c r="N81" s="116">
        <v>-16632</v>
      </c>
      <c r="O81">
        <v>-446</v>
      </c>
    </row>
    <row r="82" spans="1:15" x14ac:dyDescent="0.25">
      <c r="A82" t="s">
        <v>1562</v>
      </c>
      <c r="B82" s="116">
        <v>-5958</v>
      </c>
      <c r="C82" s="116">
        <v>-8968</v>
      </c>
      <c r="D82" s="116">
        <v>42747</v>
      </c>
      <c r="E82" s="116">
        <v>-5580</v>
      </c>
      <c r="F82" s="116">
        <v>-1880</v>
      </c>
      <c r="G82" s="116">
        <v>5364</v>
      </c>
      <c r="H82" s="116">
        <v>-21123</v>
      </c>
      <c r="I82" s="116">
        <v>-19646</v>
      </c>
      <c r="J82">
        <v>750</v>
      </c>
      <c r="K82" s="116">
        <v>-15214</v>
      </c>
      <c r="L82">
        <v>610</v>
      </c>
      <c r="M82" s="116">
        <v>-1875</v>
      </c>
      <c r="N82" s="116">
        <v>18060</v>
      </c>
      <c r="O82">
        <v>335</v>
      </c>
    </row>
    <row r="83" spans="1:15" x14ac:dyDescent="0.25">
      <c r="A83" t="s">
        <v>1563</v>
      </c>
      <c r="B83" s="116">
        <v>-273864</v>
      </c>
      <c r="C83" s="116">
        <v>-416662</v>
      </c>
      <c r="D83" s="116">
        <v>-156547</v>
      </c>
      <c r="E83" s="116">
        <v>-66300</v>
      </c>
      <c r="F83" s="116">
        <v>180681</v>
      </c>
      <c r="G83" s="116">
        <v>211922</v>
      </c>
      <c r="H83" s="116">
        <v>110846</v>
      </c>
      <c r="I83" s="116">
        <v>-52629</v>
      </c>
      <c r="J83" s="116">
        <v>-257010</v>
      </c>
      <c r="K83" s="116">
        <v>-172467</v>
      </c>
      <c r="L83" s="116">
        <v>-6192</v>
      </c>
      <c r="M83" s="116">
        <v>-67373</v>
      </c>
      <c r="N83" s="116">
        <v>-80868</v>
      </c>
      <c r="O83" s="116">
        <v>-40707</v>
      </c>
    </row>
    <row r="84" spans="1:15" x14ac:dyDescent="0.25">
      <c r="A84" t="s">
        <v>1564</v>
      </c>
      <c r="B84" s="116">
        <v>-301857</v>
      </c>
      <c r="C84" s="116">
        <v>-244817</v>
      </c>
      <c r="D84" s="116">
        <v>-121313</v>
      </c>
      <c r="E84" s="116">
        <v>-129416</v>
      </c>
      <c r="F84" s="116">
        <v>-25603</v>
      </c>
      <c r="G84" s="116">
        <v>-280327</v>
      </c>
      <c r="H84" s="116">
        <v>-356959</v>
      </c>
      <c r="I84" s="116">
        <v>-306081</v>
      </c>
      <c r="J84" s="116">
        <v>-676719</v>
      </c>
      <c r="K84" s="116">
        <v>-322460</v>
      </c>
      <c r="L84" s="116">
        <v>-83281</v>
      </c>
      <c r="M84" s="116">
        <v>-130447</v>
      </c>
      <c r="N84" s="116">
        <v>-168161</v>
      </c>
      <c r="O84" s="116">
        <v>-50192</v>
      </c>
    </row>
    <row r="85" spans="1:15" x14ac:dyDescent="0.25">
      <c r="A85" t="s">
        <v>1565</v>
      </c>
      <c r="B85" s="116">
        <v>628860</v>
      </c>
      <c r="C85" s="116">
        <v>840275</v>
      </c>
      <c r="D85" s="116">
        <v>490424</v>
      </c>
      <c r="E85" s="116">
        <v>289813</v>
      </c>
      <c r="F85" s="116">
        <v>-253797</v>
      </c>
      <c r="G85" s="116">
        <v>-163494</v>
      </c>
      <c r="H85">
        <v>858</v>
      </c>
      <c r="I85" s="116">
        <v>139484</v>
      </c>
      <c r="J85" s="116">
        <v>76342</v>
      </c>
      <c r="K85" s="116">
        <v>479332</v>
      </c>
      <c r="L85" s="116">
        <v>52204</v>
      </c>
      <c r="M85" s="116">
        <v>68663</v>
      </c>
      <c r="N85" s="116">
        <v>129419</v>
      </c>
      <c r="O85" s="116">
        <v>53885</v>
      </c>
    </row>
    <row r="86" spans="1:15" x14ac:dyDescent="0.25">
      <c r="A86" t="s">
        <v>1566</v>
      </c>
      <c r="B86" t="s">
        <v>418</v>
      </c>
      <c r="C86" t="s">
        <v>418</v>
      </c>
      <c r="D86" t="s">
        <v>418</v>
      </c>
      <c r="E86" t="s">
        <v>418</v>
      </c>
      <c r="F86" t="s">
        <v>418</v>
      </c>
      <c r="G86" t="s">
        <v>418</v>
      </c>
      <c r="H86" t="s">
        <v>418</v>
      </c>
      <c r="I86" t="s">
        <v>418</v>
      </c>
      <c r="J86" t="s">
        <v>418</v>
      </c>
      <c r="K86" t="s">
        <v>418</v>
      </c>
      <c r="L86" t="s">
        <v>418</v>
      </c>
      <c r="M86">
        <v>0</v>
      </c>
      <c r="N86">
        <v>0</v>
      </c>
      <c r="O86">
        <v>0</v>
      </c>
    </row>
    <row r="87" spans="1:15" x14ac:dyDescent="0.25">
      <c r="A87" t="s">
        <v>1567</v>
      </c>
      <c r="B87" t="s">
        <v>418</v>
      </c>
      <c r="C87" t="s">
        <v>418</v>
      </c>
      <c r="D87" t="s">
        <v>418</v>
      </c>
      <c r="E87" t="s">
        <v>418</v>
      </c>
      <c r="F87" t="s">
        <v>418</v>
      </c>
      <c r="G87" t="s">
        <v>418</v>
      </c>
      <c r="H87" t="s">
        <v>418</v>
      </c>
      <c r="I87" t="s">
        <v>418</v>
      </c>
      <c r="J87" t="s">
        <v>418</v>
      </c>
      <c r="K87" t="s">
        <v>418</v>
      </c>
      <c r="L87" t="s">
        <v>418</v>
      </c>
      <c r="M87">
        <v>0</v>
      </c>
      <c r="N87">
        <v>0</v>
      </c>
      <c r="O87">
        <v>0</v>
      </c>
    </row>
    <row r="88" spans="1:15" x14ac:dyDescent="0.25">
      <c r="A88" t="s">
        <v>1568</v>
      </c>
      <c r="B88" s="116">
        <v>5309</v>
      </c>
      <c r="C88" s="116">
        <v>12506</v>
      </c>
      <c r="D88" s="116">
        <v>32400</v>
      </c>
      <c r="E88" t="s">
        <v>418</v>
      </c>
      <c r="F88" t="s">
        <v>418</v>
      </c>
      <c r="G88" s="116">
        <v>-11444</v>
      </c>
      <c r="H88" s="116">
        <v>11520</v>
      </c>
      <c r="I88" s="116">
        <v>-35134</v>
      </c>
      <c r="J88">
        <v>0</v>
      </c>
      <c r="K88" t="s">
        <v>418</v>
      </c>
      <c r="L88">
        <v>0</v>
      </c>
      <c r="M88">
        <v>0</v>
      </c>
      <c r="N88">
        <v>0</v>
      </c>
      <c r="O88">
        <v>0</v>
      </c>
    </row>
    <row r="89" spans="1:15" x14ac:dyDescent="0.25">
      <c r="A89" t="s">
        <v>1569</v>
      </c>
      <c r="B89" s="116">
        <v>1326538</v>
      </c>
      <c r="C89" s="116">
        <v>1052690</v>
      </c>
      <c r="D89" s="116">
        <v>856450</v>
      </c>
      <c r="E89" s="116">
        <v>324945</v>
      </c>
      <c r="F89" s="116">
        <v>213598</v>
      </c>
      <c r="G89" s="116">
        <v>123194</v>
      </c>
      <c r="H89" s="116">
        <v>276933</v>
      </c>
      <c r="I89" s="116">
        <v>568174</v>
      </c>
      <c r="J89" s="116">
        <v>227903</v>
      </c>
      <c r="K89" s="116">
        <v>674912</v>
      </c>
      <c r="L89" s="116">
        <v>247113</v>
      </c>
      <c r="M89" s="116">
        <v>64050</v>
      </c>
      <c r="N89" s="116">
        <v>63059</v>
      </c>
      <c r="O89" s="116">
        <v>51002</v>
      </c>
    </row>
    <row r="90" spans="1:15" x14ac:dyDescent="0.25">
      <c r="A90" t="s">
        <v>282</v>
      </c>
    </row>
    <row r="91" spans="1:15" x14ac:dyDescent="0.25">
      <c r="A91" t="s">
        <v>1570</v>
      </c>
      <c r="B91" s="116">
        <v>409479</v>
      </c>
      <c r="C91" s="116">
        <v>29286</v>
      </c>
      <c r="D91" s="116">
        <v>10273</v>
      </c>
      <c r="E91">
        <v>16</v>
      </c>
      <c r="F91" t="s">
        <v>418</v>
      </c>
      <c r="G91" t="s">
        <v>418</v>
      </c>
      <c r="H91" t="s">
        <v>418</v>
      </c>
      <c r="I91" t="s">
        <v>418</v>
      </c>
      <c r="J91" t="s">
        <v>418</v>
      </c>
      <c r="K91" t="s">
        <v>418</v>
      </c>
      <c r="L91" t="s">
        <v>418</v>
      </c>
      <c r="M91">
        <v>0</v>
      </c>
      <c r="N91">
        <v>0</v>
      </c>
      <c r="O91">
        <v>0</v>
      </c>
    </row>
    <row r="92" spans="1:15" x14ac:dyDescent="0.25">
      <c r="A92" t="s">
        <v>1571</v>
      </c>
      <c r="B92" t="s">
        <v>418</v>
      </c>
      <c r="C92" t="s">
        <v>418</v>
      </c>
      <c r="D92" t="s">
        <v>418</v>
      </c>
      <c r="E92" t="s">
        <v>418</v>
      </c>
      <c r="F92" t="s">
        <v>418</v>
      </c>
      <c r="G92" t="s">
        <v>418</v>
      </c>
      <c r="H92" t="s">
        <v>418</v>
      </c>
      <c r="I92" t="s">
        <v>418</v>
      </c>
      <c r="J92" t="s">
        <v>418</v>
      </c>
      <c r="K92" t="s">
        <v>418</v>
      </c>
      <c r="L92" t="s">
        <v>418</v>
      </c>
      <c r="M92">
        <v>0</v>
      </c>
      <c r="N92">
        <v>0</v>
      </c>
      <c r="O92">
        <v>0</v>
      </c>
    </row>
    <row r="93" spans="1:15" x14ac:dyDescent="0.25">
      <c r="A93" t="s">
        <v>1572</v>
      </c>
      <c r="B93" t="s">
        <v>418</v>
      </c>
      <c r="C93" t="s">
        <v>418</v>
      </c>
      <c r="D93" t="s">
        <v>418</v>
      </c>
      <c r="E93" t="s">
        <v>418</v>
      </c>
      <c r="F93" t="s">
        <v>418</v>
      </c>
      <c r="G93" t="s">
        <v>418</v>
      </c>
      <c r="H93" t="s">
        <v>418</v>
      </c>
      <c r="I93" t="s">
        <v>418</v>
      </c>
      <c r="J93" t="s">
        <v>418</v>
      </c>
      <c r="K93" t="s">
        <v>418</v>
      </c>
      <c r="L93" t="s">
        <v>418</v>
      </c>
      <c r="M93">
        <v>0</v>
      </c>
      <c r="N93">
        <v>0</v>
      </c>
      <c r="O93">
        <v>0</v>
      </c>
    </row>
    <row r="94" spans="1:15" x14ac:dyDescent="0.25">
      <c r="A94" t="s">
        <v>1573</v>
      </c>
    </row>
    <row r="95" spans="1:15" x14ac:dyDescent="0.25">
      <c r="A95" t="s">
        <v>1574</v>
      </c>
      <c r="B95" s="116">
        <v>445148</v>
      </c>
      <c r="C95" s="116">
        <v>432089</v>
      </c>
      <c r="D95" s="116">
        <v>372578</v>
      </c>
      <c r="E95" s="116">
        <v>705019</v>
      </c>
      <c r="F95" s="116">
        <v>627692</v>
      </c>
      <c r="G95" s="116">
        <v>456815</v>
      </c>
      <c r="H95" s="116">
        <v>534771</v>
      </c>
      <c r="I95" s="116">
        <v>827422</v>
      </c>
      <c r="J95" s="116">
        <v>821658</v>
      </c>
      <c r="K95" s="116">
        <v>487315</v>
      </c>
      <c r="L95" s="116">
        <v>307693</v>
      </c>
      <c r="M95" s="116">
        <v>293756</v>
      </c>
      <c r="N95" s="116">
        <v>260545</v>
      </c>
      <c r="O95" s="116">
        <v>119989</v>
      </c>
    </row>
    <row r="96" spans="1:15" x14ac:dyDescent="0.25">
      <c r="A96" t="s">
        <v>1575</v>
      </c>
      <c r="B96" s="116">
        <v>432089</v>
      </c>
      <c r="C96" s="116">
        <v>372578</v>
      </c>
      <c r="D96" s="116">
        <v>705019</v>
      </c>
      <c r="E96" s="116">
        <v>630707</v>
      </c>
      <c r="F96" s="116">
        <v>456815</v>
      </c>
      <c r="G96" s="116">
        <v>534771</v>
      </c>
      <c r="H96" s="116">
        <v>827422</v>
      </c>
      <c r="I96" s="116">
        <v>821658</v>
      </c>
      <c r="J96" s="116">
        <v>487315</v>
      </c>
      <c r="K96" s="116">
        <v>408961</v>
      </c>
      <c r="L96" s="116">
        <v>293756</v>
      </c>
      <c r="M96" s="116">
        <v>260545</v>
      </c>
      <c r="N96" s="116">
        <v>119989</v>
      </c>
      <c r="O96" s="116">
        <v>75543</v>
      </c>
    </row>
    <row r="97" spans="1:15" x14ac:dyDescent="0.25">
      <c r="A97" t="s">
        <v>1576</v>
      </c>
      <c r="B97" t="s">
        <v>418</v>
      </c>
      <c r="C97" t="s">
        <v>418</v>
      </c>
      <c r="D97" t="s">
        <v>418</v>
      </c>
      <c r="E97" t="s">
        <v>418</v>
      </c>
      <c r="F97" t="s">
        <v>418</v>
      </c>
      <c r="G97" t="s">
        <v>418</v>
      </c>
      <c r="H97" t="s">
        <v>418</v>
      </c>
      <c r="I97" t="s">
        <v>418</v>
      </c>
      <c r="J97" t="s">
        <v>418</v>
      </c>
      <c r="K97" t="s">
        <v>418</v>
      </c>
      <c r="L97" t="s">
        <v>418</v>
      </c>
      <c r="M97">
        <v>0</v>
      </c>
      <c r="N97">
        <v>0</v>
      </c>
      <c r="O97">
        <v>0</v>
      </c>
    </row>
    <row r="98" spans="1:15" x14ac:dyDescent="0.25">
      <c r="A98" t="s">
        <v>1577</v>
      </c>
      <c r="B98" t="s">
        <v>418</v>
      </c>
      <c r="C98" t="s">
        <v>418</v>
      </c>
      <c r="D98" t="s">
        <v>418</v>
      </c>
      <c r="E98" t="s">
        <v>418</v>
      </c>
      <c r="F98" t="s">
        <v>418</v>
      </c>
      <c r="G98" t="s">
        <v>418</v>
      </c>
      <c r="H98" t="s">
        <v>418</v>
      </c>
      <c r="I98" t="s">
        <v>418</v>
      </c>
      <c r="J98" t="s">
        <v>418</v>
      </c>
      <c r="K98" t="s">
        <v>418</v>
      </c>
      <c r="L98" t="s">
        <v>418</v>
      </c>
      <c r="M98">
        <v>0</v>
      </c>
      <c r="N98">
        <v>0</v>
      </c>
      <c r="O98">
        <v>0</v>
      </c>
    </row>
    <row r="99" spans="1:15" x14ac:dyDescent="0.25">
      <c r="A99" t="s">
        <v>1578</v>
      </c>
      <c r="B99" s="116">
        <v>13059</v>
      </c>
      <c r="C99" s="116">
        <v>59511</v>
      </c>
      <c r="D99" s="116">
        <v>-332441</v>
      </c>
      <c r="E99" s="116">
        <v>74312</v>
      </c>
      <c r="F99" s="116">
        <v>170876</v>
      </c>
      <c r="G99" s="116">
        <v>-77955</v>
      </c>
      <c r="H99" s="116">
        <v>-292651</v>
      </c>
      <c r="I99" s="116">
        <v>5764</v>
      </c>
      <c r="J99" s="116">
        <v>334342</v>
      </c>
      <c r="K99" s="116">
        <v>78354</v>
      </c>
      <c r="L99" s="116">
        <v>13937</v>
      </c>
      <c r="M99" s="116">
        <v>33211</v>
      </c>
      <c r="N99" s="116">
        <v>140557</v>
      </c>
      <c r="O99" s="116">
        <v>44446</v>
      </c>
    </row>
  </sheetData>
  <phoneticPr fontId="3"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J142"/>
  <sheetViews>
    <sheetView workbookViewId="0">
      <pane xSplit="1" ySplit="1" topLeftCell="B13" activePane="bottomRight" state="frozen"/>
      <selection activeCell="D135" sqref="D135"/>
      <selection pane="topRight" activeCell="D135" sqref="D135"/>
      <selection pane="bottomLeft" activeCell="D135" sqref="D135"/>
      <selection pane="bottomRight" activeCell="B121" sqref="B121"/>
    </sheetView>
  </sheetViews>
  <sheetFormatPr defaultRowHeight="14" x14ac:dyDescent="0.25"/>
  <cols>
    <col min="1" max="1" width="34" style="10" customWidth="1"/>
    <col min="2" max="2" width="22.7265625" style="50" customWidth="1"/>
    <col min="3" max="3" width="19.6328125" style="50" customWidth="1"/>
    <col min="4" max="4" width="19" style="50" bestFit="1" customWidth="1"/>
    <col min="5" max="5" width="19" customWidth="1"/>
    <col min="6" max="6" width="19.90625" customWidth="1"/>
    <col min="7" max="9" width="18.36328125" bestFit="1" customWidth="1"/>
    <col min="10" max="10" width="18" bestFit="1" customWidth="1"/>
  </cols>
  <sheetData>
    <row r="1" spans="1:10" ht="18" thickTop="1" x14ac:dyDescent="0.25">
      <c r="A1" s="1" t="s">
        <v>118</v>
      </c>
      <c r="B1" s="37">
        <f>2013</f>
        <v>2013</v>
      </c>
      <c r="C1" s="37">
        <v>2014</v>
      </c>
      <c r="D1" s="37">
        <v>2015</v>
      </c>
      <c r="E1" s="2" t="s">
        <v>183</v>
      </c>
      <c r="F1" s="2" t="s">
        <v>184</v>
      </c>
      <c r="G1" s="2" t="s">
        <v>185</v>
      </c>
      <c r="H1" s="2" t="s">
        <v>186</v>
      </c>
      <c r="I1" s="2" t="s">
        <v>187</v>
      </c>
      <c r="J1" s="2" t="s">
        <v>188</v>
      </c>
    </row>
    <row r="2" spans="1:10" x14ac:dyDescent="0.25">
      <c r="A2" s="3" t="s">
        <v>119</v>
      </c>
      <c r="B2" s="38"/>
      <c r="C2" s="39" t="e">
        <f>(C6-B6)/B6</f>
        <v>#REF!</v>
      </c>
      <c r="D2" s="39" t="e">
        <f t="shared" ref="D2:J2" si="0">(D6-C6)/C6</f>
        <v>#DIV/0!</v>
      </c>
      <c r="E2" s="39" t="e">
        <f t="shared" si="0"/>
        <v>#DIV/0!</v>
      </c>
      <c r="F2" s="39" t="e">
        <f t="shared" si="0"/>
        <v>#DIV/0!</v>
      </c>
      <c r="G2" s="39" t="e">
        <f t="shared" si="0"/>
        <v>#DIV/0!</v>
      </c>
      <c r="H2" s="39" t="e">
        <f t="shared" si="0"/>
        <v>#DIV/0!</v>
      </c>
      <c r="I2" s="39" t="e">
        <f t="shared" si="0"/>
        <v>#DIV/0!</v>
      </c>
      <c r="J2" s="39" t="e">
        <f t="shared" si="0"/>
        <v>#DIV/0!</v>
      </c>
    </row>
    <row r="3" spans="1:10" x14ac:dyDescent="0.25">
      <c r="A3" s="3" t="s">
        <v>120</v>
      </c>
      <c r="B3" s="38" t="e">
        <f>B90/B6</f>
        <v>#REF!</v>
      </c>
      <c r="C3" s="38" t="e">
        <f>C90/C6</f>
        <v>#DIV/0!</v>
      </c>
      <c r="D3" s="38" t="e">
        <f>D90/D6</f>
        <v>#DIV/0!</v>
      </c>
      <c r="E3" s="38" t="e">
        <f t="shared" ref="E3:J3" si="1">E90/E6</f>
        <v>#DIV/0!</v>
      </c>
      <c r="F3" s="38" t="e">
        <f t="shared" si="1"/>
        <v>#DIV/0!</v>
      </c>
      <c r="G3" s="38" t="e">
        <f t="shared" si="1"/>
        <v>#DIV/0!</v>
      </c>
      <c r="H3" s="38" t="e">
        <f t="shared" si="1"/>
        <v>#DIV/0!</v>
      </c>
      <c r="I3" s="38" t="e">
        <f t="shared" si="1"/>
        <v>#DIV/0!</v>
      </c>
      <c r="J3" s="38" t="e">
        <f t="shared" si="1"/>
        <v>#DIV/0!</v>
      </c>
    </row>
    <row r="4" spans="1:10" x14ac:dyDescent="0.25">
      <c r="A4" s="3"/>
      <c r="B4" s="38"/>
      <c r="C4" s="38"/>
      <c r="D4" s="38"/>
      <c r="E4" s="38"/>
      <c r="F4" s="38"/>
      <c r="G4" s="38"/>
      <c r="H4" s="38"/>
      <c r="I4" s="38"/>
      <c r="J4" s="38"/>
    </row>
    <row r="5" spans="1:10" x14ac:dyDescent="0.25">
      <c r="A5" s="3" t="s">
        <v>121</v>
      </c>
      <c r="B5" s="39"/>
      <c r="C5" s="39"/>
      <c r="D5" s="40"/>
      <c r="E5" s="6"/>
      <c r="F5" s="5">
        <v>0</v>
      </c>
      <c r="G5" s="6"/>
      <c r="H5" s="6"/>
      <c r="I5" s="6"/>
      <c r="J5" s="6"/>
    </row>
    <row r="6" spans="1:10" s="9" customFormat="1" x14ac:dyDescent="0.25">
      <c r="A6" s="7" t="str">
        <f>PL!A4</f>
        <v>利息收入(万元)</v>
      </c>
      <c r="B6" s="41" t="e">
        <f>PL!#REF!</f>
        <v>#REF!</v>
      </c>
      <c r="C6" s="41">
        <f>PL!C4</f>
        <v>0</v>
      </c>
      <c r="D6" s="41">
        <f>PL!B4</f>
        <v>0</v>
      </c>
      <c r="E6" s="8">
        <f t="shared" ref="E6:J15" si="2">D6*(1+$D$134)</f>
        <v>0</v>
      </c>
      <c r="F6" s="8">
        <f t="shared" si="2"/>
        <v>0</v>
      </c>
      <c r="G6" s="8">
        <f t="shared" si="2"/>
        <v>0</v>
      </c>
      <c r="H6" s="8">
        <f t="shared" si="2"/>
        <v>0</v>
      </c>
      <c r="I6" s="8">
        <f t="shared" si="2"/>
        <v>0</v>
      </c>
      <c r="J6" s="8">
        <f t="shared" si="2"/>
        <v>0</v>
      </c>
    </row>
    <row r="7" spans="1:10" hidden="1" x14ac:dyDescent="0.25">
      <c r="A7" s="7" t="str">
        <f>PL!A5</f>
        <v>已赚保费(万元)</v>
      </c>
      <c r="B7" s="41" t="e">
        <f>PL!#REF!</f>
        <v>#REF!</v>
      </c>
      <c r="C7" s="41">
        <f>PL!C5</f>
        <v>0</v>
      </c>
      <c r="D7" s="41">
        <f>PL!B5</f>
        <v>0</v>
      </c>
      <c r="E7" s="8">
        <f t="shared" si="2"/>
        <v>0</v>
      </c>
      <c r="F7" s="8">
        <f t="shared" si="2"/>
        <v>0</v>
      </c>
      <c r="G7" s="8">
        <f t="shared" si="2"/>
        <v>0</v>
      </c>
      <c r="H7" s="8">
        <f t="shared" si="2"/>
        <v>0</v>
      </c>
      <c r="I7" s="8">
        <f t="shared" si="2"/>
        <v>0</v>
      </c>
      <c r="J7" s="8">
        <f t="shared" si="2"/>
        <v>0</v>
      </c>
    </row>
    <row r="8" spans="1:10" hidden="1" x14ac:dyDescent="0.25">
      <c r="A8" s="7" t="str">
        <f>PL!A6</f>
        <v>手续费及佣金收入(万元)</v>
      </c>
      <c r="B8" s="41" t="e">
        <f>PL!#REF!</f>
        <v>#REF!</v>
      </c>
      <c r="C8" s="41">
        <f>PL!C6</f>
        <v>0</v>
      </c>
      <c r="D8" s="41">
        <f>PL!B6</f>
        <v>0</v>
      </c>
      <c r="E8" s="8">
        <f t="shared" si="2"/>
        <v>0</v>
      </c>
      <c r="F8" s="8">
        <f t="shared" si="2"/>
        <v>0</v>
      </c>
      <c r="G8" s="8">
        <f t="shared" si="2"/>
        <v>0</v>
      </c>
      <c r="H8" s="8">
        <f t="shared" si="2"/>
        <v>0</v>
      </c>
      <c r="I8" s="8">
        <f t="shared" si="2"/>
        <v>0</v>
      </c>
      <c r="J8" s="8">
        <f t="shared" si="2"/>
        <v>0</v>
      </c>
    </row>
    <row r="9" spans="1:10" hidden="1" x14ac:dyDescent="0.25">
      <c r="A9" s="7" t="str">
        <f>PL!A7</f>
        <v>房地产销售收入(万元)</v>
      </c>
      <c r="B9" s="41" t="e">
        <f>PL!#REF!</f>
        <v>#REF!</v>
      </c>
      <c r="C9" s="41">
        <f>PL!C7</f>
        <v>0</v>
      </c>
      <c r="D9" s="41">
        <f>PL!B7</f>
        <v>0</v>
      </c>
      <c r="E9" s="8">
        <f t="shared" si="2"/>
        <v>0</v>
      </c>
      <c r="F9" s="8">
        <f t="shared" si="2"/>
        <v>0</v>
      </c>
      <c r="G9" s="8">
        <f t="shared" si="2"/>
        <v>0</v>
      </c>
      <c r="H9" s="8">
        <f t="shared" si="2"/>
        <v>0</v>
      </c>
      <c r="I9" s="8">
        <f t="shared" si="2"/>
        <v>0</v>
      </c>
      <c r="J9" s="8">
        <f t="shared" si="2"/>
        <v>0</v>
      </c>
    </row>
    <row r="10" spans="1:10" x14ac:dyDescent="0.25">
      <c r="A10" s="7" t="str">
        <f>PL!A8</f>
        <v>其他业务收入(万元)</v>
      </c>
      <c r="B10" s="41" t="e">
        <f>PL!#REF!</f>
        <v>#REF!</v>
      </c>
      <c r="C10" s="41">
        <f>PL!C8</f>
        <v>0</v>
      </c>
      <c r="D10" s="41">
        <f>PL!B8</f>
        <v>0</v>
      </c>
      <c r="E10" s="8">
        <f t="shared" si="2"/>
        <v>0</v>
      </c>
      <c r="F10" s="8">
        <f t="shared" si="2"/>
        <v>0</v>
      </c>
      <c r="G10" s="8">
        <f t="shared" si="2"/>
        <v>0</v>
      </c>
      <c r="H10" s="8">
        <f t="shared" si="2"/>
        <v>0</v>
      </c>
      <c r="I10" s="8">
        <f t="shared" si="2"/>
        <v>0</v>
      </c>
      <c r="J10" s="8">
        <f t="shared" si="2"/>
        <v>0</v>
      </c>
    </row>
    <row r="11" spans="1:10" x14ac:dyDescent="0.25">
      <c r="A11" s="7" t="str">
        <f>PL!A9</f>
        <v>营业总成本(万元)</v>
      </c>
      <c r="B11" s="41" t="e">
        <f>PL!#REF!</f>
        <v>#REF!</v>
      </c>
      <c r="C11" s="41">
        <f>PL!C9</f>
        <v>0</v>
      </c>
      <c r="D11" s="41">
        <f>PL!B9</f>
        <v>0</v>
      </c>
      <c r="E11" s="8">
        <f t="shared" si="2"/>
        <v>0</v>
      </c>
      <c r="F11" s="8">
        <f t="shared" si="2"/>
        <v>0</v>
      </c>
      <c r="G11" s="8">
        <f t="shared" si="2"/>
        <v>0</v>
      </c>
      <c r="H11" s="8">
        <f t="shared" si="2"/>
        <v>0</v>
      </c>
      <c r="I11" s="8">
        <f t="shared" si="2"/>
        <v>0</v>
      </c>
      <c r="J11" s="8">
        <f t="shared" si="2"/>
        <v>0</v>
      </c>
    </row>
    <row r="12" spans="1:10" x14ac:dyDescent="0.25">
      <c r="A12" s="7" t="str">
        <f>PL!A10</f>
        <v>营业成本(万元)</v>
      </c>
      <c r="B12" s="41" t="e">
        <f>PL!#REF!</f>
        <v>#REF!</v>
      </c>
      <c r="C12" s="41">
        <f>PL!C10</f>
        <v>3872796</v>
      </c>
      <c r="D12" s="41">
        <f>PL!B10</f>
        <v>5093227</v>
      </c>
      <c r="E12" s="8">
        <f t="shared" si="2"/>
        <v>5602549.7000000002</v>
      </c>
      <c r="F12" s="8">
        <f t="shared" si="2"/>
        <v>6162804.6700000009</v>
      </c>
      <c r="G12" s="8">
        <f t="shared" si="2"/>
        <v>6779085.137000001</v>
      </c>
      <c r="H12" s="8">
        <f t="shared" si="2"/>
        <v>7456993.650700002</v>
      </c>
      <c r="I12" s="8">
        <f t="shared" si="2"/>
        <v>8202693.0157700032</v>
      </c>
      <c r="J12" s="8">
        <f t="shared" si="2"/>
        <v>9022962.317347005</v>
      </c>
    </row>
    <row r="13" spans="1:10" x14ac:dyDescent="0.25">
      <c r="A13" s="7" t="str">
        <f>PL!A11</f>
        <v>利息支出(万元)</v>
      </c>
      <c r="B13" s="41" t="e">
        <f>PL!#REF!</f>
        <v>#REF!</v>
      </c>
      <c r="C13" s="41">
        <f>PL!C11</f>
        <v>0</v>
      </c>
      <c r="D13" s="41">
        <f>PL!B11</f>
        <v>0</v>
      </c>
      <c r="E13" s="8">
        <f t="shared" si="2"/>
        <v>0</v>
      </c>
      <c r="F13" s="8">
        <f t="shared" si="2"/>
        <v>0</v>
      </c>
      <c r="G13" s="8">
        <f t="shared" si="2"/>
        <v>0</v>
      </c>
      <c r="H13" s="8">
        <f t="shared" si="2"/>
        <v>0</v>
      </c>
      <c r="I13" s="8">
        <f t="shared" si="2"/>
        <v>0</v>
      </c>
      <c r="J13" s="8">
        <f t="shared" si="2"/>
        <v>0</v>
      </c>
    </row>
    <row r="14" spans="1:10" x14ac:dyDescent="0.25">
      <c r="A14" s="7" t="str">
        <f>PL!A12</f>
        <v>手续费及佣金支出(万元)</v>
      </c>
      <c r="B14" s="41" t="e">
        <f>PL!#REF!</f>
        <v>#REF!</v>
      </c>
      <c r="C14" s="41">
        <f>PL!C12</f>
        <v>0</v>
      </c>
      <c r="D14" s="41">
        <f>PL!B12</f>
        <v>0</v>
      </c>
      <c r="E14" s="8">
        <f t="shared" si="2"/>
        <v>0</v>
      </c>
      <c r="F14" s="8">
        <f t="shared" si="2"/>
        <v>0</v>
      </c>
      <c r="G14" s="8">
        <f t="shared" si="2"/>
        <v>0</v>
      </c>
      <c r="H14" s="8">
        <f t="shared" si="2"/>
        <v>0</v>
      </c>
      <c r="I14" s="8">
        <f t="shared" si="2"/>
        <v>0</v>
      </c>
      <c r="J14" s="8">
        <f t="shared" si="2"/>
        <v>0</v>
      </c>
    </row>
    <row r="15" spans="1:10" x14ac:dyDescent="0.25">
      <c r="A15" s="7" t="str">
        <f>PL!A13</f>
        <v>房地产销售成本(万元)</v>
      </c>
      <c r="B15" s="41" t="e">
        <f>PL!#REF!</f>
        <v>#REF!</v>
      </c>
      <c r="C15" s="41">
        <f>PL!C13</f>
        <v>0</v>
      </c>
      <c r="D15" s="41">
        <f>PL!B13</f>
        <v>0</v>
      </c>
      <c r="E15" s="8">
        <f t="shared" si="2"/>
        <v>0</v>
      </c>
      <c r="F15" s="8">
        <f t="shared" si="2"/>
        <v>0</v>
      </c>
      <c r="G15" s="8">
        <f t="shared" si="2"/>
        <v>0</v>
      </c>
      <c r="H15" s="8">
        <f t="shared" si="2"/>
        <v>0</v>
      </c>
      <c r="I15" s="8">
        <f t="shared" si="2"/>
        <v>0</v>
      </c>
      <c r="J15" s="8">
        <f t="shared" si="2"/>
        <v>0</v>
      </c>
    </row>
    <row r="16" spans="1:10" x14ac:dyDescent="0.25">
      <c r="A16" s="7" t="str">
        <f>PL!A14</f>
        <v>研发费用(万元)</v>
      </c>
      <c r="B16" s="41" t="e">
        <f>PL!#REF!</f>
        <v>#REF!</v>
      </c>
      <c r="C16" s="41">
        <f>PL!C14</f>
        <v>175448</v>
      </c>
      <c r="D16" s="41">
        <f>PL!B14</f>
        <v>364441</v>
      </c>
      <c r="E16" s="8">
        <f t="shared" ref="E16:J25" si="3">D16*(1+$D$134)</f>
        <v>400885.10000000003</v>
      </c>
      <c r="F16" s="8">
        <f t="shared" si="3"/>
        <v>440973.6100000001</v>
      </c>
      <c r="G16" s="8">
        <f t="shared" si="3"/>
        <v>485070.97100000014</v>
      </c>
      <c r="H16" s="8">
        <f t="shared" si="3"/>
        <v>533578.06810000015</v>
      </c>
      <c r="I16" s="8">
        <f t="shared" si="3"/>
        <v>586935.87491000025</v>
      </c>
      <c r="J16" s="8">
        <f t="shared" si="3"/>
        <v>645629.46240100032</v>
      </c>
    </row>
    <row r="17" spans="1:10" s="9" customFormat="1" x14ac:dyDescent="0.25">
      <c r="A17" s="7" t="str">
        <f>PL!A15</f>
        <v>退保金(万元)</v>
      </c>
      <c r="B17" s="41" t="e">
        <f>PL!#REF!</f>
        <v>#REF!</v>
      </c>
      <c r="C17" s="41">
        <f>PL!C15</f>
        <v>0</v>
      </c>
      <c r="D17" s="41">
        <f>PL!B15</f>
        <v>0</v>
      </c>
      <c r="E17" s="8">
        <f t="shared" si="3"/>
        <v>0</v>
      </c>
      <c r="F17" s="8">
        <f t="shared" si="3"/>
        <v>0</v>
      </c>
      <c r="G17" s="8">
        <f t="shared" si="3"/>
        <v>0</v>
      </c>
      <c r="H17" s="8">
        <f t="shared" si="3"/>
        <v>0</v>
      </c>
      <c r="I17" s="8">
        <f t="shared" si="3"/>
        <v>0</v>
      </c>
      <c r="J17" s="8">
        <f t="shared" si="3"/>
        <v>0</v>
      </c>
    </row>
    <row r="18" spans="1:10" x14ac:dyDescent="0.25">
      <c r="A18" s="7" t="str">
        <f>PL!A16</f>
        <v>赔付支出净额(万元)</v>
      </c>
      <c r="B18" s="41" t="e">
        <f>PL!#REF!</f>
        <v>#REF!</v>
      </c>
      <c r="C18" s="41">
        <f>PL!C16</f>
        <v>0</v>
      </c>
      <c r="D18" s="41">
        <f>PL!B16</f>
        <v>0</v>
      </c>
      <c r="E18" s="8">
        <f t="shared" si="3"/>
        <v>0</v>
      </c>
      <c r="F18" s="8">
        <f t="shared" si="3"/>
        <v>0</v>
      </c>
      <c r="G18" s="8">
        <f t="shared" si="3"/>
        <v>0</v>
      </c>
      <c r="H18" s="8">
        <f t="shared" si="3"/>
        <v>0</v>
      </c>
      <c r="I18" s="8">
        <f t="shared" si="3"/>
        <v>0</v>
      </c>
      <c r="J18" s="8">
        <f t="shared" si="3"/>
        <v>0</v>
      </c>
    </row>
    <row r="19" spans="1:10" x14ac:dyDescent="0.25">
      <c r="A19" s="7" t="str">
        <f>PL!A17</f>
        <v>提取保险合同准备金净额(万元)</v>
      </c>
      <c r="B19" s="41" t="e">
        <f>PL!#REF!</f>
        <v>#REF!</v>
      </c>
      <c r="C19" s="41">
        <f>PL!C17</f>
        <v>0</v>
      </c>
      <c r="D19" s="41">
        <f>PL!B17</f>
        <v>0</v>
      </c>
      <c r="E19" s="8">
        <f t="shared" si="3"/>
        <v>0</v>
      </c>
      <c r="F19" s="8">
        <f t="shared" si="3"/>
        <v>0</v>
      </c>
      <c r="G19" s="8">
        <f t="shared" si="3"/>
        <v>0</v>
      </c>
      <c r="H19" s="8">
        <f t="shared" si="3"/>
        <v>0</v>
      </c>
      <c r="I19" s="8">
        <f t="shared" si="3"/>
        <v>0</v>
      </c>
      <c r="J19" s="8">
        <f t="shared" si="3"/>
        <v>0</v>
      </c>
    </row>
    <row r="20" spans="1:10" hidden="1" x14ac:dyDescent="0.25">
      <c r="A20" s="7" t="str">
        <f>PL!A18</f>
        <v>保单红利支出(万元)</v>
      </c>
      <c r="B20" s="41" t="e">
        <f>PL!#REF!</f>
        <v>#REF!</v>
      </c>
      <c r="C20" s="41">
        <f>PL!C18</f>
        <v>0</v>
      </c>
      <c r="D20" s="41">
        <f>PL!B18</f>
        <v>0</v>
      </c>
      <c r="E20" s="8">
        <f t="shared" si="3"/>
        <v>0</v>
      </c>
      <c r="F20" s="8">
        <f t="shared" si="3"/>
        <v>0</v>
      </c>
      <c r="G20" s="8">
        <f t="shared" si="3"/>
        <v>0</v>
      </c>
      <c r="H20" s="8">
        <f t="shared" si="3"/>
        <v>0</v>
      </c>
      <c r="I20" s="8">
        <f t="shared" si="3"/>
        <v>0</v>
      </c>
      <c r="J20" s="8">
        <f t="shared" si="3"/>
        <v>0</v>
      </c>
    </row>
    <row r="21" spans="1:10" hidden="1" x14ac:dyDescent="0.25">
      <c r="A21" s="7" t="str">
        <f>PL!A19</f>
        <v>分保费用(万元)</v>
      </c>
      <c r="B21" s="41" t="e">
        <f>PL!#REF!</f>
        <v>#REF!</v>
      </c>
      <c r="C21" s="41">
        <f>PL!C19</f>
        <v>0</v>
      </c>
      <c r="D21" s="41">
        <f>PL!B19</f>
        <v>0</v>
      </c>
      <c r="E21" s="8">
        <f t="shared" si="3"/>
        <v>0</v>
      </c>
      <c r="F21" s="8">
        <f t="shared" si="3"/>
        <v>0</v>
      </c>
      <c r="G21" s="8">
        <f t="shared" si="3"/>
        <v>0</v>
      </c>
      <c r="H21" s="8">
        <f t="shared" si="3"/>
        <v>0</v>
      </c>
      <c r="I21" s="8">
        <f t="shared" si="3"/>
        <v>0</v>
      </c>
      <c r="J21" s="8">
        <f t="shared" si="3"/>
        <v>0</v>
      </c>
    </row>
    <row r="22" spans="1:10" hidden="1" x14ac:dyDescent="0.25">
      <c r="A22" s="7" t="str">
        <f>PL!A20</f>
        <v>其他业务成本(万元)</v>
      </c>
      <c r="B22" s="41" t="e">
        <f>PL!#REF!</f>
        <v>#REF!</v>
      </c>
      <c r="C22" s="41">
        <f>PL!C20</f>
        <v>0</v>
      </c>
      <c r="D22" s="41">
        <f>PL!B20</f>
        <v>0</v>
      </c>
      <c r="E22" s="8">
        <f t="shared" si="3"/>
        <v>0</v>
      </c>
      <c r="F22" s="8">
        <f t="shared" si="3"/>
        <v>0</v>
      </c>
      <c r="G22" s="8">
        <f t="shared" si="3"/>
        <v>0</v>
      </c>
      <c r="H22" s="8">
        <f t="shared" si="3"/>
        <v>0</v>
      </c>
      <c r="I22" s="8">
        <f t="shared" si="3"/>
        <v>0</v>
      </c>
      <c r="J22" s="8">
        <f t="shared" si="3"/>
        <v>0</v>
      </c>
    </row>
    <row r="23" spans="1:10" s="12" customFormat="1" hidden="1" x14ac:dyDescent="0.25">
      <c r="A23" s="7" t="str">
        <f>PL!A21</f>
        <v>营业税金及附加(万元)</v>
      </c>
      <c r="B23" s="41" t="e">
        <f>PL!#REF!</f>
        <v>#REF!</v>
      </c>
      <c r="C23" s="41">
        <f>PL!C21</f>
        <v>32636</v>
      </c>
      <c r="D23" s="41">
        <f>PL!B21</f>
        <v>37091</v>
      </c>
      <c r="E23" s="8">
        <f t="shared" si="3"/>
        <v>40800.100000000006</v>
      </c>
      <c r="F23" s="8">
        <f t="shared" si="3"/>
        <v>44880.110000000008</v>
      </c>
      <c r="G23" s="8">
        <f t="shared" si="3"/>
        <v>49368.121000000014</v>
      </c>
      <c r="H23" s="8">
        <f t="shared" si="3"/>
        <v>54304.933100000017</v>
      </c>
      <c r="I23" s="8">
        <f t="shared" si="3"/>
        <v>59735.426410000022</v>
      </c>
      <c r="J23" s="8">
        <f t="shared" si="3"/>
        <v>65708.969051000036</v>
      </c>
    </row>
    <row r="24" spans="1:10" s="12" customFormat="1" x14ac:dyDescent="0.25">
      <c r="A24" s="7" t="str">
        <f>PL!A22</f>
        <v>销售费用(万元)</v>
      </c>
      <c r="B24" s="41" t="e">
        <f>PL!#REF!</f>
        <v>#REF!</v>
      </c>
      <c r="C24" s="41">
        <f>PL!C22</f>
        <v>444663</v>
      </c>
      <c r="D24" s="41">
        <f>PL!B22</f>
        <v>548759</v>
      </c>
      <c r="E24" s="8">
        <f t="shared" si="3"/>
        <v>603634.9</v>
      </c>
      <c r="F24" s="8">
        <f t="shared" si="3"/>
        <v>663998.39000000013</v>
      </c>
      <c r="G24" s="8">
        <f t="shared" si="3"/>
        <v>730398.22900000017</v>
      </c>
      <c r="H24" s="8">
        <f t="shared" si="3"/>
        <v>803438.0519000002</v>
      </c>
      <c r="I24" s="8">
        <f t="shared" si="3"/>
        <v>883781.8570900003</v>
      </c>
      <c r="J24" s="8">
        <f t="shared" si="3"/>
        <v>972160.0427990004</v>
      </c>
    </row>
    <row r="25" spans="1:10" x14ac:dyDescent="0.25">
      <c r="A25" s="7" t="str">
        <f>PL!A23</f>
        <v>管理费用(万元)</v>
      </c>
      <c r="B25" s="41" t="e">
        <f>PL!#REF!</f>
        <v>#REF!</v>
      </c>
      <c r="C25" s="41">
        <f>PL!C23</f>
        <v>204590</v>
      </c>
      <c r="D25" s="41">
        <f>PL!B23</f>
        <v>205166</v>
      </c>
      <c r="E25" s="8">
        <f t="shared" si="3"/>
        <v>225682.6</v>
      </c>
      <c r="F25" s="8">
        <f t="shared" si="3"/>
        <v>248250.86000000002</v>
      </c>
      <c r="G25" s="8">
        <f t="shared" si="3"/>
        <v>273075.94600000005</v>
      </c>
      <c r="H25" s="8">
        <f t="shared" si="3"/>
        <v>300383.54060000007</v>
      </c>
      <c r="I25" s="8">
        <f t="shared" si="3"/>
        <v>330421.89466000011</v>
      </c>
      <c r="J25" s="8">
        <f t="shared" si="3"/>
        <v>363464.08412600018</v>
      </c>
    </row>
    <row r="26" spans="1:10" s="15" customFormat="1" x14ac:dyDescent="0.25">
      <c r="A26" s="54" t="str">
        <f>PL!A24</f>
        <v>财务费用(万元)</v>
      </c>
      <c r="B26" s="43" t="e">
        <f>PL!#REF!</f>
        <v>#REF!</v>
      </c>
      <c r="C26" s="43">
        <f>PL!C24</f>
        <v>13565</v>
      </c>
      <c r="D26" s="43">
        <f>PL!B24</f>
        <v>-4639</v>
      </c>
      <c r="E26" s="19">
        <f t="shared" ref="E26:J35" si="4">D26*(1+$D$134)</f>
        <v>-5102.9000000000005</v>
      </c>
      <c r="F26" s="19">
        <f t="shared" si="4"/>
        <v>-5613.1900000000014</v>
      </c>
      <c r="G26" s="19">
        <f t="shared" si="4"/>
        <v>-6174.5090000000018</v>
      </c>
      <c r="H26" s="19">
        <f t="shared" si="4"/>
        <v>-6791.9599000000026</v>
      </c>
      <c r="I26" s="19">
        <f t="shared" si="4"/>
        <v>-7471.1558900000036</v>
      </c>
      <c r="J26" s="19">
        <f t="shared" si="4"/>
        <v>-8218.2714790000045</v>
      </c>
    </row>
    <row r="27" spans="1:10" x14ac:dyDescent="0.25">
      <c r="A27" s="7" t="str">
        <f>PL!A25</f>
        <v>资产减值损失(万元)</v>
      </c>
      <c r="B27" s="41" t="e">
        <f>PL!#REF!</f>
        <v>#REF!</v>
      </c>
      <c r="C27" s="41">
        <f>PL!C25</f>
        <v>109538</v>
      </c>
      <c r="D27" s="41">
        <f>PL!B25</f>
        <v>0</v>
      </c>
      <c r="E27" s="8">
        <f t="shared" si="4"/>
        <v>0</v>
      </c>
      <c r="F27" s="8">
        <f t="shared" si="4"/>
        <v>0</v>
      </c>
      <c r="G27" s="8">
        <f t="shared" si="4"/>
        <v>0</v>
      </c>
      <c r="H27" s="8">
        <f t="shared" si="4"/>
        <v>0</v>
      </c>
      <c r="I27" s="8">
        <f t="shared" si="4"/>
        <v>0</v>
      </c>
      <c r="J27" s="8">
        <f t="shared" si="4"/>
        <v>0</v>
      </c>
    </row>
    <row r="28" spans="1:10" x14ac:dyDescent="0.25">
      <c r="A28" s="7" t="str">
        <f>PL!A26</f>
        <v>公允价值变动收益(万元)</v>
      </c>
      <c r="B28" s="41" t="e">
        <f>PL!#REF!</f>
        <v>#REF!</v>
      </c>
      <c r="C28" s="41">
        <f>PL!C26</f>
        <v>-36168</v>
      </c>
      <c r="D28" s="41">
        <f>PL!B26</f>
        <v>28965</v>
      </c>
      <c r="E28" s="8">
        <f t="shared" si="4"/>
        <v>31861.500000000004</v>
      </c>
      <c r="F28" s="8">
        <f t="shared" si="4"/>
        <v>35047.650000000009</v>
      </c>
      <c r="G28" s="8">
        <f t="shared" si="4"/>
        <v>38552.415000000015</v>
      </c>
      <c r="H28" s="8">
        <f t="shared" si="4"/>
        <v>42407.656500000019</v>
      </c>
      <c r="I28" s="8">
        <f t="shared" si="4"/>
        <v>46648.422150000028</v>
      </c>
      <c r="J28" s="8">
        <f t="shared" si="4"/>
        <v>51313.264365000032</v>
      </c>
    </row>
    <row r="29" spans="1:10" hidden="1" x14ac:dyDescent="0.25">
      <c r="A29" s="7" t="str">
        <f>PL!A27</f>
        <v>投资收益(万元)</v>
      </c>
      <c r="B29" s="41" t="e">
        <f>PL!#REF!</f>
        <v>#REF!</v>
      </c>
      <c r="C29" s="41">
        <f>PL!C27</f>
        <v>63746</v>
      </c>
      <c r="D29" s="41">
        <f>PL!B27</f>
        <v>38285</v>
      </c>
      <c r="E29" s="8">
        <f t="shared" si="4"/>
        <v>42113.5</v>
      </c>
      <c r="F29" s="8">
        <f t="shared" si="4"/>
        <v>46324.850000000006</v>
      </c>
      <c r="G29" s="8">
        <f t="shared" si="4"/>
        <v>50957.335000000014</v>
      </c>
      <c r="H29" s="8">
        <f t="shared" si="4"/>
        <v>56053.068500000023</v>
      </c>
      <c r="I29" s="8">
        <f t="shared" si="4"/>
        <v>61658.375350000031</v>
      </c>
      <c r="J29" s="8">
        <f t="shared" si="4"/>
        <v>67824.212885000044</v>
      </c>
    </row>
    <row r="30" spans="1:10" ht="28" hidden="1" x14ac:dyDescent="0.25">
      <c r="A30" s="7" t="str">
        <f>PL!A28</f>
        <v>对联营企业和合营企业的投资收益(万元)</v>
      </c>
      <c r="B30" s="41" t="e">
        <f>PL!#REF!</f>
        <v>#REF!</v>
      </c>
      <c r="C30" s="41">
        <f>PL!C28</f>
        <v>12827</v>
      </c>
      <c r="D30" s="41">
        <f>PL!B28</f>
        <v>13953</v>
      </c>
      <c r="E30" s="8">
        <f t="shared" si="4"/>
        <v>15348.300000000001</v>
      </c>
      <c r="F30" s="8">
        <f t="shared" si="4"/>
        <v>16883.13</v>
      </c>
      <c r="G30" s="8">
        <f t="shared" si="4"/>
        <v>18571.443000000003</v>
      </c>
      <c r="H30" s="8">
        <f t="shared" si="4"/>
        <v>20428.587300000007</v>
      </c>
      <c r="I30" s="8">
        <f t="shared" si="4"/>
        <v>22471.44603000001</v>
      </c>
      <c r="J30" s="8">
        <f t="shared" si="4"/>
        <v>24718.590633000014</v>
      </c>
    </row>
    <row r="31" spans="1:10" hidden="1" x14ac:dyDescent="0.25">
      <c r="A31" s="7" t="str">
        <f>PL!A29</f>
        <v>汇兑收益(万元)</v>
      </c>
      <c r="B31" s="41" t="e">
        <f>PL!#REF!</f>
        <v>#REF!</v>
      </c>
      <c r="C31" s="41">
        <f>PL!C29</f>
        <v>0</v>
      </c>
      <c r="D31" s="41">
        <f>PL!B29</f>
        <v>0</v>
      </c>
      <c r="E31" s="8">
        <f t="shared" si="4"/>
        <v>0</v>
      </c>
      <c r="F31" s="8">
        <f t="shared" si="4"/>
        <v>0</v>
      </c>
      <c r="G31" s="8">
        <f t="shared" si="4"/>
        <v>0</v>
      </c>
      <c r="H31" s="8">
        <f t="shared" si="4"/>
        <v>0</v>
      </c>
      <c r="I31" s="8">
        <f t="shared" si="4"/>
        <v>0</v>
      </c>
      <c r="J31" s="8">
        <f t="shared" si="4"/>
        <v>0</v>
      </c>
    </row>
    <row r="32" spans="1:10" x14ac:dyDescent="0.25">
      <c r="A32" s="7" t="str">
        <f>PL!A30</f>
        <v>期货损益(万元)</v>
      </c>
      <c r="B32" s="41" t="e">
        <f>PL!#REF!</f>
        <v>#REF!</v>
      </c>
      <c r="C32" s="41">
        <f>PL!C30</f>
        <v>0</v>
      </c>
      <c r="D32" s="41">
        <f>PL!B30</f>
        <v>0</v>
      </c>
      <c r="E32" s="8">
        <f t="shared" si="4"/>
        <v>0</v>
      </c>
      <c r="F32" s="8">
        <f t="shared" si="4"/>
        <v>0</v>
      </c>
      <c r="G32" s="8">
        <f t="shared" si="4"/>
        <v>0</v>
      </c>
      <c r="H32" s="8">
        <f t="shared" si="4"/>
        <v>0</v>
      </c>
      <c r="I32" s="8">
        <f t="shared" si="4"/>
        <v>0</v>
      </c>
      <c r="J32" s="8">
        <f t="shared" si="4"/>
        <v>0</v>
      </c>
    </row>
    <row r="33" spans="1:10" x14ac:dyDescent="0.25">
      <c r="A33" s="7" t="str">
        <f>PL!A31</f>
        <v>托管收益(万元)</v>
      </c>
      <c r="B33" s="41" t="e">
        <f>PL!#REF!</f>
        <v>#REF!</v>
      </c>
      <c r="C33" s="41">
        <f>PL!C31</f>
        <v>0</v>
      </c>
      <c r="D33" s="41">
        <f>PL!B31</f>
        <v>0</v>
      </c>
      <c r="E33" s="8">
        <f t="shared" si="4"/>
        <v>0</v>
      </c>
      <c r="F33" s="8">
        <f t="shared" si="4"/>
        <v>0</v>
      </c>
      <c r="G33" s="8">
        <f t="shared" si="4"/>
        <v>0</v>
      </c>
      <c r="H33" s="8">
        <f t="shared" si="4"/>
        <v>0</v>
      </c>
      <c r="I33" s="8">
        <f t="shared" si="4"/>
        <v>0</v>
      </c>
      <c r="J33" s="8">
        <f t="shared" si="4"/>
        <v>0</v>
      </c>
    </row>
    <row r="34" spans="1:10" x14ac:dyDescent="0.25">
      <c r="A34" s="7" t="str">
        <f>PL!A32</f>
        <v>补贴收入(万元)</v>
      </c>
      <c r="B34" s="41" t="e">
        <f>PL!#REF!</f>
        <v>#REF!</v>
      </c>
      <c r="C34" s="41">
        <f>PL!C32</f>
        <v>0</v>
      </c>
      <c r="D34" s="41">
        <f>PL!B32</f>
        <v>0</v>
      </c>
      <c r="E34" s="8">
        <f t="shared" si="4"/>
        <v>0</v>
      </c>
      <c r="F34" s="8">
        <f t="shared" si="4"/>
        <v>0</v>
      </c>
      <c r="G34" s="8">
        <f t="shared" si="4"/>
        <v>0</v>
      </c>
      <c r="H34" s="8">
        <f t="shared" si="4"/>
        <v>0</v>
      </c>
      <c r="I34" s="8">
        <f t="shared" si="4"/>
        <v>0</v>
      </c>
      <c r="J34" s="8">
        <f t="shared" si="4"/>
        <v>0</v>
      </c>
    </row>
    <row r="35" spans="1:10" x14ac:dyDescent="0.25">
      <c r="A35" s="7" t="str">
        <f>PL!A33</f>
        <v>其他业务利润(万元)</v>
      </c>
      <c r="B35" s="41" t="e">
        <f>PL!#REF!</f>
        <v>#REF!</v>
      </c>
      <c r="C35" s="41">
        <f>PL!C33</f>
        <v>0</v>
      </c>
      <c r="D35" s="41">
        <f>PL!B33</f>
        <v>0</v>
      </c>
      <c r="E35" s="8">
        <f t="shared" si="4"/>
        <v>0</v>
      </c>
      <c r="F35" s="8">
        <f t="shared" si="4"/>
        <v>0</v>
      </c>
      <c r="G35" s="8">
        <f t="shared" si="4"/>
        <v>0</v>
      </c>
      <c r="H35" s="8">
        <f t="shared" si="4"/>
        <v>0</v>
      </c>
      <c r="I35" s="8">
        <f t="shared" si="4"/>
        <v>0</v>
      </c>
      <c r="J35" s="8">
        <f t="shared" si="4"/>
        <v>0</v>
      </c>
    </row>
    <row r="36" spans="1:10" hidden="1" x14ac:dyDescent="0.25">
      <c r="A36" s="7" t="str">
        <f>PL!A34</f>
        <v>营业利润(万元)</v>
      </c>
      <c r="B36" s="41" t="e">
        <f>PL!#REF!</f>
        <v>#REF!</v>
      </c>
      <c r="C36" s="41">
        <f>PL!C34</f>
        <v>787844</v>
      </c>
      <c r="D36" s="41">
        <f>PL!B34</f>
        <v>1377543</v>
      </c>
      <c r="E36" s="8">
        <f t="shared" ref="E36:J45" si="5">D36*(1+$D$134)</f>
        <v>1515297.3</v>
      </c>
      <c r="F36" s="8">
        <f t="shared" si="5"/>
        <v>1666827.0300000003</v>
      </c>
      <c r="G36" s="8">
        <f t="shared" si="5"/>
        <v>1833509.7330000005</v>
      </c>
      <c r="H36" s="8">
        <f t="shared" si="5"/>
        <v>2016860.7063000007</v>
      </c>
      <c r="I36" s="8">
        <f t="shared" si="5"/>
        <v>2218546.7769300011</v>
      </c>
      <c r="J36" s="8">
        <f t="shared" si="5"/>
        <v>2440401.4546230016</v>
      </c>
    </row>
    <row r="37" spans="1:10" hidden="1" x14ac:dyDescent="0.25">
      <c r="A37" s="7" t="str">
        <f>PL!A35</f>
        <v>营业外收入(万元)</v>
      </c>
      <c r="B37" s="41" t="e">
        <f>PL!#REF!</f>
        <v>#REF!</v>
      </c>
      <c r="C37" s="41">
        <f>PL!C35</f>
        <v>12318</v>
      </c>
      <c r="D37" s="41">
        <f>PL!B35</f>
        <v>18269</v>
      </c>
      <c r="E37" s="8">
        <f t="shared" si="5"/>
        <v>20095.900000000001</v>
      </c>
      <c r="F37" s="8">
        <f t="shared" si="5"/>
        <v>22105.49</v>
      </c>
      <c r="G37" s="8">
        <f t="shared" si="5"/>
        <v>24316.039000000004</v>
      </c>
      <c r="H37" s="8">
        <f t="shared" si="5"/>
        <v>26747.642900000006</v>
      </c>
      <c r="I37" s="8">
        <f t="shared" si="5"/>
        <v>29422.407190000009</v>
      </c>
      <c r="J37" s="8">
        <f t="shared" si="5"/>
        <v>32364.647909000014</v>
      </c>
    </row>
    <row r="38" spans="1:10" hidden="1" x14ac:dyDescent="0.25">
      <c r="A38" s="7" t="str">
        <f>PL!A36</f>
        <v>营业外支出(万元)</v>
      </c>
      <c r="B38" s="41" t="e">
        <f>PL!#REF!</f>
        <v>#REF!</v>
      </c>
      <c r="C38" s="41">
        <f>PL!C36</f>
        <v>45138</v>
      </c>
      <c r="D38" s="41">
        <f>PL!B36</f>
        <v>50380</v>
      </c>
      <c r="E38" s="8">
        <f t="shared" si="5"/>
        <v>55418.000000000007</v>
      </c>
      <c r="F38" s="8">
        <f t="shared" si="5"/>
        <v>60959.80000000001</v>
      </c>
      <c r="G38" s="8">
        <f t="shared" si="5"/>
        <v>67055.780000000013</v>
      </c>
      <c r="H38" s="8">
        <f t="shared" si="5"/>
        <v>73761.358000000022</v>
      </c>
      <c r="I38" s="8">
        <f t="shared" si="5"/>
        <v>81137.493800000026</v>
      </c>
      <c r="J38" s="8">
        <f t="shared" si="5"/>
        <v>89251.243180000034</v>
      </c>
    </row>
    <row r="39" spans="1:10" hidden="1" x14ac:dyDescent="0.25">
      <c r="A39" s="7" t="str">
        <f>PL!A37</f>
        <v>非流动资产处置损失(万元)</v>
      </c>
      <c r="B39" s="41" t="e">
        <f>PL!#REF!</f>
        <v>#REF!</v>
      </c>
      <c r="C39" s="41">
        <f>PL!C37</f>
        <v>0</v>
      </c>
      <c r="D39" s="41">
        <f>PL!B37</f>
        <v>0</v>
      </c>
      <c r="E39" s="8">
        <f t="shared" si="5"/>
        <v>0</v>
      </c>
      <c r="F39" s="8">
        <f t="shared" si="5"/>
        <v>0</v>
      </c>
      <c r="G39" s="8">
        <f t="shared" si="5"/>
        <v>0</v>
      </c>
      <c r="H39" s="8">
        <f t="shared" si="5"/>
        <v>0</v>
      </c>
      <c r="I39" s="8">
        <f t="shared" si="5"/>
        <v>0</v>
      </c>
      <c r="J39" s="8">
        <f t="shared" si="5"/>
        <v>0</v>
      </c>
    </row>
    <row r="40" spans="1:10" x14ac:dyDescent="0.25">
      <c r="A40" s="7" t="str">
        <f>PL!A38</f>
        <v>利润总额(万元)</v>
      </c>
      <c r="B40" s="41" t="e">
        <f>PL!#REF!</f>
        <v>#REF!</v>
      </c>
      <c r="C40" s="41">
        <f>PL!C38</f>
        <v>755024</v>
      </c>
      <c r="D40" s="41">
        <f>PL!B38</f>
        <v>1345432</v>
      </c>
      <c r="E40" s="8">
        <f t="shared" si="5"/>
        <v>1479975.2000000002</v>
      </c>
      <c r="F40" s="8">
        <f t="shared" si="5"/>
        <v>1627972.7200000004</v>
      </c>
      <c r="G40" s="8">
        <f t="shared" si="5"/>
        <v>1790769.9920000006</v>
      </c>
      <c r="H40" s="8">
        <f t="shared" si="5"/>
        <v>1969846.9912000007</v>
      </c>
      <c r="I40" s="8">
        <f t="shared" si="5"/>
        <v>2166831.690320001</v>
      </c>
      <c r="J40" s="8">
        <f t="shared" si="5"/>
        <v>2383514.8593520015</v>
      </c>
    </row>
    <row r="41" spans="1:10" x14ac:dyDescent="0.25">
      <c r="A41" s="7" t="str">
        <f>PL!A39</f>
        <v>所得税费用(万元)</v>
      </c>
      <c r="B41" s="41" t="e">
        <f>PL!#REF!</f>
        <v>#REF!</v>
      </c>
      <c r="C41" s="41">
        <f>PL!C39</f>
        <v>124676</v>
      </c>
      <c r="D41" s="41">
        <f>PL!B39</f>
        <v>195987</v>
      </c>
      <c r="E41" s="8">
        <f t="shared" si="5"/>
        <v>215585.7</v>
      </c>
      <c r="F41" s="8">
        <f t="shared" si="5"/>
        <v>237144.27000000002</v>
      </c>
      <c r="G41" s="8">
        <f t="shared" si="5"/>
        <v>260858.69700000004</v>
      </c>
      <c r="H41" s="8">
        <f t="shared" si="5"/>
        <v>286944.56670000008</v>
      </c>
      <c r="I41" s="8">
        <f t="shared" si="5"/>
        <v>315639.02337000013</v>
      </c>
      <c r="J41" s="8">
        <f t="shared" si="5"/>
        <v>347202.92570700019</v>
      </c>
    </row>
    <row r="42" spans="1:10" x14ac:dyDescent="0.25">
      <c r="A42" s="7" t="str">
        <f>PL!A40</f>
        <v>未确认投资损失(万元)</v>
      </c>
      <c r="B42" s="41" t="e">
        <f>PL!#REF!</f>
        <v>#REF!</v>
      </c>
      <c r="C42" s="41">
        <f>PL!C40</f>
        <v>0</v>
      </c>
      <c r="D42" s="41">
        <f>PL!B40</f>
        <v>0</v>
      </c>
      <c r="E42" s="8">
        <f t="shared" si="5"/>
        <v>0</v>
      </c>
      <c r="F42" s="8">
        <f t="shared" si="5"/>
        <v>0</v>
      </c>
      <c r="G42" s="8">
        <f t="shared" si="5"/>
        <v>0</v>
      </c>
      <c r="H42" s="8">
        <f t="shared" si="5"/>
        <v>0</v>
      </c>
      <c r="I42" s="8">
        <f t="shared" si="5"/>
        <v>0</v>
      </c>
      <c r="J42" s="8">
        <f t="shared" si="5"/>
        <v>0</v>
      </c>
    </row>
    <row r="43" spans="1:10" x14ac:dyDescent="0.25">
      <c r="A43" s="7" t="str">
        <f>PL!A41</f>
        <v>净利润(万元)</v>
      </c>
      <c r="B43" s="41" t="e">
        <f>PL!#REF!</f>
        <v>#REF!</v>
      </c>
      <c r="C43" s="41">
        <f>PL!C41</f>
        <v>630349</v>
      </c>
      <c r="D43" s="41">
        <f>PL!B41</f>
        <v>1149445</v>
      </c>
      <c r="E43" s="8">
        <f t="shared" si="5"/>
        <v>1264389.5</v>
      </c>
      <c r="F43" s="8">
        <f t="shared" si="5"/>
        <v>1390828.4500000002</v>
      </c>
      <c r="G43" s="8">
        <f t="shared" si="5"/>
        <v>1529911.2950000004</v>
      </c>
      <c r="H43" s="8">
        <f t="shared" si="5"/>
        <v>1682902.4245000007</v>
      </c>
      <c r="I43" s="8">
        <f t="shared" si="5"/>
        <v>1851192.6669500009</v>
      </c>
      <c r="J43" s="8">
        <f t="shared" si="5"/>
        <v>2036311.9336450011</v>
      </c>
    </row>
    <row r="44" spans="1:10" hidden="1" x14ac:dyDescent="0.25">
      <c r="A44" s="7" t="str">
        <f>PL!A42</f>
        <v>归属于母公司所有者的净利润(万元)</v>
      </c>
      <c r="B44" s="41" t="e">
        <f>PL!#REF!</f>
        <v>#REF!</v>
      </c>
      <c r="C44" s="41">
        <f>PL!C42</f>
        <v>611629</v>
      </c>
      <c r="D44" s="41">
        <f>PL!B42</f>
        <v>1120666</v>
      </c>
      <c r="E44" s="8">
        <f t="shared" si="5"/>
        <v>1232732.6000000001</v>
      </c>
      <c r="F44" s="8">
        <f t="shared" si="5"/>
        <v>1356005.86</v>
      </c>
      <c r="G44" s="8">
        <f t="shared" si="5"/>
        <v>1491606.4460000002</v>
      </c>
      <c r="H44" s="8">
        <f t="shared" si="5"/>
        <v>1640767.0906000005</v>
      </c>
      <c r="I44" s="8">
        <f t="shared" si="5"/>
        <v>1804843.7996600007</v>
      </c>
      <c r="J44" s="8">
        <f t="shared" si="5"/>
        <v>1985328.179626001</v>
      </c>
    </row>
    <row r="45" spans="1:10" hidden="1" x14ac:dyDescent="0.25">
      <c r="A45" s="7" t="str">
        <f>PL!A43</f>
        <v>被合并方在合并前实现净利润(万元)</v>
      </c>
      <c r="B45" s="41" t="e">
        <f>PL!#REF!</f>
        <v>#REF!</v>
      </c>
      <c r="C45" s="41">
        <f>PL!C43</f>
        <v>0</v>
      </c>
      <c r="D45" s="41">
        <f>PL!B43</f>
        <v>0</v>
      </c>
      <c r="E45" s="8">
        <f t="shared" si="5"/>
        <v>0</v>
      </c>
      <c r="F45" s="8">
        <f t="shared" si="5"/>
        <v>0</v>
      </c>
      <c r="G45" s="8">
        <f t="shared" si="5"/>
        <v>0</v>
      </c>
      <c r="H45" s="8">
        <f t="shared" si="5"/>
        <v>0</v>
      </c>
      <c r="I45" s="8">
        <f t="shared" si="5"/>
        <v>0</v>
      </c>
      <c r="J45" s="8">
        <f t="shared" si="5"/>
        <v>0</v>
      </c>
    </row>
    <row r="46" spans="1:10" hidden="1" x14ac:dyDescent="0.25">
      <c r="A46" s="7" t="str">
        <f>PL!A44</f>
        <v>少数股东损益(万元)</v>
      </c>
      <c r="B46" s="41" t="e">
        <f>PL!#REF!</f>
        <v>#REF!</v>
      </c>
      <c r="C46" s="41">
        <f>PL!C44</f>
        <v>18720</v>
      </c>
      <c r="D46" s="41">
        <f>PL!B44</f>
        <v>28779</v>
      </c>
      <c r="E46" s="8">
        <f t="shared" ref="E46:J55" si="6">D46*(1+$D$134)</f>
        <v>31656.9</v>
      </c>
      <c r="F46" s="8">
        <f t="shared" si="6"/>
        <v>34822.590000000004</v>
      </c>
      <c r="G46" s="8">
        <f t="shared" si="6"/>
        <v>38304.849000000009</v>
      </c>
      <c r="H46" s="8">
        <f t="shared" si="6"/>
        <v>42135.333900000012</v>
      </c>
      <c r="I46" s="8">
        <f t="shared" si="6"/>
        <v>46348.867290000017</v>
      </c>
      <c r="J46" s="8">
        <f t="shared" si="6"/>
        <v>50983.754019000022</v>
      </c>
    </row>
    <row r="47" spans="1:10" hidden="1" x14ac:dyDescent="0.25">
      <c r="A47" s="7" t="str">
        <f>PL!A45</f>
        <v>每股权益</v>
      </c>
      <c r="B47" s="41" t="e">
        <f>PL!#REF!</f>
        <v>#REF!</v>
      </c>
      <c r="C47" s="41">
        <f>PL!C45</f>
        <v>0</v>
      </c>
      <c r="D47" s="41">
        <f>PL!B45</f>
        <v>0</v>
      </c>
      <c r="E47" s="8">
        <f t="shared" si="6"/>
        <v>0</v>
      </c>
      <c r="F47" s="8">
        <f t="shared" si="6"/>
        <v>0</v>
      </c>
      <c r="G47" s="8">
        <f t="shared" si="6"/>
        <v>0</v>
      </c>
      <c r="H47" s="8">
        <f t="shared" si="6"/>
        <v>0</v>
      </c>
      <c r="I47" s="8">
        <f t="shared" si="6"/>
        <v>0</v>
      </c>
      <c r="J47" s="8">
        <f t="shared" si="6"/>
        <v>0</v>
      </c>
    </row>
    <row r="48" spans="1:10" hidden="1" x14ac:dyDescent="0.25">
      <c r="A48" s="7" t="str">
        <f>PL!A46</f>
        <v>基本每股收益</v>
      </c>
      <c r="B48" s="41" t="e">
        <f>PL!#REF!</f>
        <v>#REF!</v>
      </c>
      <c r="C48" s="41">
        <f>PL!C46</f>
        <v>0.79</v>
      </c>
      <c r="D48" s="41">
        <f>PL!B46</f>
        <v>1.36</v>
      </c>
      <c r="E48" s="8">
        <f t="shared" si="6"/>
        <v>1.4960000000000002</v>
      </c>
      <c r="F48" s="8">
        <f t="shared" si="6"/>
        <v>1.6456000000000004</v>
      </c>
      <c r="G48" s="8">
        <f t="shared" si="6"/>
        <v>1.8101600000000007</v>
      </c>
      <c r="H48" s="8">
        <f t="shared" si="6"/>
        <v>1.9911760000000009</v>
      </c>
      <c r="I48" s="8">
        <f t="shared" si="6"/>
        <v>2.1902936000000013</v>
      </c>
      <c r="J48" s="8">
        <f t="shared" si="6"/>
        <v>2.4093229600000017</v>
      </c>
    </row>
    <row r="49" spans="1:10" hidden="1" x14ac:dyDescent="0.25">
      <c r="A49" s="7" t="str">
        <f>PL!A47</f>
        <v>稀释每股收益</v>
      </c>
      <c r="B49" s="41" t="e">
        <f>PL!#REF!</f>
        <v>#REF!</v>
      </c>
      <c r="C49" s="41">
        <f>PL!C47</f>
        <v>0.75</v>
      </c>
      <c r="D49" s="41">
        <f>PL!B47</f>
        <v>1.35</v>
      </c>
      <c r="E49" s="8">
        <f t="shared" si="6"/>
        <v>1.4850000000000003</v>
      </c>
      <c r="F49" s="8">
        <f t="shared" si="6"/>
        <v>1.6335000000000004</v>
      </c>
      <c r="G49" s="8">
        <f t="shared" si="6"/>
        <v>1.7968500000000005</v>
      </c>
      <c r="H49" s="8">
        <f t="shared" si="6"/>
        <v>1.9765350000000008</v>
      </c>
      <c r="I49" s="8">
        <f t="shared" si="6"/>
        <v>2.174188500000001</v>
      </c>
      <c r="J49" s="8">
        <f t="shared" si="6"/>
        <v>2.3916073500000015</v>
      </c>
    </row>
    <row r="50" spans="1:10" hidden="1" x14ac:dyDescent="0.25">
      <c r="A50" s="7">
        <f>PL!A48</f>
        <v>0</v>
      </c>
      <c r="B50" s="41" t="e">
        <f>PL!#REF!</f>
        <v>#REF!</v>
      </c>
      <c r="C50" s="41">
        <f>PL!C48</f>
        <v>0</v>
      </c>
      <c r="D50" s="41">
        <f>PL!B48</f>
        <v>0</v>
      </c>
      <c r="E50" s="8">
        <f t="shared" si="6"/>
        <v>0</v>
      </c>
      <c r="F50" s="8">
        <f t="shared" si="6"/>
        <v>0</v>
      </c>
      <c r="G50" s="8">
        <f t="shared" si="6"/>
        <v>0</v>
      </c>
      <c r="H50" s="8">
        <f t="shared" si="6"/>
        <v>0</v>
      </c>
      <c r="I50" s="8">
        <f t="shared" si="6"/>
        <v>0</v>
      </c>
      <c r="J50" s="8">
        <f t="shared" si="6"/>
        <v>0</v>
      </c>
    </row>
    <row r="51" spans="1:10" hidden="1" x14ac:dyDescent="0.25">
      <c r="A51" s="7">
        <f>PL!A49</f>
        <v>0</v>
      </c>
      <c r="B51" s="41" t="e">
        <f>PL!#REF!</f>
        <v>#REF!</v>
      </c>
      <c r="C51" s="41">
        <f>PL!C49</f>
        <v>0</v>
      </c>
      <c r="D51" s="41">
        <f>PL!B49</f>
        <v>0</v>
      </c>
      <c r="E51" s="8">
        <f t="shared" si="6"/>
        <v>0</v>
      </c>
      <c r="F51" s="8">
        <f t="shared" si="6"/>
        <v>0</v>
      </c>
      <c r="G51" s="8">
        <f t="shared" si="6"/>
        <v>0</v>
      </c>
      <c r="H51" s="8">
        <f t="shared" si="6"/>
        <v>0</v>
      </c>
      <c r="I51" s="8">
        <f t="shared" si="6"/>
        <v>0</v>
      </c>
      <c r="J51" s="8">
        <f t="shared" si="6"/>
        <v>0</v>
      </c>
    </row>
    <row r="52" spans="1:10" x14ac:dyDescent="0.25">
      <c r="A52" s="7">
        <f>PL!A50</f>
        <v>0</v>
      </c>
      <c r="B52" s="41" t="e">
        <f>PL!#REF!</f>
        <v>#REF!</v>
      </c>
      <c r="C52" s="41">
        <f>PL!C50</f>
        <v>0</v>
      </c>
      <c r="D52" s="41">
        <f>PL!B50</f>
        <v>0</v>
      </c>
      <c r="E52" s="8">
        <f t="shared" si="6"/>
        <v>0</v>
      </c>
      <c r="F52" s="8">
        <f t="shared" si="6"/>
        <v>0</v>
      </c>
      <c r="G52" s="8">
        <f t="shared" si="6"/>
        <v>0</v>
      </c>
      <c r="H52" s="8">
        <f t="shared" si="6"/>
        <v>0</v>
      </c>
      <c r="I52" s="8">
        <f t="shared" si="6"/>
        <v>0</v>
      </c>
      <c r="J52" s="8">
        <f t="shared" si="6"/>
        <v>0</v>
      </c>
    </row>
    <row r="53" spans="1:10" x14ac:dyDescent="0.25">
      <c r="A53" s="7">
        <f>PL!A51</f>
        <v>0</v>
      </c>
      <c r="B53" s="41" t="e">
        <f>PL!#REF!</f>
        <v>#REF!</v>
      </c>
      <c r="C53" s="41">
        <f>PL!C51</f>
        <v>0</v>
      </c>
      <c r="D53" s="41">
        <f>PL!B51</f>
        <v>0</v>
      </c>
      <c r="E53" s="8">
        <f t="shared" si="6"/>
        <v>0</v>
      </c>
      <c r="F53" s="8">
        <f t="shared" si="6"/>
        <v>0</v>
      </c>
      <c r="G53" s="8">
        <f t="shared" si="6"/>
        <v>0</v>
      </c>
      <c r="H53" s="8">
        <f t="shared" si="6"/>
        <v>0</v>
      </c>
      <c r="I53" s="8">
        <f t="shared" si="6"/>
        <v>0</v>
      </c>
      <c r="J53" s="8">
        <f t="shared" si="6"/>
        <v>0</v>
      </c>
    </row>
    <row r="54" spans="1:10" x14ac:dyDescent="0.25">
      <c r="A54" s="7">
        <f>PL!A52</f>
        <v>0</v>
      </c>
      <c r="B54" s="41" t="e">
        <f>PL!#REF!</f>
        <v>#REF!</v>
      </c>
      <c r="C54" s="41">
        <f>PL!C52</f>
        <v>0</v>
      </c>
      <c r="D54" s="41">
        <f>PL!B52</f>
        <v>0</v>
      </c>
      <c r="E54" s="8">
        <f t="shared" si="6"/>
        <v>0</v>
      </c>
      <c r="F54" s="8">
        <f t="shared" si="6"/>
        <v>0</v>
      </c>
      <c r="G54" s="8">
        <f t="shared" si="6"/>
        <v>0</v>
      </c>
      <c r="H54" s="8">
        <f t="shared" si="6"/>
        <v>0</v>
      </c>
      <c r="I54" s="8">
        <f t="shared" si="6"/>
        <v>0</v>
      </c>
      <c r="J54" s="8">
        <f t="shared" si="6"/>
        <v>0</v>
      </c>
    </row>
    <row r="55" spans="1:10" hidden="1" x14ac:dyDescent="0.25">
      <c r="A55" s="7" t="str">
        <f>PL!A53</f>
        <v>差异</v>
      </c>
      <c r="B55" s="41" t="e">
        <f>PL!#REF!</f>
        <v>#REF!</v>
      </c>
      <c r="C55" s="41">
        <f>PL!C53</f>
        <v>0</v>
      </c>
      <c r="D55" s="41">
        <f>PL!B53</f>
        <v>0</v>
      </c>
      <c r="E55" s="8">
        <f t="shared" si="6"/>
        <v>0</v>
      </c>
      <c r="F55" s="8">
        <f t="shared" si="6"/>
        <v>0</v>
      </c>
      <c r="G55" s="8">
        <f t="shared" si="6"/>
        <v>0</v>
      </c>
      <c r="H55" s="8">
        <f t="shared" si="6"/>
        <v>0</v>
      </c>
      <c r="I55" s="8">
        <f t="shared" si="6"/>
        <v>0</v>
      </c>
      <c r="J55" s="8">
        <f t="shared" si="6"/>
        <v>0</v>
      </c>
    </row>
    <row r="56" spans="1:10" hidden="1" x14ac:dyDescent="0.25">
      <c r="A56" s="7">
        <f>PL!A54</f>
        <v>0</v>
      </c>
      <c r="B56" s="41" t="e">
        <f>PL!#REF!</f>
        <v>#REF!</v>
      </c>
      <c r="C56" s="41">
        <f>PL!C54</f>
        <v>0</v>
      </c>
      <c r="D56" s="41">
        <f>PL!B54</f>
        <v>0</v>
      </c>
      <c r="E56" s="8">
        <f t="shared" ref="E56:J65" si="7">D56*(1+$D$134)</f>
        <v>0</v>
      </c>
      <c r="F56" s="8">
        <f t="shared" si="7"/>
        <v>0</v>
      </c>
      <c r="G56" s="8">
        <f t="shared" si="7"/>
        <v>0</v>
      </c>
      <c r="H56" s="8">
        <f t="shared" si="7"/>
        <v>0</v>
      </c>
      <c r="I56" s="8">
        <f t="shared" si="7"/>
        <v>0</v>
      </c>
      <c r="J56" s="8">
        <f t="shared" si="7"/>
        <v>0</v>
      </c>
    </row>
    <row r="57" spans="1:10" hidden="1" x14ac:dyDescent="0.25">
      <c r="A57" s="7">
        <f>PL!A55</f>
        <v>0</v>
      </c>
      <c r="B57" s="41" t="e">
        <f>PL!#REF!</f>
        <v>#REF!</v>
      </c>
      <c r="C57" s="41">
        <f>PL!C55</f>
        <v>0</v>
      </c>
      <c r="D57" s="41">
        <f>PL!B55</f>
        <v>0</v>
      </c>
      <c r="E57" s="8">
        <f t="shared" si="7"/>
        <v>0</v>
      </c>
      <c r="F57" s="8">
        <f t="shared" si="7"/>
        <v>0</v>
      </c>
      <c r="G57" s="8">
        <f t="shared" si="7"/>
        <v>0</v>
      </c>
      <c r="H57" s="8">
        <f t="shared" si="7"/>
        <v>0</v>
      </c>
      <c r="I57" s="8">
        <f t="shared" si="7"/>
        <v>0</v>
      </c>
      <c r="J57" s="8">
        <f t="shared" si="7"/>
        <v>0</v>
      </c>
    </row>
    <row r="58" spans="1:10" hidden="1" x14ac:dyDescent="0.25">
      <c r="A58" s="7">
        <f>PL!A56</f>
        <v>0</v>
      </c>
      <c r="B58" s="41" t="e">
        <f>PL!#REF!</f>
        <v>#REF!</v>
      </c>
      <c r="C58" s="41">
        <f>PL!C56</f>
        <v>0</v>
      </c>
      <c r="D58" s="41">
        <f>PL!B56</f>
        <v>0</v>
      </c>
      <c r="E58" s="8">
        <f t="shared" si="7"/>
        <v>0</v>
      </c>
      <c r="F58" s="8">
        <f t="shared" si="7"/>
        <v>0</v>
      </c>
      <c r="G58" s="8">
        <f t="shared" si="7"/>
        <v>0</v>
      </c>
      <c r="H58" s="8">
        <f t="shared" si="7"/>
        <v>0</v>
      </c>
      <c r="I58" s="8">
        <f t="shared" si="7"/>
        <v>0</v>
      </c>
      <c r="J58" s="8">
        <f t="shared" si="7"/>
        <v>0</v>
      </c>
    </row>
    <row r="59" spans="1:10" hidden="1" x14ac:dyDescent="0.25">
      <c r="A59" s="7">
        <f>PL!A57</f>
        <v>0</v>
      </c>
      <c r="B59" s="41" t="e">
        <f>PL!#REF!</f>
        <v>#REF!</v>
      </c>
      <c r="C59" s="41">
        <f>PL!C57</f>
        <v>0</v>
      </c>
      <c r="D59" s="41">
        <f>PL!B57</f>
        <v>0</v>
      </c>
      <c r="E59" s="8">
        <f t="shared" si="7"/>
        <v>0</v>
      </c>
      <c r="F59" s="8">
        <f t="shared" si="7"/>
        <v>0</v>
      </c>
      <c r="G59" s="8">
        <f t="shared" si="7"/>
        <v>0</v>
      </c>
      <c r="H59" s="8">
        <f t="shared" si="7"/>
        <v>0</v>
      </c>
      <c r="I59" s="8">
        <f t="shared" si="7"/>
        <v>0</v>
      </c>
      <c r="J59" s="8">
        <f t="shared" si="7"/>
        <v>0</v>
      </c>
    </row>
    <row r="60" spans="1:10" hidden="1" x14ac:dyDescent="0.25">
      <c r="A60" s="7">
        <f>PL!A58</f>
        <v>0</v>
      </c>
      <c r="B60" s="41" t="e">
        <f>PL!#REF!</f>
        <v>#REF!</v>
      </c>
      <c r="C60" s="41">
        <f>PL!C58</f>
        <v>0</v>
      </c>
      <c r="D60" s="41">
        <f>PL!B58</f>
        <v>0</v>
      </c>
      <c r="E60" s="8">
        <f t="shared" si="7"/>
        <v>0</v>
      </c>
      <c r="F60" s="8">
        <f t="shared" si="7"/>
        <v>0</v>
      </c>
      <c r="G60" s="8">
        <f t="shared" si="7"/>
        <v>0</v>
      </c>
      <c r="H60" s="8">
        <f t="shared" si="7"/>
        <v>0</v>
      </c>
      <c r="I60" s="8">
        <f t="shared" si="7"/>
        <v>0</v>
      </c>
      <c r="J60" s="8">
        <f t="shared" si="7"/>
        <v>0</v>
      </c>
    </row>
    <row r="61" spans="1:10" hidden="1" x14ac:dyDescent="0.25">
      <c r="A61" s="7">
        <f>PL!A59</f>
        <v>0</v>
      </c>
      <c r="B61" s="41" t="e">
        <f>PL!#REF!</f>
        <v>#REF!</v>
      </c>
      <c r="C61" s="41">
        <f>PL!C59</f>
        <v>0</v>
      </c>
      <c r="D61" s="41">
        <f>PL!B59</f>
        <v>0</v>
      </c>
      <c r="E61" s="8">
        <f t="shared" si="7"/>
        <v>0</v>
      </c>
      <c r="F61" s="8">
        <f t="shared" si="7"/>
        <v>0</v>
      </c>
      <c r="G61" s="8">
        <f t="shared" si="7"/>
        <v>0</v>
      </c>
      <c r="H61" s="8">
        <f t="shared" si="7"/>
        <v>0</v>
      </c>
      <c r="I61" s="8">
        <f t="shared" si="7"/>
        <v>0</v>
      </c>
      <c r="J61" s="8">
        <f t="shared" si="7"/>
        <v>0</v>
      </c>
    </row>
    <row r="62" spans="1:10" hidden="1" x14ac:dyDescent="0.25">
      <c r="A62" s="7">
        <f>PL!A60</f>
        <v>0</v>
      </c>
      <c r="B62" s="41" t="e">
        <f>PL!#REF!</f>
        <v>#REF!</v>
      </c>
      <c r="C62" s="41">
        <f>PL!C60</f>
        <v>0</v>
      </c>
      <c r="D62" s="41">
        <f>PL!B60</f>
        <v>0</v>
      </c>
      <c r="E62" s="8">
        <f t="shared" si="7"/>
        <v>0</v>
      </c>
      <c r="F62" s="8">
        <f t="shared" si="7"/>
        <v>0</v>
      </c>
      <c r="G62" s="8">
        <f t="shared" si="7"/>
        <v>0</v>
      </c>
      <c r="H62" s="8">
        <f t="shared" si="7"/>
        <v>0</v>
      </c>
      <c r="I62" s="8">
        <f t="shared" si="7"/>
        <v>0</v>
      </c>
      <c r="J62" s="8">
        <f t="shared" si="7"/>
        <v>0</v>
      </c>
    </row>
    <row r="63" spans="1:10" hidden="1" x14ac:dyDescent="0.25">
      <c r="A63" s="7">
        <f>PL!A61</f>
        <v>0</v>
      </c>
      <c r="B63" s="41" t="e">
        <f>PL!#REF!</f>
        <v>#REF!</v>
      </c>
      <c r="C63" s="41">
        <f>PL!C61</f>
        <v>0</v>
      </c>
      <c r="D63" s="41">
        <f>PL!B61</f>
        <v>0</v>
      </c>
      <c r="E63" s="8">
        <f t="shared" si="7"/>
        <v>0</v>
      </c>
      <c r="F63" s="8">
        <f t="shared" si="7"/>
        <v>0</v>
      </c>
      <c r="G63" s="8">
        <f t="shared" si="7"/>
        <v>0</v>
      </c>
      <c r="H63" s="8">
        <f t="shared" si="7"/>
        <v>0</v>
      </c>
      <c r="I63" s="8">
        <f t="shared" si="7"/>
        <v>0</v>
      </c>
      <c r="J63" s="8">
        <f t="shared" si="7"/>
        <v>0</v>
      </c>
    </row>
    <row r="64" spans="1:10" hidden="1" x14ac:dyDescent="0.25">
      <c r="A64" s="7">
        <f>PL!A62</f>
        <v>0</v>
      </c>
      <c r="B64" s="41" t="e">
        <f>PL!#REF!</f>
        <v>#REF!</v>
      </c>
      <c r="C64" s="41">
        <f>PL!C62</f>
        <v>0</v>
      </c>
      <c r="D64" s="41">
        <f>PL!B62</f>
        <v>0</v>
      </c>
      <c r="E64" s="8">
        <f t="shared" si="7"/>
        <v>0</v>
      </c>
      <c r="F64" s="8">
        <f t="shared" si="7"/>
        <v>0</v>
      </c>
      <c r="G64" s="8">
        <f t="shared" si="7"/>
        <v>0</v>
      </c>
      <c r="H64" s="8">
        <f t="shared" si="7"/>
        <v>0</v>
      </c>
      <c r="I64" s="8">
        <f t="shared" si="7"/>
        <v>0</v>
      </c>
      <c r="J64" s="8">
        <f t="shared" si="7"/>
        <v>0</v>
      </c>
    </row>
    <row r="65" spans="1:10" hidden="1" x14ac:dyDescent="0.25">
      <c r="A65" s="7">
        <f>PL!A63</f>
        <v>0</v>
      </c>
      <c r="B65" s="41" t="e">
        <f>PL!#REF!</f>
        <v>#REF!</v>
      </c>
      <c r="C65" s="41">
        <f>PL!C63</f>
        <v>0</v>
      </c>
      <c r="D65" s="41">
        <f>PL!B63</f>
        <v>0</v>
      </c>
      <c r="E65" s="8">
        <f t="shared" si="7"/>
        <v>0</v>
      </c>
      <c r="F65" s="8">
        <f t="shared" si="7"/>
        <v>0</v>
      </c>
      <c r="G65" s="8">
        <f t="shared" si="7"/>
        <v>0</v>
      </c>
      <c r="H65" s="8">
        <f t="shared" si="7"/>
        <v>0</v>
      </c>
      <c r="I65" s="8">
        <f t="shared" si="7"/>
        <v>0</v>
      </c>
      <c r="J65" s="8">
        <f t="shared" si="7"/>
        <v>0</v>
      </c>
    </row>
    <row r="66" spans="1:10" hidden="1" x14ac:dyDescent="0.25">
      <c r="A66" s="7">
        <f>PL!A64</f>
        <v>0</v>
      </c>
      <c r="B66" s="41" t="e">
        <f>PL!#REF!</f>
        <v>#REF!</v>
      </c>
      <c r="C66" s="41">
        <f>PL!C64</f>
        <v>0</v>
      </c>
      <c r="D66" s="41">
        <f>PL!B64</f>
        <v>0</v>
      </c>
      <c r="E66" s="8">
        <f t="shared" ref="E66:J75" si="8">D66*(1+$D$134)</f>
        <v>0</v>
      </c>
      <c r="F66" s="8">
        <f t="shared" si="8"/>
        <v>0</v>
      </c>
      <c r="G66" s="8">
        <f t="shared" si="8"/>
        <v>0</v>
      </c>
      <c r="H66" s="8">
        <f t="shared" si="8"/>
        <v>0</v>
      </c>
      <c r="I66" s="8">
        <f t="shared" si="8"/>
        <v>0</v>
      </c>
      <c r="J66" s="8">
        <f t="shared" si="8"/>
        <v>0</v>
      </c>
    </row>
    <row r="67" spans="1:10" hidden="1" x14ac:dyDescent="0.25">
      <c r="A67" s="7">
        <f>PL!A65</f>
        <v>0</v>
      </c>
      <c r="B67" s="41" t="e">
        <f>PL!#REF!</f>
        <v>#REF!</v>
      </c>
      <c r="C67" s="41">
        <f>PL!C65</f>
        <v>0</v>
      </c>
      <c r="D67" s="41">
        <f>PL!B65</f>
        <v>0</v>
      </c>
      <c r="E67" s="8">
        <f t="shared" si="8"/>
        <v>0</v>
      </c>
      <c r="F67" s="8">
        <f t="shared" si="8"/>
        <v>0</v>
      </c>
      <c r="G67" s="8">
        <f t="shared" si="8"/>
        <v>0</v>
      </c>
      <c r="H67" s="8">
        <f t="shared" si="8"/>
        <v>0</v>
      </c>
      <c r="I67" s="8">
        <f t="shared" si="8"/>
        <v>0</v>
      </c>
      <c r="J67" s="8">
        <f t="shared" si="8"/>
        <v>0</v>
      </c>
    </row>
    <row r="68" spans="1:10" hidden="1" x14ac:dyDescent="0.25">
      <c r="A68" s="7">
        <f>PL!A66</f>
        <v>0</v>
      </c>
      <c r="B68" s="41" t="e">
        <f>PL!#REF!</f>
        <v>#REF!</v>
      </c>
      <c r="C68" s="41">
        <f>PL!C66</f>
        <v>0</v>
      </c>
      <c r="D68" s="41">
        <f>PL!B66</f>
        <v>0</v>
      </c>
      <c r="E68" s="8">
        <f t="shared" si="8"/>
        <v>0</v>
      </c>
      <c r="F68" s="8">
        <f t="shared" si="8"/>
        <v>0</v>
      </c>
      <c r="G68" s="8">
        <f t="shared" si="8"/>
        <v>0</v>
      </c>
      <c r="H68" s="8">
        <f t="shared" si="8"/>
        <v>0</v>
      </c>
      <c r="I68" s="8">
        <f t="shared" si="8"/>
        <v>0</v>
      </c>
      <c r="J68" s="8">
        <f t="shared" si="8"/>
        <v>0</v>
      </c>
    </row>
    <row r="69" spans="1:10" hidden="1" x14ac:dyDescent="0.25">
      <c r="A69" s="7">
        <f>PL!A67</f>
        <v>0</v>
      </c>
      <c r="B69" s="41" t="e">
        <f>PL!#REF!</f>
        <v>#REF!</v>
      </c>
      <c r="C69" s="41">
        <f>PL!C67</f>
        <v>0</v>
      </c>
      <c r="D69" s="41">
        <f>PL!B67</f>
        <v>0</v>
      </c>
      <c r="E69" s="8">
        <f t="shared" si="8"/>
        <v>0</v>
      </c>
      <c r="F69" s="8">
        <f t="shared" si="8"/>
        <v>0</v>
      </c>
      <c r="G69" s="8">
        <f t="shared" si="8"/>
        <v>0</v>
      </c>
      <c r="H69" s="8">
        <f t="shared" si="8"/>
        <v>0</v>
      </c>
      <c r="I69" s="8">
        <f t="shared" si="8"/>
        <v>0</v>
      </c>
      <c r="J69" s="8">
        <f t="shared" si="8"/>
        <v>0</v>
      </c>
    </row>
    <row r="70" spans="1:10" hidden="1" x14ac:dyDescent="0.25">
      <c r="A70" s="7">
        <f>PL!A68</f>
        <v>0</v>
      </c>
      <c r="B70" s="41" t="e">
        <f>PL!#REF!</f>
        <v>#REF!</v>
      </c>
      <c r="C70" s="41">
        <f>PL!C68</f>
        <v>0</v>
      </c>
      <c r="D70" s="41">
        <f>PL!B68</f>
        <v>0</v>
      </c>
      <c r="E70" s="8">
        <f t="shared" si="8"/>
        <v>0</v>
      </c>
      <c r="F70" s="8">
        <f t="shared" si="8"/>
        <v>0</v>
      </c>
      <c r="G70" s="8">
        <f t="shared" si="8"/>
        <v>0</v>
      </c>
      <c r="H70" s="8">
        <f t="shared" si="8"/>
        <v>0</v>
      </c>
      <c r="I70" s="8">
        <f t="shared" si="8"/>
        <v>0</v>
      </c>
      <c r="J70" s="8">
        <f t="shared" si="8"/>
        <v>0</v>
      </c>
    </row>
    <row r="71" spans="1:10" hidden="1" x14ac:dyDescent="0.25">
      <c r="A71" s="7">
        <f>PL!A69</f>
        <v>0</v>
      </c>
      <c r="B71" s="41" t="e">
        <f>PL!#REF!</f>
        <v>#REF!</v>
      </c>
      <c r="C71" s="41">
        <f>PL!C69</f>
        <v>0</v>
      </c>
      <c r="D71" s="41">
        <f>PL!B69</f>
        <v>0</v>
      </c>
      <c r="E71" s="8">
        <f t="shared" si="8"/>
        <v>0</v>
      </c>
      <c r="F71" s="8">
        <f t="shared" si="8"/>
        <v>0</v>
      </c>
      <c r="G71" s="8">
        <f t="shared" si="8"/>
        <v>0</v>
      </c>
      <c r="H71" s="8">
        <f t="shared" si="8"/>
        <v>0</v>
      </c>
      <c r="I71" s="8">
        <f t="shared" si="8"/>
        <v>0</v>
      </c>
      <c r="J71" s="8">
        <f t="shared" si="8"/>
        <v>0</v>
      </c>
    </row>
    <row r="72" spans="1:10" hidden="1" x14ac:dyDescent="0.25">
      <c r="A72" s="7">
        <f>PL!A70</f>
        <v>0</v>
      </c>
      <c r="B72" s="41" t="e">
        <f>PL!#REF!</f>
        <v>#REF!</v>
      </c>
      <c r="C72" s="41">
        <f>PL!C70</f>
        <v>0</v>
      </c>
      <c r="D72" s="41">
        <f>PL!B70</f>
        <v>0</v>
      </c>
      <c r="E72" s="8">
        <f t="shared" si="8"/>
        <v>0</v>
      </c>
      <c r="F72" s="8">
        <f t="shared" si="8"/>
        <v>0</v>
      </c>
      <c r="G72" s="8">
        <f t="shared" si="8"/>
        <v>0</v>
      </c>
      <c r="H72" s="8">
        <f t="shared" si="8"/>
        <v>0</v>
      </c>
      <c r="I72" s="8">
        <f t="shared" si="8"/>
        <v>0</v>
      </c>
      <c r="J72" s="8">
        <f t="shared" si="8"/>
        <v>0</v>
      </c>
    </row>
    <row r="73" spans="1:10" hidden="1" x14ac:dyDescent="0.25">
      <c r="A73" s="7">
        <f>PL!A71</f>
        <v>0</v>
      </c>
      <c r="B73" s="41" t="e">
        <f>PL!#REF!</f>
        <v>#REF!</v>
      </c>
      <c r="C73" s="41">
        <f>PL!C71</f>
        <v>0</v>
      </c>
      <c r="D73" s="41">
        <f>PL!B71</f>
        <v>0</v>
      </c>
      <c r="E73" s="8">
        <f t="shared" si="8"/>
        <v>0</v>
      </c>
      <c r="F73" s="8">
        <f t="shared" si="8"/>
        <v>0</v>
      </c>
      <c r="G73" s="8">
        <f t="shared" si="8"/>
        <v>0</v>
      </c>
      <c r="H73" s="8">
        <f t="shared" si="8"/>
        <v>0</v>
      </c>
      <c r="I73" s="8">
        <f t="shared" si="8"/>
        <v>0</v>
      </c>
      <c r="J73" s="8">
        <f t="shared" si="8"/>
        <v>0</v>
      </c>
    </row>
    <row r="74" spans="1:10" hidden="1" x14ac:dyDescent="0.25">
      <c r="A74" s="7">
        <f>PL!A72</f>
        <v>0</v>
      </c>
      <c r="B74" s="41" t="e">
        <f>PL!#REF!</f>
        <v>#REF!</v>
      </c>
      <c r="C74" s="41">
        <f>PL!C72</f>
        <v>0</v>
      </c>
      <c r="D74" s="41">
        <f>PL!B72</f>
        <v>0</v>
      </c>
      <c r="E74" s="8">
        <f t="shared" si="8"/>
        <v>0</v>
      </c>
      <c r="F74" s="8">
        <f t="shared" si="8"/>
        <v>0</v>
      </c>
      <c r="G74" s="8">
        <f t="shared" si="8"/>
        <v>0</v>
      </c>
      <c r="H74" s="8">
        <f t="shared" si="8"/>
        <v>0</v>
      </c>
      <c r="I74" s="8">
        <f t="shared" si="8"/>
        <v>0</v>
      </c>
      <c r="J74" s="8">
        <f t="shared" si="8"/>
        <v>0</v>
      </c>
    </row>
    <row r="75" spans="1:10" hidden="1" x14ac:dyDescent="0.25">
      <c r="A75" s="7">
        <f>PL!A73</f>
        <v>0</v>
      </c>
      <c r="B75" s="41" t="e">
        <f>PL!#REF!</f>
        <v>#REF!</v>
      </c>
      <c r="C75" s="41">
        <f>PL!C73</f>
        <v>0</v>
      </c>
      <c r="D75" s="41">
        <f>PL!B73</f>
        <v>0</v>
      </c>
      <c r="E75" s="8">
        <f t="shared" si="8"/>
        <v>0</v>
      </c>
      <c r="F75" s="8">
        <f t="shared" si="8"/>
        <v>0</v>
      </c>
      <c r="G75" s="8">
        <f t="shared" si="8"/>
        <v>0</v>
      </c>
      <c r="H75" s="8">
        <f t="shared" si="8"/>
        <v>0</v>
      </c>
      <c r="I75" s="8">
        <f t="shared" si="8"/>
        <v>0</v>
      </c>
      <c r="J75" s="8">
        <f t="shared" si="8"/>
        <v>0</v>
      </c>
    </row>
    <row r="76" spans="1:10" hidden="1" x14ac:dyDescent="0.25">
      <c r="A76" s="7">
        <f>PL!A74</f>
        <v>0</v>
      </c>
      <c r="B76" s="41" t="e">
        <f>PL!#REF!</f>
        <v>#REF!</v>
      </c>
      <c r="C76" s="41">
        <f>PL!C74</f>
        <v>0</v>
      </c>
      <c r="D76" s="41">
        <f>PL!B74</f>
        <v>0</v>
      </c>
      <c r="E76" s="8">
        <f t="shared" ref="E76:J85" si="9">D76*(1+$D$134)</f>
        <v>0</v>
      </c>
      <c r="F76" s="8">
        <f t="shared" si="9"/>
        <v>0</v>
      </c>
      <c r="G76" s="8">
        <f t="shared" si="9"/>
        <v>0</v>
      </c>
      <c r="H76" s="8">
        <f t="shared" si="9"/>
        <v>0</v>
      </c>
      <c r="I76" s="8">
        <f t="shared" si="9"/>
        <v>0</v>
      </c>
      <c r="J76" s="8">
        <f t="shared" si="9"/>
        <v>0</v>
      </c>
    </row>
    <row r="77" spans="1:10" hidden="1" x14ac:dyDescent="0.25">
      <c r="A77" s="7">
        <f>PL!A75</f>
        <v>0</v>
      </c>
      <c r="B77" s="41" t="e">
        <f>PL!#REF!</f>
        <v>#REF!</v>
      </c>
      <c r="C77" s="41">
        <f>PL!C75</f>
        <v>0</v>
      </c>
      <c r="D77" s="41">
        <f>PL!B75</f>
        <v>0</v>
      </c>
      <c r="E77" s="8">
        <f t="shared" si="9"/>
        <v>0</v>
      </c>
      <c r="F77" s="8">
        <f t="shared" si="9"/>
        <v>0</v>
      </c>
      <c r="G77" s="8">
        <f t="shared" si="9"/>
        <v>0</v>
      </c>
      <c r="H77" s="8">
        <f t="shared" si="9"/>
        <v>0</v>
      </c>
      <c r="I77" s="8">
        <f t="shared" si="9"/>
        <v>0</v>
      </c>
      <c r="J77" s="8">
        <f t="shared" si="9"/>
        <v>0</v>
      </c>
    </row>
    <row r="78" spans="1:10" hidden="1" x14ac:dyDescent="0.25">
      <c r="A78" s="7">
        <f>PL!A76</f>
        <v>0</v>
      </c>
      <c r="B78" s="41" t="e">
        <f>PL!#REF!</f>
        <v>#REF!</v>
      </c>
      <c r="C78" s="41">
        <f>PL!C76</f>
        <v>0</v>
      </c>
      <c r="D78" s="41">
        <f>PL!B76</f>
        <v>0</v>
      </c>
      <c r="E78" s="8">
        <f t="shared" si="9"/>
        <v>0</v>
      </c>
      <c r="F78" s="8">
        <f t="shared" si="9"/>
        <v>0</v>
      </c>
      <c r="G78" s="8">
        <f t="shared" si="9"/>
        <v>0</v>
      </c>
      <c r="H78" s="8">
        <f t="shared" si="9"/>
        <v>0</v>
      </c>
      <c r="I78" s="8">
        <f t="shared" si="9"/>
        <v>0</v>
      </c>
      <c r="J78" s="8">
        <f t="shared" si="9"/>
        <v>0</v>
      </c>
    </row>
    <row r="79" spans="1:10" hidden="1" x14ac:dyDescent="0.25">
      <c r="A79" s="7">
        <f>PL!A77</f>
        <v>0</v>
      </c>
      <c r="B79" s="41" t="e">
        <f>PL!#REF!</f>
        <v>#REF!</v>
      </c>
      <c r="C79" s="41">
        <f>PL!C77</f>
        <v>0</v>
      </c>
      <c r="D79" s="41">
        <f>PL!B77</f>
        <v>0</v>
      </c>
      <c r="E79" s="8">
        <f t="shared" si="9"/>
        <v>0</v>
      </c>
      <c r="F79" s="8">
        <f t="shared" si="9"/>
        <v>0</v>
      </c>
      <c r="G79" s="8">
        <f t="shared" si="9"/>
        <v>0</v>
      </c>
      <c r="H79" s="8">
        <f t="shared" si="9"/>
        <v>0</v>
      </c>
      <c r="I79" s="8">
        <f t="shared" si="9"/>
        <v>0</v>
      </c>
      <c r="J79" s="8">
        <f t="shared" si="9"/>
        <v>0</v>
      </c>
    </row>
    <row r="80" spans="1:10" hidden="1" x14ac:dyDescent="0.25">
      <c r="A80" s="7">
        <f>PL!A78</f>
        <v>0</v>
      </c>
      <c r="B80" s="41" t="e">
        <f>PL!#REF!</f>
        <v>#REF!</v>
      </c>
      <c r="C80" s="41">
        <f>PL!C78</f>
        <v>0</v>
      </c>
      <c r="D80" s="41">
        <f>PL!B78</f>
        <v>0</v>
      </c>
      <c r="E80" s="8">
        <f t="shared" si="9"/>
        <v>0</v>
      </c>
      <c r="F80" s="8">
        <f t="shared" si="9"/>
        <v>0</v>
      </c>
      <c r="G80" s="8">
        <f t="shared" si="9"/>
        <v>0</v>
      </c>
      <c r="H80" s="8">
        <f t="shared" si="9"/>
        <v>0</v>
      </c>
      <c r="I80" s="8">
        <f t="shared" si="9"/>
        <v>0</v>
      </c>
      <c r="J80" s="8">
        <f t="shared" si="9"/>
        <v>0</v>
      </c>
    </row>
    <row r="81" spans="1:10" hidden="1" x14ac:dyDescent="0.25">
      <c r="A81" s="7">
        <f>PL!A79</f>
        <v>0</v>
      </c>
      <c r="B81" s="41" t="e">
        <f>PL!#REF!</f>
        <v>#REF!</v>
      </c>
      <c r="C81" s="41">
        <f>PL!C79</f>
        <v>0</v>
      </c>
      <c r="D81" s="41">
        <f>PL!B79</f>
        <v>0</v>
      </c>
      <c r="E81" s="8">
        <f t="shared" si="9"/>
        <v>0</v>
      </c>
      <c r="F81" s="8">
        <f t="shared" si="9"/>
        <v>0</v>
      </c>
      <c r="G81" s="8">
        <f t="shared" si="9"/>
        <v>0</v>
      </c>
      <c r="H81" s="8">
        <f t="shared" si="9"/>
        <v>0</v>
      </c>
      <c r="I81" s="8">
        <f t="shared" si="9"/>
        <v>0</v>
      </c>
      <c r="J81" s="8">
        <f t="shared" si="9"/>
        <v>0</v>
      </c>
    </row>
    <row r="82" spans="1:10" hidden="1" x14ac:dyDescent="0.25">
      <c r="A82" s="7">
        <f>PL!A80</f>
        <v>0</v>
      </c>
      <c r="B82" s="41" t="e">
        <f>PL!#REF!</f>
        <v>#REF!</v>
      </c>
      <c r="C82" s="41">
        <f>PL!C80</f>
        <v>0</v>
      </c>
      <c r="D82" s="41">
        <f>PL!B80</f>
        <v>0</v>
      </c>
      <c r="E82" s="8">
        <f t="shared" si="9"/>
        <v>0</v>
      </c>
      <c r="F82" s="8">
        <f t="shared" si="9"/>
        <v>0</v>
      </c>
      <c r="G82" s="8">
        <f t="shared" si="9"/>
        <v>0</v>
      </c>
      <c r="H82" s="8">
        <f t="shared" si="9"/>
        <v>0</v>
      </c>
      <c r="I82" s="8">
        <f t="shared" si="9"/>
        <v>0</v>
      </c>
      <c r="J82" s="8">
        <f t="shared" si="9"/>
        <v>0</v>
      </c>
    </row>
    <row r="83" spans="1:10" hidden="1" x14ac:dyDescent="0.25">
      <c r="A83" s="7">
        <f>PL!A81</f>
        <v>0</v>
      </c>
      <c r="B83" s="41" t="e">
        <f>PL!#REF!</f>
        <v>#REF!</v>
      </c>
      <c r="C83" s="41">
        <f>PL!C81</f>
        <v>0</v>
      </c>
      <c r="D83" s="41">
        <f>PL!B81</f>
        <v>0</v>
      </c>
      <c r="E83" s="8">
        <f t="shared" si="9"/>
        <v>0</v>
      </c>
      <c r="F83" s="8">
        <f t="shared" si="9"/>
        <v>0</v>
      </c>
      <c r="G83" s="8">
        <f t="shared" si="9"/>
        <v>0</v>
      </c>
      <c r="H83" s="8">
        <f t="shared" si="9"/>
        <v>0</v>
      </c>
      <c r="I83" s="8">
        <f t="shared" si="9"/>
        <v>0</v>
      </c>
      <c r="J83" s="8">
        <f t="shared" si="9"/>
        <v>0</v>
      </c>
    </row>
    <row r="84" spans="1:10" hidden="1" x14ac:dyDescent="0.25">
      <c r="A84" s="7">
        <f>PL!A82</f>
        <v>0</v>
      </c>
      <c r="B84" s="41" t="e">
        <f>PL!#REF!</f>
        <v>#REF!</v>
      </c>
      <c r="C84" s="41">
        <f>PL!C82</f>
        <v>0</v>
      </c>
      <c r="D84" s="41">
        <f>PL!B82</f>
        <v>0</v>
      </c>
      <c r="E84" s="8">
        <f t="shared" si="9"/>
        <v>0</v>
      </c>
      <c r="F84" s="8">
        <f t="shared" si="9"/>
        <v>0</v>
      </c>
      <c r="G84" s="8">
        <f t="shared" si="9"/>
        <v>0</v>
      </c>
      <c r="H84" s="8">
        <f t="shared" si="9"/>
        <v>0</v>
      </c>
      <c r="I84" s="8">
        <f t="shared" si="9"/>
        <v>0</v>
      </c>
      <c r="J84" s="8">
        <f t="shared" si="9"/>
        <v>0</v>
      </c>
    </row>
    <row r="85" spans="1:10" hidden="1" x14ac:dyDescent="0.25">
      <c r="A85" s="7">
        <f>PL!A83</f>
        <v>0</v>
      </c>
      <c r="B85" s="41" t="e">
        <f>PL!#REF!</f>
        <v>#REF!</v>
      </c>
      <c r="C85" s="41">
        <f>PL!C83</f>
        <v>0</v>
      </c>
      <c r="D85" s="41">
        <f>PL!B83</f>
        <v>0</v>
      </c>
      <c r="E85" s="8">
        <f t="shared" si="9"/>
        <v>0</v>
      </c>
      <c r="F85" s="8">
        <f t="shared" si="9"/>
        <v>0</v>
      </c>
      <c r="G85" s="8">
        <f t="shared" si="9"/>
        <v>0</v>
      </c>
      <c r="H85" s="8">
        <f t="shared" si="9"/>
        <v>0</v>
      </c>
      <c r="I85" s="8">
        <f t="shared" si="9"/>
        <v>0</v>
      </c>
      <c r="J85" s="8">
        <f t="shared" si="9"/>
        <v>0</v>
      </c>
    </row>
    <row r="86" spans="1:10" x14ac:dyDescent="0.25">
      <c r="A86" s="7">
        <f>PL!A84</f>
        <v>0</v>
      </c>
      <c r="B86" s="41" t="e">
        <f>PL!#REF!</f>
        <v>#REF!</v>
      </c>
      <c r="C86" s="41">
        <f>PL!C84</f>
        <v>0</v>
      </c>
      <c r="D86" s="41">
        <f>PL!B84</f>
        <v>0</v>
      </c>
      <c r="E86" s="8">
        <f t="shared" ref="E86:J87" si="10">D86*(1+$D$134)</f>
        <v>0</v>
      </c>
      <c r="F86" s="8">
        <f t="shared" si="10"/>
        <v>0</v>
      </c>
      <c r="G86" s="8">
        <f t="shared" si="10"/>
        <v>0</v>
      </c>
      <c r="H86" s="8">
        <f t="shared" si="10"/>
        <v>0</v>
      </c>
      <c r="I86" s="8">
        <f t="shared" si="10"/>
        <v>0</v>
      </c>
      <c r="J86" s="8">
        <f t="shared" si="10"/>
        <v>0</v>
      </c>
    </row>
    <row r="87" spans="1:10" x14ac:dyDescent="0.25">
      <c r="A87" s="7">
        <f>PL!A85</f>
        <v>0</v>
      </c>
      <c r="B87" s="41" t="e">
        <f>PL!#REF!</f>
        <v>#REF!</v>
      </c>
      <c r="C87" s="41">
        <f>PL!C85</f>
        <v>0</v>
      </c>
      <c r="D87" s="41">
        <f>PL!B85</f>
        <v>0</v>
      </c>
      <c r="E87" s="8">
        <f t="shared" si="10"/>
        <v>0</v>
      </c>
      <c r="F87" s="8">
        <f t="shared" si="10"/>
        <v>0</v>
      </c>
      <c r="G87" s="8">
        <f t="shared" si="10"/>
        <v>0</v>
      </c>
      <c r="H87" s="8">
        <f t="shared" si="10"/>
        <v>0</v>
      </c>
      <c r="I87" s="8">
        <f t="shared" si="10"/>
        <v>0</v>
      </c>
      <c r="J87" s="8">
        <f t="shared" si="10"/>
        <v>0</v>
      </c>
    </row>
    <row r="88" spans="1:10" s="15" customFormat="1" x14ac:dyDescent="0.25">
      <c r="A88" s="13"/>
      <c r="B88" s="42" t="e">
        <f>B86-B87</f>
        <v>#REF!</v>
      </c>
      <c r="C88" s="42"/>
      <c r="D88" s="42"/>
      <c r="E88" s="14"/>
      <c r="F88" s="14"/>
      <c r="G88" s="14"/>
      <c r="H88" s="14"/>
      <c r="I88" s="14"/>
      <c r="J88" s="14"/>
    </row>
    <row r="89" spans="1:10" x14ac:dyDescent="0.25">
      <c r="A89" s="16" t="s">
        <v>122</v>
      </c>
      <c r="B89" s="39" t="e">
        <f>B41/B40</f>
        <v>#REF!</v>
      </c>
      <c r="C89" s="39">
        <f t="shared" ref="C89:J89" si="11">C41/C40</f>
        <v>0.16512852571573883</v>
      </c>
      <c r="D89" s="39">
        <f t="shared" si="11"/>
        <v>0.14566845444437176</v>
      </c>
      <c r="E89" s="39">
        <f t="shared" si="11"/>
        <v>0.14566845444437176</v>
      </c>
      <c r="F89" s="39">
        <f t="shared" si="11"/>
        <v>0.14566845444437174</v>
      </c>
      <c r="G89" s="39">
        <f t="shared" si="11"/>
        <v>0.14566845444437174</v>
      </c>
      <c r="H89" s="39">
        <f t="shared" si="11"/>
        <v>0.14566845444437176</v>
      </c>
      <c r="I89" s="39">
        <f t="shared" si="11"/>
        <v>0.14566845444437176</v>
      </c>
      <c r="J89" s="39">
        <f t="shared" si="11"/>
        <v>0.14566845444437176</v>
      </c>
    </row>
    <row r="90" spans="1:10" s="20" customFormat="1" x14ac:dyDescent="0.25">
      <c r="A90" s="18" t="s">
        <v>123</v>
      </c>
      <c r="B90" s="43" t="e">
        <f>B40-B32+B34+B19-B25-B27</f>
        <v>#REF!</v>
      </c>
      <c r="C90" s="43">
        <f t="shared" ref="C90:J90" si="12">C40-C32+C34+C19-C25-C27</f>
        <v>440896</v>
      </c>
      <c r="D90" s="43">
        <f t="shared" si="12"/>
        <v>1140266</v>
      </c>
      <c r="E90" s="43">
        <f t="shared" si="12"/>
        <v>1254292.6000000001</v>
      </c>
      <c r="F90" s="43">
        <f t="shared" si="12"/>
        <v>1379721.8600000003</v>
      </c>
      <c r="G90" s="43">
        <f t="shared" si="12"/>
        <v>1517694.0460000006</v>
      </c>
      <c r="H90" s="43">
        <f t="shared" si="12"/>
        <v>1669463.4506000006</v>
      </c>
      <c r="I90" s="43">
        <f t="shared" si="12"/>
        <v>1836409.7956600008</v>
      </c>
      <c r="J90" s="43">
        <f t="shared" si="12"/>
        <v>2020050.7752260012</v>
      </c>
    </row>
    <row r="91" spans="1:10" x14ac:dyDescent="0.25">
      <c r="A91" s="16" t="s">
        <v>124</v>
      </c>
      <c r="B91" s="39" t="e">
        <f>B90*(1-B89)</f>
        <v>#REF!</v>
      </c>
      <c r="C91" s="39">
        <f t="shared" ref="C91:J91" si="13">C90*(1-C89)</f>
        <v>368091.49352603359</v>
      </c>
      <c r="D91" s="39">
        <f t="shared" si="13"/>
        <v>974165.21412453393</v>
      </c>
      <c r="E91" s="39">
        <f t="shared" si="13"/>
        <v>1071581.7355369874</v>
      </c>
      <c r="F91" s="39">
        <f t="shared" si="13"/>
        <v>1178739.9090906866</v>
      </c>
      <c r="G91" s="39">
        <f t="shared" si="13"/>
        <v>1296613.8999997552</v>
      </c>
      <c r="H91" s="39">
        <f t="shared" si="13"/>
        <v>1426275.2899997307</v>
      </c>
      <c r="I91" s="39">
        <f t="shared" si="13"/>
        <v>1568902.8189997037</v>
      </c>
      <c r="J91" s="39">
        <f t="shared" si="13"/>
        <v>1725793.1008996745</v>
      </c>
    </row>
    <row r="92" spans="1:10" x14ac:dyDescent="0.25">
      <c r="A92" s="21" t="s">
        <v>125</v>
      </c>
      <c r="B92" s="39" t="e">
        <f>-B19+B25+B27+B32-B34</f>
        <v>#REF!</v>
      </c>
      <c r="C92" s="39">
        <f t="shared" ref="C92:J92" si="14">-C19+C25+C27+C32-C34</f>
        <v>314128</v>
      </c>
      <c r="D92" s="39">
        <f t="shared" si="14"/>
        <v>205166</v>
      </c>
      <c r="E92" s="39">
        <f t="shared" si="14"/>
        <v>225682.6</v>
      </c>
      <c r="F92" s="39">
        <f t="shared" si="14"/>
        <v>248250.86000000002</v>
      </c>
      <c r="G92" s="39">
        <f t="shared" si="14"/>
        <v>273075.94600000005</v>
      </c>
      <c r="H92" s="39">
        <f t="shared" si="14"/>
        <v>300383.54060000007</v>
      </c>
      <c r="I92" s="39">
        <f t="shared" si="14"/>
        <v>330421.89466000011</v>
      </c>
      <c r="J92" s="39">
        <f t="shared" si="14"/>
        <v>363464.08412600018</v>
      </c>
    </row>
    <row r="93" spans="1:10" x14ac:dyDescent="0.25">
      <c r="A93" s="21" t="s">
        <v>126</v>
      </c>
      <c r="B93" s="39" t="e">
        <f>B92*(1-B89)</f>
        <v>#REF!</v>
      </c>
      <c r="C93" s="39">
        <f t="shared" ref="C93:J93" si="15">C92*(1-C89)</f>
        <v>262256.50647396635</v>
      </c>
      <c r="D93" s="39">
        <f t="shared" si="15"/>
        <v>175279.78587546601</v>
      </c>
      <c r="E93" s="39">
        <f t="shared" si="15"/>
        <v>192807.76446301263</v>
      </c>
      <c r="F93" s="39">
        <f t="shared" si="15"/>
        <v>212088.54090931392</v>
      </c>
      <c r="G93" s="39">
        <f t="shared" si="15"/>
        <v>233297.39500024533</v>
      </c>
      <c r="H93" s="39">
        <f t="shared" si="15"/>
        <v>256627.13450026984</v>
      </c>
      <c r="I93" s="39">
        <f t="shared" si="15"/>
        <v>282289.84795029688</v>
      </c>
      <c r="J93" s="39">
        <f t="shared" si="15"/>
        <v>310518.83274532657</v>
      </c>
    </row>
    <row r="94" spans="1:10" x14ac:dyDescent="0.25">
      <c r="A94" s="52" t="s">
        <v>179</v>
      </c>
      <c r="B94" s="39" t="e">
        <f>B91+B93</f>
        <v>#REF!</v>
      </c>
      <c r="C94" s="39">
        <f t="shared" ref="C94:J94" si="16">C91+C93</f>
        <v>630348</v>
      </c>
      <c r="D94" s="39">
        <f t="shared" si="16"/>
        <v>1149445</v>
      </c>
      <c r="E94" s="39">
        <f t="shared" si="16"/>
        <v>1264389.5</v>
      </c>
      <c r="F94" s="39">
        <f t="shared" si="16"/>
        <v>1390828.4500000004</v>
      </c>
      <c r="G94" s="39">
        <f t="shared" si="16"/>
        <v>1529911.2950000006</v>
      </c>
      <c r="H94" s="39">
        <f t="shared" si="16"/>
        <v>1682902.4245000004</v>
      </c>
      <c r="I94" s="39">
        <f t="shared" si="16"/>
        <v>1851192.6669500007</v>
      </c>
      <c r="J94" s="39">
        <f t="shared" si="16"/>
        <v>2036311.9336450011</v>
      </c>
    </row>
    <row r="95" spans="1:10" x14ac:dyDescent="0.25">
      <c r="A95" s="3" t="s">
        <v>127</v>
      </c>
      <c r="B95" s="39"/>
      <c r="C95" s="39"/>
      <c r="D95" s="40"/>
      <c r="E95" s="6"/>
      <c r="F95" s="6"/>
      <c r="G95" s="6"/>
      <c r="H95" s="6"/>
      <c r="I95" s="6"/>
      <c r="J95" s="6"/>
    </row>
    <row r="96" spans="1:10" x14ac:dyDescent="0.25">
      <c r="A96" s="3" t="s">
        <v>128</v>
      </c>
      <c r="B96" s="39" t="e">
        <f t="shared" ref="B96:J96" si="17">B105/B6</f>
        <v>#REF!</v>
      </c>
      <c r="C96" s="39" t="e">
        <f t="shared" si="17"/>
        <v>#DIV/0!</v>
      </c>
      <c r="D96" s="39" t="e">
        <f t="shared" si="17"/>
        <v>#DIV/0!</v>
      </c>
      <c r="E96" s="17" t="e">
        <f t="shared" si="17"/>
        <v>#DIV/0!</v>
      </c>
      <c r="F96" s="17" t="e">
        <f t="shared" si="17"/>
        <v>#DIV/0!</v>
      </c>
      <c r="G96" s="17" t="e">
        <f t="shared" si="17"/>
        <v>#DIV/0!</v>
      </c>
      <c r="H96" s="17" t="e">
        <f t="shared" si="17"/>
        <v>#DIV/0!</v>
      </c>
      <c r="I96" s="17" t="e">
        <f t="shared" si="17"/>
        <v>#DIV/0!</v>
      </c>
      <c r="J96" s="17" t="e">
        <f t="shared" si="17"/>
        <v>#DIV/0!</v>
      </c>
    </row>
    <row r="97" spans="1:10" x14ac:dyDescent="0.25">
      <c r="A97" s="3" t="s">
        <v>129</v>
      </c>
      <c r="B97" s="39" t="e">
        <f t="shared" ref="B97:J97" si="18">B103/B6</f>
        <v>#REF!</v>
      </c>
      <c r="C97" s="39" t="e">
        <f t="shared" si="18"/>
        <v>#DIV/0!</v>
      </c>
      <c r="D97" s="39" t="e">
        <f t="shared" si="18"/>
        <v>#DIV/0!</v>
      </c>
      <c r="E97" s="17" t="e">
        <f t="shared" si="18"/>
        <v>#DIV/0!</v>
      </c>
      <c r="F97" s="17" t="e">
        <f t="shared" si="18"/>
        <v>#DIV/0!</v>
      </c>
      <c r="G97" s="17" t="e">
        <f t="shared" si="18"/>
        <v>#DIV/0!</v>
      </c>
      <c r="H97" s="17" t="e">
        <f t="shared" si="18"/>
        <v>#DIV/0!</v>
      </c>
      <c r="I97" s="17" t="e">
        <f t="shared" si="18"/>
        <v>#DIV/0!</v>
      </c>
      <c r="J97" s="17" t="e">
        <f t="shared" si="18"/>
        <v>#DIV/0!</v>
      </c>
    </row>
    <row r="98" spans="1:10" x14ac:dyDescent="0.25">
      <c r="A98" s="22" t="s">
        <v>130</v>
      </c>
      <c r="B98" s="39"/>
      <c r="C98" s="39"/>
      <c r="D98" s="40"/>
      <c r="E98" s="6"/>
      <c r="F98" s="6"/>
      <c r="G98" s="6"/>
      <c r="H98" s="6"/>
      <c r="I98" s="6"/>
      <c r="J98" s="6"/>
    </row>
    <row r="99" spans="1:10" x14ac:dyDescent="0.25">
      <c r="A99" s="23" t="s">
        <v>115</v>
      </c>
      <c r="B99" s="39">
        <f>SUM(SUMIFS(BS!$E$3:$E$149,BS!$A$3:$A$149,EVA!$A99))</f>
        <v>3291221</v>
      </c>
      <c r="C99" s="39">
        <f>SUM(SUMIFS(BS!$D$3:$D$149,BS!$A$3:$A$149,EVA!$A99))</f>
        <v>3894144</v>
      </c>
      <c r="D99" s="39">
        <f>SUM(SUMIFS(BS!$C$3:$C$149,BS!$A$3:$A$149,EVA!$A99))</f>
        <v>5299592</v>
      </c>
      <c r="E99" s="24" t="e">
        <f t="shared" ref="E99:J99" si="19">E$86*D99/D$86</f>
        <v>#DIV/0!</v>
      </c>
      <c r="F99" s="24" t="e">
        <f t="shared" si="19"/>
        <v>#DIV/0!</v>
      </c>
      <c r="G99" s="24" t="e">
        <f t="shared" si="19"/>
        <v>#DIV/0!</v>
      </c>
      <c r="H99" s="24" t="e">
        <f t="shared" si="19"/>
        <v>#DIV/0!</v>
      </c>
      <c r="I99" s="24" t="e">
        <f t="shared" si="19"/>
        <v>#DIV/0!</v>
      </c>
      <c r="J99" s="24" t="e">
        <f t="shared" si="19"/>
        <v>#DIV/0!</v>
      </c>
    </row>
    <row r="100" spans="1:10" x14ac:dyDescent="0.25">
      <c r="A100" s="23" t="s">
        <v>131</v>
      </c>
      <c r="B100" s="39">
        <f>SUM(SUMIFS(BS!$E$3:$E$149,BS!$A$3:$A$149,EVA!$A100))</f>
        <v>1792326</v>
      </c>
      <c r="C100" s="39">
        <f>SUM(SUMIFS(BS!$D$3:$D$149,BS!$A$3:$A$149,EVA!$A100))</f>
        <v>2315809</v>
      </c>
      <c r="D100" s="39">
        <f>SUM(SUMIFS(BS!$C$3:$C$149,BS!$A$3:$A$149,EVA!$A100))</f>
        <v>2072850</v>
      </c>
      <c r="E100" s="24" t="e">
        <f t="shared" ref="E100:J107" si="20">E$86*D100/D$86</f>
        <v>#DIV/0!</v>
      </c>
      <c r="F100" s="24" t="e">
        <f t="shared" si="20"/>
        <v>#DIV/0!</v>
      </c>
      <c r="G100" s="24" t="e">
        <f t="shared" si="20"/>
        <v>#DIV/0!</v>
      </c>
      <c r="H100" s="24" t="e">
        <f t="shared" si="20"/>
        <v>#DIV/0!</v>
      </c>
      <c r="I100" s="24" t="e">
        <f t="shared" si="20"/>
        <v>#DIV/0!</v>
      </c>
      <c r="J100" s="24" t="e">
        <f t="shared" si="20"/>
        <v>#DIV/0!</v>
      </c>
    </row>
    <row r="101" spans="1:10" x14ac:dyDescent="0.25">
      <c r="A101" s="23" t="s">
        <v>132</v>
      </c>
      <c r="B101" s="39">
        <f>SUM(SUMIFS(BS!$E$3:$E$149,BS!$A$3:$A$149,EVA!$A101))</f>
        <v>265064</v>
      </c>
      <c r="C101" s="39">
        <f>SUM(SUMIFS(BS!$D$3:$D$149,BS!$A$3:$A$149,EVA!$A101))</f>
        <v>409764</v>
      </c>
      <c r="D101" s="39">
        <f>SUM(SUMIFS(BS!$C$3:$C$149,BS!$A$3:$A$149,EVA!$A101))</f>
        <v>881745</v>
      </c>
      <c r="E101" s="24" t="e">
        <f t="shared" si="20"/>
        <v>#DIV/0!</v>
      </c>
      <c r="F101" s="24" t="e">
        <f t="shared" si="20"/>
        <v>#DIV/0!</v>
      </c>
      <c r="G101" s="24" t="e">
        <f t="shared" si="20"/>
        <v>#DIV/0!</v>
      </c>
      <c r="H101" s="24" t="e">
        <f t="shared" si="20"/>
        <v>#DIV/0!</v>
      </c>
      <c r="I101" s="24" t="e">
        <f t="shared" si="20"/>
        <v>#DIV/0!</v>
      </c>
      <c r="J101" s="24" t="e">
        <f t="shared" si="20"/>
        <v>#DIV/0!</v>
      </c>
    </row>
    <row r="102" spans="1:10" x14ac:dyDescent="0.25">
      <c r="A102" s="23" t="s">
        <v>133</v>
      </c>
      <c r="B102" s="39">
        <f>SUM(SUMIFS(BS!$E$3:$E$149,BS!$A$3:$A$149,EVA!$A102))</f>
        <v>1268249</v>
      </c>
      <c r="C102" s="39">
        <f>SUM(SUMIFS(BS!$D$3:$D$149,BS!$A$3:$A$149,EVA!$A102))</f>
        <v>1689427</v>
      </c>
      <c r="D102" s="39">
        <f>SUM(SUMIFS(BS!$C$3:$C$149,BS!$A$3:$A$149,EVA!$A102))</f>
        <v>2357757</v>
      </c>
      <c r="E102" s="24" t="e">
        <f t="shared" si="20"/>
        <v>#DIV/0!</v>
      </c>
      <c r="F102" s="24" t="e">
        <f t="shared" si="20"/>
        <v>#DIV/0!</v>
      </c>
      <c r="G102" s="24" t="e">
        <f t="shared" si="20"/>
        <v>#DIV/0!</v>
      </c>
      <c r="H102" s="24" t="e">
        <f t="shared" si="20"/>
        <v>#DIV/0!</v>
      </c>
      <c r="I102" s="24" t="e">
        <f t="shared" si="20"/>
        <v>#DIV/0!</v>
      </c>
      <c r="J102" s="24" t="e">
        <f t="shared" si="20"/>
        <v>#DIV/0!</v>
      </c>
    </row>
    <row r="103" spans="1:10" x14ac:dyDescent="0.25">
      <c r="A103" s="23" t="s">
        <v>134</v>
      </c>
      <c r="B103" s="39">
        <f>SUM(SUMIFS(BS!$E$3:$E$149,BS!$A$3:$A$149,EVA!$A103))</f>
        <v>2131130</v>
      </c>
      <c r="C103" s="39">
        <f>SUM(SUMIFS(BS!$D$3:$D$149,BS!$A$3:$A$149,EVA!$A103))</f>
        <v>2070815</v>
      </c>
      <c r="D103" s="39">
        <f>SUM(SUMIFS(BS!$C$3:$C$149,BS!$A$3:$A$149,EVA!$A103))</f>
        <v>2076928</v>
      </c>
      <c r="E103" s="24" t="e">
        <f t="shared" si="20"/>
        <v>#DIV/0!</v>
      </c>
      <c r="F103" s="24" t="e">
        <f t="shared" si="20"/>
        <v>#DIV/0!</v>
      </c>
      <c r="G103" s="24" t="e">
        <f t="shared" si="20"/>
        <v>#DIV/0!</v>
      </c>
      <c r="H103" s="24" t="e">
        <f t="shared" si="20"/>
        <v>#DIV/0!</v>
      </c>
      <c r="I103" s="24" t="e">
        <f t="shared" si="20"/>
        <v>#DIV/0!</v>
      </c>
      <c r="J103" s="24" t="e">
        <f t="shared" si="20"/>
        <v>#DIV/0!</v>
      </c>
    </row>
    <row r="104" spans="1:10" x14ac:dyDescent="0.25">
      <c r="A104" s="23" t="s">
        <v>135</v>
      </c>
      <c r="B104" s="39">
        <f>SUM(SUMIFS(BS!$E$3:$E$149,BS!$A$3:$A$149,EVA!$A104))</f>
        <v>3427577</v>
      </c>
      <c r="C104" s="39">
        <f>SUM(SUMIFS(BS!$D$3:$D$149,BS!$A$3:$A$149,EVA!$A104))</f>
        <v>4896892</v>
      </c>
      <c r="D104" s="39">
        <f>SUM(SUMIFS(BS!$C$3:$C$149,BS!$A$3:$A$149,EVA!$A104))</f>
        <v>6022343</v>
      </c>
      <c r="E104" s="24" t="e">
        <f t="shared" si="20"/>
        <v>#DIV/0!</v>
      </c>
      <c r="F104" s="24" t="e">
        <f t="shared" si="20"/>
        <v>#DIV/0!</v>
      </c>
      <c r="G104" s="24" t="e">
        <f t="shared" si="20"/>
        <v>#DIV/0!</v>
      </c>
      <c r="H104" s="24" t="e">
        <f t="shared" si="20"/>
        <v>#DIV/0!</v>
      </c>
      <c r="I104" s="24" t="e">
        <f t="shared" si="20"/>
        <v>#DIV/0!</v>
      </c>
      <c r="J104" s="24" t="e">
        <f t="shared" si="20"/>
        <v>#DIV/0!</v>
      </c>
    </row>
    <row r="105" spans="1:10" x14ac:dyDescent="0.25">
      <c r="A105" s="23" t="s">
        <v>137</v>
      </c>
      <c r="B105" s="39">
        <f>B103+B104-B102</f>
        <v>4290458</v>
      </c>
      <c r="C105" s="39">
        <f>C103+C104-C102</f>
        <v>5278280</v>
      </c>
      <c r="D105" s="39">
        <f>D103+D104-D102</f>
        <v>5741514</v>
      </c>
      <c r="E105" s="24" t="e">
        <f t="shared" si="20"/>
        <v>#DIV/0!</v>
      </c>
      <c r="F105" s="24" t="e">
        <f t="shared" si="20"/>
        <v>#DIV/0!</v>
      </c>
      <c r="G105" s="24" t="e">
        <f t="shared" si="20"/>
        <v>#DIV/0!</v>
      </c>
      <c r="H105" s="24" t="e">
        <f t="shared" si="20"/>
        <v>#DIV/0!</v>
      </c>
      <c r="I105" s="24" t="e">
        <f t="shared" si="20"/>
        <v>#DIV/0!</v>
      </c>
      <c r="J105" s="24" t="e">
        <f t="shared" si="20"/>
        <v>#DIV/0!</v>
      </c>
    </row>
    <row r="106" spans="1:10" x14ac:dyDescent="0.25">
      <c r="A106" s="23" t="s">
        <v>138</v>
      </c>
      <c r="B106" s="39">
        <f>B100-B101</f>
        <v>1527262</v>
      </c>
      <c r="C106" s="39">
        <f>C100-C101</f>
        <v>1906045</v>
      </c>
      <c r="D106" s="39">
        <f>D100-D101</f>
        <v>1191105</v>
      </c>
      <c r="E106" s="24" t="e">
        <f t="shared" si="20"/>
        <v>#DIV/0!</v>
      </c>
      <c r="F106" s="24" t="e">
        <f t="shared" si="20"/>
        <v>#DIV/0!</v>
      </c>
      <c r="G106" s="24" t="e">
        <f t="shared" si="20"/>
        <v>#DIV/0!</v>
      </c>
      <c r="H106" s="24" t="e">
        <f t="shared" si="20"/>
        <v>#DIV/0!</v>
      </c>
      <c r="I106" s="24" t="e">
        <f t="shared" si="20"/>
        <v>#DIV/0!</v>
      </c>
      <c r="J106" s="24" t="e">
        <f t="shared" si="20"/>
        <v>#DIV/0!</v>
      </c>
    </row>
    <row r="107" spans="1:10" x14ac:dyDescent="0.25">
      <c r="A107" s="23" t="s">
        <v>136</v>
      </c>
      <c r="B107" s="39">
        <f>B106+B99</f>
        <v>4818483</v>
      </c>
      <c r="C107" s="39">
        <f>C106+C99</f>
        <v>5800189</v>
      </c>
      <c r="D107" s="39">
        <f>D106+D99</f>
        <v>6490697</v>
      </c>
      <c r="E107" s="24" t="e">
        <f t="shared" si="20"/>
        <v>#DIV/0!</v>
      </c>
      <c r="F107" s="24" t="e">
        <f t="shared" si="20"/>
        <v>#DIV/0!</v>
      </c>
      <c r="G107" s="24" t="e">
        <f t="shared" si="20"/>
        <v>#DIV/0!</v>
      </c>
      <c r="H107" s="24" t="e">
        <f t="shared" si="20"/>
        <v>#DIV/0!</v>
      </c>
      <c r="I107" s="24" t="e">
        <f t="shared" si="20"/>
        <v>#DIV/0!</v>
      </c>
      <c r="J107" s="24" t="e">
        <f t="shared" si="20"/>
        <v>#DIV/0!</v>
      </c>
    </row>
    <row r="108" spans="1:10" x14ac:dyDescent="0.25">
      <c r="A108" s="3" t="s">
        <v>139</v>
      </c>
      <c r="B108" s="39">
        <f>B105-B107</f>
        <v>-528025</v>
      </c>
      <c r="C108" s="39">
        <f t="shared" ref="C108:J108" si="21">C106-B106</f>
        <v>378783</v>
      </c>
      <c r="D108" s="39">
        <f t="shared" si="21"/>
        <v>-714940</v>
      </c>
      <c r="E108" s="5" t="e">
        <f t="shared" si="21"/>
        <v>#DIV/0!</v>
      </c>
      <c r="F108" s="5" t="e">
        <f t="shared" si="21"/>
        <v>#DIV/0!</v>
      </c>
      <c r="G108" s="5" t="e">
        <f t="shared" si="21"/>
        <v>#DIV/0!</v>
      </c>
      <c r="H108" s="5" t="e">
        <f t="shared" si="21"/>
        <v>#DIV/0!</v>
      </c>
      <c r="I108" s="5" t="e">
        <f t="shared" si="21"/>
        <v>#DIV/0!</v>
      </c>
      <c r="J108" s="5" t="e">
        <f t="shared" si="21"/>
        <v>#DIV/0!</v>
      </c>
    </row>
    <row r="109" spans="1:10" x14ac:dyDescent="0.25">
      <c r="A109" s="3" t="s">
        <v>140</v>
      </c>
      <c r="B109" s="39"/>
      <c r="C109" s="39">
        <f t="shared" ref="C109:J109" si="22">C99-B99</f>
        <v>602923</v>
      </c>
      <c r="D109" s="39">
        <f t="shared" si="22"/>
        <v>1405448</v>
      </c>
      <c r="E109" s="5" t="e">
        <f t="shared" si="22"/>
        <v>#DIV/0!</v>
      </c>
      <c r="F109" s="5" t="e">
        <f t="shared" si="22"/>
        <v>#DIV/0!</v>
      </c>
      <c r="G109" s="5" t="e">
        <f t="shared" si="22"/>
        <v>#DIV/0!</v>
      </c>
      <c r="H109" s="5" t="e">
        <f t="shared" si="22"/>
        <v>#DIV/0!</v>
      </c>
      <c r="I109" s="5" t="e">
        <f t="shared" si="22"/>
        <v>#DIV/0!</v>
      </c>
      <c r="J109" s="5" t="e">
        <f t="shared" si="22"/>
        <v>#DIV/0!</v>
      </c>
    </row>
    <row r="110" spans="1:10" x14ac:dyDescent="0.25">
      <c r="A110" s="25" t="s">
        <v>141</v>
      </c>
      <c r="B110" s="39" t="e">
        <f>B127</f>
        <v>#DIV/0!</v>
      </c>
      <c r="C110" s="39" t="e">
        <f>B110</f>
        <v>#DIV/0!</v>
      </c>
      <c r="D110" s="39" t="e">
        <f t="shared" ref="D110:J110" si="23">C110</f>
        <v>#DIV/0!</v>
      </c>
      <c r="E110" s="17" t="e">
        <f t="shared" si="23"/>
        <v>#DIV/0!</v>
      </c>
      <c r="F110" s="17" t="e">
        <f t="shared" si="23"/>
        <v>#DIV/0!</v>
      </c>
      <c r="G110" s="17" t="e">
        <f t="shared" si="23"/>
        <v>#DIV/0!</v>
      </c>
      <c r="H110" s="17" t="e">
        <f t="shared" si="23"/>
        <v>#DIV/0!</v>
      </c>
      <c r="I110" s="17" t="e">
        <f t="shared" si="23"/>
        <v>#DIV/0!</v>
      </c>
      <c r="J110" s="17" t="e">
        <f t="shared" si="23"/>
        <v>#DIV/0!</v>
      </c>
    </row>
    <row r="111" spans="1:10" ht="17.5" x14ac:dyDescent="0.25">
      <c r="A111" s="26" t="s">
        <v>189</v>
      </c>
      <c r="B111" s="39"/>
      <c r="C111" s="39"/>
      <c r="D111" s="40"/>
      <c r="E111" s="6"/>
      <c r="F111" s="11">
        <f>E111*(1+$D$134)</f>
        <v>0</v>
      </c>
      <c r="G111" s="6"/>
      <c r="H111" s="6"/>
      <c r="I111" s="6"/>
      <c r="J111" s="6"/>
    </row>
    <row r="112" spans="1:10" x14ac:dyDescent="0.25">
      <c r="A112" s="16" t="s">
        <v>124</v>
      </c>
      <c r="B112" s="39" t="e">
        <f>B91</f>
        <v>#REF!</v>
      </c>
      <c r="C112" s="39">
        <f>C91</f>
        <v>368091.49352603359</v>
      </c>
      <c r="D112" s="39">
        <f>D91</f>
        <v>974165.21412453393</v>
      </c>
      <c r="E112" s="39">
        <f t="shared" ref="E112:J112" si="24">E91</f>
        <v>1071581.7355369874</v>
      </c>
      <c r="F112" s="39">
        <f t="shared" si="24"/>
        <v>1178739.9090906866</v>
      </c>
      <c r="G112" s="39">
        <f t="shared" si="24"/>
        <v>1296613.8999997552</v>
      </c>
      <c r="H112" s="39">
        <f t="shared" si="24"/>
        <v>1426275.2899997307</v>
      </c>
      <c r="I112" s="39">
        <f t="shared" si="24"/>
        <v>1568902.8189997037</v>
      </c>
      <c r="J112" s="39">
        <f t="shared" si="24"/>
        <v>1725793.1008996745</v>
      </c>
    </row>
    <row r="113" spans="1:10" x14ac:dyDescent="0.25">
      <c r="A113" s="53" t="s">
        <v>180</v>
      </c>
      <c r="B113" s="39">
        <f>SUM(SUMIFS(BS!$E$3:$E$149,BS!$B$3:$B$149,{"*固定资产*","*无形资产*"}))/10</f>
        <v>168972.4</v>
      </c>
      <c r="C113" s="39">
        <f>SUM(SUMIFS(BS!$E$3:$E$149,BS!$B$3:$B$149,{"*固定资产*","*无形资产*"}))/10</f>
        <v>168972.4</v>
      </c>
      <c r="D113" s="39">
        <f>SUM(SUMIFS(BS!$E$3:$E$149,BS!$B$3:$B$149,{"*固定资产*","*无形资产*"}))/10</f>
        <v>168972.4</v>
      </c>
      <c r="E113" s="39">
        <f t="shared" ref="E113:J113" si="25">E112*D113/D112</f>
        <v>185869.64</v>
      </c>
      <c r="F113" s="39">
        <f t="shared" si="25"/>
        <v>204456.60400000008</v>
      </c>
      <c r="G113" s="39">
        <f t="shared" si="25"/>
        <v>224902.26440000007</v>
      </c>
      <c r="H113" s="39">
        <f t="shared" si="25"/>
        <v>247392.49084000004</v>
      </c>
      <c r="I113" s="39">
        <f t="shared" si="25"/>
        <v>272131.73992400005</v>
      </c>
      <c r="J113" s="39">
        <f t="shared" si="25"/>
        <v>299344.91391640011</v>
      </c>
    </row>
    <row r="114" spans="1:10" x14ac:dyDescent="0.25">
      <c r="A114" s="53" t="s">
        <v>191</v>
      </c>
      <c r="B114" s="39" t="e">
        <f>B86*0.05+B19</f>
        <v>#REF!</v>
      </c>
      <c r="C114" s="39">
        <f t="shared" ref="C114:J114" si="26">C86*0.05+C19</f>
        <v>0</v>
      </c>
      <c r="D114" s="39">
        <f t="shared" si="26"/>
        <v>0</v>
      </c>
      <c r="E114" s="39">
        <f t="shared" si="26"/>
        <v>0</v>
      </c>
      <c r="F114" s="39">
        <f t="shared" si="26"/>
        <v>0</v>
      </c>
      <c r="G114" s="39">
        <f t="shared" si="26"/>
        <v>0</v>
      </c>
      <c r="H114" s="39">
        <f t="shared" si="26"/>
        <v>0</v>
      </c>
      <c r="I114" s="39">
        <f t="shared" si="26"/>
        <v>0</v>
      </c>
      <c r="J114" s="39">
        <f t="shared" si="26"/>
        <v>0</v>
      </c>
    </row>
    <row r="115" spans="1:10" x14ac:dyDescent="0.25">
      <c r="A115" s="53" t="s">
        <v>190</v>
      </c>
      <c r="B115" s="39">
        <f>B105*$E$124</f>
        <v>429045.80000000005</v>
      </c>
      <c r="C115" s="39">
        <f t="shared" ref="C115:J115" si="27">C105*$E$124</f>
        <v>527828</v>
      </c>
      <c r="D115" s="39">
        <f t="shared" si="27"/>
        <v>574151.4</v>
      </c>
      <c r="E115" s="39" t="e">
        <f t="shared" si="27"/>
        <v>#DIV/0!</v>
      </c>
      <c r="F115" s="39" t="e">
        <f t="shared" si="27"/>
        <v>#DIV/0!</v>
      </c>
      <c r="G115" s="39" t="e">
        <f t="shared" si="27"/>
        <v>#DIV/0!</v>
      </c>
      <c r="H115" s="39" t="e">
        <f t="shared" si="27"/>
        <v>#DIV/0!</v>
      </c>
      <c r="I115" s="39" t="e">
        <f t="shared" si="27"/>
        <v>#DIV/0!</v>
      </c>
      <c r="J115" s="39" t="e">
        <f t="shared" si="27"/>
        <v>#DIV/0!</v>
      </c>
    </row>
    <row r="116" spans="1:10" x14ac:dyDescent="0.25">
      <c r="A116" s="53" t="s">
        <v>189</v>
      </c>
      <c r="B116" s="39" t="e">
        <f t="shared" ref="B116:J116" si="28">B112+B113-B115+B114</f>
        <v>#REF!</v>
      </c>
      <c r="C116" s="39">
        <f t="shared" si="28"/>
        <v>9235.8935260336148</v>
      </c>
      <c r="D116" s="39">
        <f t="shared" si="28"/>
        <v>568986.21412453393</v>
      </c>
      <c r="E116" s="39" t="e">
        <f t="shared" si="28"/>
        <v>#DIV/0!</v>
      </c>
      <c r="F116" s="39" t="e">
        <f t="shared" si="28"/>
        <v>#DIV/0!</v>
      </c>
      <c r="G116" s="39" t="e">
        <f t="shared" si="28"/>
        <v>#DIV/0!</v>
      </c>
      <c r="H116" s="39" t="e">
        <f t="shared" si="28"/>
        <v>#DIV/0!</v>
      </c>
      <c r="I116" s="39" t="e">
        <f t="shared" si="28"/>
        <v>#DIV/0!</v>
      </c>
      <c r="J116" s="39" t="e">
        <f t="shared" si="28"/>
        <v>#DIV/0!</v>
      </c>
    </row>
    <row r="117" spans="1:10" x14ac:dyDescent="0.25">
      <c r="A117" s="53"/>
      <c r="B117" s="39"/>
      <c r="C117" s="39"/>
      <c r="D117" s="39"/>
      <c r="E117" s="5"/>
      <c r="F117" s="11"/>
      <c r="G117" s="11"/>
      <c r="H117" s="11"/>
      <c r="I117" s="11"/>
      <c r="J117" s="11"/>
    </row>
    <row r="118" spans="1:10" x14ac:dyDescent="0.25">
      <c r="A118" s="53"/>
      <c r="B118" s="39"/>
      <c r="C118" s="39"/>
      <c r="D118" s="39"/>
      <c r="E118" s="5"/>
      <c r="F118" s="11"/>
      <c r="G118" s="11"/>
      <c r="H118" s="11"/>
      <c r="I118" s="11"/>
      <c r="J118" s="11"/>
    </row>
    <row r="119" spans="1:10" x14ac:dyDescent="0.25">
      <c r="A119" s="53"/>
      <c r="B119" s="39"/>
      <c r="C119" s="39"/>
      <c r="D119" s="39"/>
      <c r="E119" s="5"/>
      <c r="F119" s="11"/>
      <c r="G119" s="11"/>
      <c r="H119" s="11"/>
      <c r="I119" s="11"/>
      <c r="J119" s="11"/>
    </row>
    <row r="120" spans="1:10" x14ac:dyDescent="0.25">
      <c r="A120" s="53"/>
      <c r="B120" s="39"/>
      <c r="C120" s="39"/>
      <c r="D120" s="39"/>
      <c r="E120" s="5"/>
      <c r="F120" s="11"/>
      <c r="G120" s="11"/>
      <c r="H120" s="11"/>
      <c r="I120" s="11"/>
      <c r="J120" s="11"/>
    </row>
    <row r="121" spans="1:10" ht="21.75" customHeight="1" x14ac:dyDescent="0.25">
      <c r="A121" s="3"/>
      <c r="B121" s="39"/>
      <c r="C121" s="39"/>
      <c r="D121" s="39"/>
      <c r="E121" s="5"/>
      <c r="F121" s="5"/>
      <c r="G121" s="5"/>
      <c r="H121" s="5"/>
      <c r="I121" s="5"/>
      <c r="J121" s="5"/>
    </row>
    <row r="122" spans="1:10" x14ac:dyDescent="0.25">
      <c r="A122" s="3" t="s">
        <v>143</v>
      </c>
      <c r="B122" s="39" t="e">
        <f>B116</f>
        <v>#REF!</v>
      </c>
      <c r="C122" s="39">
        <f t="shared" ref="C122:J122" si="29">C116</f>
        <v>9235.8935260336148</v>
      </c>
      <c r="D122" s="39">
        <f t="shared" si="29"/>
        <v>568986.21412453393</v>
      </c>
      <c r="E122" s="39" t="e">
        <f t="shared" si="29"/>
        <v>#DIV/0!</v>
      </c>
      <c r="F122" s="39" t="e">
        <f t="shared" si="29"/>
        <v>#DIV/0!</v>
      </c>
      <c r="G122" s="39" t="e">
        <f t="shared" si="29"/>
        <v>#DIV/0!</v>
      </c>
      <c r="H122" s="39" t="e">
        <f t="shared" si="29"/>
        <v>#DIV/0!</v>
      </c>
      <c r="I122" s="39" t="e">
        <f t="shared" si="29"/>
        <v>#DIV/0!</v>
      </c>
      <c r="J122" s="39" t="e">
        <f t="shared" si="29"/>
        <v>#DIV/0!</v>
      </c>
    </row>
    <row r="123" spans="1:10" x14ac:dyDescent="0.25">
      <c r="A123" s="44"/>
      <c r="B123" s="44" t="s">
        <v>144</v>
      </c>
      <c r="C123" s="44"/>
      <c r="D123" s="4"/>
      <c r="E123" s="4"/>
      <c r="F123" s="4"/>
      <c r="G123" s="4"/>
      <c r="H123" s="4"/>
      <c r="I123" s="4"/>
    </row>
    <row r="124" spans="1:10" x14ac:dyDescent="0.25">
      <c r="A124" s="45" t="s">
        <v>145</v>
      </c>
      <c r="B124" s="45">
        <v>0</v>
      </c>
      <c r="C124" s="46" t="s">
        <v>146</v>
      </c>
      <c r="D124" s="30"/>
      <c r="E124" s="31">
        <v>0.1</v>
      </c>
      <c r="F124" s="32">
        <f>E124</f>
        <v>0.1</v>
      </c>
      <c r="G124" s="32">
        <f>F124</f>
        <v>0.1</v>
      </c>
      <c r="H124" s="32">
        <f>G124</f>
        <v>0.1</v>
      </c>
      <c r="I124" s="32">
        <f>H124</f>
        <v>0.1</v>
      </c>
      <c r="J124" s="32">
        <f>I124</f>
        <v>0.1</v>
      </c>
    </row>
    <row r="125" spans="1:10" x14ac:dyDescent="0.25">
      <c r="A125" s="45" t="s">
        <v>147</v>
      </c>
      <c r="B125" s="45">
        <v>0.2</v>
      </c>
      <c r="C125" s="46" t="s">
        <v>148</v>
      </c>
      <c r="D125" s="30">
        <v>1</v>
      </c>
      <c r="E125" s="33">
        <f t="shared" ref="E125:J125" si="30">D125/(1+E124)</f>
        <v>0.90909090909090906</v>
      </c>
      <c r="F125" s="33">
        <f t="shared" si="30"/>
        <v>0.82644628099173545</v>
      </c>
      <c r="G125" s="33">
        <f t="shared" si="30"/>
        <v>0.75131480090157765</v>
      </c>
      <c r="H125" s="33">
        <f t="shared" si="30"/>
        <v>0.68301345536507052</v>
      </c>
      <c r="I125" s="33">
        <f t="shared" si="30"/>
        <v>0.62092132305915493</v>
      </c>
      <c r="J125" s="33">
        <f t="shared" si="30"/>
        <v>0.56447393005377711</v>
      </c>
    </row>
    <row r="126" spans="1:10" x14ac:dyDescent="0.25">
      <c r="A126" s="45" t="s">
        <v>149</v>
      </c>
      <c r="B126" s="45">
        <f>B125*D132</f>
        <v>0</v>
      </c>
      <c r="C126" s="46" t="s">
        <v>150</v>
      </c>
      <c r="D126" s="34">
        <f t="shared" ref="D126:I126" si="31">D122*D125</f>
        <v>568986.21412453393</v>
      </c>
      <c r="E126" s="34" t="e">
        <f t="shared" si="31"/>
        <v>#DIV/0!</v>
      </c>
      <c r="F126" s="34" t="e">
        <f t="shared" si="31"/>
        <v>#DIV/0!</v>
      </c>
      <c r="G126" s="34" t="e">
        <f t="shared" si="31"/>
        <v>#DIV/0!</v>
      </c>
      <c r="H126" s="34" t="e">
        <f t="shared" si="31"/>
        <v>#DIV/0!</v>
      </c>
      <c r="I126" s="34" t="e">
        <f t="shared" si="31"/>
        <v>#DIV/0!</v>
      </c>
      <c r="J126" s="217" t="e">
        <f>J122/(E124-D135)</f>
        <v>#DIV/0!</v>
      </c>
    </row>
    <row r="127" spans="1:10" x14ac:dyDescent="0.25">
      <c r="A127" s="45" t="s">
        <v>141</v>
      </c>
      <c r="B127" s="45" t="e">
        <f>B126/D52</f>
        <v>#DIV/0!</v>
      </c>
      <c r="C127" s="46" t="s">
        <v>151</v>
      </c>
      <c r="D127" s="34" t="e">
        <f>J126*I125</f>
        <v>#DIV/0!</v>
      </c>
      <c r="E127" s="35"/>
      <c r="F127" s="4"/>
      <c r="G127" s="4"/>
      <c r="H127" s="4"/>
      <c r="I127" s="36"/>
      <c r="J127" s="218"/>
    </row>
    <row r="128" spans="1:10" x14ac:dyDescent="0.25">
      <c r="A128" s="45" t="s">
        <v>152</v>
      </c>
      <c r="B128" s="45"/>
      <c r="C128" s="46" t="s">
        <v>153</v>
      </c>
      <c r="D128" s="34" t="e">
        <f>SUM(D126:I126)+D127</f>
        <v>#DIV/0!</v>
      </c>
      <c r="E128" s="35"/>
      <c r="F128" s="4"/>
      <c r="G128" s="4"/>
      <c r="H128" s="4"/>
      <c r="I128" s="27"/>
    </row>
    <row r="129" spans="1:9" x14ac:dyDescent="0.25">
      <c r="A129" s="47" t="s">
        <v>154</v>
      </c>
      <c r="B129" s="45"/>
      <c r="C129" s="46" t="s">
        <v>174</v>
      </c>
      <c r="D129" s="34">
        <f>D106</f>
        <v>1191105</v>
      </c>
      <c r="E129" s="35" t="s">
        <v>155</v>
      </c>
      <c r="F129" s="4"/>
      <c r="G129" s="4"/>
      <c r="H129" s="4"/>
      <c r="I129" s="4"/>
    </row>
    <row r="130" spans="1:9" x14ac:dyDescent="0.25">
      <c r="A130" s="45" t="s">
        <v>156</v>
      </c>
      <c r="B130" s="45">
        <v>0.16112163612825756</v>
      </c>
      <c r="C130" s="46" t="s">
        <v>157</v>
      </c>
      <c r="D130" s="34" t="e">
        <f>D128-D129</f>
        <v>#DIV/0!</v>
      </c>
      <c r="E130" s="35"/>
      <c r="F130" s="4"/>
      <c r="G130" s="4"/>
      <c r="H130" s="4"/>
      <c r="I130" s="4"/>
    </row>
    <row r="131" spans="1:9" ht="15" x14ac:dyDescent="0.25">
      <c r="A131" s="45" t="s">
        <v>158</v>
      </c>
      <c r="B131" s="45">
        <v>0.21548210190567901</v>
      </c>
      <c r="C131" s="48" t="s">
        <v>159</v>
      </c>
      <c r="D131" s="34" t="e">
        <f>D128/BS!C133</f>
        <v>#DIV/0!</v>
      </c>
      <c r="E131" s="28"/>
      <c r="F131" s="4"/>
      <c r="G131" s="4"/>
      <c r="H131" s="4"/>
      <c r="I131" s="4"/>
    </row>
    <row r="132" spans="1:9" x14ac:dyDescent="0.25">
      <c r="A132" s="45" t="s">
        <v>160</v>
      </c>
      <c r="B132" s="45">
        <v>20.350000000000001</v>
      </c>
      <c r="C132" s="46" t="s">
        <v>161</v>
      </c>
      <c r="D132" s="34">
        <f>BS!C133</f>
        <v>0</v>
      </c>
      <c r="E132" s="28"/>
      <c r="F132" s="4"/>
      <c r="G132" s="4"/>
      <c r="H132" s="4"/>
      <c r="I132" s="4"/>
    </row>
    <row r="133" spans="1:9" x14ac:dyDescent="0.25">
      <c r="A133" s="45"/>
      <c r="B133" s="45"/>
      <c r="C133" s="45"/>
      <c r="D133" s="35"/>
      <c r="E133" s="28" t="s">
        <v>162</v>
      </c>
      <c r="F133" s="4"/>
      <c r="G133" s="4"/>
      <c r="H133" s="4"/>
      <c r="I133" s="4"/>
    </row>
    <row r="134" spans="1:9" x14ac:dyDescent="0.25">
      <c r="A134" s="47" t="s">
        <v>163</v>
      </c>
      <c r="B134" s="45">
        <v>0.19687543670310584</v>
      </c>
      <c r="C134" s="45" t="s">
        <v>164</v>
      </c>
      <c r="D134" s="31">
        <v>0.1</v>
      </c>
      <c r="E134" s="29" t="e">
        <f>(C6/B6-1)/3+(D6/C6-1)/3+(E6/D6-1)/3</f>
        <v>#REF!</v>
      </c>
      <c r="F134" s="4"/>
      <c r="G134" s="4"/>
      <c r="H134" s="4"/>
      <c r="I134" s="4"/>
    </row>
    <row r="135" spans="1:9" x14ac:dyDescent="0.25">
      <c r="A135" s="45" t="s">
        <v>165</v>
      </c>
      <c r="B135" s="45">
        <v>9.6889145071987173</v>
      </c>
      <c r="C135" s="45" t="s">
        <v>166</v>
      </c>
      <c r="D135" s="31">
        <v>6.5000000000000002E-2</v>
      </c>
      <c r="E135" s="28"/>
      <c r="F135" s="4"/>
      <c r="G135" s="4"/>
      <c r="H135" s="4"/>
      <c r="I135" s="4"/>
    </row>
    <row r="136" spans="1:9" x14ac:dyDescent="0.25">
      <c r="A136" s="45" t="s">
        <v>167</v>
      </c>
      <c r="B136" s="45">
        <v>8.45696989077776</v>
      </c>
      <c r="C136" s="45" t="s">
        <v>168</v>
      </c>
      <c r="D136" s="29">
        <v>0.25</v>
      </c>
      <c r="E136" s="28"/>
      <c r="F136" s="4"/>
      <c r="G136" s="4"/>
      <c r="H136" s="4"/>
      <c r="I136" s="4"/>
    </row>
    <row r="137" spans="1:9" x14ac:dyDescent="0.25">
      <c r="A137" s="45" t="s">
        <v>169</v>
      </c>
      <c r="B137" s="45">
        <v>16.425293476880046</v>
      </c>
      <c r="C137" s="49" t="s">
        <v>170</v>
      </c>
      <c r="D137" s="35">
        <v>14.58</v>
      </c>
      <c r="E137" s="28"/>
      <c r="F137" s="4"/>
      <c r="G137" s="4"/>
      <c r="H137" s="4"/>
      <c r="I137" s="4"/>
    </row>
    <row r="138" spans="1:9" x14ac:dyDescent="0.25">
      <c r="A138" s="45" t="s">
        <v>171</v>
      </c>
      <c r="B138" s="45">
        <v>1.8213711332335853</v>
      </c>
      <c r="C138" s="49" t="s">
        <v>172</v>
      </c>
      <c r="D138" s="55">
        <f>D52/D99</f>
        <v>0</v>
      </c>
      <c r="E138" s="28"/>
      <c r="F138" s="4"/>
      <c r="G138" s="4"/>
      <c r="H138" s="4"/>
      <c r="I138" s="4"/>
    </row>
    <row r="139" spans="1:9" x14ac:dyDescent="0.25">
      <c r="A139" s="45" t="s">
        <v>173</v>
      </c>
      <c r="B139" s="45">
        <v>4.1581321243086817</v>
      </c>
      <c r="C139" s="45" t="s">
        <v>175</v>
      </c>
      <c r="D139" s="29" t="e">
        <f>D138*(1-B127)/(1-D138*(1-B127))</f>
        <v>#DIV/0!</v>
      </c>
      <c r="E139" s="28"/>
      <c r="F139" s="4"/>
      <c r="G139" s="4"/>
      <c r="H139" s="4"/>
      <c r="I139" s="4"/>
    </row>
    <row r="140" spans="1:9" x14ac:dyDescent="0.25">
      <c r="A140" s="44"/>
      <c r="B140" s="44"/>
      <c r="C140" s="44"/>
      <c r="D140" s="4"/>
      <c r="E140" s="4"/>
      <c r="F140" s="4"/>
      <c r="G140" s="4"/>
      <c r="H140" s="4"/>
      <c r="I140" s="4"/>
    </row>
    <row r="141" spans="1:9" x14ac:dyDescent="0.25">
      <c r="A141" s="50"/>
      <c r="D141"/>
    </row>
    <row r="142" spans="1:9" x14ac:dyDescent="0.25">
      <c r="A142" s="50"/>
      <c r="D142"/>
    </row>
  </sheetData>
  <mergeCells count="1">
    <mergeCell ref="J126:J127"/>
  </mergeCells>
  <phoneticPr fontId="3" type="noConversion"/>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D1DEAE-3533-4F39-9AB4-3B9671CC1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445</vt:i4>
      </vt:variant>
    </vt:vector>
  </HeadingPairs>
  <TitlesOfParts>
    <vt:vector size="467" baseType="lpstr">
      <vt:lpstr>管理bs</vt:lpstr>
      <vt:lpstr>BS</vt:lpstr>
      <vt:lpstr>PL</vt:lpstr>
      <vt:lpstr>CF</vt:lpstr>
      <vt:lpstr>BS (分析)</vt:lpstr>
      <vt:lpstr>PL (分析)</vt:lpstr>
      <vt:lpstr>CF (分析)</vt:lpstr>
      <vt:lpstr>分红</vt:lpstr>
      <vt:lpstr>财务比率</vt:lpstr>
      <vt:lpstr>杜邦</vt:lpstr>
      <vt:lpstr>管理名称</vt:lpstr>
      <vt:lpstr>指数走势图</vt:lpstr>
      <vt:lpstr>价值评估</vt:lpstr>
      <vt:lpstr>自选股</vt:lpstr>
      <vt:lpstr>中国平安</vt:lpstr>
      <vt:lpstr>BS数据</vt:lpstr>
      <vt:lpstr>PL数据</vt:lpstr>
      <vt:lpstr>CF数据</vt:lpstr>
      <vt:lpstr>BS原始数据</vt:lpstr>
      <vt:lpstr>PL原始数据</vt:lpstr>
      <vt:lpstr>CF原始数据</vt:lpstr>
      <vt:lpstr>EVA</vt:lpstr>
      <vt:lpstr>分红!_2009_fhzzgb_000002.shtml</vt:lpstr>
      <vt:lpstr>分红!_2009_fhzzgb_000002.shtml_1</vt:lpstr>
      <vt:lpstr>分红!_2009_fhzzgb_000002.shtml_2</vt:lpstr>
      <vt:lpstr>分红!_2009_fhzzgb_000002.shtml_3</vt:lpstr>
      <vt:lpstr>分红!_2009_fhzzgb_000002.shtml_4</vt:lpstr>
      <vt:lpstr>分红!_2009_fhzzgb_000157.shtml</vt:lpstr>
      <vt:lpstr>分红!_2009_fhzzgb_000333.shtml</vt:lpstr>
      <vt:lpstr>分红!_2009_fhzzgb_000338.shtml</vt:lpstr>
      <vt:lpstr>分红!_2009_fhzzgb_000423.shtml</vt:lpstr>
      <vt:lpstr>分红!_2009_fhzzgb_000528.shtml</vt:lpstr>
      <vt:lpstr>分红!_2009_fhzzgb_000581.shtml</vt:lpstr>
      <vt:lpstr>分红!_2009_fhzzgb_000651.shtml</vt:lpstr>
      <vt:lpstr>分红!_2009_fhzzgb_000651.shtml_1</vt:lpstr>
      <vt:lpstr>分红!_2009_fhzzgb_000651.shtml_2</vt:lpstr>
      <vt:lpstr>分红!_2009_fhzzgb_000672.shtml</vt:lpstr>
      <vt:lpstr>分红!_2009_fhzzgb_000672.shtml_1</vt:lpstr>
      <vt:lpstr>分红!_2009_fhzzgb_000672.shtml_2</vt:lpstr>
      <vt:lpstr>分红!_2009_fhzzgb_000725.shtml</vt:lpstr>
      <vt:lpstr>分红!_2009_fhzzgb_000725.shtml_1</vt:lpstr>
      <vt:lpstr>分红!_2009_fhzzgb_000725.shtml_2</vt:lpstr>
      <vt:lpstr>分红!_2009_fhzzgb_000725.shtml_3</vt:lpstr>
      <vt:lpstr>分红!_2009_fhzzgb_000858.shtml</vt:lpstr>
      <vt:lpstr>分红!_2009_fhzzgb_000963.shtml</vt:lpstr>
      <vt:lpstr>分红!_2009_fhzzgb_000963.shtml_1</vt:lpstr>
      <vt:lpstr>分红!_2009_fhzzgb_002008.shtml</vt:lpstr>
      <vt:lpstr>分红!_2009_fhzzgb_002124.shtml</vt:lpstr>
      <vt:lpstr>分红!_2009_fhzzgb_002223.shtml</vt:lpstr>
      <vt:lpstr>分红!_2009_fhzzgb_002230.shtml</vt:lpstr>
      <vt:lpstr>分红!_2009_fhzzgb_002230.shtml_1</vt:lpstr>
      <vt:lpstr>分红!_2009_fhzzgb_002382.shtml</vt:lpstr>
      <vt:lpstr>分红!_2009_fhzzgb_002411.shtml</vt:lpstr>
      <vt:lpstr>分红!_2009_fhzzgb_002413.shtml</vt:lpstr>
      <vt:lpstr>分红!_2009_fhzzgb_002415.shtml</vt:lpstr>
      <vt:lpstr>分红!_2009_fhzzgb_002422.shtml</vt:lpstr>
      <vt:lpstr>分红!_2009_fhzzgb_002423.shtml</vt:lpstr>
      <vt:lpstr>分红!_2009_fhzzgb_002432.shtml</vt:lpstr>
      <vt:lpstr>分红!_2009_fhzzgb_002734.shtml</vt:lpstr>
      <vt:lpstr>分红!_2009_fhzzgb_002734.shtml_1</vt:lpstr>
      <vt:lpstr>分红!_2009_fhzzgb_002737.shtml</vt:lpstr>
      <vt:lpstr>分红!_2009_fhzzgb_002756.shtml</vt:lpstr>
      <vt:lpstr>分红!_2009_fhzzgb_002768.shtml</vt:lpstr>
      <vt:lpstr>分红!_2009_fhzzgb_002832.shtml</vt:lpstr>
      <vt:lpstr>分红!_2009_fhzzgb_300012.shtml</vt:lpstr>
      <vt:lpstr>分红!_2009_fhzzgb_300016.shtml</vt:lpstr>
      <vt:lpstr>分红!_2009_fhzzgb_300016.shtml_1</vt:lpstr>
      <vt:lpstr>分红!_2009_fhzzgb_300132.shtml</vt:lpstr>
      <vt:lpstr>分红!_2009_fhzzgb_300132.shtml_1</vt:lpstr>
      <vt:lpstr>分红!_2009_fhzzgb_300417.shtml</vt:lpstr>
      <vt:lpstr>分红!_2009_fhzzgb_300417.shtml_1</vt:lpstr>
      <vt:lpstr>分红!_2009_fhzzgb_300498.shtml</vt:lpstr>
      <vt:lpstr>分红!_2009_fhzzgb_300498.shtml_1</vt:lpstr>
      <vt:lpstr>分红!_2009_fhzzgb_300498.shtml_2</vt:lpstr>
      <vt:lpstr>分红!_2009_fhzzgb_300498.shtml_3</vt:lpstr>
      <vt:lpstr>分红!_2009_fhzzgb_300658.shtml</vt:lpstr>
      <vt:lpstr>分红!_2009_fhzzgb_300767.shtml</vt:lpstr>
      <vt:lpstr>分红!_2009_fhzzgb_300782.shtml</vt:lpstr>
      <vt:lpstr>分红!_2009_fhzzgb_600019.shtml</vt:lpstr>
      <vt:lpstr>分红!_2009_fhzzgb_600031.shtml</vt:lpstr>
      <vt:lpstr>分红!_2009_fhzzgb_600031.shtml_1</vt:lpstr>
      <vt:lpstr>分红!_2009_fhzzgb_600031.shtml_2</vt:lpstr>
      <vt:lpstr>分红!_2009_fhzzgb_600050.shtml</vt:lpstr>
      <vt:lpstr>分红!_2009_fhzzgb_600050.shtml_1</vt:lpstr>
      <vt:lpstr>分红!_2009_fhzzgb_600143.shtml</vt:lpstr>
      <vt:lpstr>分红!_2009_fhzzgb_600177.shtml</vt:lpstr>
      <vt:lpstr>分红!_2009_fhzzgb_600230.shtml</vt:lpstr>
      <vt:lpstr>分红!_2009_fhzzgb_600309.shtml</vt:lpstr>
      <vt:lpstr>分红!_2009_fhzzgb_600352.shtml</vt:lpstr>
      <vt:lpstr>分红!_2009_fhzzgb_600352.shtml_1</vt:lpstr>
      <vt:lpstr>分红!_2009_fhzzgb_600398.shtml</vt:lpstr>
      <vt:lpstr>分红!_2009_fhzzgb_600409.shtml</vt:lpstr>
      <vt:lpstr>分红!_2009_fhzzgb_600436.shtml</vt:lpstr>
      <vt:lpstr>分红!_2009_fhzzgb_600507.shtml</vt:lpstr>
      <vt:lpstr>分红!_2009_fhzzgb_600519.shtml</vt:lpstr>
      <vt:lpstr>分红!_2009_fhzzgb_600585.shtml</vt:lpstr>
      <vt:lpstr>分红!_2009_fhzzgb_600585.shtml_1</vt:lpstr>
      <vt:lpstr>分红!_2009_fhzzgb_600585.shtml_2</vt:lpstr>
      <vt:lpstr>分红!_2009_fhzzgb_600585.shtml_3</vt:lpstr>
      <vt:lpstr>分红!_2009_fhzzgb_600633.shtml</vt:lpstr>
      <vt:lpstr>分红!_2009_fhzzgb_600660.shtml</vt:lpstr>
      <vt:lpstr>分红!_2009_fhzzgb_600679.shtml</vt:lpstr>
      <vt:lpstr>分红!_2009_fhzzgb_600690.shtml</vt:lpstr>
      <vt:lpstr>分红!_2009_fhzzgb_600801.shtml</vt:lpstr>
      <vt:lpstr>分红!_2009_fhzzgb_600801.shtml_1</vt:lpstr>
      <vt:lpstr>分红!_2009_fhzzgb_600846.shtml</vt:lpstr>
      <vt:lpstr>分红!_2009_fhzzgb_600975.shtml</vt:lpstr>
      <vt:lpstr>分红!_2009_fhzzgb_601168.shtml</vt:lpstr>
      <vt:lpstr>分红!_2009_fhzzgb_601225.shtml</vt:lpstr>
      <vt:lpstr>分红!_2009_fhzzgb_601225.shtml_1</vt:lpstr>
      <vt:lpstr>分红!_2009_fhzzgb_601225.shtml_2</vt:lpstr>
      <vt:lpstr>分红!_2009_fhzzgb_601225.shtml_3</vt:lpstr>
      <vt:lpstr>分红!_2009_fhzzgb_601318.shtml</vt:lpstr>
      <vt:lpstr>分红!_2009_fhzzgb_601318.shtml_1</vt:lpstr>
      <vt:lpstr>分红!_2009_fhzzgb_601390.shtml</vt:lpstr>
      <vt:lpstr>分红!_2009_fhzzgb_601668.shtml</vt:lpstr>
      <vt:lpstr>分红!_2009_fhzzgb_601766.shtml</vt:lpstr>
      <vt:lpstr>分红!_2009_fhzzgb_603027.shtml</vt:lpstr>
      <vt:lpstr>分红!_2009_fhzzgb_603129.shtml</vt:lpstr>
      <vt:lpstr>分红!_2009_fhzzgb_603609.shtml</vt:lpstr>
      <vt:lpstr>分红!_2009_fhzzgb_603609.shtml_1</vt:lpstr>
      <vt:lpstr>分红!_2009_fhzzgb_603639.shtml</vt:lpstr>
      <vt:lpstr>分红!_2009_fhzzgb_603737.shtml</vt:lpstr>
      <vt:lpstr>分红!_2009_fhzzgb_688981.shtml</vt:lpstr>
      <vt:lpstr>PL数据!lrb_000002.html?type_year</vt:lpstr>
      <vt:lpstr>PL数据!lrb_000002.html?type_year_1</vt:lpstr>
      <vt:lpstr>PL数据!lrb_000002.html?type_year_2</vt:lpstr>
      <vt:lpstr>PL数据!lrb_000002.html?type_year_3</vt:lpstr>
      <vt:lpstr>PL数据!lrb_000002.html?type_year_4</vt:lpstr>
      <vt:lpstr>PL数据!lrb_000002.html?type_year_5</vt:lpstr>
      <vt:lpstr>PL数据!lrb_000002.html?type_year_6</vt:lpstr>
      <vt:lpstr>PL数据!lrb_000002.html?type_year_7</vt:lpstr>
      <vt:lpstr>PL数据!lrb_000157.html?type_year</vt:lpstr>
      <vt:lpstr>PL数据!lrb_000157.html?type_year_1</vt:lpstr>
      <vt:lpstr>PL数据!lrb_000338.html?type_year</vt:lpstr>
      <vt:lpstr>PL数据!lrb_000338.html?type_year_1</vt:lpstr>
      <vt:lpstr>PL数据!lrb_000338.html?type_year_2</vt:lpstr>
      <vt:lpstr>PL数据!lrb_000338.html?type_year_3</vt:lpstr>
      <vt:lpstr>PL数据!lrb_000581.html?type_year</vt:lpstr>
      <vt:lpstr>PL数据!lrb_000581.html?type_year_1</vt:lpstr>
      <vt:lpstr>PL数据!lrb_000651.html?type_year</vt:lpstr>
      <vt:lpstr>PL数据!lrb_000651.html?type_year_1</vt:lpstr>
      <vt:lpstr>PL数据!lrb_000651.html?type_year_2</vt:lpstr>
      <vt:lpstr>PL数据!lrb_000651.html?type_year_3</vt:lpstr>
      <vt:lpstr>PL数据!lrb_000672.html?type_year</vt:lpstr>
      <vt:lpstr>PL数据!lrb_000672.html?type_year_1</vt:lpstr>
      <vt:lpstr>PL数据!lrb_000672.html?type_year_2</vt:lpstr>
      <vt:lpstr>PL数据!lrb_000672.html?type_year_3</vt:lpstr>
      <vt:lpstr>PL数据!lrb_000725.html?type_year</vt:lpstr>
      <vt:lpstr>PL数据!lrb_000725.html?type_year_1</vt:lpstr>
      <vt:lpstr>PL数据!lrb_000963.html?type_year</vt:lpstr>
      <vt:lpstr>PL数据!lrb_000963.html?type_year_1</vt:lpstr>
      <vt:lpstr>PL数据!lrb_002124.html?type_year</vt:lpstr>
      <vt:lpstr>PL数据!lrb_002124.html?type_year_1</vt:lpstr>
      <vt:lpstr>PL数据!lrb_002230.html?type_year</vt:lpstr>
      <vt:lpstr>PL数据!lrb_002230.html?type_year_1</vt:lpstr>
      <vt:lpstr>PL数据!lrb_002230.html?type_year_2</vt:lpstr>
      <vt:lpstr>PL数据!lrb_002230.html?type_year_3</vt:lpstr>
      <vt:lpstr>PL数据!lrb_002236.html?type_year</vt:lpstr>
      <vt:lpstr>PL数据!lrb_002236.html?type_year_1</vt:lpstr>
      <vt:lpstr>PL数据!lrb_002734.html?type_year</vt:lpstr>
      <vt:lpstr>PL数据!lrb_002734.html?type_year_1</vt:lpstr>
      <vt:lpstr>PL数据!lrb_002737.html?type_year</vt:lpstr>
      <vt:lpstr>PL数据!lrb_002737.html?type_year_1</vt:lpstr>
      <vt:lpstr>PL数据!lrb_002832.html?type_year</vt:lpstr>
      <vt:lpstr>PL数据!lrb_002832.html?type_year_1</vt:lpstr>
      <vt:lpstr>PL数据!lrb_300016.html?type_year</vt:lpstr>
      <vt:lpstr>PL数据!lrb_300016.html?type_year_1</vt:lpstr>
      <vt:lpstr>PL数据!lrb_300132.html?type_year</vt:lpstr>
      <vt:lpstr>PL数据!lrb_300132.html?type_year_1</vt:lpstr>
      <vt:lpstr>PL数据!lrb_300417.html?type_year</vt:lpstr>
      <vt:lpstr>PL数据!lrb_300417.html?type_year_1</vt:lpstr>
      <vt:lpstr>PL数据!lrb_300417.html?type_year_2</vt:lpstr>
      <vt:lpstr>PL数据!lrb_300417.html?type_year_3</vt:lpstr>
      <vt:lpstr>PL数据!lrb_300498.html?type_year</vt:lpstr>
      <vt:lpstr>PL数据!lrb_300498.html?type_year_1</vt:lpstr>
      <vt:lpstr>PL数据!lrb_300498.html?type_year_2</vt:lpstr>
      <vt:lpstr>PL数据!lrb_300498.html?type_year_3</vt:lpstr>
      <vt:lpstr>PL数据!lrb_300498.html?type_year_4</vt:lpstr>
      <vt:lpstr>PL数据!lrb_300498.html?type_year_5</vt:lpstr>
      <vt:lpstr>PL数据!lrb_600019.html?type_year</vt:lpstr>
      <vt:lpstr>PL数据!lrb_600019.html?type_year_1</vt:lpstr>
      <vt:lpstr>PL数据!lrb_600031.html?type_year</vt:lpstr>
      <vt:lpstr>PL原始数据!lrb_600031.html?type_year</vt:lpstr>
      <vt:lpstr>PL数据!lrb_600031.html?type_year_1</vt:lpstr>
      <vt:lpstr>PL原始数据!lrb_600031.html?type_year_1</vt:lpstr>
      <vt:lpstr>PL数据!lrb_600031.html?type_year_2</vt:lpstr>
      <vt:lpstr>PL数据!lrb_600031.html?type_year_3</vt:lpstr>
      <vt:lpstr>PL数据!lrb_600050.html?type_year</vt:lpstr>
      <vt:lpstr>PL数据!lrb_600050.html?type_year_1</vt:lpstr>
      <vt:lpstr>PL数据!lrb_600050.html?type_year_2</vt:lpstr>
      <vt:lpstr>PL数据!lrb_600050.html?type_year_3</vt:lpstr>
      <vt:lpstr>PL数据!lrb_600177.html?type_year</vt:lpstr>
      <vt:lpstr>PL数据!lrb_600177.html?type_year_1</vt:lpstr>
      <vt:lpstr>PL数据!lrb_600352.html?type_year</vt:lpstr>
      <vt:lpstr>PL数据!lrb_600352.html?type_year_1</vt:lpstr>
      <vt:lpstr>PL数据!lrb_600352.html?type_year_2</vt:lpstr>
      <vt:lpstr>PL数据!lrb_600352.html?type_year_3</vt:lpstr>
      <vt:lpstr>PL数据!lrb_600352.html?type_year_4</vt:lpstr>
      <vt:lpstr>PL数据!lrb_600352.html?type_year_5</vt:lpstr>
      <vt:lpstr>PL数据!lrb_600507.html?type_year</vt:lpstr>
      <vt:lpstr>PL数据!lrb_600507.html?type_year_1</vt:lpstr>
      <vt:lpstr>PL数据!lrb_600585.html?type_year</vt:lpstr>
      <vt:lpstr>PL数据!lrb_600585.html?type_year_1</vt:lpstr>
      <vt:lpstr>PL数据!lrb_600585.html?type_year_4</vt:lpstr>
      <vt:lpstr>PL数据!lrb_600585.html?type_year_5</vt:lpstr>
      <vt:lpstr>PL数据!lrb_600585.html?type_year_6</vt:lpstr>
      <vt:lpstr>PL数据!lrb_600585.html?type_year_7</vt:lpstr>
      <vt:lpstr>PL数据!lrb_600801.html?type_year</vt:lpstr>
      <vt:lpstr>PL数据!lrb_600801.html?type_year_1</vt:lpstr>
      <vt:lpstr>PL数据!lrb_600801.html?type_year_2</vt:lpstr>
      <vt:lpstr>PL数据!lrb_600801.html?type_year_3</vt:lpstr>
      <vt:lpstr>PL数据!lrb_601168.html?type_year</vt:lpstr>
      <vt:lpstr>PL数据!lrb_601168.html?type_year_1</vt:lpstr>
      <vt:lpstr>PL数据!lrb_601225.html?type_year</vt:lpstr>
      <vt:lpstr>PL数据!lrb_601225.html?type_year_1</vt:lpstr>
      <vt:lpstr>PL数据!lrb_601225.html?type_year_2</vt:lpstr>
      <vt:lpstr>PL数据!lrb_601225.html?type_year_3</vt:lpstr>
      <vt:lpstr>PL数据!lrb_601318.html?type_year</vt:lpstr>
      <vt:lpstr>PL数据!lrb_601318.html?type_year_1</vt:lpstr>
      <vt:lpstr>PL数据!lrb_601390.html?type_year</vt:lpstr>
      <vt:lpstr>PL数据!lrb_601390.html?type_year_1</vt:lpstr>
      <vt:lpstr>PL数据!lrb_601668.html?type_year</vt:lpstr>
      <vt:lpstr>PL数据!lrb_601668.html?type_year_1</vt:lpstr>
      <vt:lpstr>PL数据!lrb_601766.html?type_year</vt:lpstr>
      <vt:lpstr>PL数据!lrb_601766.html?type_year_1</vt:lpstr>
      <vt:lpstr>PL数据!lrb_601777.html?type_year</vt:lpstr>
      <vt:lpstr>PL数据!lrb_601777.html?type_year_1</vt:lpstr>
      <vt:lpstr>PL数据!lrb_603027.html?type_year</vt:lpstr>
      <vt:lpstr>PL数据!lrb_603027.html?type_year_1</vt:lpstr>
      <vt:lpstr>PL数据!lrb_603609.html?type_year</vt:lpstr>
      <vt:lpstr>PL数据!lrb_603609.html?type_year_1</vt:lpstr>
      <vt:lpstr>PL数据!lrb_603639.html?type_year</vt:lpstr>
      <vt:lpstr>PL数据!lrb_603639.html?type_year_1</vt:lpstr>
      <vt:lpstr>PL数据!lrb_603737.html?type_year</vt:lpstr>
      <vt:lpstr>PL数据!lrb_603737.html?type_year_1</vt:lpstr>
      <vt:lpstr>PL数据!lrb_688981.html?type_year</vt:lpstr>
      <vt:lpstr>PL数据!lrb_688981.html?type_year_1</vt:lpstr>
      <vt:lpstr>CF数据!xjllb_000002.html?type_year</vt:lpstr>
      <vt:lpstr>CF数据!xjllb_000002.html?type_year_1</vt:lpstr>
      <vt:lpstr>CF数据!xjllb_000002.html?type_year_2</vt:lpstr>
      <vt:lpstr>CF数据!xjllb_000002.html?type_year_3</vt:lpstr>
      <vt:lpstr>CF数据!xjllb_000002.html?type_year_4</vt:lpstr>
      <vt:lpstr>CF数据!xjllb_000002.html?type_year_5</vt:lpstr>
      <vt:lpstr>CF数据!xjllb_000002.html?type_year_6</vt:lpstr>
      <vt:lpstr>CF数据!xjllb_000002.html?type_year_7</vt:lpstr>
      <vt:lpstr>CF数据!xjllb_000157.html?type_year</vt:lpstr>
      <vt:lpstr>CF数据!xjllb_000157.html?type_year_1</vt:lpstr>
      <vt:lpstr>CF数据!xjllb_000338.html?type_year</vt:lpstr>
      <vt:lpstr>CF数据!xjllb_000338.html?type_year_1</vt:lpstr>
      <vt:lpstr>CF数据!xjllb_000338.html?type_year_2</vt:lpstr>
      <vt:lpstr>CF数据!xjllb_000338.html?type_year_3</vt:lpstr>
      <vt:lpstr>CF数据!xjllb_000581.html?type_year</vt:lpstr>
      <vt:lpstr>CF数据!xjllb_000581.html?type_year_1</vt:lpstr>
      <vt:lpstr>CF数据!xjllb_000651.html?type_year</vt:lpstr>
      <vt:lpstr>CF数据!xjllb_000651.html?type_year_1</vt:lpstr>
      <vt:lpstr>CF数据!xjllb_000651.html?type_year_2</vt:lpstr>
      <vt:lpstr>CF数据!xjllb_000651.html?type_year_3</vt:lpstr>
      <vt:lpstr>CF数据!xjllb_000672.html?type_year</vt:lpstr>
      <vt:lpstr>CF数据!xjllb_000672.html?type_year_1</vt:lpstr>
      <vt:lpstr>CF数据!xjllb_000672.html?type_year_2</vt:lpstr>
      <vt:lpstr>CF数据!xjllb_000672.html?type_year_3</vt:lpstr>
      <vt:lpstr>CF数据!xjllb_000725.html?type_year</vt:lpstr>
      <vt:lpstr>CF数据!xjllb_000725.html?type_year_1</vt:lpstr>
      <vt:lpstr>CF数据!xjllb_000963.html?type_year</vt:lpstr>
      <vt:lpstr>CF数据!xjllb_000963.html?type_year_1</vt:lpstr>
      <vt:lpstr>CF数据!xjllb_002124.html?type_year</vt:lpstr>
      <vt:lpstr>CF数据!xjllb_002124.html?type_year_1</vt:lpstr>
      <vt:lpstr>CF数据!xjllb_002230.html?type_year</vt:lpstr>
      <vt:lpstr>CF数据!xjllb_002230.html?type_year_1</vt:lpstr>
      <vt:lpstr>CF数据!xjllb_002230.html?type_year_2</vt:lpstr>
      <vt:lpstr>CF数据!xjllb_002230.html?type_year_3</vt:lpstr>
      <vt:lpstr>CF数据!xjllb_002236.html?type_year</vt:lpstr>
      <vt:lpstr>CF数据!xjllb_002236.html?type_year_1</vt:lpstr>
      <vt:lpstr>CF数据!xjllb_002734.html?type_year</vt:lpstr>
      <vt:lpstr>CF数据!xjllb_002734.html?type_year_1</vt:lpstr>
      <vt:lpstr>CF数据!xjllb_002737.html?type_year</vt:lpstr>
      <vt:lpstr>CF数据!xjllb_002737.html?type_year_1</vt:lpstr>
      <vt:lpstr>CF数据!xjllb_002832.html?type_year</vt:lpstr>
      <vt:lpstr>CF数据!xjllb_002832.html?type_year_1</vt:lpstr>
      <vt:lpstr>CF数据!xjllb_300016.html?type_year</vt:lpstr>
      <vt:lpstr>CF数据!xjllb_300016.html?type_year_1</vt:lpstr>
      <vt:lpstr>CF数据!xjllb_300132.html?type_year</vt:lpstr>
      <vt:lpstr>CF数据!xjllb_300132.html?type_year_1</vt:lpstr>
      <vt:lpstr>CF数据!xjllb_300417.html?type_year</vt:lpstr>
      <vt:lpstr>CF数据!xjllb_300417.html?type_year_1</vt:lpstr>
      <vt:lpstr>CF数据!xjllb_300417.html?type_year_2</vt:lpstr>
      <vt:lpstr>CF数据!xjllb_300417.html?type_year_3</vt:lpstr>
      <vt:lpstr>CF数据!xjllb_300498.html?type_year</vt:lpstr>
      <vt:lpstr>CF数据!xjllb_300498.html?type_year_1</vt:lpstr>
      <vt:lpstr>CF数据!xjllb_300498.html?type_year_2</vt:lpstr>
      <vt:lpstr>CF数据!xjllb_300498.html?type_year_3</vt:lpstr>
      <vt:lpstr>CF数据!xjllb_300498.html?type_year_4</vt:lpstr>
      <vt:lpstr>CF数据!xjllb_300498.html?type_year_5</vt:lpstr>
      <vt:lpstr>CF数据!xjllb_600019.html?type_year</vt:lpstr>
      <vt:lpstr>CF数据!xjllb_600019.html?type_year_1</vt:lpstr>
      <vt:lpstr>CF数据!xjllb_600031.html?type_year</vt:lpstr>
      <vt:lpstr>CF原始数据!xjllb_600031.html?type_year</vt:lpstr>
      <vt:lpstr>CF数据!xjllb_600031.html?type_year_1</vt:lpstr>
      <vt:lpstr>CF原始数据!xjllb_600031.html?type_year_1</vt:lpstr>
      <vt:lpstr>CF数据!xjllb_600031.html?type_year_2</vt:lpstr>
      <vt:lpstr>CF数据!xjllb_600031.html?type_year_3</vt:lpstr>
      <vt:lpstr>CF数据!xjllb_600050.html?type_year</vt:lpstr>
      <vt:lpstr>CF数据!xjllb_600050.html?type_year_1</vt:lpstr>
      <vt:lpstr>CF数据!xjllb_600050.html?type_year_2</vt:lpstr>
      <vt:lpstr>CF数据!xjllb_600050.html?type_year_3</vt:lpstr>
      <vt:lpstr>CF数据!xjllb_600177.html?type_year</vt:lpstr>
      <vt:lpstr>CF数据!xjllb_600177.html?type_year_1</vt:lpstr>
      <vt:lpstr>CF数据!xjllb_600352.html?type_year</vt:lpstr>
      <vt:lpstr>CF数据!xjllb_600352.html?type_year_1</vt:lpstr>
      <vt:lpstr>CF数据!xjllb_600352.html?type_year_2</vt:lpstr>
      <vt:lpstr>CF数据!xjllb_600352.html?type_year_3</vt:lpstr>
      <vt:lpstr>CF数据!xjllb_600352.html?type_year_4</vt:lpstr>
      <vt:lpstr>CF数据!xjllb_600352.html?type_year_5</vt:lpstr>
      <vt:lpstr>CF数据!xjllb_600507.html?type_year</vt:lpstr>
      <vt:lpstr>CF数据!xjllb_600507.html?type_year_1</vt:lpstr>
      <vt:lpstr>CF数据!xjllb_600585.html?type_year</vt:lpstr>
      <vt:lpstr>CF数据!xjllb_600585.html?type_year_1</vt:lpstr>
      <vt:lpstr>CF数据!xjllb_600585.html?type_year_4</vt:lpstr>
      <vt:lpstr>CF数据!xjllb_600585.html?type_year_5</vt:lpstr>
      <vt:lpstr>CF数据!xjllb_600585.html?type_year_6</vt:lpstr>
      <vt:lpstr>CF数据!xjllb_600585.html?type_year_7</vt:lpstr>
      <vt:lpstr>CF数据!xjllb_600801.html?type_year</vt:lpstr>
      <vt:lpstr>CF数据!xjllb_600801.html?type_year_1</vt:lpstr>
      <vt:lpstr>CF数据!xjllb_600801.html?type_year_2</vt:lpstr>
      <vt:lpstr>CF数据!xjllb_600801.html?type_year_3</vt:lpstr>
      <vt:lpstr>CF数据!xjllb_601168.html?type_year</vt:lpstr>
      <vt:lpstr>CF数据!xjllb_601168.html?type_year_1</vt:lpstr>
      <vt:lpstr>CF数据!xjllb_601225.html?type_year</vt:lpstr>
      <vt:lpstr>CF数据!xjllb_601225.html?type_year_1</vt:lpstr>
      <vt:lpstr>CF数据!xjllb_601225.html?type_year_2</vt:lpstr>
      <vt:lpstr>CF数据!xjllb_601225.html?type_year_3</vt:lpstr>
      <vt:lpstr>CF数据!xjllb_601318.html?type_year</vt:lpstr>
      <vt:lpstr>CF数据!xjllb_601318.html?type_year_1</vt:lpstr>
      <vt:lpstr>CF数据!xjllb_601390.html?type_year</vt:lpstr>
      <vt:lpstr>CF数据!xjllb_601390.html?type_year_1</vt:lpstr>
      <vt:lpstr>CF数据!xjllb_601668.html?type_year</vt:lpstr>
      <vt:lpstr>CF数据!xjllb_601668.html?type_year_1</vt:lpstr>
      <vt:lpstr>CF数据!xjllb_601766.html?type_year</vt:lpstr>
      <vt:lpstr>CF数据!xjllb_601766.html?type_year_1</vt:lpstr>
      <vt:lpstr>CF数据!xjllb_601777.html?type_year</vt:lpstr>
      <vt:lpstr>CF数据!xjllb_601777.html?type_year_1</vt:lpstr>
      <vt:lpstr>CF数据!xjllb_603027.html?type_year</vt:lpstr>
      <vt:lpstr>CF数据!xjllb_603027.html?type_year_1</vt:lpstr>
      <vt:lpstr>CF数据!xjllb_603609.html?type_year</vt:lpstr>
      <vt:lpstr>CF数据!xjllb_603609.html?type_year_1</vt:lpstr>
      <vt:lpstr>CF数据!xjllb_603639.html?type_year</vt:lpstr>
      <vt:lpstr>CF数据!xjllb_603639.html?type_year_1</vt:lpstr>
      <vt:lpstr>CF数据!xjllb_603737.html?type_year</vt:lpstr>
      <vt:lpstr>CF数据!xjllb_603737.html?type_year_1</vt:lpstr>
      <vt:lpstr>CF数据!xjllb_688981.html?type_year</vt:lpstr>
      <vt:lpstr>CF数据!xjllb_688981.html?type_year_1</vt:lpstr>
      <vt:lpstr>BS数据!zcfzb_000002.html?type_year</vt:lpstr>
      <vt:lpstr>BS数据!zcfzb_000002.html?type_year_1</vt:lpstr>
      <vt:lpstr>BS数据!zcfzb_000002.html?type_year_2</vt:lpstr>
      <vt:lpstr>BS数据!zcfzb_000002.html?type_year_3</vt:lpstr>
      <vt:lpstr>BS数据!zcfzb_000002.html?type_year_4</vt:lpstr>
      <vt:lpstr>BS数据!zcfzb_000002.html?type_year_5</vt:lpstr>
      <vt:lpstr>BS数据!zcfzb_000002.html?type_year_6</vt:lpstr>
      <vt:lpstr>BS数据!zcfzb_000002.html?type_year_7</vt:lpstr>
      <vt:lpstr>BS数据!zcfzb_000157.html?type_year</vt:lpstr>
      <vt:lpstr>BS数据!zcfzb_000157.html?type_year_1</vt:lpstr>
      <vt:lpstr>BS数据!zcfzb_000338.html?type_year</vt:lpstr>
      <vt:lpstr>BS数据!zcfzb_000338.html?type_year_1</vt:lpstr>
      <vt:lpstr>BS数据!zcfzb_000338.html?type_year_2</vt:lpstr>
      <vt:lpstr>BS数据!zcfzb_000338.html?type_year_3</vt:lpstr>
      <vt:lpstr>BS数据!zcfzb_000581.html?type_year</vt:lpstr>
      <vt:lpstr>BS数据!zcfzb_000581.html?type_year_1</vt:lpstr>
      <vt:lpstr>BS数据!zcfzb_000651.html?type_year</vt:lpstr>
      <vt:lpstr>BS数据!zcfzb_000651.html?type_year_1</vt:lpstr>
      <vt:lpstr>BS数据!zcfzb_000651.html?type_year_2</vt:lpstr>
      <vt:lpstr>BS数据!zcfzb_000651.html?type_year_3</vt:lpstr>
      <vt:lpstr>BS数据!zcfzb_000672.html?type_year</vt:lpstr>
      <vt:lpstr>BS数据!zcfzb_000672.html?type_year_1</vt:lpstr>
      <vt:lpstr>BS数据!zcfzb_000672.html?type_year_2</vt:lpstr>
      <vt:lpstr>BS数据!zcfzb_000672.html?type_year_3</vt:lpstr>
      <vt:lpstr>BS数据!zcfzb_000725.html?type_year</vt:lpstr>
      <vt:lpstr>BS数据!zcfzb_000725.html?type_year_1</vt:lpstr>
      <vt:lpstr>BS数据!zcfzb_000963.html?type_year</vt:lpstr>
      <vt:lpstr>BS数据!zcfzb_000963.html?type_year_1</vt:lpstr>
      <vt:lpstr>BS数据!zcfzb_002124.html?type_year</vt:lpstr>
      <vt:lpstr>BS数据!zcfzb_002124.html?type_year_1</vt:lpstr>
      <vt:lpstr>BS数据!zcfzb_002230.html?type_year</vt:lpstr>
      <vt:lpstr>BS数据!zcfzb_002230.html?type_year_1</vt:lpstr>
      <vt:lpstr>BS数据!zcfzb_002230.html?type_year_2</vt:lpstr>
      <vt:lpstr>BS数据!zcfzb_002230.html?type_year_3</vt:lpstr>
      <vt:lpstr>BS数据!zcfzb_002236.html?type_year</vt:lpstr>
      <vt:lpstr>BS数据!zcfzb_002236.html?type_year_1</vt:lpstr>
      <vt:lpstr>BS数据!zcfzb_002734.html?type_year</vt:lpstr>
      <vt:lpstr>BS数据!zcfzb_002734.html?type_year_1</vt:lpstr>
      <vt:lpstr>BS数据!zcfzb_002737.html?type_year</vt:lpstr>
      <vt:lpstr>BS数据!zcfzb_002737.html?type_year_1</vt:lpstr>
      <vt:lpstr>BS数据!zcfzb_002832.html?type_year</vt:lpstr>
      <vt:lpstr>BS数据!zcfzb_002832.html?type_year_1</vt:lpstr>
      <vt:lpstr>BS数据!zcfzb_300016.html?type_year</vt:lpstr>
      <vt:lpstr>BS数据!zcfzb_300016.html?type_year_1</vt:lpstr>
      <vt:lpstr>BS数据!zcfzb_300132.html?type_year</vt:lpstr>
      <vt:lpstr>BS数据!zcfzb_300132.html?type_year_1</vt:lpstr>
      <vt:lpstr>BS数据!zcfzb_300417.html?type_year</vt:lpstr>
      <vt:lpstr>BS数据!zcfzb_300417.html?type_year_1</vt:lpstr>
      <vt:lpstr>BS数据!zcfzb_300417.html?type_year_2</vt:lpstr>
      <vt:lpstr>BS数据!zcfzb_300417.html?type_year_3</vt:lpstr>
      <vt:lpstr>BS数据!zcfzb_300498.html?type_year</vt:lpstr>
      <vt:lpstr>BS数据!zcfzb_300498.html?type_year_1</vt:lpstr>
      <vt:lpstr>BS数据!zcfzb_300498.html?type_year_2</vt:lpstr>
      <vt:lpstr>BS数据!zcfzb_300498.html?type_year_3</vt:lpstr>
      <vt:lpstr>BS数据!zcfzb_300498.html?type_year_4</vt:lpstr>
      <vt:lpstr>BS数据!zcfzb_300498.html?type_year_5</vt:lpstr>
      <vt:lpstr>BS数据!zcfzb_600019.html?type_year</vt:lpstr>
      <vt:lpstr>BS数据!zcfzb_600019.html?type_year_1</vt:lpstr>
      <vt:lpstr>BS数据!zcfzb_600031.html?type_year</vt:lpstr>
      <vt:lpstr>BS原始数据!zcfzb_600031.html?type_year</vt:lpstr>
      <vt:lpstr>BS数据!zcfzb_600031.html?type_year_1</vt:lpstr>
      <vt:lpstr>BS原始数据!zcfzb_600031.html?type_year_1</vt:lpstr>
      <vt:lpstr>BS数据!zcfzb_600031.html?type_year_2</vt:lpstr>
      <vt:lpstr>BS数据!zcfzb_600031.html?type_year_3</vt:lpstr>
      <vt:lpstr>BS数据!zcfzb_600050.html?type_year</vt:lpstr>
      <vt:lpstr>BS数据!zcfzb_600050.html?type_year_1</vt:lpstr>
      <vt:lpstr>BS数据!zcfzb_600050.html?type_year_2</vt:lpstr>
      <vt:lpstr>BS数据!zcfzb_600050.html?type_year_3</vt:lpstr>
      <vt:lpstr>BS数据!zcfzb_600177.html?type_year</vt:lpstr>
      <vt:lpstr>BS数据!zcfzb_600177.html?type_year_1</vt:lpstr>
      <vt:lpstr>BS数据!zcfzb_600352.html?type_year</vt:lpstr>
      <vt:lpstr>BS数据!zcfzb_600352.html?type_year_1</vt:lpstr>
      <vt:lpstr>BS数据!zcfzb_600352.html?type_year_2</vt:lpstr>
      <vt:lpstr>BS数据!zcfzb_600352.html?type_year_3</vt:lpstr>
      <vt:lpstr>BS数据!zcfzb_600352.html?type_year_4</vt:lpstr>
      <vt:lpstr>BS数据!zcfzb_600352.html?type_year_5</vt:lpstr>
      <vt:lpstr>BS数据!zcfzb_600507.html?type_year</vt:lpstr>
      <vt:lpstr>BS数据!zcfzb_600507.html?type_year_1</vt:lpstr>
      <vt:lpstr>BS数据!zcfzb_600585.html?type_year</vt:lpstr>
      <vt:lpstr>BS数据!zcfzb_600585.html?type_year_1</vt:lpstr>
      <vt:lpstr>BS数据!zcfzb_600585.html?type_year_4</vt:lpstr>
      <vt:lpstr>BS数据!zcfzb_600585.html?type_year_5</vt:lpstr>
      <vt:lpstr>BS数据!zcfzb_600585.html?type_year_6</vt:lpstr>
      <vt:lpstr>BS数据!zcfzb_600585.html?type_year_7</vt:lpstr>
      <vt:lpstr>BS数据!zcfzb_600801.html?type_year</vt:lpstr>
      <vt:lpstr>BS数据!zcfzb_600801.html?type_year_1</vt:lpstr>
      <vt:lpstr>BS数据!zcfzb_600801.html?type_year_2</vt:lpstr>
      <vt:lpstr>BS数据!zcfzb_600801.html?type_year_3</vt:lpstr>
      <vt:lpstr>BS数据!zcfzb_601168.html?type_year</vt:lpstr>
      <vt:lpstr>BS数据!zcfzb_601168.html?type_year_1</vt:lpstr>
      <vt:lpstr>BS数据!zcfzb_601225.html?type_year</vt:lpstr>
      <vt:lpstr>BS数据!zcfzb_601225.html?type_year_1</vt:lpstr>
      <vt:lpstr>BS数据!zcfzb_601225.html?type_year_2</vt:lpstr>
      <vt:lpstr>BS数据!zcfzb_601225.html?type_year_3</vt:lpstr>
      <vt:lpstr>BS数据!zcfzb_601318.html?type_year</vt:lpstr>
      <vt:lpstr>BS数据!zcfzb_601318.html?type_year_1</vt:lpstr>
      <vt:lpstr>BS数据!zcfzb_601390.html?type_year</vt:lpstr>
      <vt:lpstr>BS数据!zcfzb_601390.html?type_year_1</vt:lpstr>
      <vt:lpstr>BS数据!zcfzb_601668.html?type_year</vt:lpstr>
      <vt:lpstr>BS数据!zcfzb_601668.html?type_year_1</vt:lpstr>
      <vt:lpstr>BS数据!zcfzb_601766.html?type_year</vt:lpstr>
      <vt:lpstr>BS数据!zcfzb_601766.html?type_year_1</vt:lpstr>
      <vt:lpstr>BS数据!zcfzb_601777.html?type_year</vt:lpstr>
      <vt:lpstr>BS数据!zcfzb_601777.html?type_year_1</vt:lpstr>
      <vt:lpstr>BS数据!zcfzb_603027.html?type_year</vt:lpstr>
      <vt:lpstr>BS数据!zcfzb_603027.html?type_year_1</vt:lpstr>
      <vt:lpstr>BS数据!zcfzb_603609.html?type_year</vt:lpstr>
      <vt:lpstr>BS数据!zcfzb_603609.html?type_year_1</vt:lpstr>
      <vt:lpstr>BS数据!zcfzb_603639.html?type_year</vt:lpstr>
      <vt:lpstr>BS数据!zcfzb_603639.html?type_year_1</vt:lpstr>
      <vt:lpstr>BS数据!zcfzb_603737.html?type_year</vt:lpstr>
      <vt:lpstr>BS数据!zcfzb_603737.html?type_year_1</vt:lpstr>
      <vt:lpstr>BS数据!zcfzb_688981.html?type_year</vt:lpstr>
      <vt:lpstr>BS数据!zcfzb_688981.html?type_year_1</vt:lpstr>
      <vt:lpstr>管理名称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dazhu</dc:creator>
  <cp:lastModifiedBy>Windows 用户</cp:lastModifiedBy>
  <cp:lastPrinted>2019-12-09T08:07:50Z</cp:lastPrinted>
  <dcterms:created xsi:type="dcterms:W3CDTF">2016-10-17T01:21:13Z</dcterms:created>
  <dcterms:modified xsi:type="dcterms:W3CDTF">2021-03-10T01:41:07Z</dcterms:modified>
</cp:coreProperties>
</file>