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project\ltt\模板\"/>
    </mc:Choice>
  </mc:AlternateContent>
  <xr:revisionPtr revIDLastSave="0" documentId="13_ncr:1_{19FBCDA0-B5DF-46DE-89C9-53CC0BC61ADF}" xr6:coauthVersionLast="41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汇总-自动取数" sheetId="2" r:id="rId1"/>
    <sheet name="汇总表2" sheetId="6" r:id="rId2"/>
    <sheet name="卡片数据" sheetId="1" r:id="rId3"/>
    <sheet name="省外划拨" sheetId="3" r:id="rId4"/>
    <sheet name="省内地市间划拨" sheetId="4" r:id="rId5"/>
    <sheet name="子分公司间划转资产" sheetId="5" r:id="rId6"/>
    <sheet name="Sheet1" sheetId="8" state="hidden" r:id="rId7"/>
  </sheets>
  <definedNames>
    <definedName name="_xlnm._FilterDatabase" localSheetId="1" hidden="1">汇总表2!$A$4:$V$65</definedName>
    <definedName name="_xlnm._FilterDatabase" localSheetId="2" hidden="1">卡片数据!$A$4:$X$8</definedName>
  </definedNames>
  <calcPr calcId="181029" calcMode="manual" fullPrecision="0"/>
</workbook>
</file>

<file path=xl/calcChain.xml><?xml version="1.0" encoding="utf-8"?>
<calcChain xmlns="http://schemas.openxmlformats.org/spreadsheetml/2006/main">
  <c r="G21" i="5" l="1"/>
  <c r="F21" i="5"/>
  <c r="G21" i="4"/>
  <c r="F21" i="4"/>
  <c r="E21" i="4"/>
  <c r="D21" i="4"/>
  <c r="G21" i="3"/>
  <c r="F21" i="3"/>
  <c r="E21" i="3"/>
  <c r="D21" i="3"/>
  <c r="V8" i="1"/>
  <c r="U8" i="1"/>
  <c r="T8" i="1"/>
  <c r="K8" i="1"/>
  <c r="X8" i="1" s="1"/>
  <c r="H8" i="1"/>
  <c r="V7" i="1"/>
  <c r="U7" i="1"/>
  <c r="T7" i="1"/>
  <c r="K7" i="1"/>
  <c r="W7" i="1" s="1"/>
  <c r="H7" i="1"/>
  <c r="V6" i="1"/>
  <c r="U6" i="1"/>
  <c r="T6" i="1"/>
  <c r="K6" i="1"/>
  <c r="W6" i="1" s="1"/>
  <c r="H6" i="1"/>
  <c r="P61" i="6"/>
  <c r="O61" i="6"/>
  <c r="M61" i="6"/>
  <c r="L61" i="6"/>
  <c r="J61" i="6"/>
  <c r="I61" i="6"/>
  <c r="G61" i="6"/>
  <c r="V61" i="6" s="1"/>
  <c r="F61" i="6"/>
  <c r="U61" i="6" s="1"/>
  <c r="D61" i="6"/>
  <c r="C61" i="6"/>
  <c r="R61" i="6" s="1"/>
  <c r="P60" i="6"/>
  <c r="O60" i="6"/>
  <c r="N60" i="6" s="1"/>
  <c r="M60" i="6"/>
  <c r="L60" i="6"/>
  <c r="J60" i="6"/>
  <c r="I60" i="6"/>
  <c r="G60" i="6"/>
  <c r="V60" i="6" s="1"/>
  <c r="F60" i="6"/>
  <c r="U60" i="6" s="1"/>
  <c r="D60" i="6"/>
  <c r="S60" i="6" s="1"/>
  <c r="C60" i="6"/>
  <c r="R60" i="6" s="1"/>
  <c r="P59" i="6"/>
  <c r="O59" i="6"/>
  <c r="M59" i="6"/>
  <c r="L59" i="6"/>
  <c r="J59" i="6"/>
  <c r="I59" i="6"/>
  <c r="G59" i="6"/>
  <c r="F59" i="6"/>
  <c r="D59" i="6"/>
  <c r="C59" i="6"/>
  <c r="R59" i="6" s="1"/>
  <c r="P58" i="6"/>
  <c r="O58" i="6"/>
  <c r="N58" i="6" s="1"/>
  <c r="M58" i="6"/>
  <c r="L58" i="6"/>
  <c r="J58" i="6"/>
  <c r="I58" i="6"/>
  <c r="H58" i="6" s="1"/>
  <c r="G58" i="6"/>
  <c r="V58" i="6" s="1"/>
  <c r="F58" i="6"/>
  <c r="U58" i="6" s="1"/>
  <c r="D58" i="6"/>
  <c r="S58" i="6" s="1"/>
  <c r="C58" i="6"/>
  <c r="P57" i="6"/>
  <c r="O57" i="6"/>
  <c r="M57" i="6"/>
  <c r="L57" i="6"/>
  <c r="J57" i="6"/>
  <c r="I57" i="6"/>
  <c r="G57" i="6"/>
  <c r="V57" i="6" s="1"/>
  <c r="F57" i="6"/>
  <c r="U57" i="6" s="1"/>
  <c r="D57" i="6"/>
  <c r="C57" i="6"/>
  <c r="R57" i="6" s="1"/>
  <c r="P56" i="6"/>
  <c r="O56" i="6"/>
  <c r="M56" i="6"/>
  <c r="L56" i="6"/>
  <c r="J56" i="6"/>
  <c r="I56" i="6"/>
  <c r="G56" i="6"/>
  <c r="V56" i="6" s="1"/>
  <c r="F56" i="6"/>
  <c r="U56" i="6" s="1"/>
  <c r="D56" i="6"/>
  <c r="S56" i="6" s="1"/>
  <c r="C56" i="6"/>
  <c r="R56" i="6" s="1"/>
  <c r="P55" i="6"/>
  <c r="O55" i="6"/>
  <c r="M55" i="6"/>
  <c r="L55" i="6"/>
  <c r="K55" i="6" s="1"/>
  <c r="J55" i="6"/>
  <c r="I55" i="6"/>
  <c r="G55" i="6"/>
  <c r="V55" i="6" s="1"/>
  <c r="F55" i="6"/>
  <c r="D55" i="6"/>
  <c r="S55" i="6" s="1"/>
  <c r="C55" i="6"/>
  <c r="R55" i="6" s="1"/>
  <c r="P54" i="6"/>
  <c r="O54" i="6"/>
  <c r="M54" i="6"/>
  <c r="L54" i="6"/>
  <c r="J54" i="6"/>
  <c r="I54" i="6"/>
  <c r="G54" i="6"/>
  <c r="V54" i="6" s="1"/>
  <c r="F54" i="6"/>
  <c r="U54" i="6" s="1"/>
  <c r="D54" i="6"/>
  <c r="C54" i="6"/>
  <c r="P53" i="6"/>
  <c r="O53" i="6"/>
  <c r="M53" i="6"/>
  <c r="L53" i="6"/>
  <c r="J53" i="6"/>
  <c r="I53" i="6"/>
  <c r="G53" i="6"/>
  <c r="V53" i="6" s="1"/>
  <c r="F53" i="6"/>
  <c r="D53" i="6"/>
  <c r="C53" i="6"/>
  <c r="R53" i="6" s="1"/>
  <c r="J52" i="6"/>
  <c r="P51" i="6"/>
  <c r="O51" i="6"/>
  <c r="M51" i="6"/>
  <c r="L51" i="6"/>
  <c r="J51" i="6"/>
  <c r="I51" i="6"/>
  <c r="G51" i="6"/>
  <c r="V51" i="6" s="1"/>
  <c r="F51" i="6"/>
  <c r="D51" i="6"/>
  <c r="S51" i="6" s="1"/>
  <c r="C51" i="6"/>
  <c r="R51" i="6" s="1"/>
  <c r="P50" i="6"/>
  <c r="O50" i="6"/>
  <c r="M50" i="6"/>
  <c r="L50" i="6"/>
  <c r="J50" i="6"/>
  <c r="I50" i="6"/>
  <c r="G50" i="6"/>
  <c r="F50" i="6"/>
  <c r="U50" i="6" s="1"/>
  <c r="D50" i="6"/>
  <c r="C50" i="6"/>
  <c r="R50" i="6" s="1"/>
  <c r="P49" i="6"/>
  <c r="O49" i="6"/>
  <c r="M49" i="6"/>
  <c r="L49" i="6"/>
  <c r="J49" i="6"/>
  <c r="I49" i="6"/>
  <c r="G49" i="6"/>
  <c r="V49" i="6" s="1"/>
  <c r="F49" i="6"/>
  <c r="U49" i="6" s="1"/>
  <c r="D49" i="6"/>
  <c r="C49" i="6"/>
  <c r="R49" i="6" s="1"/>
  <c r="P48" i="6"/>
  <c r="O48" i="6"/>
  <c r="M48" i="6"/>
  <c r="L48" i="6"/>
  <c r="J48" i="6"/>
  <c r="I48" i="6"/>
  <c r="G48" i="6"/>
  <c r="V48" i="6" s="1"/>
  <c r="F48" i="6"/>
  <c r="U48" i="6" s="1"/>
  <c r="D48" i="6"/>
  <c r="S48" i="6" s="1"/>
  <c r="C48" i="6"/>
  <c r="R48" i="6" s="1"/>
  <c r="P47" i="6"/>
  <c r="O47" i="6"/>
  <c r="M47" i="6"/>
  <c r="L47" i="6"/>
  <c r="J47" i="6"/>
  <c r="H47" i="6" s="1"/>
  <c r="I47" i="6"/>
  <c r="G47" i="6"/>
  <c r="F47" i="6"/>
  <c r="D47" i="6"/>
  <c r="S47" i="6" s="1"/>
  <c r="C47" i="6"/>
  <c r="R47" i="6" s="1"/>
  <c r="P46" i="6"/>
  <c r="O46" i="6"/>
  <c r="M46" i="6"/>
  <c r="L46" i="6"/>
  <c r="J46" i="6"/>
  <c r="I46" i="6"/>
  <c r="G46" i="6"/>
  <c r="V46" i="6" s="1"/>
  <c r="F46" i="6"/>
  <c r="U46" i="6" s="1"/>
  <c r="D46" i="6"/>
  <c r="S46" i="6" s="1"/>
  <c r="C46" i="6"/>
  <c r="R46" i="6" s="1"/>
  <c r="P45" i="6"/>
  <c r="O45" i="6"/>
  <c r="M45" i="6"/>
  <c r="L45" i="6"/>
  <c r="J45" i="6"/>
  <c r="I45" i="6"/>
  <c r="G45" i="6"/>
  <c r="V45" i="6" s="1"/>
  <c r="F45" i="6"/>
  <c r="U45" i="6" s="1"/>
  <c r="D45" i="6"/>
  <c r="C45" i="6"/>
  <c r="P44" i="6"/>
  <c r="O44" i="6"/>
  <c r="M44" i="6"/>
  <c r="L44" i="6"/>
  <c r="J44" i="6"/>
  <c r="I44" i="6"/>
  <c r="G44" i="6"/>
  <c r="V44" i="6" s="1"/>
  <c r="F44" i="6"/>
  <c r="U44" i="6" s="1"/>
  <c r="D44" i="6"/>
  <c r="S44" i="6" s="1"/>
  <c r="C44" i="6"/>
  <c r="R44" i="6" s="1"/>
  <c r="P43" i="6"/>
  <c r="O43" i="6"/>
  <c r="M43" i="6"/>
  <c r="L43" i="6"/>
  <c r="J43" i="6"/>
  <c r="I43" i="6"/>
  <c r="G43" i="6"/>
  <c r="V43" i="6" s="1"/>
  <c r="F43" i="6"/>
  <c r="U43" i="6" s="1"/>
  <c r="D43" i="6"/>
  <c r="S43" i="6" s="1"/>
  <c r="C43" i="6"/>
  <c r="R43" i="6" s="1"/>
  <c r="P42" i="6"/>
  <c r="O42" i="6"/>
  <c r="M42" i="6"/>
  <c r="L42" i="6"/>
  <c r="J42" i="6"/>
  <c r="I42" i="6"/>
  <c r="G42" i="6"/>
  <c r="V42" i="6" s="1"/>
  <c r="F42" i="6"/>
  <c r="U42" i="6" s="1"/>
  <c r="D42" i="6"/>
  <c r="S42" i="6" s="1"/>
  <c r="C42" i="6"/>
  <c r="P41" i="6"/>
  <c r="O41" i="6"/>
  <c r="M41" i="6"/>
  <c r="L41" i="6"/>
  <c r="J41" i="6"/>
  <c r="I41" i="6"/>
  <c r="G41" i="6"/>
  <c r="V41" i="6" s="1"/>
  <c r="F41" i="6"/>
  <c r="U41" i="6" s="1"/>
  <c r="D41" i="6"/>
  <c r="S41" i="6" s="1"/>
  <c r="C41" i="6"/>
  <c r="P40" i="6"/>
  <c r="O40" i="6"/>
  <c r="M40" i="6"/>
  <c r="L40" i="6"/>
  <c r="J40" i="6"/>
  <c r="I40" i="6"/>
  <c r="G40" i="6"/>
  <c r="V40" i="6" s="1"/>
  <c r="F40" i="6"/>
  <c r="D40" i="6"/>
  <c r="S40" i="6" s="1"/>
  <c r="C40" i="6"/>
  <c r="R40" i="6" s="1"/>
  <c r="P39" i="6"/>
  <c r="O39" i="6"/>
  <c r="M39" i="6"/>
  <c r="L39" i="6"/>
  <c r="J39" i="6"/>
  <c r="I39" i="6"/>
  <c r="G39" i="6"/>
  <c r="V39" i="6" s="1"/>
  <c r="F39" i="6"/>
  <c r="D39" i="6"/>
  <c r="C39" i="6"/>
  <c r="R39" i="6" s="1"/>
  <c r="P38" i="6"/>
  <c r="O38" i="6"/>
  <c r="M38" i="6"/>
  <c r="L38" i="6"/>
  <c r="J38" i="6"/>
  <c r="I38" i="6"/>
  <c r="G38" i="6"/>
  <c r="F38" i="6"/>
  <c r="U38" i="6" s="1"/>
  <c r="D38" i="6"/>
  <c r="C38" i="6"/>
  <c r="P37" i="6"/>
  <c r="O37" i="6"/>
  <c r="M37" i="6"/>
  <c r="L37" i="6"/>
  <c r="J37" i="6"/>
  <c r="I37" i="6"/>
  <c r="G37" i="6"/>
  <c r="V37" i="6" s="1"/>
  <c r="F37" i="6"/>
  <c r="U37" i="6" s="1"/>
  <c r="D37" i="6"/>
  <c r="S37" i="6" s="1"/>
  <c r="C37" i="6"/>
  <c r="P36" i="6"/>
  <c r="O36" i="6"/>
  <c r="M36" i="6"/>
  <c r="L36" i="6"/>
  <c r="J36" i="6"/>
  <c r="I36" i="6"/>
  <c r="G36" i="6"/>
  <c r="V36" i="6" s="1"/>
  <c r="F36" i="6"/>
  <c r="D36" i="6"/>
  <c r="S36" i="6" s="1"/>
  <c r="C36" i="6"/>
  <c r="R36" i="6" s="1"/>
  <c r="P35" i="6"/>
  <c r="O35" i="6"/>
  <c r="M35" i="6"/>
  <c r="L35" i="6"/>
  <c r="J35" i="6"/>
  <c r="I35" i="6"/>
  <c r="G35" i="6"/>
  <c r="F35" i="6"/>
  <c r="U35" i="6" s="1"/>
  <c r="D35" i="6"/>
  <c r="C35" i="6"/>
  <c r="P33" i="6"/>
  <c r="O33" i="6"/>
  <c r="M33" i="6"/>
  <c r="L33" i="6"/>
  <c r="J33" i="6"/>
  <c r="I33" i="6"/>
  <c r="G33" i="6"/>
  <c r="V33" i="6" s="1"/>
  <c r="F33" i="6"/>
  <c r="U33" i="6" s="1"/>
  <c r="D33" i="6"/>
  <c r="S33" i="6" s="1"/>
  <c r="C33" i="6"/>
  <c r="R33" i="6" s="1"/>
  <c r="P32" i="6"/>
  <c r="O32" i="6"/>
  <c r="M32" i="6"/>
  <c r="L32" i="6"/>
  <c r="J32" i="6"/>
  <c r="I32" i="6"/>
  <c r="G32" i="6"/>
  <c r="F32" i="6"/>
  <c r="D32" i="6"/>
  <c r="S32" i="6" s="1"/>
  <c r="C32" i="6"/>
  <c r="P31" i="6"/>
  <c r="O31" i="6"/>
  <c r="M31" i="6"/>
  <c r="L31" i="6"/>
  <c r="J31" i="6"/>
  <c r="I31" i="6"/>
  <c r="G31" i="6"/>
  <c r="F31" i="6"/>
  <c r="U31" i="6" s="1"/>
  <c r="D31" i="6"/>
  <c r="C31" i="6"/>
  <c r="R31" i="6" s="1"/>
  <c r="P30" i="6"/>
  <c r="O30" i="6"/>
  <c r="M30" i="6"/>
  <c r="L30" i="6"/>
  <c r="J30" i="6"/>
  <c r="I30" i="6"/>
  <c r="G30" i="6"/>
  <c r="V30" i="6" s="1"/>
  <c r="F30" i="6"/>
  <c r="U30" i="6" s="1"/>
  <c r="D30" i="6"/>
  <c r="S30" i="6" s="1"/>
  <c r="C30" i="6"/>
  <c r="R30" i="6" s="1"/>
  <c r="P29" i="6"/>
  <c r="O29" i="6"/>
  <c r="M29" i="6"/>
  <c r="L29" i="6"/>
  <c r="J29" i="6"/>
  <c r="I29" i="6"/>
  <c r="G29" i="6"/>
  <c r="F29" i="6"/>
  <c r="D29" i="6"/>
  <c r="S29" i="6" s="1"/>
  <c r="C29" i="6"/>
  <c r="L28" i="6"/>
  <c r="P27" i="6"/>
  <c r="O27" i="6"/>
  <c r="M27" i="6"/>
  <c r="L27" i="6"/>
  <c r="J27" i="6"/>
  <c r="I27" i="6"/>
  <c r="G27" i="6"/>
  <c r="F27" i="6"/>
  <c r="U27" i="6" s="1"/>
  <c r="D27" i="6"/>
  <c r="C27" i="6"/>
  <c r="P26" i="6"/>
  <c r="O26" i="6"/>
  <c r="M26" i="6"/>
  <c r="L26" i="6"/>
  <c r="J26" i="6"/>
  <c r="I26" i="6"/>
  <c r="G26" i="6"/>
  <c r="F26" i="6"/>
  <c r="D26" i="6"/>
  <c r="C26" i="6"/>
  <c r="P25" i="6"/>
  <c r="O25" i="6"/>
  <c r="M25" i="6"/>
  <c r="L25" i="6"/>
  <c r="J25" i="6"/>
  <c r="I25" i="6"/>
  <c r="G25" i="6"/>
  <c r="F25" i="6"/>
  <c r="U25" i="6" s="1"/>
  <c r="D25" i="6"/>
  <c r="S25" i="6" s="1"/>
  <c r="C25" i="6"/>
  <c r="R25" i="6" s="1"/>
  <c r="P24" i="6"/>
  <c r="O24" i="6"/>
  <c r="M24" i="6"/>
  <c r="L24" i="6"/>
  <c r="J24" i="6"/>
  <c r="I24" i="6"/>
  <c r="G24" i="6"/>
  <c r="V24" i="6" s="1"/>
  <c r="F24" i="6"/>
  <c r="D24" i="6"/>
  <c r="S24" i="6" s="1"/>
  <c r="C24" i="6"/>
  <c r="R24" i="6" s="1"/>
  <c r="P23" i="6"/>
  <c r="O23" i="6"/>
  <c r="M23" i="6"/>
  <c r="L23" i="6"/>
  <c r="J23" i="6"/>
  <c r="I23" i="6"/>
  <c r="G23" i="6"/>
  <c r="F23" i="6"/>
  <c r="U23" i="6" s="1"/>
  <c r="D23" i="6"/>
  <c r="C23" i="6"/>
  <c r="R23" i="6" s="1"/>
  <c r="P22" i="6"/>
  <c r="O22" i="6"/>
  <c r="M22" i="6"/>
  <c r="L22" i="6"/>
  <c r="J22" i="6"/>
  <c r="J21" i="6" s="1"/>
  <c r="I22" i="6"/>
  <c r="G22" i="6"/>
  <c r="V22" i="6" s="1"/>
  <c r="F22" i="6"/>
  <c r="U22" i="6" s="1"/>
  <c r="D22" i="6"/>
  <c r="S22" i="6" s="1"/>
  <c r="C22" i="6"/>
  <c r="R22" i="6" s="1"/>
  <c r="P20" i="6"/>
  <c r="O20" i="6"/>
  <c r="N20" i="6" s="1"/>
  <c r="M20" i="6"/>
  <c r="L20" i="6"/>
  <c r="J20" i="6"/>
  <c r="I20" i="6"/>
  <c r="H20" i="6" s="1"/>
  <c r="G20" i="6"/>
  <c r="F20" i="6"/>
  <c r="U20" i="6" s="1"/>
  <c r="D20" i="6"/>
  <c r="S20" i="6" s="1"/>
  <c r="C20" i="6"/>
  <c r="P19" i="6"/>
  <c r="O19" i="6"/>
  <c r="M19" i="6"/>
  <c r="L19" i="6"/>
  <c r="J19" i="6"/>
  <c r="I19" i="6"/>
  <c r="G19" i="6"/>
  <c r="F19" i="6"/>
  <c r="D19" i="6"/>
  <c r="C19" i="6"/>
  <c r="P18" i="6"/>
  <c r="O18" i="6"/>
  <c r="M18" i="6"/>
  <c r="L18" i="6"/>
  <c r="J18" i="6"/>
  <c r="J17" i="6" s="1"/>
  <c r="I18" i="6"/>
  <c r="G18" i="6"/>
  <c r="V18" i="6" s="1"/>
  <c r="F18" i="6"/>
  <c r="U18" i="6" s="1"/>
  <c r="D18" i="6"/>
  <c r="S18" i="6" s="1"/>
  <c r="C18" i="6"/>
  <c r="P15" i="6"/>
  <c r="O15" i="6"/>
  <c r="M15" i="6"/>
  <c r="L15" i="6"/>
  <c r="J15" i="6"/>
  <c r="I15" i="6"/>
  <c r="G15" i="6"/>
  <c r="V15" i="6" s="1"/>
  <c r="F15" i="6"/>
  <c r="D15" i="6"/>
  <c r="C15" i="6"/>
  <c r="R15" i="6" s="1"/>
  <c r="P14" i="6"/>
  <c r="O14" i="6"/>
  <c r="M14" i="6"/>
  <c r="L14" i="6"/>
  <c r="J14" i="6"/>
  <c r="I14" i="6"/>
  <c r="G14" i="6"/>
  <c r="F14" i="6"/>
  <c r="D14" i="6"/>
  <c r="S14" i="6" s="1"/>
  <c r="C14" i="6"/>
  <c r="R14" i="6" s="1"/>
  <c r="P13" i="6"/>
  <c r="O13" i="6"/>
  <c r="M13" i="6"/>
  <c r="L13" i="6"/>
  <c r="J13" i="6"/>
  <c r="I13" i="6"/>
  <c r="G13" i="6"/>
  <c r="V13" i="6" s="1"/>
  <c r="F13" i="6"/>
  <c r="U13" i="6" s="1"/>
  <c r="D13" i="6"/>
  <c r="S13" i="6" s="1"/>
  <c r="C13" i="6"/>
  <c r="R13" i="6" s="1"/>
  <c r="P12" i="6"/>
  <c r="O12" i="6"/>
  <c r="M12" i="6"/>
  <c r="L12" i="6"/>
  <c r="J12" i="6"/>
  <c r="I12" i="6"/>
  <c r="G12" i="6"/>
  <c r="V12" i="6" s="1"/>
  <c r="F12" i="6"/>
  <c r="U12" i="6" s="1"/>
  <c r="D12" i="6"/>
  <c r="S12" i="6" s="1"/>
  <c r="C12" i="6"/>
  <c r="P11" i="6"/>
  <c r="O11" i="6"/>
  <c r="M11" i="6"/>
  <c r="L11" i="6"/>
  <c r="J11" i="6"/>
  <c r="I11" i="6"/>
  <c r="G11" i="6"/>
  <c r="V11" i="6" s="1"/>
  <c r="F11" i="6"/>
  <c r="U11" i="6" s="1"/>
  <c r="D11" i="6"/>
  <c r="S11" i="6" s="1"/>
  <c r="C11" i="6"/>
  <c r="R11" i="6" s="1"/>
  <c r="P9" i="6"/>
  <c r="O9" i="6"/>
  <c r="N9" i="6" s="1"/>
  <c r="M9" i="6"/>
  <c r="L9" i="6"/>
  <c r="J9" i="6"/>
  <c r="I9" i="6"/>
  <c r="G9" i="6"/>
  <c r="V9" i="6" s="1"/>
  <c r="F9" i="6"/>
  <c r="U9" i="6" s="1"/>
  <c r="D9" i="6"/>
  <c r="S9" i="6" s="1"/>
  <c r="C9" i="6"/>
  <c r="R9" i="6" s="1"/>
  <c r="P8" i="6"/>
  <c r="O8" i="6"/>
  <c r="M8" i="6"/>
  <c r="L8" i="6"/>
  <c r="J8" i="6"/>
  <c r="I8" i="6"/>
  <c r="G8" i="6"/>
  <c r="F8" i="6"/>
  <c r="U8" i="6" s="1"/>
  <c r="D8" i="6"/>
  <c r="S8" i="6" s="1"/>
  <c r="C8" i="6"/>
  <c r="R8" i="6" s="1"/>
  <c r="P7" i="6"/>
  <c r="O7" i="6"/>
  <c r="M7" i="6"/>
  <c r="L7" i="6"/>
  <c r="J7" i="6"/>
  <c r="I7" i="6"/>
  <c r="G7" i="6"/>
  <c r="V7" i="6" s="1"/>
  <c r="F7" i="6"/>
  <c r="U7" i="6" s="1"/>
  <c r="D7" i="6"/>
  <c r="C7" i="6"/>
  <c r="P6" i="6"/>
  <c r="P5" i="6" s="1"/>
  <c r="O6" i="6"/>
  <c r="M6" i="6"/>
  <c r="L6" i="6"/>
  <c r="J6" i="6"/>
  <c r="J5" i="6" s="1"/>
  <c r="I6" i="6"/>
  <c r="G6" i="6"/>
  <c r="V6" i="6" s="1"/>
  <c r="F6" i="6"/>
  <c r="U6" i="6" s="1"/>
  <c r="D6" i="6"/>
  <c r="C6" i="6"/>
  <c r="R6" i="6" s="1"/>
  <c r="AO36" i="2"/>
  <c r="AL36" i="2"/>
  <c r="AK36" i="2"/>
  <c r="AJ36" i="2"/>
  <c r="AI36" i="2"/>
  <c r="AH36" i="2"/>
  <c r="AG36" i="2"/>
  <c r="AF36" i="2"/>
  <c r="AE36" i="2"/>
  <c r="AD36" i="2" s="1"/>
  <c r="AC36" i="2"/>
  <c r="AB36" i="2"/>
  <c r="AA36" i="2"/>
  <c r="Z36" i="2"/>
  <c r="Y36" i="2"/>
  <c r="X36" i="2"/>
  <c r="V36" i="2"/>
  <c r="S36" i="2"/>
  <c r="R36" i="2"/>
  <c r="Q36" i="2"/>
  <c r="P36" i="2"/>
  <c r="O36" i="2"/>
  <c r="N36" i="2"/>
  <c r="M36" i="2"/>
  <c r="L36" i="2"/>
  <c r="K36" i="2"/>
  <c r="I36" i="2"/>
  <c r="H36" i="2"/>
  <c r="G36" i="2"/>
  <c r="F36" i="2"/>
  <c r="E36" i="2"/>
  <c r="C36" i="2"/>
  <c r="B36" i="2"/>
  <c r="AL35" i="2"/>
  <c r="AK35" i="2"/>
  <c r="AJ35" i="2"/>
  <c r="AI35" i="2"/>
  <c r="AH35" i="2"/>
  <c r="AG35" i="2"/>
  <c r="AF35" i="2"/>
  <c r="AE35" i="2"/>
  <c r="AC35" i="2"/>
  <c r="AB35" i="2"/>
  <c r="AA35" i="2"/>
  <c r="Z35" i="2"/>
  <c r="Y35" i="2"/>
  <c r="X35" i="2"/>
  <c r="V35" i="2"/>
  <c r="S35" i="2"/>
  <c r="R35" i="2"/>
  <c r="Q35" i="2"/>
  <c r="P35" i="2"/>
  <c r="O35" i="2"/>
  <c r="N35" i="2"/>
  <c r="M35" i="2"/>
  <c r="J35" i="2" s="1"/>
  <c r="L35" i="2"/>
  <c r="K35" i="2"/>
  <c r="I35" i="2"/>
  <c r="H35" i="2"/>
  <c r="G35" i="2"/>
  <c r="F35" i="2"/>
  <c r="E35" i="2"/>
  <c r="C35" i="2"/>
  <c r="B35" i="2"/>
  <c r="AL34" i="2"/>
  <c r="AK34" i="2"/>
  <c r="AJ34" i="2"/>
  <c r="AI34" i="2"/>
  <c r="AH34" i="2"/>
  <c r="AG34" i="2"/>
  <c r="AF34" i="2"/>
  <c r="AE34" i="2"/>
  <c r="AC34" i="2"/>
  <c r="AB34" i="2"/>
  <c r="AA34" i="2"/>
  <c r="Z34" i="2"/>
  <c r="Y34" i="2"/>
  <c r="X34" i="2"/>
  <c r="V34" i="2"/>
  <c r="S34" i="2"/>
  <c r="R34" i="2"/>
  <c r="Q34" i="2"/>
  <c r="P34" i="2"/>
  <c r="O34" i="2"/>
  <c r="N34" i="2"/>
  <c r="M34" i="2"/>
  <c r="L34" i="2"/>
  <c r="K34" i="2"/>
  <c r="I34" i="2"/>
  <c r="H34" i="2"/>
  <c r="G34" i="2"/>
  <c r="F34" i="2"/>
  <c r="E34" i="2"/>
  <c r="C34" i="2"/>
  <c r="B34" i="2"/>
  <c r="AL33" i="2"/>
  <c r="AK33" i="2"/>
  <c r="AJ33" i="2"/>
  <c r="AI33" i="2"/>
  <c r="AH33" i="2"/>
  <c r="AG33" i="2"/>
  <c r="AF33" i="2"/>
  <c r="AE33" i="2"/>
  <c r="AC33" i="2"/>
  <c r="AB33" i="2"/>
  <c r="AA33" i="2"/>
  <c r="Z33" i="2"/>
  <c r="Y33" i="2"/>
  <c r="X33" i="2"/>
  <c r="V33" i="2"/>
  <c r="S33" i="2"/>
  <c r="R33" i="2"/>
  <c r="Q33" i="2"/>
  <c r="P33" i="2"/>
  <c r="O33" i="2"/>
  <c r="N33" i="2"/>
  <c r="M33" i="2"/>
  <c r="L33" i="2"/>
  <c r="K33" i="2"/>
  <c r="I33" i="2"/>
  <c r="H33" i="2"/>
  <c r="G33" i="2"/>
  <c r="F33" i="2"/>
  <c r="E33" i="2"/>
  <c r="C33" i="2"/>
  <c r="B33" i="2"/>
  <c r="AL32" i="2"/>
  <c r="AK32" i="2"/>
  <c r="AJ32" i="2"/>
  <c r="AI32" i="2"/>
  <c r="AH32" i="2"/>
  <c r="AG32" i="2"/>
  <c r="AF32" i="2"/>
  <c r="AE32" i="2"/>
  <c r="AC32" i="2"/>
  <c r="AB32" i="2"/>
  <c r="AA32" i="2"/>
  <c r="Z32" i="2"/>
  <c r="Y32" i="2"/>
  <c r="X32" i="2"/>
  <c r="V32" i="2"/>
  <c r="S32" i="2"/>
  <c r="R32" i="2"/>
  <c r="Q32" i="2"/>
  <c r="P32" i="2"/>
  <c r="O32" i="2"/>
  <c r="N32" i="2"/>
  <c r="M32" i="2"/>
  <c r="L32" i="2"/>
  <c r="K32" i="2"/>
  <c r="I32" i="2"/>
  <c r="H32" i="2"/>
  <c r="G32" i="2"/>
  <c r="F32" i="2"/>
  <c r="E32" i="2"/>
  <c r="C32" i="2"/>
  <c r="B32" i="2"/>
  <c r="AL31" i="2"/>
  <c r="AK31" i="2"/>
  <c r="AJ31" i="2"/>
  <c r="AI31" i="2"/>
  <c r="AH31" i="2"/>
  <c r="AG31" i="2"/>
  <c r="AF31" i="2"/>
  <c r="AE31" i="2"/>
  <c r="AC31" i="2"/>
  <c r="AN31" i="2" s="1"/>
  <c r="AB31" i="2"/>
  <c r="AA31" i="2"/>
  <c r="Z31" i="2"/>
  <c r="Y31" i="2"/>
  <c r="X31" i="2"/>
  <c r="V31" i="2"/>
  <c r="S31" i="2"/>
  <c r="R31" i="2"/>
  <c r="Q31" i="2"/>
  <c r="P31" i="2"/>
  <c r="O31" i="2"/>
  <c r="N31" i="2"/>
  <c r="M31" i="2"/>
  <c r="L31" i="2"/>
  <c r="K31" i="2"/>
  <c r="I31" i="2"/>
  <c r="H31" i="2"/>
  <c r="G31" i="2"/>
  <c r="F31" i="2"/>
  <c r="E31" i="2"/>
  <c r="D31" i="2" s="1"/>
  <c r="C31" i="2"/>
  <c r="B31" i="2"/>
  <c r="AP30" i="2"/>
  <c r="AL30" i="2"/>
  <c r="AK30" i="2"/>
  <c r="AJ30" i="2"/>
  <c r="AI30" i="2"/>
  <c r="AH30" i="2"/>
  <c r="AG30" i="2"/>
  <c r="AF30" i="2"/>
  <c r="AE30" i="2"/>
  <c r="AC30" i="2"/>
  <c r="AN30" i="2" s="1"/>
  <c r="AB30" i="2"/>
  <c r="AA30" i="2"/>
  <c r="Z30" i="2"/>
  <c r="Y30" i="2"/>
  <c r="X30" i="2"/>
  <c r="V30" i="2"/>
  <c r="S30" i="2"/>
  <c r="R30" i="2"/>
  <c r="Q30" i="2"/>
  <c r="P30" i="2"/>
  <c r="O30" i="2"/>
  <c r="N30" i="2"/>
  <c r="M30" i="2"/>
  <c r="L30" i="2"/>
  <c r="K30" i="2"/>
  <c r="I30" i="2"/>
  <c r="H30" i="2"/>
  <c r="G30" i="2"/>
  <c r="F30" i="2"/>
  <c r="E30" i="2"/>
  <c r="C30" i="2"/>
  <c r="B30" i="2"/>
  <c r="AP29" i="2"/>
  <c r="AO29" i="2"/>
  <c r="AL29" i="2"/>
  <c r="AK29" i="2"/>
  <c r="AJ29" i="2"/>
  <c r="AI29" i="2"/>
  <c r="AH29" i="2"/>
  <c r="AG29" i="2"/>
  <c r="AF29" i="2"/>
  <c r="AE29" i="2"/>
  <c r="AC29" i="2"/>
  <c r="AN29" i="2" s="1"/>
  <c r="AB29" i="2"/>
  <c r="AA29" i="2"/>
  <c r="Z29" i="2"/>
  <c r="Y29" i="2"/>
  <c r="X29" i="2"/>
  <c r="V29" i="2"/>
  <c r="S29" i="2"/>
  <c r="R29" i="2"/>
  <c r="Q29" i="2"/>
  <c r="P29" i="2"/>
  <c r="O29" i="2"/>
  <c r="N29" i="2"/>
  <c r="M29" i="2"/>
  <c r="L29" i="2"/>
  <c r="K29" i="2"/>
  <c r="J29" i="2" s="1"/>
  <c r="I29" i="2"/>
  <c r="U29" i="2" s="1"/>
  <c r="H29" i="2"/>
  <c r="G29" i="2"/>
  <c r="F29" i="2"/>
  <c r="E29" i="2"/>
  <c r="C29" i="2"/>
  <c r="B29" i="2"/>
  <c r="AP28" i="2"/>
  <c r="AO28" i="2"/>
  <c r="AL28" i="2"/>
  <c r="AK28" i="2"/>
  <c r="AJ28" i="2"/>
  <c r="AI28" i="2"/>
  <c r="AH28" i="2"/>
  <c r="AG28" i="2"/>
  <c r="AF28" i="2"/>
  <c r="AE28" i="2"/>
  <c r="AC28" i="2"/>
  <c r="AB28" i="2"/>
  <c r="AA28" i="2"/>
  <c r="Z28" i="2"/>
  <c r="Y28" i="2"/>
  <c r="X28" i="2"/>
  <c r="V28" i="2"/>
  <c r="S28" i="2"/>
  <c r="R28" i="2"/>
  <c r="Q28" i="2"/>
  <c r="P28" i="2"/>
  <c r="O28" i="2"/>
  <c r="N28" i="2"/>
  <c r="M28" i="2"/>
  <c r="L28" i="2"/>
  <c r="K28" i="2"/>
  <c r="I28" i="2"/>
  <c r="H28" i="2"/>
  <c r="G28" i="2"/>
  <c r="F28" i="2"/>
  <c r="E28" i="2"/>
  <c r="C28" i="2"/>
  <c r="B28" i="2"/>
  <c r="AL27" i="2"/>
  <c r="AK27" i="2"/>
  <c r="AJ27" i="2"/>
  <c r="AI27" i="2"/>
  <c r="AH27" i="2"/>
  <c r="AG27" i="2"/>
  <c r="AF27" i="2"/>
  <c r="AE27" i="2"/>
  <c r="AC27" i="2"/>
  <c r="AB27" i="2"/>
  <c r="AA27" i="2"/>
  <c r="Z27" i="2"/>
  <c r="Y27" i="2"/>
  <c r="X27" i="2"/>
  <c r="V27" i="2"/>
  <c r="S27" i="2"/>
  <c r="R27" i="2"/>
  <c r="Q27" i="2"/>
  <c r="P27" i="2"/>
  <c r="O27" i="2"/>
  <c r="N27" i="2"/>
  <c r="M27" i="2"/>
  <c r="J27" i="2" s="1"/>
  <c r="L27" i="2"/>
  <c r="K27" i="2"/>
  <c r="I27" i="2"/>
  <c r="H27" i="2"/>
  <c r="G27" i="2"/>
  <c r="F27" i="2"/>
  <c r="E27" i="2"/>
  <c r="C27" i="2"/>
  <c r="B27" i="2"/>
  <c r="AL26" i="2"/>
  <c r="AK26" i="2"/>
  <c r="AJ26" i="2"/>
  <c r="AI26" i="2"/>
  <c r="AH26" i="2"/>
  <c r="AG26" i="2"/>
  <c r="AF26" i="2"/>
  <c r="AE26" i="2"/>
  <c r="AC26" i="2"/>
  <c r="AB26" i="2"/>
  <c r="AA26" i="2"/>
  <c r="Z26" i="2"/>
  <c r="Y26" i="2"/>
  <c r="X26" i="2"/>
  <c r="V26" i="2"/>
  <c r="S26" i="2"/>
  <c r="R26" i="2"/>
  <c r="Q26" i="2"/>
  <c r="P26" i="2"/>
  <c r="O26" i="2"/>
  <c r="N26" i="2"/>
  <c r="M26" i="2"/>
  <c r="L26" i="2"/>
  <c r="K26" i="2"/>
  <c r="I26" i="2"/>
  <c r="H26" i="2"/>
  <c r="G26" i="2"/>
  <c r="F26" i="2"/>
  <c r="E26" i="2"/>
  <c r="C26" i="2"/>
  <c r="B26" i="2"/>
  <c r="AL25" i="2"/>
  <c r="AK25" i="2"/>
  <c r="AJ25" i="2"/>
  <c r="AI25" i="2"/>
  <c r="AH25" i="2"/>
  <c r="AG25" i="2"/>
  <c r="AF25" i="2"/>
  <c r="AE25" i="2"/>
  <c r="AC25" i="2"/>
  <c r="AB25" i="2"/>
  <c r="AA25" i="2"/>
  <c r="Z25" i="2"/>
  <c r="Y25" i="2"/>
  <c r="X25" i="2"/>
  <c r="W25" i="2" s="1"/>
  <c r="V25" i="2"/>
  <c r="S25" i="2"/>
  <c r="R25" i="2"/>
  <c r="Q25" i="2"/>
  <c r="P25" i="2"/>
  <c r="O25" i="2"/>
  <c r="N25" i="2"/>
  <c r="M25" i="2"/>
  <c r="L25" i="2"/>
  <c r="K25" i="2"/>
  <c r="I25" i="2"/>
  <c r="H25" i="2"/>
  <c r="G25" i="2"/>
  <c r="F25" i="2"/>
  <c r="E25" i="2"/>
  <c r="C25" i="2"/>
  <c r="B25" i="2"/>
  <c r="AP24" i="2"/>
  <c r="AO24" i="2"/>
  <c r="AL24" i="2"/>
  <c r="AK24" i="2"/>
  <c r="AJ24" i="2"/>
  <c r="AI24" i="2"/>
  <c r="AH24" i="2"/>
  <c r="AG24" i="2"/>
  <c r="AF24" i="2"/>
  <c r="AE24" i="2"/>
  <c r="AC24" i="2"/>
  <c r="AN24" i="2" s="1"/>
  <c r="AB24" i="2"/>
  <c r="AA24" i="2"/>
  <c r="Z24" i="2"/>
  <c r="Y24" i="2"/>
  <c r="X24" i="2"/>
  <c r="V24" i="2"/>
  <c r="S24" i="2"/>
  <c r="R24" i="2"/>
  <c r="Q24" i="2"/>
  <c r="P24" i="2"/>
  <c r="O24" i="2"/>
  <c r="N24" i="2"/>
  <c r="M24" i="2"/>
  <c r="L24" i="2"/>
  <c r="K24" i="2"/>
  <c r="I24" i="2"/>
  <c r="H24" i="2"/>
  <c r="G24" i="2"/>
  <c r="F24" i="2"/>
  <c r="E24" i="2"/>
  <c r="D24" i="2" s="1"/>
  <c r="C24" i="2"/>
  <c r="B24" i="2"/>
  <c r="AP23" i="2"/>
  <c r="AL23" i="2"/>
  <c r="AK23" i="2"/>
  <c r="AJ23" i="2"/>
  <c r="AI23" i="2"/>
  <c r="AH23" i="2"/>
  <c r="AG23" i="2"/>
  <c r="AF23" i="2"/>
  <c r="AE23" i="2"/>
  <c r="AC23" i="2"/>
  <c r="AN23" i="2" s="1"/>
  <c r="AB23" i="2"/>
  <c r="AA23" i="2"/>
  <c r="Z23" i="2"/>
  <c r="Y23" i="2"/>
  <c r="X23" i="2"/>
  <c r="V23" i="2"/>
  <c r="S23" i="2"/>
  <c r="R23" i="2"/>
  <c r="Q23" i="2"/>
  <c r="P23" i="2"/>
  <c r="O23" i="2"/>
  <c r="N23" i="2"/>
  <c r="M23" i="2"/>
  <c r="L23" i="2"/>
  <c r="K23" i="2"/>
  <c r="I23" i="2"/>
  <c r="H23" i="2"/>
  <c r="G23" i="2"/>
  <c r="F23" i="2"/>
  <c r="E23" i="2"/>
  <c r="C23" i="2"/>
  <c r="B23" i="2"/>
  <c r="AL22" i="2"/>
  <c r="AK22" i="2"/>
  <c r="AJ22" i="2"/>
  <c r="AI22" i="2"/>
  <c r="AH22" i="2"/>
  <c r="AG22" i="2"/>
  <c r="AF22" i="2"/>
  <c r="AE22" i="2"/>
  <c r="AC22" i="2"/>
  <c r="AB22" i="2"/>
  <c r="AA22" i="2"/>
  <c r="Z22" i="2"/>
  <c r="Y22" i="2"/>
  <c r="X22" i="2"/>
  <c r="V22" i="2"/>
  <c r="S22" i="2"/>
  <c r="R22" i="2"/>
  <c r="Q22" i="2"/>
  <c r="P22" i="2"/>
  <c r="O22" i="2"/>
  <c r="N22" i="2"/>
  <c r="M22" i="2"/>
  <c r="J22" i="2" s="1"/>
  <c r="L22" i="2"/>
  <c r="K22" i="2"/>
  <c r="I22" i="2"/>
  <c r="H22" i="2"/>
  <c r="G22" i="2"/>
  <c r="F22" i="2"/>
  <c r="F20" i="2" s="1"/>
  <c r="E22" i="2"/>
  <c r="C22" i="2"/>
  <c r="B22" i="2"/>
  <c r="AP21" i="2"/>
  <c r="AO21" i="2"/>
  <c r="AL21" i="2"/>
  <c r="AL20" i="2" s="1"/>
  <c r="AK21" i="2"/>
  <c r="AJ21" i="2"/>
  <c r="AI21" i="2"/>
  <c r="AH21" i="2"/>
  <c r="AG21" i="2"/>
  <c r="AF21" i="2"/>
  <c r="AE21" i="2"/>
  <c r="AC21" i="2"/>
  <c r="AB21" i="2"/>
  <c r="AA21" i="2"/>
  <c r="Z21" i="2"/>
  <c r="Y21" i="2"/>
  <c r="X21" i="2"/>
  <c r="X20" i="2" s="1"/>
  <c r="V21" i="2"/>
  <c r="S21" i="2"/>
  <c r="R21" i="2"/>
  <c r="Q21" i="2"/>
  <c r="Q20" i="2" s="1"/>
  <c r="P21" i="2"/>
  <c r="O21" i="2"/>
  <c r="N21" i="2"/>
  <c r="M21" i="2"/>
  <c r="L21" i="2"/>
  <c r="K21" i="2"/>
  <c r="I21" i="2"/>
  <c r="H21" i="2"/>
  <c r="H20" i="2" s="1"/>
  <c r="G21" i="2"/>
  <c r="F21" i="2"/>
  <c r="E21" i="2"/>
  <c r="C21" i="2"/>
  <c r="C20" i="2" s="1"/>
  <c r="B21" i="2"/>
  <c r="AJ20" i="2"/>
  <c r="AF20" i="2"/>
  <c r="AL19" i="2"/>
  <c r="AK19" i="2"/>
  <c r="AJ19" i="2"/>
  <c r="AI19" i="2"/>
  <c r="AH19" i="2"/>
  <c r="AG19" i="2"/>
  <c r="AF19" i="2"/>
  <c r="AE19" i="2"/>
  <c r="AC19" i="2"/>
  <c r="AB19" i="2"/>
  <c r="AA19" i="2"/>
  <c r="Z19" i="2"/>
  <c r="Y19" i="2"/>
  <c r="X19" i="2"/>
  <c r="V19" i="2"/>
  <c r="S19" i="2"/>
  <c r="R19" i="2"/>
  <c r="Q19" i="2"/>
  <c r="P19" i="2"/>
  <c r="O19" i="2"/>
  <c r="N19" i="2"/>
  <c r="M19" i="2"/>
  <c r="L19" i="2"/>
  <c r="K19" i="2"/>
  <c r="I19" i="2"/>
  <c r="H19" i="2"/>
  <c r="G19" i="2"/>
  <c r="F19" i="2"/>
  <c r="E19" i="2"/>
  <c r="C19" i="2"/>
  <c r="B19" i="2"/>
  <c r="AL18" i="2"/>
  <c r="AK18" i="2"/>
  <c r="AK16" i="2" s="1"/>
  <c r="AJ18" i="2"/>
  <c r="AJ16" i="2" s="1"/>
  <c r="AI18" i="2"/>
  <c r="AH18" i="2"/>
  <c r="AG18" i="2"/>
  <c r="AF18" i="2"/>
  <c r="AF16" i="2" s="1"/>
  <c r="AE18" i="2"/>
  <c r="AC18" i="2"/>
  <c r="AB18" i="2"/>
  <c r="AB16" i="2" s="1"/>
  <c r="AA18" i="2"/>
  <c r="Z18" i="2"/>
  <c r="Y18" i="2"/>
  <c r="X18" i="2"/>
  <c r="W18" i="2" s="1"/>
  <c r="V18" i="2"/>
  <c r="S18" i="2"/>
  <c r="R18" i="2"/>
  <c r="Q18" i="2"/>
  <c r="P18" i="2"/>
  <c r="O18" i="2"/>
  <c r="N18" i="2"/>
  <c r="M18" i="2"/>
  <c r="L18" i="2"/>
  <c r="K18" i="2"/>
  <c r="I18" i="2"/>
  <c r="H18" i="2"/>
  <c r="G18" i="2"/>
  <c r="F18" i="2"/>
  <c r="E18" i="2"/>
  <c r="C18" i="2"/>
  <c r="B18" i="2"/>
  <c r="AP17" i="2"/>
  <c r="AO17" i="2"/>
  <c r="AL17" i="2"/>
  <c r="AL16" i="2" s="1"/>
  <c r="AK17" i="2"/>
  <c r="AJ17" i="2"/>
  <c r="AI17" i="2"/>
  <c r="AI16" i="2" s="1"/>
  <c r="AH17" i="2"/>
  <c r="AH16" i="2" s="1"/>
  <c r="AG17" i="2"/>
  <c r="AF17" i="2"/>
  <c r="AE17" i="2"/>
  <c r="AC17" i="2"/>
  <c r="AN17" i="2" s="1"/>
  <c r="AB17" i="2"/>
  <c r="AA17" i="2"/>
  <c r="Z17" i="2"/>
  <c r="Z16" i="2" s="1"/>
  <c r="Y17" i="2"/>
  <c r="Y16" i="2" s="1"/>
  <c r="X17" i="2"/>
  <c r="V17" i="2"/>
  <c r="S17" i="2"/>
  <c r="S16" i="2" s="1"/>
  <c r="R17" i="2"/>
  <c r="Q17" i="2"/>
  <c r="P17" i="2"/>
  <c r="O17" i="2"/>
  <c r="O16" i="2" s="1"/>
  <c r="N17" i="2"/>
  <c r="N16" i="2" s="1"/>
  <c r="M17" i="2"/>
  <c r="L17" i="2"/>
  <c r="K17" i="2"/>
  <c r="I17" i="2"/>
  <c r="H17" i="2"/>
  <c r="G17" i="2"/>
  <c r="F17" i="2"/>
  <c r="E17" i="2"/>
  <c r="C17" i="2"/>
  <c r="B17" i="2"/>
  <c r="F16" i="2"/>
  <c r="B16" i="2"/>
  <c r="AL15" i="2"/>
  <c r="AK15" i="2"/>
  <c r="AJ15" i="2"/>
  <c r="AI15" i="2"/>
  <c r="AH15" i="2"/>
  <c r="AG15" i="2"/>
  <c r="AF15" i="2"/>
  <c r="AE15" i="2"/>
  <c r="AC15" i="2"/>
  <c r="AN15" i="2" s="1"/>
  <c r="AB15" i="2"/>
  <c r="AA15" i="2"/>
  <c r="Z15" i="2"/>
  <c r="Y15" i="2"/>
  <c r="X15" i="2"/>
  <c r="V15" i="2"/>
  <c r="S15" i="2"/>
  <c r="R15" i="2"/>
  <c r="Q15" i="2"/>
  <c r="P15" i="2"/>
  <c r="O15" i="2"/>
  <c r="N15" i="2"/>
  <c r="M15" i="2"/>
  <c r="L15" i="2"/>
  <c r="K15" i="2"/>
  <c r="I15" i="2"/>
  <c r="H15" i="2"/>
  <c r="G15" i="2"/>
  <c r="F15" i="2"/>
  <c r="E15" i="2"/>
  <c r="C15" i="2"/>
  <c r="B15" i="2"/>
  <c r="AL14" i="2"/>
  <c r="AK14" i="2"/>
  <c r="AJ14" i="2"/>
  <c r="AI14" i="2"/>
  <c r="AH14" i="2"/>
  <c r="AG14" i="2"/>
  <c r="AF14" i="2"/>
  <c r="AE14" i="2"/>
  <c r="AC14" i="2"/>
  <c r="AN14" i="2" s="1"/>
  <c r="AB14" i="2"/>
  <c r="AA14" i="2"/>
  <c r="Z14" i="2"/>
  <c r="Y14" i="2"/>
  <c r="X14" i="2"/>
  <c r="V14" i="2"/>
  <c r="S14" i="2"/>
  <c r="R14" i="2"/>
  <c r="Q14" i="2"/>
  <c r="P14" i="2"/>
  <c r="O14" i="2"/>
  <c r="N14" i="2"/>
  <c r="M14" i="2"/>
  <c r="L14" i="2"/>
  <c r="K14" i="2"/>
  <c r="I14" i="2"/>
  <c r="U14" i="2" s="1"/>
  <c r="H14" i="2"/>
  <c r="G14" i="2"/>
  <c r="F14" i="2"/>
  <c r="E14" i="2"/>
  <c r="C14" i="2"/>
  <c r="B14" i="2"/>
  <c r="AL13" i="2"/>
  <c r="AK13" i="2"/>
  <c r="AJ13" i="2"/>
  <c r="AI13" i="2"/>
  <c r="AH13" i="2"/>
  <c r="AG13" i="2"/>
  <c r="AF13" i="2"/>
  <c r="AE13" i="2"/>
  <c r="AC13" i="2"/>
  <c r="AB13" i="2"/>
  <c r="AA13" i="2"/>
  <c r="Z13" i="2"/>
  <c r="Y13" i="2"/>
  <c r="X13" i="2"/>
  <c r="V13" i="2"/>
  <c r="S13" i="2"/>
  <c r="R13" i="2"/>
  <c r="Q13" i="2"/>
  <c r="P13" i="2"/>
  <c r="O13" i="2"/>
  <c r="N13" i="2"/>
  <c r="M13" i="2"/>
  <c r="L13" i="2"/>
  <c r="K13" i="2"/>
  <c r="I13" i="2"/>
  <c r="H13" i="2"/>
  <c r="G13" i="2"/>
  <c r="F13" i="2"/>
  <c r="E13" i="2"/>
  <c r="C13" i="2"/>
  <c r="B13" i="2"/>
  <c r="AL12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X12" i="2"/>
  <c r="V12" i="2"/>
  <c r="S12" i="2"/>
  <c r="R12" i="2"/>
  <c r="Q12" i="2"/>
  <c r="P12" i="2"/>
  <c r="O12" i="2"/>
  <c r="N12" i="2"/>
  <c r="M12" i="2"/>
  <c r="L12" i="2"/>
  <c r="K12" i="2"/>
  <c r="I12" i="2"/>
  <c r="H12" i="2"/>
  <c r="G12" i="2"/>
  <c r="G10" i="2" s="1"/>
  <c r="F12" i="2"/>
  <c r="E12" i="2"/>
  <c r="C12" i="2"/>
  <c r="B12" i="2"/>
  <c r="AP11" i="2"/>
  <c r="AO11" i="2"/>
  <c r="AL11" i="2"/>
  <c r="AL10" i="2" s="1"/>
  <c r="AK11" i="2"/>
  <c r="AK10" i="2" s="1"/>
  <c r="AJ11" i="2"/>
  <c r="AI11" i="2"/>
  <c r="AH11" i="2"/>
  <c r="AH10" i="2" s="1"/>
  <c r="AG11" i="2"/>
  <c r="AG10" i="2" s="1"/>
  <c r="AF11" i="2"/>
  <c r="AE11" i="2"/>
  <c r="AC11" i="2"/>
  <c r="AB11" i="2"/>
  <c r="AB10" i="2" s="1"/>
  <c r="AA11" i="2"/>
  <c r="Z11" i="2"/>
  <c r="Y11" i="2"/>
  <c r="X11" i="2"/>
  <c r="X10" i="2" s="1"/>
  <c r="V11" i="2"/>
  <c r="S11" i="2"/>
  <c r="R11" i="2"/>
  <c r="Q11" i="2"/>
  <c r="Q10" i="2" s="1"/>
  <c r="P11" i="2"/>
  <c r="O11" i="2"/>
  <c r="N11" i="2"/>
  <c r="M11" i="2"/>
  <c r="M10" i="2" s="1"/>
  <c r="L11" i="2"/>
  <c r="K11" i="2"/>
  <c r="I11" i="2"/>
  <c r="I10" i="2" s="1"/>
  <c r="H11" i="2"/>
  <c r="H10" i="2" s="1"/>
  <c r="G11" i="2"/>
  <c r="F11" i="2"/>
  <c r="E11" i="2"/>
  <c r="C11" i="2"/>
  <c r="C10" i="2" s="1"/>
  <c r="B11" i="2"/>
  <c r="S10" i="2"/>
  <c r="O10" i="2"/>
  <c r="AL9" i="2"/>
  <c r="AK9" i="2"/>
  <c r="AJ9" i="2"/>
  <c r="AI9" i="2"/>
  <c r="AH9" i="2"/>
  <c r="AG9" i="2"/>
  <c r="AF9" i="2"/>
  <c r="AE9" i="2"/>
  <c r="AC9" i="2"/>
  <c r="AB9" i="2"/>
  <c r="AA9" i="2"/>
  <c r="Z9" i="2"/>
  <c r="Y9" i="2"/>
  <c r="X9" i="2"/>
  <c r="V9" i="2"/>
  <c r="S9" i="2"/>
  <c r="R9" i="2"/>
  <c r="Q9" i="2"/>
  <c r="P9" i="2"/>
  <c r="O9" i="2"/>
  <c r="N9" i="2"/>
  <c r="M9" i="2"/>
  <c r="L9" i="2"/>
  <c r="K9" i="2"/>
  <c r="I9" i="2"/>
  <c r="H9" i="2"/>
  <c r="G9" i="2"/>
  <c r="F9" i="2"/>
  <c r="E9" i="2"/>
  <c r="C9" i="2"/>
  <c r="B9" i="2"/>
  <c r="AL8" i="2"/>
  <c r="AK8" i="2"/>
  <c r="AJ8" i="2"/>
  <c r="AI8" i="2"/>
  <c r="AH8" i="2"/>
  <c r="AG8" i="2"/>
  <c r="AF8" i="2"/>
  <c r="AE8" i="2"/>
  <c r="AC8" i="2"/>
  <c r="AB8" i="2"/>
  <c r="AA8" i="2"/>
  <c r="Z8" i="2"/>
  <c r="Y8" i="2"/>
  <c r="X8" i="2"/>
  <c r="V8" i="2"/>
  <c r="S8" i="2"/>
  <c r="R8" i="2"/>
  <c r="Q8" i="2"/>
  <c r="P8" i="2"/>
  <c r="O8" i="2"/>
  <c r="N8" i="2"/>
  <c r="M8" i="2"/>
  <c r="L8" i="2"/>
  <c r="K8" i="2"/>
  <c r="I8" i="2"/>
  <c r="H8" i="2"/>
  <c r="G8" i="2"/>
  <c r="F8" i="2"/>
  <c r="E8" i="2"/>
  <c r="C8" i="2"/>
  <c r="B8" i="2"/>
  <c r="AP7" i="2"/>
  <c r="AO7" i="2"/>
  <c r="AL7" i="2"/>
  <c r="AK7" i="2"/>
  <c r="AJ7" i="2"/>
  <c r="AI7" i="2"/>
  <c r="AH7" i="2"/>
  <c r="AG7" i="2"/>
  <c r="AF7" i="2"/>
  <c r="AE7" i="2"/>
  <c r="AC7" i="2"/>
  <c r="AB7" i="2"/>
  <c r="AA7" i="2"/>
  <c r="Z7" i="2"/>
  <c r="Y7" i="2"/>
  <c r="X7" i="2"/>
  <c r="V7" i="2"/>
  <c r="S7" i="2"/>
  <c r="R7" i="2"/>
  <c r="Q7" i="2"/>
  <c r="P7" i="2"/>
  <c r="O7" i="2"/>
  <c r="N7" i="2"/>
  <c r="M7" i="2"/>
  <c r="L7" i="2"/>
  <c r="K7" i="2"/>
  <c r="I7" i="2"/>
  <c r="H7" i="2"/>
  <c r="G7" i="2"/>
  <c r="F7" i="2"/>
  <c r="E7" i="2"/>
  <c r="C7" i="2"/>
  <c r="B7" i="2"/>
  <c r="AP6" i="2"/>
  <c r="AO6" i="2"/>
  <c r="AL6" i="2"/>
  <c r="AK6" i="2"/>
  <c r="AJ6" i="2"/>
  <c r="AI6" i="2"/>
  <c r="AH6" i="2"/>
  <c r="AG6" i="2"/>
  <c r="AF6" i="2"/>
  <c r="AE6" i="2"/>
  <c r="AC6" i="2"/>
  <c r="AN6" i="2" s="1"/>
  <c r="AB6" i="2"/>
  <c r="AA6" i="2"/>
  <c r="Z6" i="2"/>
  <c r="Y6" i="2"/>
  <c r="Y5" i="2" s="1"/>
  <c r="X6" i="2"/>
  <c r="V6" i="2"/>
  <c r="S6" i="2"/>
  <c r="R6" i="2"/>
  <c r="Q6" i="2"/>
  <c r="P6" i="2"/>
  <c r="O6" i="2"/>
  <c r="N6" i="2"/>
  <c r="M6" i="2"/>
  <c r="L6" i="2"/>
  <c r="K6" i="2"/>
  <c r="I6" i="2"/>
  <c r="H6" i="2"/>
  <c r="G6" i="2"/>
  <c r="F6" i="2"/>
  <c r="E6" i="2"/>
  <c r="C6" i="2"/>
  <c r="B6" i="2"/>
  <c r="R5" i="2"/>
  <c r="AP2" i="2"/>
  <c r="W2" i="2"/>
  <c r="A2" i="2"/>
  <c r="H19" i="6" l="1"/>
  <c r="J64" i="6"/>
  <c r="H29" i="6"/>
  <c r="N29" i="6"/>
  <c r="H31" i="6"/>
  <c r="H36" i="6"/>
  <c r="N36" i="6"/>
  <c r="K37" i="6"/>
  <c r="K47" i="6"/>
  <c r="V14" i="6"/>
  <c r="I10" i="6"/>
  <c r="J34" i="6"/>
  <c r="J62" i="6" s="1"/>
  <c r="H51" i="6"/>
  <c r="F52" i="6"/>
  <c r="O52" i="6"/>
  <c r="T57" i="6"/>
  <c r="F65" i="6"/>
  <c r="L65" i="6"/>
  <c r="U7" i="2"/>
  <c r="AN7" i="2"/>
  <c r="H5" i="2"/>
  <c r="Q5" i="2"/>
  <c r="U15" i="2"/>
  <c r="G20" i="2"/>
  <c r="L20" i="2"/>
  <c r="P20" i="2"/>
  <c r="V20" i="2"/>
  <c r="AA20" i="2"/>
  <c r="J34" i="2"/>
  <c r="O10" i="6"/>
  <c r="B14" i="6"/>
  <c r="H15" i="6"/>
  <c r="N27" i="6"/>
  <c r="P28" i="6"/>
  <c r="G65" i="6"/>
  <c r="AD12" i="2"/>
  <c r="D14" i="2"/>
  <c r="J15" i="2"/>
  <c r="AD31" i="2"/>
  <c r="U32" i="2"/>
  <c r="AN32" i="2"/>
  <c r="AD34" i="2"/>
  <c r="D36" i="2"/>
  <c r="AN36" i="2"/>
  <c r="O5" i="6"/>
  <c r="V10" i="6"/>
  <c r="M10" i="6"/>
  <c r="Q14" i="6"/>
  <c r="H14" i="6"/>
  <c r="E15" i="6"/>
  <c r="K15" i="6"/>
  <c r="O21" i="6"/>
  <c r="L21" i="6"/>
  <c r="I64" i="6"/>
  <c r="O64" i="6"/>
  <c r="K27" i="6"/>
  <c r="D28" i="6"/>
  <c r="C34" i="6"/>
  <c r="N39" i="6"/>
  <c r="H59" i="6"/>
  <c r="AG20" i="2"/>
  <c r="AK20" i="2"/>
  <c r="U23" i="2"/>
  <c r="U26" i="2"/>
  <c r="D28" i="2"/>
  <c r="U30" i="2"/>
  <c r="B5" i="2"/>
  <c r="G5" i="2"/>
  <c r="P5" i="2"/>
  <c r="V5" i="2"/>
  <c r="AD7" i="2"/>
  <c r="AI5" i="2"/>
  <c r="D8" i="2"/>
  <c r="U8" i="2"/>
  <c r="AN8" i="2"/>
  <c r="Z20" i="2"/>
  <c r="AI20" i="2"/>
  <c r="U22" i="2"/>
  <c r="R20" i="2"/>
  <c r="Y20" i="2"/>
  <c r="AN22" i="2"/>
  <c r="AH20" i="2"/>
  <c r="J26" i="2"/>
  <c r="AD30" i="2"/>
  <c r="U34" i="2"/>
  <c r="AN34" i="2"/>
  <c r="N18" i="6"/>
  <c r="D23" i="2"/>
  <c r="W24" i="2"/>
  <c r="AD27" i="2"/>
  <c r="W28" i="2"/>
  <c r="J30" i="2"/>
  <c r="U31" i="2"/>
  <c r="W31" i="2"/>
  <c r="N22" i="6"/>
  <c r="H50" i="6"/>
  <c r="U11" i="2"/>
  <c r="AN11" i="2"/>
  <c r="D13" i="2"/>
  <c r="U13" i="2"/>
  <c r="AN13" i="2"/>
  <c r="AD17" i="2"/>
  <c r="D18" i="2"/>
  <c r="U18" i="2"/>
  <c r="R16" i="2"/>
  <c r="AN18" i="2"/>
  <c r="I20" i="2"/>
  <c r="U20" i="2" s="1"/>
  <c r="M20" i="2"/>
  <c r="W21" i="2"/>
  <c r="AD26" i="2"/>
  <c r="AN28" i="2"/>
  <c r="W29" i="2"/>
  <c r="W33" i="2"/>
  <c r="D34" i="2"/>
  <c r="D35" i="2"/>
  <c r="AN35" i="2"/>
  <c r="G5" i="6"/>
  <c r="K6" i="6"/>
  <c r="H7" i="6"/>
  <c r="Q9" i="6"/>
  <c r="P17" i="6"/>
  <c r="H23" i="6"/>
  <c r="K24" i="6"/>
  <c r="H25" i="6"/>
  <c r="N25" i="6"/>
  <c r="G28" i="6"/>
  <c r="N30" i="6"/>
  <c r="H32" i="6"/>
  <c r="N32" i="6"/>
  <c r="T33" i="6"/>
  <c r="K33" i="6"/>
  <c r="B38" i="6"/>
  <c r="K39" i="6"/>
  <c r="B40" i="6"/>
  <c r="K48" i="6"/>
  <c r="K58" i="6"/>
  <c r="I5" i="2"/>
  <c r="AE5" i="2"/>
  <c r="J7" i="2"/>
  <c r="F5" i="2"/>
  <c r="O5" i="2"/>
  <c r="S5" i="2"/>
  <c r="Z5" i="2"/>
  <c r="AD6" i="2"/>
  <c r="M5" i="2"/>
  <c r="AB5" i="2"/>
  <c r="AB37" i="2" s="1"/>
  <c r="AF5" i="2"/>
  <c r="AJ5" i="2"/>
  <c r="W9" i="2"/>
  <c r="AC10" i="2"/>
  <c r="AN10" i="2" s="1"/>
  <c r="AD11" i="2"/>
  <c r="AI10" i="2"/>
  <c r="U12" i="2"/>
  <c r="J12" i="2"/>
  <c r="W12" i="2"/>
  <c r="AN12" i="2"/>
  <c r="G16" i="2"/>
  <c r="L16" i="2"/>
  <c r="P16" i="2"/>
  <c r="V16" i="2"/>
  <c r="AA16" i="2"/>
  <c r="AD18" i="2"/>
  <c r="N20" i="2"/>
  <c r="AB20" i="2"/>
  <c r="U25" i="2"/>
  <c r="AN25" i="2"/>
  <c r="D26" i="2"/>
  <c r="T26" i="2" s="1"/>
  <c r="AN26" i="2"/>
  <c r="AD28" i="2"/>
  <c r="AD32" i="2"/>
  <c r="D33" i="2"/>
  <c r="U33" i="2"/>
  <c r="C17" i="6"/>
  <c r="H18" i="6"/>
  <c r="E19" i="6"/>
  <c r="R29" i="6"/>
  <c r="Q29" i="6" s="1"/>
  <c r="M28" i="6"/>
  <c r="I34" i="6"/>
  <c r="O34" i="6"/>
  <c r="H37" i="6"/>
  <c r="E38" i="6"/>
  <c r="N40" i="6"/>
  <c r="N44" i="6"/>
  <c r="E45" i="6"/>
  <c r="D65" i="6"/>
  <c r="J65" i="6"/>
  <c r="P65" i="6"/>
  <c r="E5" i="2"/>
  <c r="J8" i="2"/>
  <c r="W8" i="2"/>
  <c r="AM8" i="2" s="1"/>
  <c r="AG5" i="2"/>
  <c r="AK5" i="2"/>
  <c r="AK37" i="2" s="1"/>
  <c r="AH5" i="2"/>
  <c r="AL5" i="2"/>
  <c r="AL37" i="2" s="1"/>
  <c r="L10" i="2"/>
  <c r="P10" i="2"/>
  <c r="V10" i="2"/>
  <c r="AA10" i="2"/>
  <c r="AF10" i="2"/>
  <c r="AJ10" i="2"/>
  <c r="AD13" i="2"/>
  <c r="X16" i="2"/>
  <c r="C16" i="2"/>
  <c r="H16" i="2"/>
  <c r="J18" i="2"/>
  <c r="W19" i="2"/>
  <c r="AC20" i="2"/>
  <c r="AN20" i="2" s="1"/>
  <c r="AD22" i="2"/>
  <c r="J25" i="2"/>
  <c r="D32" i="2"/>
  <c r="AD35" i="2"/>
  <c r="L17" i="6"/>
  <c r="L16" i="6" s="1"/>
  <c r="J16" i="6"/>
  <c r="E57" i="6"/>
  <c r="K8" i="6"/>
  <c r="B19" i="6"/>
  <c r="F64" i="6"/>
  <c r="K28" i="6"/>
  <c r="I28" i="6"/>
  <c r="T42" i="6"/>
  <c r="K42" i="6"/>
  <c r="H43" i="6"/>
  <c r="K45" i="6"/>
  <c r="H46" i="6"/>
  <c r="N46" i="6"/>
  <c r="U47" i="6"/>
  <c r="N49" i="6"/>
  <c r="N51" i="6"/>
  <c r="M52" i="6"/>
  <c r="H54" i="6"/>
  <c r="N54" i="6"/>
  <c r="U55" i="6"/>
  <c r="T55" i="6" s="1"/>
  <c r="K56" i="6"/>
  <c r="N7" i="6"/>
  <c r="F5" i="6"/>
  <c r="E5" i="6" s="1"/>
  <c r="T7" i="6"/>
  <c r="K7" i="6"/>
  <c r="Q8" i="6"/>
  <c r="H8" i="6"/>
  <c r="T9" i="6"/>
  <c r="K9" i="6"/>
  <c r="H11" i="6"/>
  <c r="N11" i="6"/>
  <c r="K12" i="6"/>
  <c r="Q13" i="6"/>
  <c r="H13" i="6"/>
  <c r="N13" i="6"/>
  <c r="N14" i="6"/>
  <c r="O17" i="6"/>
  <c r="E18" i="6"/>
  <c r="K20" i="6"/>
  <c r="D21" i="6"/>
  <c r="B22" i="6"/>
  <c r="B27" i="6"/>
  <c r="R27" i="6"/>
  <c r="K30" i="6"/>
  <c r="E41" i="6"/>
  <c r="K44" i="6"/>
  <c r="R45" i="6"/>
  <c r="V47" i="6"/>
  <c r="N48" i="6"/>
  <c r="T49" i="6"/>
  <c r="E54" i="6"/>
  <c r="K59" i="6"/>
  <c r="F10" i="6"/>
  <c r="K14" i="6"/>
  <c r="G17" i="6"/>
  <c r="K18" i="6"/>
  <c r="U19" i="6"/>
  <c r="H22" i="6"/>
  <c r="K23" i="6"/>
  <c r="Q24" i="6"/>
  <c r="H24" i="6"/>
  <c r="N24" i="6"/>
  <c r="C64" i="6"/>
  <c r="E27" i="6"/>
  <c r="Q30" i="6"/>
  <c r="H30" i="6"/>
  <c r="H33" i="6"/>
  <c r="G34" i="6"/>
  <c r="M34" i="6"/>
  <c r="K40" i="6"/>
  <c r="H42" i="6"/>
  <c r="K43" i="6"/>
  <c r="S45" i="6"/>
  <c r="H45" i="6"/>
  <c r="N45" i="6"/>
  <c r="T46" i="6"/>
  <c r="K46" i="6"/>
  <c r="K51" i="6"/>
  <c r="E53" i="6"/>
  <c r="T54" i="6"/>
  <c r="K54" i="6"/>
  <c r="Q55" i="6"/>
  <c r="H55" i="6"/>
  <c r="N56" i="6"/>
  <c r="S57" i="6"/>
  <c r="Q57" i="6" s="1"/>
  <c r="E58" i="6"/>
  <c r="Q60" i="6"/>
  <c r="K61" i="6"/>
  <c r="P37" i="2"/>
  <c r="H37" i="2"/>
  <c r="G37" i="2"/>
  <c r="W6" i="2"/>
  <c r="AD8" i="2"/>
  <c r="J9" i="2"/>
  <c r="AD9" i="2"/>
  <c r="K10" i="2"/>
  <c r="Y10" i="2"/>
  <c r="AE10" i="2"/>
  <c r="F10" i="2"/>
  <c r="F37" i="2" s="1"/>
  <c r="F22" i="5" s="1"/>
  <c r="J11" i="2"/>
  <c r="N10" i="2"/>
  <c r="R10" i="2"/>
  <c r="R37" i="2" s="1"/>
  <c r="M16" i="2"/>
  <c r="M37" i="2" s="1"/>
  <c r="Q16" i="2"/>
  <c r="Q37" i="2" s="1"/>
  <c r="W17" i="2"/>
  <c r="D19" i="2"/>
  <c r="U19" i="2"/>
  <c r="AN19" i="2"/>
  <c r="D21" i="2"/>
  <c r="U21" i="2"/>
  <c r="U24" i="2"/>
  <c r="AD25" i="2"/>
  <c r="AM25" i="2" s="1"/>
  <c r="D27" i="2"/>
  <c r="U27" i="2"/>
  <c r="W27" i="2"/>
  <c r="AN27" i="2"/>
  <c r="U28" i="2"/>
  <c r="AD29" i="2"/>
  <c r="AM29" i="2" s="1"/>
  <c r="W30" i="2"/>
  <c r="AM30" i="2" s="1"/>
  <c r="J33" i="2"/>
  <c r="T33" i="2" s="1"/>
  <c r="AN33" i="2"/>
  <c r="U35" i="2"/>
  <c r="W35" i="2"/>
  <c r="U36" i="2"/>
  <c r="N5" i="6"/>
  <c r="E6" i="6"/>
  <c r="E7" i="6"/>
  <c r="V8" i="6"/>
  <c r="V5" i="6" s="1"/>
  <c r="B9" i="6"/>
  <c r="H12" i="6"/>
  <c r="N12" i="6"/>
  <c r="T13" i="6"/>
  <c r="K13" i="6"/>
  <c r="L5" i="2"/>
  <c r="D7" i="2"/>
  <c r="T7" i="2" s="1"/>
  <c r="U9" i="2"/>
  <c r="D11" i="2"/>
  <c r="C5" i="2"/>
  <c r="X5" i="2"/>
  <c r="X37" i="2" s="1"/>
  <c r="AC5" i="2"/>
  <c r="AN5" i="2" s="1"/>
  <c r="U6" i="2"/>
  <c r="N5" i="2"/>
  <c r="W7" i="2"/>
  <c r="AM7" i="2" s="1"/>
  <c r="B10" i="2"/>
  <c r="Z10" i="2"/>
  <c r="J13" i="2"/>
  <c r="J14" i="2"/>
  <c r="T14" i="2" s="1"/>
  <c r="U17" i="2"/>
  <c r="AG16" i="2"/>
  <c r="J19" i="2"/>
  <c r="AD19" i="2"/>
  <c r="AD16" i="2" s="1"/>
  <c r="J21" i="2"/>
  <c r="T21" i="2" s="1"/>
  <c r="O20" i="2"/>
  <c r="O37" i="2" s="1"/>
  <c r="D22" i="3" s="1"/>
  <c r="S20" i="2"/>
  <c r="AN21" i="2"/>
  <c r="D30" i="2"/>
  <c r="T30" i="2" s="1"/>
  <c r="J32" i="2"/>
  <c r="AD33" i="2"/>
  <c r="AM33" i="2" s="1"/>
  <c r="J6" i="2"/>
  <c r="D12" i="2"/>
  <c r="W13" i="2"/>
  <c r="AD14" i="2"/>
  <c r="D15" i="2"/>
  <c r="T15" i="2" s="1"/>
  <c r="J17" i="2"/>
  <c r="AD21" i="2"/>
  <c r="D22" i="2"/>
  <c r="T22" i="2" s="1"/>
  <c r="W22" i="2"/>
  <c r="J23" i="2"/>
  <c r="W23" i="2"/>
  <c r="AD23" i="2"/>
  <c r="J24" i="2"/>
  <c r="T24" i="2" s="1"/>
  <c r="AD24" i="2"/>
  <c r="D25" i="2"/>
  <c r="T25" i="2" s="1"/>
  <c r="W26" i="2"/>
  <c r="J28" i="2"/>
  <c r="D29" i="2"/>
  <c r="T29" i="2" s="1"/>
  <c r="J31" i="2"/>
  <c r="T31" i="2" s="1"/>
  <c r="W32" i="2"/>
  <c r="AM32" i="2" s="1"/>
  <c r="J36" i="2"/>
  <c r="T36" i="2" s="1"/>
  <c r="M5" i="6"/>
  <c r="R7" i="6"/>
  <c r="R5" i="6" s="1"/>
  <c r="Y37" i="2"/>
  <c r="AI37" i="2"/>
  <c r="AA5" i="2"/>
  <c r="AA37" i="2" s="1"/>
  <c r="D9" i="2"/>
  <c r="AN9" i="2"/>
  <c r="U10" i="2"/>
  <c r="AM21" i="2"/>
  <c r="T28" i="2"/>
  <c r="W34" i="2"/>
  <c r="AM34" i="2" s="1"/>
  <c r="W36" i="2"/>
  <c r="E11" i="6"/>
  <c r="J10" i="6"/>
  <c r="J63" i="6" s="1"/>
  <c r="P10" i="6"/>
  <c r="N10" i="6" s="1"/>
  <c r="U14" i="6"/>
  <c r="T14" i="6" s="1"/>
  <c r="E14" i="6"/>
  <c r="S6" i="6"/>
  <c r="Q6" i="6" s="1"/>
  <c r="H6" i="6"/>
  <c r="N6" i="6"/>
  <c r="S7" i="6"/>
  <c r="N8" i="6"/>
  <c r="H9" i="6"/>
  <c r="K11" i="6"/>
  <c r="R12" i="6"/>
  <c r="Q12" i="6" s="1"/>
  <c r="N15" i="6"/>
  <c r="F17" i="6"/>
  <c r="E17" i="6" s="1"/>
  <c r="R18" i="6"/>
  <c r="M17" i="6"/>
  <c r="R19" i="6"/>
  <c r="V19" i="6"/>
  <c r="T19" i="6" s="1"/>
  <c r="K19" i="6"/>
  <c r="R20" i="6"/>
  <c r="Q20" i="6" s="1"/>
  <c r="C21" i="6"/>
  <c r="P21" i="6"/>
  <c r="E22" i="6"/>
  <c r="E23" i="6"/>
  <c r="N23" i="6"/>
  <c r="U24" i="6"/>
  <c r="T24" i="6" s="1"/>
  <c r="V25" i="6"/>
  <c r="K25" i="6"/>
  <c r="B26" i="6"/>
  <c r="G64" i="6"/>
  <c r="E64" i="6" s="1"/>
  <c r="M64" i="6"/>
  <c r="V27" i="6"/>
  <c r="T27" i="6" s="1"/>
  <c r="O28" i="6"/>
  <c r="N28" i="6" s="1"/>
  <c r="U29" i="6"/>
  <c r="J28" i="6"/>
  <c r="E30" i="6"/>
  <c r="E31" i="6"/>
  <c r="N31" i="6"/>
  <c r="E32" i="6"/>
  <c r="U32" i="6"/>
  <c r="N33" i="6"/>
  <c r="F34" i="6"/>
  <c r="E35" i="6"/>
  <c r="N35" i="6"/>
  <c r="U36" i="6"/>
  <c r="T36" i="6" s="1"/>
  <c r="R37" i="6"/>
  <c r="Q37" i="6" s="1"/>
  <c r="K38" i="6"/>
  <c r="S39" i="6"/>
  <c r="Q39" i="6" s="1"/>
  <c r="Q43" i="6"/>
  <c r="B44" i="6"/>
  <c r="T48" i="6"/>
  <c r="S49" i="6"/>
  <c r="Q49" i="6" s="1"/>
  <c r="H49" i="6"/>
  <c r="S50" i="6"/>
  <c r="Q50" i="6" s="1"/>
  <c r="N50" i="6"/>
  <c r="U51" i="6"/>
  <c r="T51" i="6" s="1"/>
  <c r="K53" i="6"/>
  <c r="U53" i="6"/>
  <c r="T53" i="6" s="1"/>
  <c r="P52" i="6"/>
  <c r="N52" i="6" s="1"/>
  <c r="T56" i="6"/>
  <c r="H57" i="6"/>
  <c r="N57" i="6"/>
  <c r="N59" i="6"/>
  <c r="H60" i="6"/>
  <c r="X7" i="1"/>
  <c r="H64" i="6"/>
  <c r="N26" i="6"/>
  <c r="V29" i="6"/>
  <c r="K29" i="6"/>
  <c r="B30" i="6"/>
  <c r="K31" i="6"/>
  <c r="R32" i="6"/>
  <c r="K35" i="6"/>
  <c r="Q36" i="6"/>
  <c r="N37" i="6"/>
  <c r="S38" i="6"/>
  <c r="H38" i="6"/>
  <c r="N38" i="6"/>
  <c r="R42" i="6"/>
  <c r="N43" i="6"/>
  <c r="H44" i="6"/>
  <c r="Q47" i="6"/>
  <c r="B48" i="6"/>
  <c r="E49" i="6"/>
  <c r="R54" i="6"/>
  <c r="R52" i="6" s="1"/>
  <c r="B56" i="6"/>
  <c r="F21" i="6"/>
  <c r="K22" i="6"/>
  <c r="V23" i="6"/>
  <c r="T23" i="6" s="1"/>
  <c r="V31" i="6"/>
  <c r="T31" i="6" s="1"/>
  <c r="V35" i="6"/>
  <c r="H41" i="6"/>
  <c r="N41" i="6"/>
  <c r="N42" i="6"/>
  <c r="T43" i="6"/>
  <c r="Q46" i="6"/>
  <c r="N47" i="6"/>
  <c r="H48" i="6"/>
  <c r="K49" i="6"/>
  <c r="V50" i="6"/>
  <c r="T50" i="6" s="1"/>
  <c r="K50" i="6"/>
  <c r="Q51" i="6"/>
  <c r="S53" i="6"/>
  <c r="H53" i="6"/>
  <c r="N53" i="6"/>
  <c r="S54" i="6"/>
  <c r="N55" i="6"/>
  <c r="H56" i="6"/>
  <c r="K57" i="6"/>
  <c r="T58" i="6"/>
  <c r="S59" i="6"/>
  <c r="T60" i="6"/>
  <c r="K60" i="6"/>
  <c r="S61" i="6"/>
  <c r="H61" i="6"/>
  <c r="N61" i="6"/>
  <c r="X6" i="1"/>
  <c r="S15" i="6"/>
  <c r="Q15" i="6" s="1"/>
  <c r="B18" i="6"/>
  <c r="N19" i="6"/>
  <c r="E20" i="6"/>
  <c r="G21" i="6"/>
  <c r="B23" i="6"/>
  <c r="E24" i="6"/>
  <c r="B31" i="6"/>
  <c r="B35" i="6"/>
  <c r="R35" i="6"/>
  <c r="E36" i="6"/>
  <c r="T44" i="6"/>
  <c r="R58" i="6"/>
  <c r="Q58" i="6" s="1"/>
  <c r="B60" i="6"/>
  <c r="E61" i="6"/>
  <c r="T8" i="2"/>
  <c r="T12" i="2"/>
  <c r="AM12" i="2"/>
  <c r="T13" i="2"/>
  <c r="AM13" i="2"/>
  <c r="W14" i="2"/>
  <c r="AM14" i="2" s="1"/>
  <c r="AD15" i="2"/>
  <c r="W11" i="2"/>
  <c r="AM17" i="2"/>
  <c r="T11" i="6"/>
  <c r="V37" i="2"/>
  <c r="E10" i="2"/>
  <c r="W15" i="2"/>
  <c r="D17" i="2"/>
  <c r="T17" i="2" s="1"/>
  <c r="T18" i="2"/>
  <c r="AM22" i="2"/>
  <c r="AM23" i="2"/>
  <c r="AM26" i="2"/>
  <c r="AM31" i="2"/>
  <c r="T32" i="2"/>
  <c r="T34" i="2"/>
  <c r="Q11" i="6"/>
  <c r="U5" i="2"/>
  <c r="D6" i="2"/>
  <c r="K5" i="2"/>
  <c r="AM18" i="2"/>
  <c r="AM24" i="2"/>
  <c r="T27" i="2"/>
  <c r="AM27" i="2"/>
  <c r="AM28" i="2"/>
  <c r="T35" i="2"/>
  <c r="AM35" i="2"/>
  <c r="AM36" i="2"/>
  <c r="T6" i="6"/>
  <c r="T12" i="6"/>
  <c r="K16" i="2"/>
  <c r="W16" i="2"/>
  <c r="AE16" i="2"/>
  <c r="K20" i="2"/>
  <c r="W20" i="2"/>
  <c r="AE20" i="2"/>
  <c r="C5" i="6"/>
  <c r="B6" i="6"/>
  <c r="T18" i="6"/>
  <c r="U17" i="6"/>
  <c r="T25" i="6"/>
  <c r="D5" i="6"/>
  <c r="L5" i="6"/>
  <c r="B7" i="6"/>
  <c r="E8" i="6"/>
  <c r="C10" i="6"/>
  <c r="G10" i="6"/>
  <c r="E10" i="6" s="1"/>
  <c r="B11" i="6"/>
  <c r="E12" i="6"/>
  <c r="Q18" i="6"/>
  <c r="Q33" i="6"/>
  <c r="E16" i="2"/>
  <c r="I16" i="2"/>
  <c r="AC16" i="2"/>
  <c r="AN16" i="2" s="1"/>
  <c r="E20" i="2"/>
  <c r="I5" i="6"/>
  <c r="U5" i="6"/>
  <c r="B8" i="6"/>
  <c r="E9" i="6"/>
  <c r="D10" i="6"/>
  <c r="L10" i="6"/>
  <c r="K10" i="6" s="1"/>
  <c r="B12" i="6"/>
  <c r="E13" i="6"/>
  <c r="U15" i="6"/>
  <c r="T15" i="6" s="1"/>
  <c r="T22" i="6"/>
  <c r="Q25" i="6"/>
  <c r="T30" i="6"/>
  <c r="Q32" i="6"/>
  <c r="T35" i="6"/>
  <c r="B20" i="2"/>
  <c r="B13" i="6"/>
  <c r="Q22" i="6"/>
  <c r="R21" i="6"/>
  <c r="R28" i="6"/>
  <c r="T37" i="6"/>
  <c r="F16" i="6"/>
  <c r="I17" i="6"/>
  <c r="S19" i="6"/>
  <c r="S17" i="6" s="1"/>
  <c r="B20" i="6"/>
  <c r="V20" i="6"/>
  <c r="V17" i="6" s="1"/>
  <c r="I21" i="6"/>
  <c r="H21" i="6" s="1"/>
  <c r="M21" i="6"/>
  <c r="K21" i="6" s="1"/>
  <c r="S23" i="6"/>
  <c r="S21" i="6" s="1"/>
  <c r="B24" i="6"/>
  <c r="E25" i="6"/>
  <c r="D64" i="6"/>
  <c r="H26" i="6"/>
  <c r="L64" i="6"/>
  <c r="K64" i="6" s="1"/>
  <c r="P64" i="6"/>
  <c r="S27" i="6"/>
  <c r="F28" i="6"/>
  <c r="E28" i="6" s="1"/>
  <c r="E29" i="6"/>
  <c r="S31" i="6"/>
  <c r="S28" i="6" s="1"/>
  <c r="B32" i="6"/>
  <c r="V32" i="6"/>
  <c r="E33" i="6"/>
  <c r="D34" i="6"/>
  <c r="B34" i="6" s="1"/>
  <c r="L34" i="6"/>
  <c r="K34" i="6" s="1"/>
  <c r="P34" i="6"/>
  <c r="N34" i="6" s="1"/>
  <c r="S35" i="6"/>
  <c r="B36" i="6"/>
  <c r="E37" i="6"/>
  <c r="B39" i="6"/>
  <c r="H40" i="6"/>
  <c r="K41" i="6"/>
  <c r="R65" i="6"/>
  <c r="B25" i="6"/>
  <c r="E26" i="6"/>
  <c r="U26" i="6"/>
  <c r="H27" i="6"/>
  <c r="C28" i="6"/>
  <c r="B28" i="6" s="1"/>
  <c r="B29" i="6"/>
  <c r="K32" i="6"/>
  <c r="B33" i="6"/>
  <c r="H35" i="6"/>
  <c r="K36" i="6"/>
  <c r="B37" i="6"/>
  <c r="H39" i="6"/>
  <c r="R41" i="6"/>
  <c r="Q41" i="6" s="1"/>
  <c r="T41" i="6"/>
  <c r="Q44" i="6"/>
  <c r="T61" i="6"/>
  <c r="R26" i="6"/>
  <c r="V26" i="6"/>
  <c r="U40" i="6"/>
  <c r="T40" i="6" s="1"/>
  <c r="E40" i="6"/>
  <c r="Q42" i="6"/>
  <c r="T45" i="6"/>
  <c r="Q48" i="6"/>
  <c r="V52" i="6"/>
  <c r="Q54" i="6"/>
  <c r="Q56" i="6"/>
  <c r="E65" i="6"/>
  <c r="Q61" i="6"/>
  <c r="B15" i="6"/>
  <c r="D17" i="6"/>
  <c r="K26" i="6"/>
  <c r="N64" i="6"/>
  <c r="S26" i="6"/>
  <c r="R38" i="6"/>
  <c r="V38" i="6"/>
  <c r="U39" i="6"/>
  <c r="T39" i="6" s="1"/>
  <c r="E39" i="6"/>
  <c r="Q40" i="6"/>
  <c r="B41" i="6"/>
  <c r="E42" i="6"/>
  <c r="B45" i="6"/>
  <c r="E46" i="6"/>
  <c r="B49" i="6"/>
  <c r="E50" i="6"/>
  <c r="C52" i="6"/>
  <c r="G52" i="6"/>
  <c r="E52" i="6" s="1"/>
  <c r="B53" i="6"/>
  <c r="B57" i="6"/>
  <c r="B61" i="6"/>
  <c r="C65" i="6"/>
  <c r="B65" i="6" s="1"/>
  <c r="B42" i="6"/>
  <c r="E43" i="6"/>
  <c r="B46" i="6"/>
  <c r="E47" i="6"/>
  <c r="B50" i="6"/>
  <c r="E51" i="6"/>
  <c r="D52" i="6"/>
  <c r="L52" i="6"/>
  <c r="K52" i="6" s="1"/>
  <c r="B54" i="6"/>
  <c r="E55" i="6"/>
  <c r="B58" i="6"/>
  <c r="E59" i="6"/>
  <c r="I65" i="6"/>
  <c r="H65" i="6" s="1"/>
  <c r="M65" i="6"/>
  <c r="K65" i="6" s="1"/>
  <c r="U59" i="6"/>
  <c r="O65" i="6"/>
  <c r="N65" i="6" s="1"/>
  <c r="B43" i="6"/>
  <c r="E44" i="6"/>
  <c r="B47" i="6"/>
  <c r="E48" i="6"/>
  <c r="B51" i="6"/>
  <c r="I52" i="6"/>
  <c r="H52" i="6" s="1"/>
  <c r="B55" i="6"/>
  <c r="E56" i="6"/>
  <c r="B59" i="6"/>
  <c r="V59" i="6"/>
  <c r="V65" i="6" s="1"/>
  <c r="E60" i="6"/>
  <c r="W8" i="1"/>
  <c r="AP33" i="2"/>
  <c r="AP34" i="2"/>
  <c r="AP9" i="2"/>
  <c r="AO9" i="2"/>
  <c r="AP26" i="2"/>
  <c r="AP32" i="2"/>
  <c r="AO34" i="2"/>
  <c r="AP36" i="2"/>
  <c r="F22" i="3"/>
  <c r="F22" i="4"/>
  <c r="G22" i="3"/>
  <c r="G22" i="4"/>
  <c r="D22" i="4"/>
  <c r="E22" i="3"/>
  <c r="V34" i="6" l="1"/>
  <c r="S65" i="6"/>
  <c r="Q65" i="6" s="1"/>
  <c r="S52" i="6"/>
  <c r="Q52" i="6" s="1"/>
  <c r="Q38" i="6"/>
  <c r="V64" i="6"/>
  <c r="S34" i="6"/>
  <c r="R10" i="6"/>
  <c r="R62" i="6" s="1"/>
  <c r="E34" i="6"/>
  <c r="U28" i="6"/>
  <c r="H34" i="6"/>
  <c r="K17" i="6"/>
  <c r="S37" i="2"/>
  <c r="AC37" i="2"/>
  <c r="AN37" i="2" s="1"/>
  <c r="AM15" i="2"/>
  <c r="T9" i="2"/>
  <c r="AH37" i="2"/>
  <c r="E22" i="5" s="1"/>
  <c r="J16" i="2"/>
  <c r="AE37" i="2"/>
  <c r="AD5" i="2"/>
  <c r="B64" i="6"/>
  <c r="Q45" i="6"/>
  <c r="E37" i="2"/>
  <c r="W5" i="2"/>
  <c r="AF37" i="2"/>
  <c r="U21" i="6"/>
  <c r="T29" i="6"/>
  <c r="AM9" i="2"/>
  <c r="AM6" i="2"/>
  <c r="J20" i="2"/>
  <c r="N37" i="2"/>
  <c r="D22" i="5" s="1"/>
  <c r="C37" i="2"/>
  <c r="L37" i="2"/>
  <c r="T19" i="2"/>
  <c r="U52" i="6"/>
  <c r="T52" i="6" s="1"/>
  <c r="Q27" i="6"/>
  <c r="D20" i="2"/>
  <c r="T20" i="2" s="1"/>
  <c r="G16" i="6"/>
  <c r="E16" i="6" s="1"/>
  <c r="E62" i="6" s="1"/>
  <c r="H28" i="6"/>
  <c r="T8" i="6"/>
  <c r="AG37" i="2"/>
  <c r="Z37" i="2"/>
  <c r="G22" i="5" s="1"/>
  <c r="AJ37" i="2"/>
  <c r="E22" i="4" s="1"/>
  <c r="S10" i="6"/>
  <c r="R17" i="6"/>
  <c r="S16" i="6"/>
  <c r="T20" i="6"/>
  <c r="T47" i="6"/>
  <c r="N17" i="6"/>
  <c r="O16" i="6"/>
  <c r="B52" i="6"/>
  <c r="AM16" i="2"/>
  <c r="E21" i="6"/>
  <c r="N21" i="6"/>
  <c r="P16" i="6"/>
  <c r="P62" i="6" s="1"/>
  <c r="H10" i="6"/>
  <c r="J10" i="2"/>
  <c r="S64" i="6"/>
  <c r="Q53" i="6"/>
  <c r="T23" i="2"/>
  <c r="D16" i="2"/>
  <c r="T16" i="2" s="1"/>
  <c r="B21" i="6"/>
  <c r="C16" i="6"/>
  <c r="C62" i="6" s="1"/>
  <c r="S5" i="6"/>
  <c r="Q7" i="6"/>
  <c r="W10" i="2"/>
  <c r="D10" i="2"/>
  <c r="Q59" i="6"/>
  <c r="T32" i="6"/>
  <c r="U16" i="2"/>
  <c r="Q19" i="6"/>
  <c r="AM19" i="2"/>
  <c r="D5" i="2"/>
  <c r="T11" i="2"/>
  <c r="AD10" i="2"/>
  <c r="V21" i="6"/>
  <c r="T21" i="6" s="1"/>
  <c r="AD20" i="2"/>
  <c r="AM20" i="2" s="1"/>
  <c r="J5" i="2"/>
  <c r="S62" i="6"/>
  <c r="AO32" i="2"/>
  <c r="AO27" i="2"/>
  <c r="AO12" i="2"/>
  <c r="AO35" i="2"/>
  <c r="AP35" i="2"/>
  <c r="AP31" i="2"/>
  <c r="AP13" i="2"/>
  <c r="AP15" i="2"/>
  <c r="AO14" i="2"/>
  <c r="H5" i="6"/>
  <c r="Q17" i="6"/>
  <c r="R16" i="6"/>
  <c r="Q16" i="6" s="1"/>
  <c r="T38" i="6"/>
  <c r="G62" i="6"/>
  <c r="AO22" i="2"/>
  <c r="AP22" i="2"/>
  <c r="AP20" i="2" s="1"/>
  <c r="AO19" i="2"/>
  <c r="AO33" i="2"/>
  <c r="AO31" i="2"/>
  <c r="AO13" i="2"/>
  <c r="AO15" i="2"/>
  <c r="U64" i="6"/>
  <c r="T64" i="6" s="1"/>
  <c r="T26" i="6"/>
  <c r="Q23" i="6"/>
  <c r="U34" i="6"/>
  <c r="T34" i="6" s="1"/>
  <c r="B10" i="6"/>
  <c r="R34" i="6"/>
  <c r="Q34" i="6" s="1"/>
  <c r="G63" i="6"/>
  <c r="T6" i="2"/>
  <c r="Q5" i="6"/>
  <c r="W37" i="2"/>
  <c r="AM5" i="2"/>
  <c r="AP25" i="2"/>
  <c r="AO25" i="2"/>
  <c r="AO18" i="2"/>
  <c r="AP18" i="2"/>
  <c r="AO8" i="2"/>
  <c r="AO5" i="2" s="1"/>
  <c r="AP14" i="2"/>
  <c r="D16" i="6"/>
  <c r="B17" i="6"/>
  <c r="R64" i="6"/>
  <c r="Q64" i="6" s="1"/>
  <c r="Q26" i="6"/>
  <c r="H17" i="6"/>
  <c r="I16" i="6"/>
  <c r="H16" i="6" s="1"/>
  <c r="Q31" i="6"/>
  <c r="Q21" i="6"/>
  <c r="F62" i="6"/>
  <c r="V28" i="6"/>
  <c r="T28" i="6" s="1"/>
  <c r="M16" i="6"/>
  <c r="L62" i="6"/>
  <c r="L63" i="6"/>
  <c r="K5" i="6"/>
  <c r="Q35" i="6"/>
  <c r="C63" i="6"/>
  <c r="B5" i="6"/>
  <c r="K37" i="2"/>
  <c r="I37" i="2"/>
  <c r="U37" i="2" s="1"/>
  <c r="T5" i="2"/>
  <c r="AO26" i="2"/>
  <c r="AO30" i="2"/>
  <c r="AP27" i="2"/>
  <c r="AO23" i="2"/>
  <c r="AP19" i="2"/>
  <c r="AP12" i="2"/>
  <c r="AP10" i="2" s="1"/>
  <c r="AP8" i="2"/>
  <c r="AP5" i="2" s="1"/>
  <c r="U65" i="6"/>
  <c r="T65" i="6" s="1"/>
  <c r="T59" i="6"/>
  <c r="Q28" i="6"/>
  <c r="F63" i="6"/>
  <c r="T5" i="6"/>
  <c r="D62" i="6"/>
  <c r="D63" i="6"/>
  <c r="T17" i="6"/>
  <c r="U16" i="6"/>
  <c r="U10" i="6"/>
  <c r="T10" i="6" s="1"/>
  <c r="AM11" i="2"/>
  <c r="B37" i="2"/>
  <c r="B16" i="6" l="1"/>
  <c r="Q10" i="6"/>
  <c r="T10" i="2"/>
  <c r="R63" i="6"/>
  <c r="E63" i="6"/>
  <c r="J37" i="2"/>
  <c r="AM10" i="2"/>
  <c r="D37" i="2"/>
  <c r="T37" i="2" s="1"/>
  <c r="O62" i="6"/>
  <c r="O63" i="6"/>
  <c r="V16" i="6"/>
  <c r="V63" i="6" s="1"/>
  <c r="S63" i="6"/>
  <c r="Q63" i="6" s="1"/>
  <c r="P63" i="6"/>
  <c r="N16" i="6"/>
  <c r="N62" i="6" s="1"/>
  <c r="AO16" i="2"/>
  <c r="AD37" i="2"/>
  <c r="AM37" i="2" s="1"/>
  <c r="B63" i="6"/>
  <c r="Q62" i="6"/>
  <c r="H62" i="6"/>
  <c r="K16" i="6"/>
  <c r="K62" i="6" s="1"/>
  <c r="M63" i="6"/>
  <c r="K63" i="6" s="1"/>
  <c r="M62" i="6"/>
  <c r="I62" i="6"/>
  <c r="R68" i="6" s="1"/>
  <c r="AO10" i="2"/>
  <c r="V62" i="6"/>
  <c r="U63" i="6"/>
  <c r="T63" i="6" s="1"/>
  <c r="AP16" i="2"/>
  <c r="AP37" i="2" s="1"/>
  <c r="AO20" i="2"/>
  <c r="I63" i="6"/>
  <c r="H63" i="6" s="1"/>
  <c r="U62" i="6"/>
  <c r="U68" i="6" s="1"/>
  <c r="B62" i="6"/>
  <c r="N63" i="6" l="1"/>
  <c r="T16" i="6"/>
  <c r="T62" i="6" s="1"/>
  <c r="AO37" i="2"/>
</calcChain>
</file>

<file path=xl/sharedStrings.xml><?xml version="1.0" encoding="utf-8"?>
<sst xmlns="http://schemas.openxmlformats.org/spreadsheetml/2006/main" count="297" uniqueCount="167">
  <si>
    <t>固定资产及折旧情况表（卡片数据）</t>
  </si>
  <si>
    <t>资产类别</t>
  </si>
  <si>
    <t>年初</t>
  </si>
  <si>
    <t>本年增加</t>
  </si>
  <si>
    <t>本年减少</t>
  </si>
  <si>
    <t>年末</t>
  </si>
  <si>
    <t>期间数据核对</t>
  </si>
  <si>
    <t>重分类及地市内划拨核对</t>
  </si>
  <si>
    <t>逾龄资产预计</t>
  </si>
  <si>
    <t>资产原值</t>
  </si>
  <si>
    <t>其中：已提足折旧资产原值</t>
  </si>
  <si>
    <t>合计</t>
  </si>
  <si>
    <t>其中：其他</t>
  </si>
  <si>
    <t>其中：子分公司间划转资产</t>
  </si>
  <si>
    <t>其中：省外划拨</t>
  </si>
  <si>
    <t>其中：省内地市间划拨</t>
  </si>
  <si>
    <t>其中：重分类及地市内划拨</t>
  </si>
  <si>
    <t>其中：报废</t>
  </si>
  <si>
    <t>其中：出售</t>
  </si>
  <si>
    <t>其中：三供一业无偿划出</t>
  </si>
  <si>
    <t>累计折旧</t>
  </si>
  <si>
    <t>其中：本年计提</t>
  </si>
  <si>
    <t>预计2020年末逾龄资产</t>
  </si>
  <si>
    <t>预计2021年末逾龄资产</t>
  </si>
  <si>
    <t>一、输电线路</t>
  </si>
  <si>
    <t xml:space="preserve">    500千伏</t>
  </si>
  <si>
    <t xml:space="preserve">    220千伏</t>
  </si>
  <si>
    <t xml:space="preserve">    110千伏</t>
  </si>
  <si>
    <t xml:space="preserve">    35千伏</t>
  </si>
  <si>
    <t>二、变电设备</t>
  </si>
  <si>
    <t xml:space="preserve">    10千伏</t>
  </si>
  <si>
    <t>三、配电线路</t>
  </si>
  <si>
    <t xml:space="preserve">    10千伏以下</t>
  </si>
  <si>
    <t>四、配电设备</t>
  </si>
  <si>
    <t>　　其中：电动汽车充换电设备</t>
  </si>
  <si>
    <t>四、用电计量设备</t>
  </si>
  <si>
    <t>六、通信线路及设备</t>
  </si>
  <si>
    <t>六、自动化控制设备、信息设备及仪器仪表</t>
  </si>
  <si>
    <t>七、发电及供热设备</t>
  </si>
  <si>
    <t>八、水工机械设备</t>
  </si>
  <si>
    <t>九、制造及检修维护设备</t>
  </si>
  <si>
    <t>十、生产管理用工器具</t>
  </si>
  <si>
    <t>十一、运输设备</t>
  </si>
  <si>
    <t>十二、辅助生产用设备及器具</t>
  </si>
  <si>
    <t>十四、房屋</t>
  </si>
  <si>
    <t>十五、建筑物</t>
  </si>
  <si>
    <t>十六、土地</t>
  </si>
  <si>
    <t>2018年度固定资产及折旧情况表（卡片数据）</t>
  </si>
  <si>
    <t>年初原值</t>
  </si>
  <si>
    <t>年末原值</t>
  </si>
  <si>
    <t>年初累计折旧</t>
  </si>
  <si>
    <t>年末累计折旧</t>
  </si>
  <si>
    <t>本年折旧</t>
  </si>
  <si>
    <t>年初净值</t>
  </si>
  <si>
    <t>年末净值</t>
  </si>
  <si>
    <t>存量资产原值
（2014年12月31日及以前）</t>
  </si>
  <si>
    <t>增量资产原值
（2014年12月31日以后）</t>
  </si>
  <si>
    <t>存量资产累计折旧
（2014年12月31日及以前）</t>
  </si>
  <si>
    <t>增量资产累计折旧
（2014年12月31日以后）</t>
  </si>
  <si>
    <t>存量资产本年折旧
（2014年12月31日及以前）</t>
  </si>
  <si>
    <t>增量资产本年折旧
（2014年12月31日以后）</t>
  </si>
  <si>
    <t>存量资产净值
（2014年12月31日及以前）</t>
  </si>
  <si>
    <t>增量资产净值
（2014年12月31日以后）</t>
  </si>
  <si>
    <t>五、通信线路及设备</t>
  </si>
  <si>
    <t xml:space="preserve">    1.继电保护及安全自动装置</t>
  </si>
  <si>
    <t xml:space="preserve">    2.自动化系统及设备</t>
  </si>
  <si>
    <t xml:space="preserve">    3.其他控制和保护设备</t>
  </si>
  <si>
    <t xml:space="preserve">    4.信息系统及设备</t>
  </si>
  <si>
    <t xml:space="preserve">   5.仪器仪表及测试设备</t>
  </si>
  <si>
    <t xml:space="preserve">    1.输煤设备</t>
  </si>
  <si>
    <t xml:space="preserve">    2.煤粉设备</t>
  </si>
  <si>
    <t xml:space="preserve">    3.输油设备</t>
  </si>
  <si>
    <t xml:space="preserve">    4.锅炉设备</t>
  </si>
  <si>
    <t xml:space="preserve">    5.排污及疏水设备</t>
  </si>
  <si>
    <t xml:space="preserve">    6.烟气脱硫（硝）设备</t>
  </si>
  <si>
    <t xml:space="preserve">    7.除灰除尘设备</t>
  </si>
  <si>
    <t xml:space="preserve">    8.化学水处理设备</t>
  </si>
  <si>
    <t xml:space="preserve">    9.制氢设备</t>
  </si>
  <si>
    <t xml:space="preserve">    10.供热管道及设备</t>
  </si>
  <si>
    <t xml:space="preserve">    11.汽轮发电机组</t>
  </si>
  <si>
    <t xml:space="preserve">    12.水轮发电机组</t>
  </si>
  <si>
    <r>
      <rPr>
        <b/>
        <sz val="9"/>
        <rFont val="宋体"/>
        <family val="3"/>
        <charset val="134"/>
      </rPr>
      <t xml:space="preserve">    13.内燃</t>
    </r>
    <r>
      <rPr>
        <b/>
        <sz val="9"/>
        <rFont val="宋体"/>
        <family val="3"/>
        <charset val="134"/>
      </rPr>
      <t>发电机组</t>
    </r>
  </si>
  <si>
    <t xml:space="preserve">    14.其他发电设备</t>
  </si>
  <si>
    <t xml:space="preserve">    1.铁路运输设备</t>
  </si>
  <si>
    <t xml:space="preserve">    2.水上运输设备</t>
  </si>
  <si>
    <t xml:space="preserve">    3.汽车运输设备</t>
  </si>
  <si>
    <t xml:space="preserve">    4.空运设备</t>
  </si>
  <si>
    <t xml:space="preserve">    5.其他运输设备</t>
  </si>
  <si>
    <t>专用设备合计</t>
  </si>
  <si>
    <t>通用设备合计</t>
  </si>
  <si>
    <t>土地、房屋及构筑物</t>
  </si>
  <si>
    <t>2019年度固定资产及折旧情况表（卡片数据）</t>
  </si>
  <si>
    <t>编制单位：国网四川省电力公司XXXX</t>
  </si>
  <si>
    <t>编制日期：2019-12-31</t>
  </si>
  <si>
    <t>单位：元</t>
  </si>
  <si>
    <t>资产编号</t>
  </si>
  <si>
    <t>资产描述</t>
  </si>
  <si>
    <t>电压等级</t>
  </si>
  <si>
    <t>资本化日期</t>
  </si>
  <si>
    <t>使用年限</t>
  </si>
  <si>
    <t>数据核对</t>
  </si>
  <si>
    <t>当年计提折旧</t>
  </si>
  <si>
    <t>资产变动类型</t>
  </si>
  <si>
    <t>已到使用年限残值率异常卡片
(单元格显示红色表示异常)</t>
  </si>
  <si>
    <t>预计2020年底逾龄的
(19年末未逾龄的通过资本化日期判断)</t>
  </si>
  <si>
    <t>预计2021年底逾龄的
(通过资本化日期判断)</t>
  </si>
  <si>
    <t>140201001092</t>
  </si>
  <si>
    <t>变电设备</t>
  </si>
  <si>
    <t>1号主变35kV避雷器</t>
  </si>
  <si>
    <t>35KV</t>
  </si>
  <si>
    <t>12</t>
  </si>
  <si>
    <t>140201001173</t>
  </si>
  <si>
    <t>1号主变110kV侧101断路器悬式绝缘子</t>
  </si>
  <si>
    <t>110KV</t>
  </si>
  <si>
    <t>140201001179</t>
  </si>
  <si>
    <t>1号主变35kV侧501断路器穿墙套管</t>
  </si>
  <si>
    <t>省外划拨</t>
  </si>
  <si>
    <t>填报单位</t>
  </si>
  <si>
    <t>调出单位</t>
  </si>
  <si>
    <t>调入单位</t>
  </si>
  <si>
    <t>调出金额</t>
  </si>
  <si>
    <t>调入金额</t>
  </si>
  <si>
    <t>核对</t>
  </si>
  <si>
    <t>省内地市间划拨</t>
  </si>
  <si>
    <t>子分公司间划转资产</t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</si>
  <si>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</si>
  <si>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</si>
  <si>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</si>
  <si>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</si>
  <si>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</si>
  <si>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</si>
  <si>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</si>
  <si>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</si>
  <si>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</si>
  <si>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</si>
  <si>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</si>
  <si>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</si>
  <si>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</si>
  <si>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</si>
  <si>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</si>
  <si>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20</t>
    <phoneticPr fontId="3" type="noConversion"/>
  </si>
  <si>
    <t>21</t>
    <phoneticPr fontId="3" type="noConversion"/>
  </si>
  <si>
    <t>0</t>
    <phoneticPr fontId="3" type="noConversion"/>
  </si>
  <si>
    <t>22</t>
    <phoneticPr fontId="3" type="noConversion"/>
  </si>
  <si>
    <t>23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</si>
  <si>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</si>
  <si>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</si>
  <si>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</si>
  <si>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</si>
  <si>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</si>
  <si>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</si>
  <si>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</si>
  <si>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</si>
  <si>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</si>
  <si>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</si>
  <si>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</si>
  <si>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</si>
  <si>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</si>
  <si>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</si>
  <si>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20</t>
    <phoneticPr fontId="3" type="noConversion"/>
  </si>
  <si>
    <t>21</t>
    <phoneticPr fontId="3" type="noConversion"/>
  </si>
  <si>
    <t>0</t>
    <phoneticPr fontId="3" type="noConversion"/>
  </si>
  <si>
    <t>二、变电设备</t>
    <phoneticPr fontId="3" type="noConversion"/>
  </si>
  <si>
    <t>三、配电线路及设备</t>
    <phoneticPr fontId="3" type="noConversion"/>
  </si>
  <si>
    <t xml:space="preserve">   1.配电线路</t>
    <phoneticPr fontId="3" type="noConversion"/>
  </si>
  <si>
    <t xml:space="preserve">   2.配电设备</t>
    <phoneticPr fontId="3" type="noConversion"/>
  </si>
  <si>
    <t>一、输电线路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</si>
</sst>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0_);[Red]\(0.00\)"/>
    <numFmt numFmtId="178" formatCode="0_ "/>
    <numFmt numFmtId="179" formatCode="0.00_ "/>
  </numFmts>
  <fonts count="14" x14ac:knownFonts="1">
    <font>
      <sz val="12"/>
      <name val="宋体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1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6" fontId="3" fillId="0" borderId="5" xfId="0" applyNumberFormat="1" applyFont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176" fontId="4" fillId="2" borderId="5" xfId="0" applyNumberFormat="1" applyFont="1" applyFill="1" applyBorder="1">
      <alignment vertical="center"/>
    </xf>
    <xf numFmtId="43" fontId="3" fillId="0" borderId="5" xfId="1" applyFont="1" applyBorder="1">
      <alignment vertical="center"/>
    </xf>
    <xf numFmtId="4" fontId="0" fillId="0" borderId="5" xfId="0" applyNumberFormat="1" applyBorder="1" applyAlignment="1">
      <alignment horizontal="center" vertical="center"/>
    </xf>
    <xf numFmtId="0" fontId="2" fillId="0" borderId="5" xfId="0" applyFont="1" applyBorder="1">
      <alignment vertical="center"/>
    </xf>
    <xf numFmtId="49" fontId="4" fillId="0" borderId="5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4" fontId="4" fillId="0" borderId="5" xfId="0" applyNumberFormat="1" applyFont="1" applyFill="1" applyBorder="1">
      <alignment vertical="center"/>
    </xf>
    <xf numFmtId="177" fontId="4" fillId="0" borderId="5" xfId="0" applyNumberFormat="1" applyFont="1" applyFill="1" applyBorder="1">
      <alignment vertical="center"/>
    </xf>
    <xf numFmtId="177" fontId="4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4" fontId="4" fillId="0" borderId="5" xfId="0" applyNumberFormat="1" applyFont="1" applyFill="1" applyBorder="1" applyAlignment="1" applyProtection="1">
      <alignment vertical="center"/>
      <protection locked="0"/>
    </xf>
    <xf numFmtId="177" fontId="4" fillId="0" borderId="5" xfId="1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77" fontId="7" fillId="3" borderId="5" xfId="1" applyNumberFormat="1" applyFont="1" applyFill="1" applyBorder="1" applyAlignment="1" applyProtection="1">
      <alignment horizontal="center" vertical="center"/>
      <protection locked="0"/>
    </xf>
    <xf numFmtId="177" fontId="7" fillId="4" borderId="5" xfId="1" applyNumberFormat="1" applyFont="1" applyFill="1" applyBorder="1" applyAlignment="1" applyProtection="1">
      <alignment horizontal="center" vertical="center" wrapText="1"/>
      <protection locked="0"/>
    </xf>
    <xf numFmtId="178" fontId="4" fillId="0" borderId="5" xfId="0" applyNumberFormat="1" applyFont="1" applyFill="1" applyBorder="1">
      <alignment vertical="center"/>
    </xf>
    <xf numFmtId="0" fontId="4" fillId="0" borderId="5" xfId="0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43" fontId="4" fillId="0" borderId="5" xfId="0" applyNumberFormat="1" applyFont="1" applyFill="1" applyBorder="1">
      <alignment vertical="center"/>
    </xf>
    <xf numFmtId="177" fontId="4" fillId="0" borderId="5" xfId="0" applyNumberFormat="1" applyFont="1" applyFill="1" applyBorder="1" applyAlignment="1" applyProtection="1">
      <alignment horizontal="center" vertical="center"/>
      <protection locked="0"/>
    </xf>
    <xf numFmtId="177" fontId="7" fillId="5" borderId="5" xfId="1" applyNumberFormat="1" applyFont="1" applyFill="1" applyBorder="1" applyAlignment="1" applyProtection="1">
      <alignment horizontal="center" vertical="center"/>
      <protection locked="0"/>
    </xf>
    <xf numFmtId="177" fontId="7" fillId="5" borderId="5" xfId="1" applyNumberFormat="1" applyFont="1" applyFill="1" applyBorder="1" applyAlignment="1" applyProtection="1">
      <alignment horizontal="center" vertical="center" wrapText="1"/>
      <protection locked="0"/>
    </xf>
    <xf numFmtId="177" fontId="7" fillId="0" borderId="5" xfId="0" applyNumberFormat="1" applyFont="1" applyFill="1" applyBorder="1" applyAlignment="1" applyProtection="1">
      <alignment horizontal="center" vertical="center"/>
      <protection locked="0"/>
    </xf>
    <xf numFmtId="177" fontId="7" fillId="0" borderId="5" xfId="1" applyNumberFormat="1" applyFont="1" applyFill="1" applyBorder="1" applyAlignment="1" applyProtection="1">
      <alignment horizontal="center" vertical="center"/>
      <protection locked="0"/>
    </xf>
    <xf numFmtId="43" fontId="7" fillId="0" borderId="5" xfId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center"/>
      <protection locked="0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76" fontId="3" fillId="6" borderId="5" xfId="0" applyNumberFormat="1" applyFont="1" applyFill="1" applyBorder="1" applyProtection="1">
      <alignment vertical="center"/>
      <protection locked="0"/>
    </xf>
    <xf numFmtId="0" fontId="3" fillId="6" borderId="5" xfId="0" applyNumberFormat="1" applyFont="1" applyFill="1" applyBorder="1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vertical="center"/>
      <protection locked="0"/>
    </xf>
    <xf numFmtId="43" fontId="9" fillId="7" borderId="5" xfId="1" applyFont="1" applyFill="1" applyBorder="1" applyAlignment="1" applyProtection="1">
      <alignment horizontal="center" vertical="center" wrapText="1"/>
      <protection locked="0"/>
    </xf>
    <xf numFmtId="3" fontId="8" fillId="8" borderId="5" xfId="0" applyNumberFormat="1" applyFont="1" applyFill="1" applyBorder="1" applyAlignment="1" applyProtection="1">
      <alignment vertical="center"/>
    </xf>
    <xf numFmtId="176" fontId="3" fillId="9" borderId="5" xfId="0" applyNumberFormat="1" applyFont="1" applyFill="1" applyBorder="1" applyAlignment="1" applyProtection="1">
      <alignment horizontal="center" vertical="center"/>
    </xf>
    <xf numFmtId="176" fontId="3" fillId="8" borderId="5" xfId="0" applyNumberFormat="1" applyFont="1" applyFill="1" applyBorder="1">
      <alignment vertical="center"/>
    </xf>
    <xf numFmtId="176" fontId="3" fillId="9" borderId="5" xfId="0" applyNumberFormat="1" applyFont="1" applyFill="1" applyBorder="1">
      <alignment vertical="center"/>
    </xf>
    <xf numFmtId="3" fontId="3" fillId="0" borderId="5" xfId="0" applyNumberFormat="1" applyFont="1" applyBorder="1" applyAlignment="1" applyProtection="1">
      <alignment vertical="center"/>
    </xf>
    <xf numFmtId="176" fontId="3" fillId="0" borderId="5" xfId="0" applyNumberFormat="1" applyFont="1" applyBorder="1">
      <alignment vertical="center"/>
    </xf>
    <xf numFmtId="0" fontId="3" fillId="0" borderId="5" xfId="0" applyFont="1" applyBorder="1" applyAlignment="1" applyProtection="1">
      <alignment vertical="center"/>
    </xf>
    <xf numFmtId="0" fontId="8" fillId="8" borderId="5" xfId="0" applyFont="1" applyFill="1" applyBorder="1" applyAlignment="1" applyProtection="1">
      <alignment vertical="center"/>
    </xf>
    <xf numFmtId="0" fontId="8" fillId="2" borderId="5" xfId="0" applyFont="1" applyFill="1" applyBorder="1" applyAlignment="1" applyProtection="1">
      <alignment vertical="center"/>
    </xf>
    <xf numFmtId="176" fontId="3" fillId="2" borderId="5" xfId="0" applyNumberFormat="1" applyFont="1" applyFill="1" applyBorder="1">
      <alignment vertical="center"/>
    </xf>
    <xf numFmtId="0" fontId="3" fillId="0" borderId="5" xfId="0" applyFont="1" applyFill="1" applyBorder="1" applyAlignment="1" applyProtection="1">
      <alignment vertical="center"/>
    </xf>
    <xf numFmtId="0" fontId="8" fillId="0" borderId="5" xfId="0" applyFont="1" applyBorder="1" applyAlignment="1" applyProtection="1">
      <alignment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Fill="1" applyBorder="1" applyAlignment="1" applyProtection="1">
      <alignment vertical="center"/>
    </xf>
    <xf numFmtId="176" fontId="3" fillId="0" borderId="5" xfId="0" applyNumberFormat="1" applyFont="1" applyFill="1" applyBorder="1">
      <alignment vertical="center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43" fontId="9" fillId="10" borderId="5" xfId="1" applyFont="1" applyFill="1" applyBorder="1" applyAlignment="1" applyProtection="1">
      <alignment horizontal="center" vertical="center" wrapText="1"/>
      <protection locked="0"/>
    </xf>
    <xf numFmtId="43" fontId="9" fillId="4" borderId="5" xfId="1" applyFont="1" applyFill="1" applyBorder="1" applyAlignment="1" applyProtection="1">
      <alignment horizontal="center" vertical="center" wrapText="1"/>
      <protection locked="0"/>
    </xf>
    <xf numFmtId="0" fontId="8" fillId="11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3" fontId="8" fillId="0" borderId="5" xfId="0" applyNumberFormat="1" applyFont="1" applyBorder="1" applyAlignment="1" applyProtection="1">
      <alignment vertical="center"/>
    </xf>
    <xf numFmtId="176" fontId="3" fillId="12" borderId="5" xfId="0" applyNumberFormat="1" applyFont="1" applyFill="1" applyBorder="1">
      <alignment vertical="center"/>
    </xf>
    <xf numFmtId="176" fontId="3" fillId="11" borderId="5" xfId="0" applyNumberFormat="1" applyFont="1" applyFill="1" applyBorder="1">
      <alignment vertical="center"/>
    </xf>
    <xf numFmtId="0" fontId="8" fillId="10" borderId="5" xfId="0" applyFont="1" applyFill="1" applyBorder="1" applyAlignment="1">
      <alignment horizontal="center" vertical="center"/>
    </xf>
    <xf numFmtId="43" fontId="9" fillId="10" borderId="5" xfId="1" applyFont="1" applyFill="1" applyBorder="1" applyAlignment="1" applyProtection="1">
      <alignment horizontal="center" vertical="center"/>
      <protection locked="0"/>
    </xf>
    <xf numFmtId="176" fontId="3" fillId="11" borderId="5" xfId="0" applyNumberFormat="1" applyFont="1" applyFill="1" applyBorder="1" applyProtection="1">
      <alignment vertical="center"/>
    </xf>
    <xf numFmtId="0" fontId="8" fillId="10" borderId="5" xfId="0" applyFont="1" applyFill="1" applyBorder="1" applyAlignment="1">
      <alignment horizontal="center" vertical="center" wrapText="1"/>
    </xf>
    <xf numFmtId="176" fontId="10" fillId="12" borderId="5" xfId="0" applyNumberFormat="1" applyFont="1" applyFill="1" applyBorder="1">
      <alignment vertical="center"/>
    </xf>
    <xf numFmtId="176" fontId="10" fillId="0" borderId="5" xfId="0" applyNumberFormat="1" applyFont="1" applyBorder="1">
      <alignment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49" fontId="7" fillId="0" borderId="5" xfId="0" applyNumberFormat="1" applyFont="1" applyFill="1" applyBorder="1" applyAlignment="1" applyProtection="1">
      <alignment horizontal="center" vertical="center"/>
      <protection locked="0"/>
    </xf>
    <xf numFmtId="49" fontId="7" fillId="0" borderId="4" xfId="0" applyNumberFormat="1" applyFont="1" applyFill="1" applyBorder="1" applyAlignment="1" applyProtection="1">
      <alignment horizontal="center" vertical="center"/>
      <protection locked="0"/>
    </xf>
    <xf numFmtId="49" fontId="7" fillId="3" borderId="5" xfId="1" applyNumberFormat="1" applyFont="1" applyFill="1" applyBorder="1" applyAlignment="1" applyProtection="1">
      <alignment horizontal="center" vertical="center"/>
      <protection locked="0"/>
    </xf>
    <xf numFmtId="49" fontId="7" fillId="4" borderId="5" xfId="1" applyNumberFormat="1" applyFont="1" applyFill="1" applyBorder="1" applyAlignment="1" applyProtection="1">
      <alignment horizontal="center" vertical="center" wrapText="1"/>
      <protection locked="0"/>
    </xf>
    <xf numFmtId="49" fontId="7" fillId="5" borderId="5" xfId="1" applyNumberFormat="1" applyFont="1" applyFill="1" applyBorder="1" applyAlignment="1" applyProtection="1">
      <alignment horizontal="center" vertical="center"/>
      <protection locked="0"/>
    </xf>
    <xf numFmtId="49" fontId="7" fillId="5" borderId="5" xfId="1" applyNumberFormat="1" applyFont="1" applyFill="1" applyBorder="1" applyAlignment="1" applyProtection="1">
      <alignment horizontal="center" vertical="center" wrapText="1"/>
      <protection locked="0"/>
    </xf>
    <xf numFmtId="49" fontId="7" fillId="0" borderId="5" xfId="1" applyNumberFormat="1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Border="1">
      <alignment vertical="center"/>
    </xf>
    <xf numFmtId="49" fontId="2" fillId="0" borderId="5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</xf>
    <xf numFmtId="43" fontId="9" fillId="11" borderId="5" xfId="1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14" fontId="7" fillId="0" borderId="4" xfId="0" applyNumberFormat="1" applyFont="1" applyFill="1" applyBorder="1" applyAlignment="1" applyProtection="1">
      <alignment horizontal="center" vertical="center"/>
      <protection locked="0"/>
    </xf>
    <xf numFmtId="178" fontId="2" fillId="0" borderId="5" xfId="0" applyNumberFormat="1" applyFont="1" applyFill="1" applyBorder="1" applyAlignment="1" applyProtection="1">
      <alignment horizontal="center" vertical="center"/>
      <protection locked="0"/>
    </xf>
    <xf numFmtId="177" fontId="4" fillId="0" borderId="5" xfId="0" applyNumberFormat="1" applyFont="1" applyFill="1" applyBorder="1" applyAlignment="1" applyProtection="1">
      <alignment horizontal="center" vertical="center"/>
      <protection locked="0"/>
    </xf>
    <xf numFmtId="177" fontId="7" fillId="3" borderId="5" xfId="1" applyNumberFormat="1" applyFont="1" applyFill="1" applyBorder="1" applyAlignment="1" applyProtection="1">
      <alignment horizontal="center" vertical="center"/>
      <protection locked="0"/>
    </xf>
    <xf numFmtId="177" fontId="7" fillId="5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vertical="center"/>
      <protection locked="0"/>
    </xf>
    <xf numFmtId="49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>
      <alignment vertical="center"/>
    </xf>
    <xf numFmtId="49" fontId="3" fillId="0" borderId="7" xfId="0" applyNumberFormat="1" applyFont="1" applyFill="1" applyBorder="1" applyAlignment="1" applyProtection="1">
      <alignment vertical="center"/>
      <protection locked="0"/>
    </xf>
  </cellXfs>
  <cellStyles count="9">
    <cellStyle name="常规" xfId="0" builtinId="0"/>
    <cellStyle name="常规 10 2" xfId="5" xr:uid="{00000000-0005-0000-0000-000033000000}"/>
    <cellStyle name="常规 2" xfId="6" xr:uid="{00000000-0005-0000-0000-000035000000}"/>
    <cellStyle name="常规 2 2" xfId="3" xr:uid="{00000000-0005-0000-0000-00002D000000}"/>
    <cellStyle name="常规 2 3" xfId="4" xr:uid="{00000000-0005-0000-0000-000031000000}"/>
    <cellStyle name="常规 2 4" xfId="7" xr:uid="{00000000-0005-0000-0000-000036000000}"/>
    <cellStyle name="常规 5" xfId="8" xr:uid="{00000000-0005-0000-0000-000037000000}"/>
    <cellStyle name="常规 6" xfId="2" xr:uid="{00000000-0005-0000-0000-00000D000000}"/>
    <cellStyle name="千位分隔" xfId="1" builtinId="3"/>
  </cellStyles>
  <dxfs count="3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P37"/>
  <sheetViews>
    <sheetView showZeros="0" workbookViewId="0">
      <selection activeCell="Y45" sqref="Y45"/>
    </sheetView>
  </sheetViews>
  <sheetFormatPr defaultColWidth="9" defaultRowHeight="14.25" x14ac:dyDescent="0.15"/>
  <cols>
    <col min="1" max="1" width="32.5" customWidth="1"/>
    <col min="2" max="3" width="15.125" customWidth="1"/>
    <col min="4" max="4" width="15.5" customWidth="1"/>
    <col min="5" max="5" width="12.125" customWidth="1"/>
    <col min="6" max="7" width="9.625" customWidth="1"/>
    <col min="8" max="8" width="11.375" customWidth="1"/>
    <col min="9" max="9" width="15" customWidth="1"/>
    <col min="10" max="10" width="14.5" customWidth="1"/>
    <col min="11" max="13" width="13.375" customWidth="1"/>
    <col min="14" max="14" width="10.625" customWidth="1"/>
    <col min="15" max="15" width="14" customWidth="1"/>
    <col min="16" max="17" width="15.125" customWidth="1"/>
    <col min="18" max="19" width="17.125" customWidth="1"/>
    <col min="20" max="20" width="12.875" customWidth="1"/>
    <col min="21" max="21" width="17.5" customWidth="1"/>
    <col min="22" max="22" width="15.625" customWidth="1"/>
    <col min="23" max="23" width="15.375" customWidth="1"/>
    <col min="24" max="24" width="12.875" customWidth="1"/>
    <col min="25" max="25" width="19.5" customWidth="1"/>
    <col min="26" max="26" width="12.875" customWidth="1"/>
    <col min="27" max="27" width="9" customWidth="1"/>
    <col min="28" max="28" width="11.625" customWidth="1"/>
    <col min="29" max="29" width="13.625" customWidth="1"/>
    <col min="30" max="30" width="12.125" customWidth="1"/>
    <col min="31" max="33" width="13" customWidth="1"/>
    <col min="34" max="34" width="10.625" customWidth="1"/>
    <col min="35" max="35" width="11.625" customWidth="1"/>
    <col min="36" max="36" width="12.125" customWidth="1"/>
    <col min="37" max="37" width="10.875" customWidth="1"/>
    <col min="38" max="38" width="20.375" customWidth="1"/>
    <col min="39" max="39" width="14.125" customWidth="1"/>
    <col min="40" max="40" width="13.875" customWidth="1"/>
    <col min="41" max="42" width="14.875" customWidth="1"/>
  </cols>
  <sheetData>
    <row r="1" spans="1:42" ht="18.75" x14ac:dyDescent="0.1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</row>
    <row r="2" spans="1:42" x14ac:dyDescent="0.15">
      <c r="A2" s="45" t="str">
        <f>卡片数据!A2</f>
        <v>编制单位：国网四川省电力公司XXXX</v>
      </c>
      <c r="B2" s="46"/>
      <c r="C2" s="46"/>
      <c r="D2" s="46"/>
      <c r="E2" s="46"/>
      <c r="F2" s="46"/>
      <c r="G2" s="46"/>
      <c r="H2" s="46"/>
      <c r="I2" s="46"/>
      <c r="K2" s="46"/>
      <c r="L2" s="46"/>
      <c r="M2" s="46"/>
      <c r="N2" s="46"/>
      <c r="O2" s="46"/>
      <c r="P2" s="46"/>
      <c r="Q2" s="46"/>
      <c r="R2" s="47"/>
      <c r="S2" s="47"/>
      <c r="T2" s="47"/>
      <c r="U2" s="47"/>
      <c r="V2" s="64"/>
      <c r="W2" s="93" t="str">
        <f>卡片数据!I2</f>
        <v>编制日期：2019-12-31</v>
      </c>
      <c r="X2" s="93"/>
      <c r="Y2" s="93"/>
      <c r="Z2" s="93"/>
      <c r="AA2" s="93"/>
      <c r="AB2" s="64"/>
      <c r="AC2" s="46"/>
      <c r="AD2" s="46"/>
      <c r="AE2" s="46"/>
      <c r="AF2" s="46"/>
      <c r="AG2" s="46"/>
      <c r="AH2" s="46"/>
      <c r="AI2" s="46"/>
      <c r="AK2" s="81"/>
      <c r="AP2" s="46" t="str">
        <f>卡片数据!R2</f>
        <v>单位：元</v>
      </c>
    </row>
    <row r="3" spans="1:42" s="42" customFormat="1" ht="14.25" customHeight="1" x14ac:dyDescent="0.15">
      <c r="A3" s="97" t="s">
        <v>1</v>
      </c>
      <c r="B3" s="94" t="s">
        <v>2</v>
      </c>
      <c r="C3" s="95"/>
      <c r="D3" s="96" t="s">
        <v>3</v>
      </c>
      <c r="E3" s="96"/>
      <c r="F3" s="96"/>
      <c r="G3" s="96"/>
      <c r="H3" s="96"/>
      <c r="I3" s="96"/>
      <c r="J3" s="96" t="s">
        <v>4</v>
      </c>
      <c r="K3" s="96"/>
      <c r="L3" s="96"/>
      <c r="M3" s="96"/>
      <c r="N3" s="96"/>
      <c r="O3" s="96"/>
      <c r="P3" s="96"/>
      <c r="Q3" s="96"/>
      <c r="R3" s="94" t="s">
        <v>5</v>
      </c>
      <c r="S3" s="95"/>
      <c r="T3" s="98" t="s">
        <v>6</v>
      </c>
      <c r="U3" s="98" t="s">
        <v>7</v>
      </c>
      <c r="V3" s="75" t="s">
        <v>2</v>
      </c>
      <c r="W3" s="96" t="s">
        <v>3</v>
      </c>
      <c r="X3" s="96"/>
      <c r="Y3" s="96"/>
      <c r="Z3" s="96"/>
      <c r="AA3" s="96"/>
      <c r="AB3" s="96"/>
      <c r="AC3" s="96"/>
      <c r="AD3" s="96" t="s">
        <v>4</v>
      </c>
      <c r="AE3" s="96"/>
      <c r="AF3" s="96"/>
      <c r="AG3" s="96"/>
      <c r="AH3" s="96"/>
      <c r="AI3" s="96"/>
      <c r="AJ3" s="96"/>
      <c r="AK3" s="96"/>
      <c r="AL3" s="75" t="s">
        <v>5</v>
      </c>
      <c r="AM3" s="98" t="s">
        <v>6</v>
      </c>
      <c r="AN3" s="98" t="s">
        <v>7</v>
      </c>
      <c r="AO3" s="94" t="s">
        <v>8</v>
      </c>
      <c r="AP3" s="95"/>
    </row>
    <row r="4" spans="1:42" s="43" customFormat="1" ht="33.75" customHeight="1" x14ac:dyDescent="0.15">
      <c r="A4" s="97"/>
      <c r="B4" s="68" t="s">
        <v>9</v>
      </c>
      <c r="C4" s="69" t="s">
        <v>10</v>
      </c>
      <c r="D4" s="70" t="s">
        <v>11</v>
      </c>
      <c r="E4" s="71" t="s">
        <v>12</v>
      </c>
      <c r="F4" s="71" t="s">
        <v>13</v>
      </c>
      <c r="G4" s="71" t="s">
        <v>14</v>
      </c>
      <c r="H4" s="71" t="s">
        <v>15</v>
      </c>
      <c r="I4" s="71" t="s">
        <v>16</v>
      </c>
      <c r="J4" s="70" t="s">
        <v>11</v>
      </c>
      <c r="K4" s="71" t="s">
        <v>17</v>
      </c>
      <c r="L4" s="71" t="s">
        <v>18</v>
      </c>
      <c r="M4" s="71" t="s">
        <v>19</v>
      </c>
      <c r="N4" s="71" t="s">
        <v>13</v>
      </c>
      <c r="O4" s="71" t="s">
        <v>14</v>
      </c>
      <c r="P4" s="71" t="s">
        <v>15</v>
      </c>
      <c r="Q4" s="71" t="s">
        <v>16</v>
      </c>
      <c r="R4" s="68" t="s">
        <v>9</v>
      </c>
      <c r="S4" s="69" t="s">
        <v>10</v>
      </c>
      <c r="T4" s="98"/>
      <c r="U4" s="98"/>
      <c r="V4" s="76" t="s">
        <v>20</v>
      </c>
      <c r="W4" s="70" t="s">
        <v>11</v>
      </c>
      <c r="X4" s="71" t="s">
        <v>12</v>
      </c>
      <c r="Y4" s="78" t="s">
        <v>21</v>
      </c>
      <c r="Z4" s="71" t="s">
        <v>13</v>
      </c>
      <c r="AA4" s="71" t="s">
        <v>14</v>
      </c>
      <c r="AB4" s="71" t="s">
        <v>15</v>
      </c>
      <c r="AC4" s="71" t="s">
        <v>16</v>
      </c>
      <c r="AD4" s="70" t="s">
        <v>11</v>
      </c>
      <c r="AE4" s="71" t="s">
        <v>17</v>
      </c>
      <c r="AF4" s="71" t="s">
        <v>18</v>
      </c>
      <c r="AG4" s="71" t="s">
        <v>19</v>
      </c>
      <c r="AH4" s="71" t="s">
        <v>13</v>
      </c>
      <c r="AI4" s="71" t="s">
        <v>14</v>
      </c>
      <c r="AJ4" s="71" t="s">
        <v>15</v>
      </c>
      <c r="AK4" s="71" t="s">
        <v>16</v>
      </c>
      <c r="AL4" s="76" t="s">
        <v>20</v>
      </c>
      <c r="AM4" s="98"/>
      <c r="AN4" s="98"/>
      <c r="AO4" s="71" t="s">
        <v>22</v>
      </c>
      <c r="AP4" s="71" t="s">
        <v>23</v>
      </c>
    </row>
    <row r="5" spans="1:42" s="67" customFormat="1" ht="11.25" x14ac:dyDescent="0.15">
      <c r="A5" s="72" t="s">
        <v>24</v>
      </c>
      <c r="B5" s="73">
        <f t="shared" ref="B5:S5" si="0">SUM(B6:B9)</f>
        <v>0</v>
      </c>
      <c r="C5" s="73">
        <f t="shared" ref="C5" si="1">SUM(C6:C9)</f>
        <v>0</v>
      </c>
      <c r="D5" s="74">
        <f t="shared" si="0"/>
        <v>0</v>
      </c>
      <c r="E5" s="73">
        <f t="shared" si="0"/>
        <v>0</v>
      </c>
      <c r="F5" s="73">
        <f t="shared" si="0"/>
        <v>0</v>
      </c>
      <c r="G5" s="73">
        <f t="shared" si="0"/>
        <v>0</v>
      </c>
      <c r="H5" s="73">
        <f t="shared" si="0"/>
        <v>0</v>
      </c>
      <c r="I5" s="73">
        <f t="shared" si="0"/>
        <v>0</v>
      </c>
      <c r="J5" s="74">
        <f t="shared" si="0"/>
        <v>0</v>
      </c>
      <c r="K5" s="73">
        <f t="shared" si="0"/>
        <v>0</v>
      </c>
      <c r="L5" s="73">
        <f t="shared" si="0"/>
        <v>0</v>
      </c>
      <c r="M5" s="73">
        <f t="shared" si="0"/>
        <v>0</v>
      </c>
      <c r="N5" s="73">
        <f t="shared" si="0"/>
        <v>0</v>
      </c>
      <c r="O5" s="73">
        <f t="shared" si="0"/>
        <v>0</v>
      </c>
      <c r="P5" s="73">
        <f t="shared" si="0"/>
        <v>0</v>
      </c>
      <c r="Q5" s="73">
        <f t="shared" si="0"/>
        <v>0</v>
      </c>
      <c r="R5" s="73">
        <f t="shared" si="0"/>
        <v>0</v>
      </c>
      <c r="S5" s="73">
        <f t="shared" si="0"/>
        <v>0</v>
      </c>
      <c r="T5" s="74">
        <f>B5+D5-J5-R5</f>
        <v>0</v>
      </c>
      <c r="U5" s="74">
        <f>I5-Q5</f>
        <v>0</v>
      </c>
      <c r="V5" s="73">
        <f>SUM(V6:V9)</f>
        <v>0</v>
      </c>
      <c r="W5" s="74">
        <f>SUM(W6:W9)</f>
        <v>0</v>
      </c>
      <c r="X5" s="73">
        <f t="shared" ref="X5:AC5" si="2">SUM(X6:X9)</f>
        <v>0</v>
      </c>
      <c r="Y5" s="79">
        <f t="shared" si="2"/>
        <v>0</v>
      </c>
      <c r="Z5" s="73">
        <f t="shared" si="2"/>
        <v>0</v>
      </c>
      <c r="AA5" s="73">
        <f t="shared" si="2"/>
        <v>0</v>
      </c>
      <c r="AB5" s="73">
        <f t="shared" si="2"/>
        <v>0</v>
      </c>
      <c r="AC5" s="73">
        <f t="shared" si="2"/>
        <v>0</v>
      </c>
      <c r="AD5" s="74">
        <f t="shared" ref="AD5:AL5" si="3">SUM(AD6:AD9)</f>
        <v>0</v>
      </c>
      <c r="AE5" s="73">
        <f t="shared" si="3"/>
        <v>0</v>
      </c>
      <c r="AF5" s="73">
        <f t="shared" si="3"/>
        <v>0</v>
      </c>
      <c r="AG5" s="73">
        <f t="shared" si="3"/>
        <v>0</v>
      </c>
      <c r="AH5" s="73">
        <f t="shared" si="3"/>
        <v>0</v>
      </c>
      <c r="AI5" s="73">
        <f t="shared" si="3"/>
        <v>0</v>
      </c>
      <c r="AJ5" s="73">
        <f t="shared" si="3"/>
        <v>0</v>
      </c>
      <c r="AK5" s="73">
        <f t="shared" si="3"/>
        <v>0</v>
      </c>
      <c r="AL5" s="73">
        <f t="shared" si="3"/>
        <v>0</v>
      </c>
      <c r="AM5" s="74">
        <f t="shared" ref="AM5:AM37" si="4">V5+W5-AD5-AL5</f>
        <v>0</v>
      </c>
      <c r="AN5" s="74">
        <f t="shared" ref="AN5:AN37" si="5">AC5-AK5</f>
        <v>0</v>
      </c>
      <c r="AO5" s="73">
        <f t="shared" ref="AO5:AP5" si="6">SUM(AO6:AO9)</f>
        <v>0</v>
      </c>
      <c r="AP5" s="73">
        <f t="shared" si="6"/>
        <v>0</v>
      </c>
    </row>
    <row r="6" spans="1:42" s="67" customFormat="1" ht="11.25" x14ac:dyDescent="0.15">
      <c r="A6" s="53" t="s">
        <v>25</v>
      </c>
      <c r="B6" s="54">
        <f>SUMIFS(卡片数据!G:G,卡片数据!$B:$B,"输电线路",卡片数据!$D:$D,"500kV")</f>
        <v>0</v>
      </c>
      <c r="C6" s="54">
        <f>SUMIFS(卡片数据!H:H,卡片数据!$B:$B,"输电线路",卡片数据!$D:$D,"500kV")</f>
        <v>0</v>
      </c>
      <c r="D6" s="74">
        <f>SUM(E6:I6)</f>
        <v>0</v>
      </c>
      <c r="E6" s="54">
        <f>SUM(SUMIFS(卡片数据!$O:$O,卡片数据!$B:$B,"输电线路",卡片数据!$D:$D,"500kV",卡片数据!$N:$N,{"工程项目","零购项目","用户资产","盘盈资产","非货币性交易","捐赠增加"}))</f>
        <v>0</v>
      </c>
      <c r="F6" s="54">
        <f>SUMIFS(卡片数据!$O:$O,卡片数据!$B:$B,"输电线路",卡片数据!$D:$D,"500kV",卡片数据!$N:$N,"子分公司间划转资产")</f>
        <v>0</v>
      </c>
      <c r="G6" s="54">
        <f>SUMIFS(卡片数据!$O:$O,卡片数据!$B:$B,"输电线路",卡片数据!$D:$D,"500kV",卡片数据!$N:$N,"省外划拨")</f>
        <v>0</v>
      </c>
      <c r="H6" s="54">
        <f>SUMIFS(卡片数据!$O:$O,卡片数据!$B:$B,"输电线路",卡片数据!$D:$D,"500kV",卡片数据!$N:$N,"省内地市间划拨")</f>
        <v>0</v>
      </c>
      <c r="I6" s="54">
        <f>SUM(SUMIFS(卡片数据!$O:$O,卡片数据!$B:$B,"输电线路",卡片数据!$D:$D,"500kV",卡片数据!$N:$N,{"拆分合并重分类","地市内划拨"}))</f>
        <v>0</v>
      </c>
      <c r="J6" s="74">
        <f>SUM(K6:Q6)</f>
        <v>0</v>
      </c>
      <c r="K6" s="54">
        <f>SUM(SUMIFS(卡片数据!$R:$R,卡片数据!$B:$B,"输电线路",卡片数据!$D:$D,"500kV",卡片数据!$Q:$Q,{"报废"}))</f>
        <v>0</v>
      </c>
      <c r="L6" s="54">
        <f>SUM(SUMIFS(卡片数据!$R:$R,卡片数据!$B:$B,"输电线路",卡片数据!$D:$D,"500kV",卡片数据!$Q:$Q,{"出售"}))</f>
        <v>0</v>
      </c>
      <c r="M6" s="54">
        <f>SUM(SUMIFS(卡片数据!$R:$R,卡片数据!$B:$B,"输电线路",卡片数据!$D:$D,"500kV",卡片数据!$Q:$Q,{"三供一业无偿划出"}))</f>
        <v>0</v>
      </c>
      <c r="N6" s="54">
        <f>SUMIFS(卡片数据!$R:$R,卡片数据!$B:$B,"输电线路",卡片数据!$D:$D,"500kV",卡片数据!$Q:$Q,"子分公司间划转资产")</f>
        <v>0</v>
      </c>
      <c r="O6" s="54">
        <f>SUMIFS(卡片数据!$R:$R,卡片数据!$B:$B,"输电线路",卡片数据!$D:$D,"500kV",卡片数据!$Q:$Q,"省外划拨")</f>
        <v>0</v>
      </c>
      <c r="P6" s="54">
        <f>SUMIFS(卡片数据!$R:$R,卡片数据!$B:$B,"输电线路",卡片数据!$D:$D,"500kV",卡片数据!$Q:$Q,"省内地市间划拨")</f>
        <v>0</v>
      </c>
      <c r="Q6" s="54">
        <f>SUM(SUMIFS(卡片数据!$R:$R,卡片数据!$B:$B,"输电线路",卡片数据!$D:$D,"500kV",卡片数据!$Q:$Q,{"拆分合并重分类","地市内划拨"}))</f>
        <v>0</v>
      </c>
      <c r="R6" s="54">
        <f>SUMIFS(卡片数据!J:J,卡片数据!$B:$B,"输电线路",卡片数据!$D:$D,"500kV")</f>
        <v>0</v>
      </c>
      <c r="S6" s="54">
        <f>SUMIFS(卡片数据!K:K,卡片数据!$B:$B,"输电线路",卡片数据!$D:$D,"500kV")</f>
        <v>0</v>
      </c>
      <c r="T6" s="74">
        <f>B6+D6-J6-R6</f>
        <v>0</v>
      </c>
      <c r="U6" s="74">
        <f t="shared" ref="U6:U37" si="7">I6-Q6</f>
        <v>0</v>
      </c>
      <c r="V6" s="54">
        <f>SUMIFS(卡片数据!I:I,卡片数据!$B:$B,"输电线路",卡片数据!$D:$D,"500kV")</f>
        <v>0</v>
      </c>
      <c r="W6" s="74">
        <f>SUM(X6:AC6)</f>
        <v>0</v>
      </c>
      <c r="X6" s="54">
        <f>SUM(SUMIFS(卡片数据!$P:$P,卡片数据!$B:$B,"输电线路",卡片数据!$D:$D,"500kV",卡片数据!$N:$N,{"工程项目","零购项目","用户资产","盘盈资产","非货币性交易","捐赠增加"}))</f>
        <v>0</v>
      </c>
      <c r="Y6" s="80">
        <f>SUMIFS(卡片数据!M:M,卡片数据!$B:$B,"输电线路",卡片数据!$D:$D,"500kV")</f>
        <v>0</v>
      </c>
      <c r="Z6" s="54">
        <f>SUMIFS(卡片数据!$P:$P,卡片数据!$B:$B,"输电线路",卡片数据!$D:$D,"500kV",卡片数据!$N:$N,"子分公司间划转资产")</f>
        <v>0</v>
      </c>
      <c r="AA6" s="54">
        <f>SUMIFS(卡片数据!$P:$P,卡片数据!$B:$B,"输电线路",卡片数据!$D:$D,"500kV",卡片数据!$N:$N,"省外划拨")</f>
        <v>0</v>
      </c>
      <c r="AB6" s="54">
        <f>SUMIFS(卡片数据!$P:$P,卡片数据!$B:$B,"输电线路",卡片数据!$D:$D,"500kV",卡片数据!$N:$N,"省内地市间划拨")</f>
        <v>0</v>
      </c>
      <c r="AC6" s="54">
        <f>SUM(SUMIFS(卡片数据!$P:$P,卡片数据!$B:$B,"输电线路",卡片数据!$D:$D,"500kV",卡片数据!$N:$N,{"拆分合并重分类","地市内划拨"}))</f>
        <v>0</v>
      </c>
      <c r="AD6" s="74">
        <f>SUM(AE6:AK6)</f>
        <v>0</v>
      </c>
      <c r="AE6" s="54">
        <f>SUM(SUMIFS(卡片数据!$S:$S,卡片数据!$B:$B,"输电线路",卡片数据!$D:$D,"500kV",卡片数据!$Q:$Q,{"报废"}))</f>
        <v>0</v>
      </c>
      <c r="AF6" s="54">
        <f>SUM(SUMIFS(卡片数据!$S:$S,卡片数据!$B:$B,"输电线路",卡片数据!$D:$D,"500kV",卡片数据!$Q:$Q,{"出售"}))</f>
        <v>0</v>
      </c>
      <c r="AG6" s="54">
        <f>SUM(SUMIFS(卡片数据!$S:$S,卡片数据!$B:$B,"输电线路",卡片数据!$D:$D,"500kV",卡片数据!$Q:$Q,{"三供一业无偿划出"}))</f>
        <v>0</v>
      </c>
      <c r="AH6" s="54">
        <f>SUMIFS(卡片数据!$S:$S,卡片数据!$B:$B,"输电线路",卡片数据!$D:$D,"500kV",卡片数据!$Q:$Q,"子分公司间划转资产")</f>
        <v>0</v>
      </c>
      <c r="AI6" s="54">
        <f>SUMIFS(卡片数据!$S:$S,卡片数据!$B:$B,"输电线路",卡片数据!$D:$D,"500kV",卡片数据!$Q:$Q,"省外划拨")</f>
        <v>0</v>
      </c>
      <c r="AJ6" s="54">
        <f>SUMIFS(卡片数据!$S:$S,卡片数据!$B:$B,"输电线路",卡片数据!$D:$D,"500kV",卡片数据!$Q:$Q,"省内地市间划拨")</f>
        <v>0</v>
      </c>
      <c r="AK6" s="54">
        <f>SUM(SUMIFS(卡片数据!$S:$S,卡片数据!$B:$B,"输电线路",卡片数据!$D:$D,"500kV",卡片数据!$Q:$Q,{"拆分合并重分类","地市内划拨"}))</f>
        <v>0</v>
      </c>
      <c r="AL6" s="54">
        <f>SUMIFS(卡片数据!L:L,卡片数据!$B:$B,"输电线路",卡片数据!$D:$D,"500kV")</f>
        <v>0</v>
      </c>
      <c r="AM6" s="74">
        <f t="shared" si="4"/>
        <v>0</v>
      </c>
      <c r="AN6" s="74">
        <f t="shared" si="5"/>
        <v>0</v>
      </c>
      <c r="AO6" s="54">
        <f>SUMIFS(卡片数据!W:W,卡片数据!$B:$B,"输电线路",卡片数据!$D:$D,"500kV")</f>
        <v>0</v>
      </c>
      <c r="AP6" s="54">
        <f>SUMIFS(卡片数据!X:X,卡片数据!$B:$B,"输电线路",卡片数据!$D:$D,"500kV")</f>
        <v>0</v>
      </c>
    </row>
    <row r="7" spans="1:42" s="67" customFormat="1" ht="11.25" x14ac:dyDescent="0.15">
      <c r="A7" s="53" t="s">
        <v>26</v>
      </c>
      <c r="B7" s="54">
        <f>SUMIFS(卡片数据!G:G,卡片数据!$B:$B,"输电线路",卡片数据!$D:$D,"220kV")</f>
        <v>0</v>
      </c>
      <c r="C7" s="54">
        <f>SUMIFS(卡片数据!H:H,卡片数据!$B:$B,"输电线路",卡片数据!$D:$D,"220kV")</f>
        <v>0</v>
      </c>
      <c r="D7" s="74">
        <f>SUM(E7:I7)</f>
        <v>0</v>
      </c>
      <c r="E7" s="54">
        <f>SUM(SUMIFS(卡片数据!$O:$O,卡片数据!$B:$B,"输电线路",卡片数据!$D:$D,"220kV",卡片数据!$N:$N,{"工程项目","零购项目","用户资产","盘盈资产","非货币性交易","捐赠增加"}))</f>
        <v>0</v>
      </c>
      <c r="F7" s="54">
        <f>SUMIFS(卡片数据!$O:$O,卡片数据!$B:$B,"输电线路",卡片数据!$D:$D,"220kV",卡片数据!$N:$N,"子分公司间划转资产")</f>
        <v>0</v>
      </c>
      <c r="G7" s="54">
        <f>SUMIFS(卡片数据!$O:$O,卡片数据!$B:$B,"输电线路",卡片数据!$D:$D,"220kV",卡片数据!$N:$N,"省外划拨")</f>
        <v>0</v>
      </c>
      <c r="H7" s="54">
        <f>SUMIFS(卡片数据!$O:$O,卡片数据!$B:$B,"输电线路",卡片数据!$D:$D,"220kV",卡片数据!$N:$N,"省内地市间划拨")</f>
        <v>0</v>
      </c>
      <c r="I7" s="54">
        <f>SUM(SUMIFS(卡片数据!$O:$O,卡片数据!$B:$B,"输电线路",卡片数据!$D:$D,"220kV",卡片数据!$N:$N,{"拆分合并重分类","地市内划拨"}))</f>
        <v>0</v>
      </c>
      <c r="J7" s="74">
        <f>SUM(K7:Q7)</f>
        <v>0</v>
      </c>
      <c r="K7" s="54">
        <f>SUM(SUMIFS(卡片数据!$R:$R,卡片数据!$B:$B,"输电线路",卡片数据!$D:$D,"220kV",卡片数据!$Q:$Q,{"报废"}))</f>
        <v>0</v>
      </c>
      <c r="L7" s="54">
        <f>SUM(SUMIFS(卡片数据!$R:$R,卡片数据!$B:$B,"输电线路",卡片数据!$D:$D,"220kV",卡片数据!$Q:$Q,{"出售"}))</f>
        <v>0</v>
      </c>
      <c r="M7" s="54">
        <f>SUM(SUMIFS(卡片数据!$R:$R,卡片数据!$B:$B,"输电线路",卡片数据!$D:$D,"220kV",卡片数据!$Q:$Q,{"三供一业无偿划出"}))</f>
        <v>0</v>
      </c>
      <c r="N7" s="54">
        <f>SUMIFS(卡片数据!$R:$R,卡片数据!$B:$B,"输电线路",卡片数据!$D:$D,"220kV",卡片数据!$Q:$Q,"子分公司间划转资产")</f>
        <v>0</v>
      </c>
      <c r="O7" s="54">
        <f>SUMIFS(卡片数据!$R:$R,卡片数据!$B:$B,"输电线路",卡片数据!$D:$D,"220kV",卡片数据!$Q:$Q,"省外划拨")</f>
        <v>0</v>
      </c>
      <c r="P7" s="54">
        <f>SUMIFS(卡片数据!$R:$R,卡片数据!$B:$B,"输电线路",卡片数据!$D:$D,"220kV",卡片数据!$Q:$Q,"省内地市间划拨")</f>
        <v>0</v>
      </c>
      <c r="Q7" s="54">
        <f>SUM(SUMIFS(卡片数据!$R:$R,卡片数据!$B:$B,"输电线路",卡片数据!$D:$D,"220kV",卡片数据!$Q:$Q,{"拆分合并重分类","地市内划拨"}))</f>
        <v>0</v>
      </c>
      <c r="R7" s="54">
        <f>SUMIFS(卡片数据!J:J,卡片数据!$B:$B,"输电线路",卡片数据!$D:$D,"220kV")</f>
        <v>0</v>
      </c>
      <c r="S7" s="54">
        <f>SUMIFS(卡片数据!K:K,卡片数据!$B:$B,"输电线路",卡片数据!$D:$D,"220kV")</f>
        <v>0</v>
      </c>
      <c r="T7" s="74">
        <f>B7+D7-J7-R7</f>
        <v>0</v>
      </c>
      <c r="U7" s="74">
        <f t="shared" si="7"/>
        <v>0</v>
      </c>
      <c r="V7" s="54">
        <f>SUMIFS(卡片数据!I:I,卡片数据!$B:$B,"输电线路",卡片数据!$D:$D,"220kV")</f>
        <v>0</v>
      </c>
      <c r="W7" s="74">
        <f>SUM(X7:AC7)</f>
        <v>0</v>
      </c>
      <c r="X7" s="54">
        <f>SUM(SUMIFS(卡片数据!$P:$P,卡片数据!$B:$B,"输电线路",卡片数据!$D:$D,"220kV",卡片数据!$N:$N,{"工程项目","零购项目","用户资产","盘盈资产","非货币性交易","捐赠增加"}))</f>
        <v>0</v>
      </c>
      <c r="Y7" s="80">
        <f>SUMIFS(卡片数据!M:M,卡片数据!$B:$B,"输电线路",卡片数据!$D:$D,"220kV")</f>
        <v>0</v>
      </c>
      <c r="Z7" s="54">
        <f>SUMIFS(卡片数据!$P:$P,卡片数据!$B:$B,"输电线路",卡片数据!$D:$D,"220kV",卡片数据!$N:$N,"子分公司间划转资产")</f>
        <v>0</v>
      </c>
      <c r="AA7" s="54">
        <f>SUMIFS(卡片数据!$P:$P,卡片数据!$B:$B,"输电线路",卡片数据!$D:$D,"220kV",卡片数据!$N:$N,"省外划拨")</f>
        <v>0</v>
      </c>
      <c r="AB7" s="54">
        <f>SUMIFS(卡片数据!$P:$P,卡片数据!$B:$B,"输电线路",卡片数据!$D:$D,"220kV",卡片数据!$N:$N,"省内地市间划拨")</f>
        <v>0</v>
      </c>
      <c r="AC7" s="54">
        <f>SUM(SUMIFS(卡片数据!$P:$P,卡片数据!$B:$B,"输电线路",卡片数据!$D:$D,"220kV",卡片数据!$N:$N,{"拆分合并重分类","地市内划拨"}))</f>
        <v>0</v>
      </c>
      <c r="AD7" s="74">
        <f>SUM(AE7:AK7)</f>
        <v>0</v>
      </c>
      <c r="AE7" s="54">
        <f>SUM(SUMIFS(卡片数据!$S:$S,卡片数据!$B:$B,"输电线路",卡片数据!$D:$D,"220kV",卡片数据!$Q:$Q,{"报废"}))</f>
        <v>0</v>
      </c>
      <c r="AF7" s="54">
        <f>SUM(SUMIFS(卡片数据!$S:$S,卡片数据!$B:$B,"输电线路",卡片数据!$D:$D,"220kV",卡片数据!$Q:$Q,{"出售"}))</f>
        <v>0</v>
      </c>
      <c r="AG7" s="54">
        <f>SUM(SUMIFS(卡片数据!$S:$S,卡片数据!$B:$B,"输电线路",卡片数据!$D:$D,"220kV",卡片数据!$Q:$Q,{"三供一业无偿划出"}))</f>
        <v>0</v>
      </c>
      <c r="AH7" s="54">
        <f>SUMIFS(卡片数据!$S:$S,卡片数据!$B:$B,"输电线路",卡片数据!$D:$D,"220kV",卡片数据!$Q:$Q,"子分公司间划转资产")</f>
        <v>0</v>
      </c>
      <c r="AI7" s="54">
        <f>SUMIFS(卡片数据!$S:$S,卡片数据!$B:$B,"输电线路",卡片数据!$D:$D,"220kV",卡片数据!$Q:$Q,"省外划拨")</f>
        <v>0</v>
      </c>
      <c r="AJ7" s="54">
        <f>SUMIFS(卡片数据!$S:$S,卡片数据!$B:$B,"输电线路",卡片数据!$D:$D,"220kV",卡片数据!$Q:$Q,"省内地市间划拨")</f>
        <v>0</v>
      </c>
      <c r="AK7" s="54">
        <f>SUM(SUMIFS(卡片数据!$S:$S,卡片数据!$B:$B,"输电线路",卡片数据!$D:$D,"220kV",卡片数据!$Q:$Q,{"拆分合并重分类","地市内划拨"}))</f>
        <v>0</v>
      </c>
      <c r="AL7" s="54">
        <f>SUMIFS(卡片数据!L:L,卡片数据!$B:$B,"输电线路",卡片数据!$D:$D,"220kV")</f>
        <v>0</v>
      </c>
      <c r="AM7" s="74">
        <f t="shared" si="4"/>
        <v>0</v>
      </c>
      <c r="AN7" s="74">
        <f t="shared" si="5"/>
        <v>0</v>
      </c>
      <c r="AO7" s="54">
        <f>SUMIFS(卡片数据!W:W,卡片数据!$B:$B,"输电线路",卡片数据!$D:$D,"220kV")</f>
        <v>0</v>
      </c>
      <c r="AP7" s="54">
        <f>SUMIFS(卡片数据!X:X,卡片数据!$B:$B,"输电线路",卡片数据!$D:$D,"220kV")</f>
        <v>0</v>
      </c>
    </row>
    <row r="8" spans="1:42" s="67" customFormat="1" ht="11.25" x14ac:dyDescent="0.15">
      <c r="A8" s="53" t="s">
        <v>27</v>
      </c>
      <c r="B8" s="54">
        <f>SUMIFS(卡片数据!G:G,卡片数据!$B:$B,"输电线路",卡片数据!$D:$D,"110kV")</f>
        <v>0</v>
      </c>
      <c r="C8" s="54">
        <f>SUMIFS(卡片数据!H:H,卡片数据!$B:$B,"输电线路",卡片数据!$D:$D,"110kV")</f>
        <v>0</v>
      </c>
      <c r="D8" s="74">
        <f>SUM(E8:I8)</f>
        <v>0</v>
      </c>
      <c r="E8" s="54">
        <f>SUM(SUMIFS(卡片数据!$O:$O,卡片数据!$B:$B,"输电线路",卡片数据!$D:$D,"110kV",卡片数据!$N:$N,{"工程项目","零购项目","用户资产","盘盈资产","非货币性交易","捐赠增加"}))</f>
        <v>0</v>
      </c>
      <c r="F8" s="54">
        <f>SUMIFS(卡片数据!$O:$O,卡片数据!$B:$B,"输电线路",卡片数据!$D:$D,"110kV",卡片数据!$N:$N,"子分公司间划转资产")</f>
        <v>0</v>
      </c>
      <c r="G8" s="54">
        <f>SUMIFS(卡片数据!$O:$O,卡片数据!$B:$B,"输电线路",卡片数据!$D:$D,"110kV",卡片数据!$N:$N,"省外划拨")</f>
        <v>0</v>
      </c>
      <c r="H8" s="54">
        <f>SUMIFS(卡片数据!$O:$O,卡片数据!$B:$B,"输电线路",卡片数据!$D:$D,"110kV",卡片数据!$N:$N,"省内地市间划拨")</f>
        <v>0</v>
      </c>
      <c r="I8" s="54">
        <f>SUM(SUMIFS(卡片数据!$O:$O,卡片数据!$B:$B,"输电线路",卡片数据!$D:$D,"110kV",卡片数据!$N:$N,{"拆分合并重分类","地市内划拨"}))</f>
        <v>0</v>
      </c>
      <c r="J8" s="74">
        <f>SUM(K8:Q8)</f>
        <v>0</v>
      </c>
      <c r="K8" s="54">
        <f>SUM(SUMIFS(卡片数据!$R:$R,卡片数据!$B:$B,"输电线路",卡片数据!$D:$D,"110kV",卡片数据!$Q:$Q,{"报废"}))</f>
        <v>0</v>
      </c>
      <c r="L8" s="54">
        <f>SUM(SUMIFS(卡片数据!$R:$R,卡片数据!$B:$B,"输电线路",卡片数据!$D:$D,"110kV",卡片数据!$Q:$Q,{"出售"}))</f>
        <v>0</v>
      </c>
      <c r="M8" s="54">
        <f>SUM(SUMIFS(卡片数据!$R:$R,卡片数据!$B:$B,"输电线路",卡片数据!$D:$D,"110kV",卡片数据!$Q:$Q,{"三供一业无偿划出"}))</f>
        <v>0</v>
      </c>
      <c r="N8" s="54">
        <f>SUMIFS(卡片数据!$R:$R,卡片数据!$B:$B,"输电线路",卡片数据!$D:$D,"110kV",卡片数据!$Q:$Q,"子分公司间划转资产")</f>
        <v>0</v>
      </c>
      <c r="O8" s="54">
        <f>SUMIFS(卡片数据!$R:$R,卡片数据!$B:$B,"输电线路",卡片数据!$D:$D,"110kV",卡片数据!$Q:$Q,"省外划拨")</f>
        <v>0</v>
      </c>
      <c r="P8" s="54">
        <f>SUMIFS(卡片数据!$R:$R,卡片数据!$B:$B,"输电线路",卡片数据!$D:$D,"110kV",卡片数据!$Q:$Q,"省内地市间划拨")</f>
        <v>0</v>
      </c>
      <c r="Q8" s="54">
        <f>SUM(SUMIFS(卡片数据!$R:$R,卡片数据!$B:$B,"输电线路",卡片数据!$D:$D,"110kV",卡片数据!$Q:$Q,{"拆分合并重分类","地市内划拨"}))</f>
        <v>0</v>
      </c>
      <c r="R8" s="54">
        <f>SUMIFS(卡片数据!J:J,卡片数据!$B:$B,"输电线路",卡片数据!$D:$D,"110kV")</f>
        <v>0</v>
      </c>
      <c r="S8" s="54">
        <f>SUMIFS(卡片数据!K:K,卡片数据!$B:$B,"输电线路",卡片数据!$D:$D,"110kV")</f>
        <v>0</v>
      </c>
      <c r="T8" s="74">
        <f t="shared" ref="T8:T37" si="8">B8+D8-J8-R8</f>
        <v>0</v>
      </c>
      <c r="U8" s="74">
        <f t="shared" si="7"/>
        <v>0</v>
      </c>
      <c r="V8" s="54">
        <f>SUMIFS(卡片数据!I:I,卡片数据!$B:$B,"输电线路",卡片数据!$D:$D,"110kV")</f>
        <v>0</v>
      </c>
      <c r="W8" s="74">
        <f>SUM(X8:AC8)</f>
        <v>0</v>
      </c>
      <c r="X8" s="54">
        <f>SUM(SUMIFS(卡片数据!$P:$P,卡片数据!$B:$B,"输电线路",卡片数据!$D:$D,"110kV",卡片数据!$N:$N,{"工程项目","零购项目","用户资产","盘盈资产","非货币性交易","捐赠增加"}))</f>
        <v>0</v>
      </c>
      <c r="Y8" s="80">
        <f>SUMIFS(卡片数据!M:M,卡片数据!$B:$B,"输电线路",卡片数据!$D:$D,"110kV")</f>
        <v>0</v>
      </c>
      <c r="Z8" s="54">
        <f>SUMIFS(卡片数据!$P:$P,卡片数据!$B:$B,"输电线路",卡片数据!$D:$D,"110kV",卡片数据!$N:$N,"子分公司间划转资产")</f>
        <v>0</v>
      </c>
      <c r="AA8" s="54">
        <f>SUMIFS(卡片数据!$P:$P,卡片数据!$B:$B,"输电线路",卡片数据!$D:$D,"110kV",卡片数据!$N:$N,"省外划拨")</f>
        <v>0</v>
      </c>
      <c r="AB8" s="54">
        <f>SUMIFS(卡片数据!$P:$P,卡片数据!$B:$B,"输电线路",卡片数据!$D:$D,"110kV",卡片数据!$N:$N,"省内地市间划拨")</f>
        <v>0</v>
      </c>
      <c r="AC8" s="54">
        <f>SUM(SUMIFS(卡片数据!$P:$P,卡片数据!$B:$B,"输电线路",卡片数据!$D:$D,"110kV",卡片数据!$N:$N,{"拆分合并重分类","地市内划拨"}))</f>
        <v>0</v>
      </c>
      <c r="AD8" s="74">
        <f>SUM(AE8:AK8)</f>
        <v>0</v>
      </c>
      <c r="AE8" s="54">
        <f>SUM(SUMIFS(卡片数据!$S:$S,卡片数据!$B:$B,"输电线路",卡片数据!$D:$D,"110kV",卡片数据!$Q:$Q,{"报废"}))</f>
        <v>0</v>
      </c>
      <c r="AF8" s="54">
        <f>SUM(SUMIFS(卡片数据!$S:$S,卡片数据!$B:$B,"输电线路",卡片数据!$D:$D,"110kV",卡片数据!$Q:$Q,{"出售"}))</f>
        <v>0</v>
      </c>
      <c r="AG8" s="54">
        <f>SUM(SUMIFS(卡片数据!$S:$S,卡片数据!$B:$B,"输电线路",卡片数据!$D:$D,"110kV",卡片数据!$Q:$Q,{"三供一业无偿划出"}))</f>
        <v>0</v>
      </c>
      <c r="AH8" s="54">
        <f>SUMIFS(卡片数据!$S:$S,卡片数据!$B:$B,"输电线路",卡片数据!$D:$D,"110kV",卡片数据!$Q:$Q,"子分公司间划转资产")</f>
        <v>0</v>
      </c>
      <c r="AI8" s="54">
        <f>SUMIFS(卡片数据!$S:$S,卡片数据!$B:$B,"输电线路",卡片数据!$D:$D,"110kV",卡片数据!$Q:$Q,"省外划拨")</f>
        <v>0</v>
      </c>
      <c r="AJ8" s="54">
        <f>SUMIFS(卡片数据!$S:$S,卡片数据!$B:$B,"输电线路",卡片数据!$D:$D,"110kV",卡片数据!$Q:$Q,"省内地市间划拨")</f>
        <v>0</v>
      </c>
      <c r="AK8" s="54">
        <f>SUM(SUMIFS(卡片数据!$S:$S,卡片数据!$B:$B,"输电线路",卡片数据!$D:$D,"110kV",卡片数据!$Q:$Q,{"拆分合并重分类","地市内划拨"}))</f>
        <v>0</v>
      </c>
      <c r="AL8" s="54">
        <f>SUMIFS(卡片数据!L:L,卡片数据!$B:$B,"输电线路",卡片数据!$D:$D,"110kV")</f>
        <v>0</v>
      </c>
      <c r="AM8" s="74">
        <f t="shared" si="4"/>
        <v>0</v>
      </c>
      <c r="AN8" s="74">
        <f t="shared" si="5"/>
        <v>0</v>
      </c>
      <c r="AO8" s="54">
        <f>SUMIFS(卡片数据!W:W,卡片数据!$B:$B,"输电线路",卡片数据!$D:$D,"110kV")</f>
        <v>0</v>
      </c>
      <c r="AP8" s="54">
        <f>SUMIFS(卡片数据!X:X,卡片数据!$B:$B,"输电线路",卡片数据!$D:$D,"110kV")</f>
        <v>0</v>
      </c>
    </row>
    <row r="9" spans="1:42" s="67" customFormat="1" ht="11.25" x14ac:dyDescent="0.15">
      <c r="A9" s="53" t="s">
        <v>28</v>
      </c>
      <c r="B9" s="54">
        <f>SUMIFS(卡片数据!G:G,卡片数据!$B:$B,"输电线路",卡片数据!$D:$D,"35kV")</f>
        <v>0</v>
      </c>
      <c r="C9" s="54">
        <f>SUMIFS(卡片数据!H:H,卡片数据!$B:$B,"输电线路",卡片数据!$D:$D,"35kV")</f>
        <v>0</v>
      </c>
      <c r="D9" s="74">
        <f>SUM(E9:I9)</f>
        <v>0</v>
      </c>
      <c r="E9" s="54">
        <f>SUM(SUMIFS(卡片数据!$O:$O,卡片数据!$B:$B,"输电线路",卡片数据!$D:$D,"35kV",卡片数据!$N:$N,{"工程项目","零购项目","用户资产","盘盈资产","非货币性交易","捐赠增加"}))</f>
        <v>0</v>
      </c>
      <c r="F9" s="54">
        <f>SUMIFS(卡片数据!$O:$O,卡片数据!$B:$B,"输电线路",卡片数据!$D:$D,"35kV",卡片数据!$N:$N,"子分公司间划转资产")</f>
        <v>0</v>
      </c>
      <c r="G9" s="54">
        <f>SUMIFS(卡片数据!$O:$O,卡片数据!$B:$B,"输电线路",卡片数据!$D:$D,"35kV",卡片数据!$N:$N,"省外划拨")</f>
        <v>0</v>
      </c>
      <c r="H9" s="54">
        <f>SUMIFS(卡片数据!$O:$O,卡片数据!$B:$B,"输电线路",卡片数据!$D:$D,"35kV",卡片数据!$N:$N,"省内地市间划拨")</f>
        <v>0</v>
      </c>
      <c r="I9" s="54">
        <f>SUM(SUMIFS(卡片数据!$O:$O,卡片数据!$B:$B,"输电线路",卡片数据!$D:$D,"35kV",卡片数据!$N:$N,{"拆分合并重分类","地市内划拨"}))</f>
        <v>0</v>
      </c>
      <c r="J9" s="74">
        <f>SUM(K9:Q9)</f>
        <v>0</v>
      </c>
      <c r="K9" s="54">
        <f>SUM(SUMIFS(卡片数据!$R:$R,卡片数据!$B:$B,"输电线路",卡片数据!$D:$D,"35kV",卡片数据!$Q:$Q,{"报废"}))</f>
        <v>0</v>
      </c>
      <c r="L9" s="54">
        <f>SUM(SUMIFS(卡片数据!$R:$R,卡片数据!$B:$B,"输电线路",卡片数据!$D:$D,"35kV",卡片数据!$Q:$Q,{"出售"}))</f>
        <v>0</v>
      </c>
      <c r="M9" s="54">
        <f>SUM(SUMIFS(卡片数据!$R:$R,卡片数据!$B:$B,"输电线路",卡片数据!$D:$D,"35kV",卡片数据!$Q:$Q,{"三供一业无偿划出"}))</f>
        <v>0</v>
      </c>
      <c r="N9" s="54">
        <f>SUMIFS(卡片数据!$R:$R,卡片数据!$B:$B,"输电线路",卡片数据!$D:$D,"35kV",卡片数据!$Q:$Q,"子分公司间划转资产")</f>
        <v>0</v>
      </c>
      <c r="O9" s="54">
        <f>SUMIFS(卡片数据!$R:$R,卡片数据!$B:$B,"输电线路",卡片数据!$D:$D,"35kV",卡片数据!$Q:$Q,"省外划拨")</f>
        <v>0</v>
      </c>
      <c r="P9" s="54">
        <f>SUMIFS(卡片数据!$R:$R,卡片数据!$B:$B,"输电线路",卡片数据!$D:$D,"35kV",卡片数据!$Q:$Q,"省内地市间划拨")</f>
        <v>0</v>
      </c>
      <c r="Q9" s="54">
        <f>SUM(SUMIFS(卡片数据!$R:$R,卡片数据!$B:$B,"输电线路",卡片数据!$D:$D,"35kV",卡片数据!$Q:$Q,{"拆分合并重分类","地市内划拨"}))</f>
        <v>0</v>
      </c>
      <c r="R9" s="54">
        <f>SUMIFS(卡片数据!J:J,卡片数据!$B:$B,"输电线路",卡片数据!$D:$D,"35kV")</f>
        <v>0</v>
      </c>
      <c r="S9" s="54">
        <f>SUMIFS(卡片数据!K:K,卡片数据!$B:$B,"输电线路",卡片数据!$D:$D,"35kV")</f>
        <v>0</v>
      </c>
      <c r="T9" s="74">
        <f t="shared" si="8"/>
        <v>0</v>
      </c>
      <c r="U9" s="74">
        <f t="shared" si="7"/>
        <v>0</v>
      </c>
      <c r="V9" s="54">
        <f>SUMIFS(卡片数据!I:I,卡片数据!$B:$B,"输电线路",卡片数据!$D:$D,"35kV")</f>
        <v>0</v>
      </c>
      <c r="W9" s="74">
        <f>SUM(X9:AC9)</f>
        <v>0</v>
      </c>
      <c r="X9" s="54">
        <f>SUM(SUMIFS(卡片数据!$P:$P,卡片数据!$B:$B,"输电线路",卡片数据!$D:$D,"35kV",卡片数据!$N:$N,{"工程项目","零购项目","用户资产","盘盈资产","非货币性交易","捐赠增加"}))</f>
        <v>0</v>
      </c>
      <c r="Y9" s="80">
        <f>SUMIFS(卡片数据!M:M,卡片数据!$B:$B,"输电线路",卡片数据!$D:$D,"35kV")</f>
        <v>0</v>
      </c>
      <c r="Z9" s="54">
        <f>SUMIFS(卡片数据!$P:$P,卡片数据!$B:$B,"输电线路",卡片数据!$D:$D,"35kV",卡片数据!$N:$N,"子分公司间划转资产")</f>
        <v>0</v>
      </c>
      <c r="AA9" s="54">
        <f>SUMIFS(卡片数据!$P:$P,卡片数据!$B:$B,"输电线路",卡片数据!$D:$D,"35kV",卡片数据!$N:$N,"省外划拨")</f>
        <v>0</v>
      </c>
      <c r="AB9" s="54">
        <f>SUMIFS(卡片数据!$P:$P,卡片数据!$B:$B,"输电线路",卡片数据!$D:$D,"35kV",卡片数据!$N:$N,"省内地市间划拨")</f>
        <v>0</v>
      </c>
      <c r="AC9" s="54">
        <f>SUM(SUMIFS(卡片数据!$P:$P,卡片数据!$B:$B,"输电线路",卡片数据!$D:$D,"35kV",卡片数据!$N:$N,{"拆分合并重分类","地市内划拨"}))</f>
        <v>0</v>
      </c>
      <c r="AD9" s="74">
        <f>SUM(AE9:AK9)</f>
        <v>0</v>
      </c>
      <c r="AE9" s="54">
        <f>SUM(SUMIFS(卡片数据!$S:$S,卡片数据!$B:$B,"输电线路",卡片数据!$D:$D,"35kV",卡片数据!$Q:$Q,{"报废"}))</f>
        <v>0</v>
      </c>
      <c r="AF9" s="54">
        <f>SUM(SUMIFS(卡片数据!$S:$S,卡片数据!$B:$B,"输电线路",卡片数据!$D:$D,"35kV",卡片数据!$Q:$Q,{"出售"}))</f>
        <v>0</v>
      </c>
      <c r="AG9" s="54">
        <f>SUM(SUMIFS(卡片数据!$S:$S,卡片数据!$B:$B,"输电线路",卡片数据!$D:$D,"35kV",卡片数据!$Q:$Q,{"三供一业无偿划出"}))</f>
        <v>0</v>
      </c>
      <c r="AH9" s="54">
        <f>SUMIFS(卡片数据!$S:$S,卡片数据!$B:$B,"输电线路",卡片数据!$D:$D,"35kV",卡片数据!$Q:$Q,"子分公司间划转资产")</f>
        <v>0</v>
      </c>
      <c r="AI9" s="54">
        <f>SUMIFS(卡片数据!$S:$S,卡片数据!$B:$B,"输电线路",卡片数据!$D:$D,"35kV",卡片数据!$Q:$Q,"省外划拨")</f>
        <v>0</v>
      </c>
      <c r="AJ9" s="54">
        <f>SUMIFS(卡片数据!$S:$S,卡片数据!$B:$B,"输电线路",卡片数据!$D:$D,"35kV",卡片数据!$Q:$Q,"省内地市间划拨")</f>
        <v>0</v>
      </c>
      <c r="AK9" s="54">
        <f>SUM(SUMIFS(卡片数据!$S:$S,卡片数据!$B:$B,"输电线路",卡片数据!$D:$D,"35kV",卡片数据!$Q:$Q,{"拆分合并重分类","地市内划拨"}))</f>
        <v>0</v>
      </c>
      <c r="AL9" s="54">
        <f>SUMIFS(卡片数据!L:L,卡片数据!$B:$B,"输电线路",卡片数据!$D:$D,"35kV")</f>
        <v>0</v>
      </c>
      <c r="AM9" s="74">
        <f t="shared" si="4"/>
        <v>0</v>
      </c>
      <c r="AN9" s="74">
        <f t="shared" si="5"/>
        <v>0</v>
      </c>
      <c r="AO9" s="54">
        <f>SUMIFS(卡片数据!W:W,卡片数据!$B:$B,"输电线路",卡片数据!$D:$D,"35kV")</f>
        <v>0</v>
      </c>
      <c r="AP9" s="54">
        <f>SUMIFS(卡片数据!X:X,卡片数据!$B:$B,"输电线路",卡片数据!$D:$D,"35kV")</f>
        <v>0</v>
      </c>
    </row>
    <row r="10" spans="1:42" s="67" customFormat="1" ht="11.25" x14ac:dyDescent="0.15">
      <c r="A10" s="72" t="s">
        <v>29</v>
      </c>
      <c r="B10" s="73">
        <f t="shared" ref="B10:S10" si="9">SUM(B11:B15)</f>
        <v>9940.2999999999993</v>
      </c>
      <c r="C10" s="73">
        <f t="shared" ref="C10" si="10">SUM(C11:C15)</f>
        <v>9940.2999999999993</v>
      </c>
      <c r="D10" s="74">
        <f t="shared" si="9"/>
        <v>0</v>
      </c>
      <c r="E10" s="73">
        <f t="shared" si="9"/>
        <v>0</v>
      </c>
      <c r="F10" s="73">
        <f t="shared" si="9"/>
        <v>0</v>
      </c>
      <c r="G10" s="73">
        <f t="shared" si="9"/>
        <v>0</v>
      </c>
      <c r="H10" s="73">
        <f t="shared" si="9"/>
        <v>0</v>
      </c>
      <c r="I10" s="73">
        <f t="shared" si="9"/>
        <v>0</v>
      </c>
      <c r="J10" s="74">
        <f t="shared" si="9"/>
        <v>0</v>
      </c>
      <c r="K10" s="73">
        <f t="shared" si="9"/>
        <v>0</v>
      </c>
      <c r="L10" s="73">
        <f t="shared" si="9"/>
        <v>0</v>
      </c>
      <c r="M10" s="73">
        <f t="shared" si="9"/>
        <v>0</v>
      </c>
      <c r="N10" s="73">
        <f t="shared" si="9"/>
        <v>0</v>
      </c>
      <c r="O10" s="73">
        <f t="shared" si="9"/>
        <v>0</v>
      </c>
      <c r="P10" s="73">
        <f t="shared" si="9"/>
        <v>0</v>
      </c>
      <c r="Q10" s="73">
        <f t="shared" si="9"/>
        <v>0</v>
      </c>
      <c r="R10" s="73">
        <f t="shared" si="9"/>
        <v>9940.2999999999993</v>
      </c>
      <c r="S10" s="73">
        <f t="shared" si="9"/>
        <v>9940.2999999999993</v>
      </c>
      <c r="T10" s="77">
        <f t="shared" si="8"/>
        <v>0</v>
      </c>
      <c r="U10" s="74">
        <f t="shared" si="7"/>
        <v>0</v>
      </c>
      <c r="V10" s="73">
        <f>SUM(V11:V15)</f>
        <v>9940.2999999999993</v>
      </c>
      <c r="W10" s="74">
        <f>SUM(W11:W15)</f>
        <v>0</v>
      </c>
      <c r="X10" s="73">
        <f t="shared" ref="X10:AG10" si="11">SUM(X11:X15)</f>
        <v>0</v>
      </c>
      <c r="Y10" s="79">
        <f t="shared" si="11"/>
        <v>0</v>
      </c>
      <c r="Z10" s="73">
        <f t="shared" si="11"/>
        <v>0</v>
      </c>
      <c r="AA10" s="73">
        <f t="shared" si="11"/>
        <v>0</v>
      </c>
      <c r="AB10" s="73">
        <f t="shared" si="11"/>
        <v>0</v>
      </c>
      <c r="AC10" s="73">
        <f t="shared" si="11"/>
        <v>0</v>
      </c>
      <c r="AD10" s="74">
        <f t="shared" si="11"/>
        <v>0</v>
      </c>
      <c r="AE10" s="73">
        <f t="shared" si="11"/>
        <v>0</v>
      </c>
      <c r="AF10" s="73">
        <f t="shared" si="11"/>
        <v>0</v>
      </c>
      <c r="AG10" s="73">
        <f t="shared" si="11"/>
        <v>0</v>
      </c>
      <c r="AH10" s="73">
        <f t="shared" ref="AH10:AL10" si="12">SUM(AH11:AH15)</f>
        <v>0</v>
      </c>
      <c r="AI10" s="73">
        <f t="shared" si="12"/>
        <v>0</v>
      </c>
      <c r="AJ10" s="73">
        <f t="shared" si="12"/>
        <v>0</v>
      </c>
      <c r="AK10" s="73">
        <f t="shared" si="12"/>
        <v>0</v>
      </c>
      <c r="AL10" s="73">
        <f t="shared" si="12"/>
        <v>9940.2999999999993</v>
      </c>
      <c r="AM10" s="74">
        <f t="shared" si="4"/>
        <v>0</v>
      </c>
      <c r="AN10" s="74">
        <f t="shared" si="5"/>
        <v>0</v>
      </c>
      <c r="AO10" s="73">
        <f t="shared" ref="AO10:AP10" si="13">SUM(AO11:AO15)</f>
        <v>9940.2999999999993</v>
      </c>
      <c r="AP10" s="73">
        <f t="shared" si="13"/>
        <v>9940.2999999999993</v>
      </c>
    </row>
    <row r="11" spans="1:42" s="67" customFormat="1" ht="11.25" x14ac:dyDescent="0.15">
      <c r="A11" s="53" t="s">
        <v>25</v>
      </c>
      <c r="B11" s="54">
        <f>SUMIFS(卡片数据!G:G,卡片数据!$B:$B,"变电设备",卡片数据!$D:$D,"500kV")</f>
        <v>0</v>
      </c>
      <c r="C11" s="54">
        <f>SUMIFS(卡片数据!H:H,卡片数据!$B:$B,"变电设备",卡片数据!$D:$D,"500kV")</f>
        <v>0</v>
      </c>
      <c r="D11" s="74">
        <f>SUM(E11:I11)</f>
        <v>0</v>
      </c>
      <c r="E11" s="54">
        <f>SUM(SUMIFS(卡片数据!$O:$O,卡片数据!$B:$B,"变电设备",卡片数据!$D:$D,"500kV",卡片数据!$N:$N,{"工程项目","零购项目","用户资产","盘盈资产","非货币性交易","捐赠增加"}))</f>
        <v>0</v>
      </c>
      <c r="F11" s="54">
        <f>SUMIFS(卡片数据!$O:$O,卡片数据!$B:$B,"变电设备",卡片数据!$D:$D,"500kV",卡片数据!$N:$N,"子分公司间划转资产")</f>
        <v>0</v>
      </c>
      <c r="G11" s="54">
        <f>SUMIFS(卡片数据!$O:$O,卡片数据!$B:$B,"变电设备",卡片数据!$D:$D,"500kV",卡片数据!$N:$N,"省外划拨")</f>
        <v>0</v>
      </c>
      <c r="H11" s="54">
        <f>SUMIFS(卡片数据!$O:$O,卡片数据!$B:$B,"变电设备",卡片数据!$D:$D,"500kV",卡片数据!$N:$N,"省内地市间划拨")</f>
        <v>0</v>
      </c>
      <c r="I11" s="54">
        <f>SUM(SUMIFS(卡片数据!$O:$O,卡片数据!$B:$B,"变电设备",卡片数据!$D:$D,"500kV",卡片数据!$N:$N,{"拆分合并重分类","地市内划拨"}))</f>
        <v>0</v>
      </c>
      <c r="J11" s="74">
        <f>SUM(K11:Q11)</f>
        <v>0</v>
      </c>
      <c r="K11" s="54">
        <f>SUM(SUMIFS(卡片数据!$R:$R,卡片数据!$B:$B,"变电设备",卡片数据!$D:$D,"500kV",卡片数据!$Q:$Q,{"报废"}))</f>
        <v>0</v>
      </c>
      <c r="L11" s="54">
        <f>SUM(SUMIFS(卡片数据!$R:$R,卡片数据!$B:$B,"变电设备",卡片数据!$D:$D,"500kV",卡片数据!$Q:$Q,{"出售"}))</f>
        <v>0</v>
      </c>
      <c r="M11" s="54">
        <f>SUM(SUMIFS(卡片数据!$R:$R,卡片数据!$B:$B,"变电设备",卡片数据!$D:$D,"500kV",卡片数据!$Q:$Q,{"三供一业无偿划出"}))</f>
        <v>0</v>
      </c>
      <c r="N11" s="54">
        <f>SUMIFS(卡片数据!$R:$R,卡片数据!$B:$B,"变电设备",卡片数据!$D:$D,"500kV",卡片数据!$Q:$Q,"子分公司间划转资产")</f>
        <v>0</v>
      </c>
      <c r="O11" s="54">
        <f>SUMIFS(卡片数据!$R:$R,卡片数据!$B:$B,"变电设备",卡片数据!$D:$D,"500kV",卡片数据!$Q:$Q,"省外划拨")</f>
        <v>0</v>
      </c>
      <c r="P11" s="54">
        <f>SUMIFS(卡片数据!$R:$R,卡片数据!$B:$B,"变电设备",卡片数据!$D:$D,"500kV",卡片数据!$Q:$Q,"省内地市间划拨")</f>
        <v>0</v>
      </c>
      <c r="Q11" s="54">
        <f>SUM(SUMIFS(卡片数据!$R:$R,卡片数据!$B:$B,"变电设备",卡片数据!$D:$D,"500kV",卡片数据!$Q:$Q,{"拆分合并重分类","地市内划拨"}))</f>
        <v>0</v>
      </c>
      <c r="R11" s="54">
        <f>SUMIFS(卡片数据!J:J,卡片数据!$B:$B,"变电设备",卡片数据!$D:$D,"500kV")</f>
        <v>0</v>
      </c>
      <c r="S11" s="54">
        <f>SUMIFS(卡片数据!K:K,卡片数据!$B:$B,"变电设备",卡片数据!$D:$D,"500kV")</f>
        <v>0</v>
      </c>
      <c r="T11" s="77">
        <f t="shared" si="8"/>
        <v>0</v>
      </c>
      <c r="U11" s="74">
        <f t="shared" si="7"/>
        <v>0</v>
      </c>
      <c r="V11" s="54">
        <f>SUMIFS(卡片数据!I:I,卡片数据!$B:$B,"变电设备",卡片数据!$D:$D,"500kV")</f>
        <v>0</v>
      </c>
      <c r="W11" s="74">
        <f>SUM(X11:AC11)</f>
        <v>0</v>
      </c>
      <c r="X11" s="54">
        <f>SUM(SUMIFS(卡片数据!$P:$P,卡片数据!$B:$B,"变电设备",卡片数据!$D:$D,"500kV",卡片数据!$N:$N,{"工程项目","零购项目","用户资产","盘盈资产","非货币性交易","捐赠增加"}))</f>
        <v>0</v>
      </c>
      <c r="Y11" s="80">
        <f>SUMIFS(卡片数据!M:M,卡片数据!$B:$B,"变电设备",卡片数据!$D:$D,"500kV")</f>
        <v>0</v>
      </c>
      <c r="Z11" s="54">
        <f>SUMIFS(卡片数据!$P:$P,卡片数据!$B:$B,"变电设备",卡片数据!$D:$D,"500kV",卡片数据!$N:$N,"子分公司间划转资产")</f>
        <v>0</v>
      </c>
      <c r="AA11" s="54">
        <f>SUMIFS(卡片数据!$P:$P,卡片数据!$B:$B,"变电设备",卡片数据!$D:$D,"500kV",卡片数据!$N:$N,"省外划拨")</f>
        <v>0</v>
      </c>
      <c r="AB11" s="54">
        <f>SUMIFS(卡片数据!$P:$P,卡片数据!$B:$B,"变电设备",卡片数据!$D:$D,"500kV",卡片数据!$N:$N,"省内地市间划拨")</f>
        <v>0</v>
      </c>
      <c r="AC11" s="54">
        <f>SUM(SUMIFS(卡片数据!$P:$P,卡片数据!$B:$B,"变电设备",卡片数据!$D:$D,"500kV",卡片数据!$N:$N,{"拆分合并重分类","地市内划拨"}))</f>
        <v>0</v>
      </c>
      <c r="AD11" s="74">
        <f>SUM(AE11:AK11)</f>
        <v>0</v>
      </c>
      <c r="AE11" s="54">
        <f>SUM(SUMIFS(卡片数据!$S:$S,卡片数据!$B:$B,"变电设备",卡片数据!$D:$D,"500kV",卡片数据!$Q:$Q,{"报废"}))</f>
        <v>0</v>
      </c>
      <c r="AF11" s="54">
        <f>SUM(SUMIFS(卡片数据!$S:$S,卡片数据!$B:$B,"变电设备",卡片数据!$D:$D,"500kV",卡片数据!$Q:$Q,{"出售"}))</f>
        <v>0</v>
      </c>
      <c r="AG11" s="54">
        <f>SUM(SUMIFS(卡片数据!$S:$S,卡片数据!$B:$B,"变电设备",卡片数据!$D:$D,"500kV",卡片数据!$Q:$Q,{"三供一业无偿划出"}))</f>
        <v>0</v>
      </c>
      <c r="AH11" s="54">
        <f>SUMIFS(卡片数据!$S:$S,卡片数据!$B:$B,"变电设备",卡片数据!$D:$D,"500kV",卡片数据!$Q:$Q,"子分公司间划转资产")</f>
        <v>0</v>
      </c>
      <c r="AI11" s="54">
        <f>SUMIFS(卡片数据!$S:$S,卡片数据!$B:$B,"变电设备",卡片数据!$D:$D,"500kV",卡片数据!$Q:$Q,"省外划拨")</f>
        <v>0</v>
      </c>
      <c r="AJ11" s="54">
        <f>SUMIFS(卡片数据!$S:$S,卡片数据!$B:$B,"变电设备",卡片数据!$D:$D,"500kV",卡片数据!$Q:$Q,"省内地市间划拨")</f>
        <v>0</v>
      </c>
      <c r="AK11" s="54">
        <f>SUM(SUMIFS(卡片数据!$S:$S,卡片数据!$B:$B,"变电设备",卡片数据!$D:$D,"500kV",卡片数据!$Q:$Q,{"拆分合并重分类","地市内划拨"}))</f>
        <v>0</v>
      </c>
      <c r="AL11" s="54">
        <f>SUMIFS(卡片数据!L:L,卡片数据!$B:$B,"变电设备",卡片数据!$D:$D,"500kV")</f>
        <v>0</v>
      </c>
      <c r="AM11" s="74">
        <f t="shared" si="4"/>
        <v>0</v>
      </c>
      <c r="AN11" s="74">
        <f t="shared" si="5"/>
        <v>0</v>
      </c>
      <c r="AO11" s="54">
        <f>SUMIFS(卡片数据!W:W,卡片数据!$B:$B,"变电设备",卡片数据!$D:$D,"500kV")</f>
        <v>0</v>
      </c>
      <c r="AP11" s="54">
        <f>SUMIFS(卡片数据!X:X,卡片数据!$B:$B,"变电设备",卡片数据!$D:$D,"500kV")</f>
        <v>0</v>
      </c>
    </row>
    <row r="12" spans="1:42" s="67" customFormat="1" ht="11.25" x14ac:dyDescent="0.15">
      <c r="A12" s="55" t="s">
        <v>26</v>
      </c>
      <c r="B12" s="54">
        <f>SUMIFS(卡片数据!G:G,卡片数据!$B:$B,"变电设备",卡片数据!$D:$D,"220kV")</f>
        <v>0</v>
      </c>
      <c r="C12" s="54">
        <f>SUMIFS(卡片数据!H:H,卡片数据!$B:$B,"变电设备",卡片数据!$D:$D,"220kV")</f>
        <v>0</v>
      </c>
      <c r="D12" s="74">
        <f>SUM(E12:I12)</f>
        <v>0</v>
      </c>
      <c r="E12" s="54">
        <f>SUM(SUMIFS(卡片数据!$O:$O,卡片数据!$B:$B,"变电设备",卡片数据!$D:$D,"220kV",卡片数据!$N:$N,{"工程项目","零购项目","用户资产","盘盈资产","非货币性交易","捐赠增加"}))</f>
        <v>0</v>
      </c>
      <c r="F12" s="54">
        <f>SUMIFS(卡片数据!$O:$O,卡片数据!$B:$B,"变电设备",卡片数据!$D:$D,"220kV",卡片数据!$N:$N,"子分公司间划转资产")</f>
        <v>0</v>
      </c>
      <c r="G12" s="54">
        <f>SUMIFS(卡片数据!$O:$O,卡片数据!$B:$B,"变电设备",卡片数据!$D:$D,"220kV",卡片数据!$N:$N,"省外划拨")</f>
        <v>0</v>
      </c>
      <c r="H12" s="54">
        <f>SUMIFS(卡片数据!$O:$O,卡片数据!$B:$B,"变电设备",卡片数据!$D:$D,"220kV",卡片数据!$N:$N,"省内地市间划拨")</f>
        <v>0</v>
      </c>
      <c r="I12" s="54">
        <f>SUM(SUMIFS(卡片数据!$O:$O,卡片数据!$B:$B,"变电设备",卡片数据!$D:$D,"220kV",卡片数据!$N:$N,{"拆分合并重分类","地市内划拨"}))</f>
        <v>0</v>
      </c>
      <c r="J12" s="74">
        <f>SUM(K12:Q12)</f>
        <v>0</v>
      </c>
      <c r="K12" s="54">
        <f>SUM(SUMIFS(卡片数据!$R:$R,卡片数据!$B:$B,"变电设备",卡片数据!$D:$D,"220kV",卡片数据!$Q:$Q,{"报废"}))</f>
        <v>0</v>
      </c>
      <c r="L12" s="54">
        <f>SUM(SUMIFS(卡片数据!$R:$R,卡片数据!$B:$B,"变电设备",卡片数据!$D:$D,"220kV",卡片数据!$Q:$Q,{"出售"}))</f>
        <v>0</v>
      </c>
      <c r="M12" s="54">
        <f>SUM(SUMIFS(卡片数据!$R:$R,卡片数据!$B:$B,"变电设备",卡片数据!$D:$D,"220kV",卡片数据!$Q:$Q,{"三供一业无偿划出"}))</f>
        <v>0</v>
      </c>
      <c r="N12" s="54">
        <f>SUMIFS(卡片数据!$R:$R,卡片数据!$B:$B,"变电设备",卡片数据!$D:$D,"220kV",卡片数据!$Q:$Q,"子分公司间划转资产")</f>
        <v>0</v>
      </c>
      <c r="O12" s="54">
        <f>SUMIFS(卡片数据!$R:$R,卡片数据!$B:$B,"变电设备",卡片数据!$D:$D,"220kV",卡片数据!$Q:$Q,"省外划拨")</f>
        <v>0</v>
      </c>
      <c r="P12" s="54">
        <f>SUMIFS(卡片数据!$R:$R,卡片数据!$B:$B,"变电设备",卡片数据!$D:$D,"220kV",卡片数据!$Q:$Q,"省内地市间划拨")</f>
        <v>0</v>
      </c>
      <c r="Q12" s="54">
        <f>SUM(SUMIFS(卡片数据!$R:$R,卡片数据!$B:$B,"变电设备",卡片数据!$D:$D,"220kV",卡片数据!$Q:$Q,{"拆分合并重分类","地市内划拨"}))</f>
        <v>0</v>
      </c>
      <c r="R12" s="54">
        <f>SUMIFS(卡片数据!J:J,卡片数据!$B:$B,"变电设备",卡片数据!$D:$D,"220kV")</f>
        <v>0</v>
      </c>
      <c r="S12" s="54">
        <f>SUMIFS(卡片数据!K:K,卡片数据!$B:$B,"变电设备",卡片数据!$D:$D,"220kV")</f>
        <v>0</v>
      </c>
      <c r="T12" s="77">
        <f t="shared" si="8"/>
        <v>0</v>
      </c>
      <c r="U12" s="74">
        <f t="shared" si="7"/>
        <v>0</v>
      </c>
      <c r="V12" s="54">
        <f>SUMIFS(卡片数据!I:I,卡片数据!$B:$B,"变电设备",卡片数据!$D:$D,"220kV")</f>
        <v>0</v>
      </c>
      <c r="W12" s="74">
        <f>SUM(X12:AC12)</f>
        <v>0</v>
      </c>
      <c r="X12" s="54">
        <f>SUM(SUMIFS(卡片数据!$P:$P,卡片数据!$B:$B,"变电设备",卡片数据!$D:$D,"220kV",卡片数据!$N:$N,{"工程项目","零购项目","用户资产","盘盈资产","非货币性交易","捐赠增加"}))</f>
        <v>0</v>
      </c>
      <c r="Y12" s="80">
        <f>SUMIFS(卡片数据!M:M,卡片数据!$B:$B,"变电设备",卡片数据!$D:$D,"220kV")</f>
        <v>0</v>
      </c>
      <c r="Z12" s="54">
        <f>SUMIFS(卡片数据!$P:$P,卡片数据!$B:$B,"变电设备",卡片数据!$D:$D,"220kV",卡片数据!$N:$N,"子分公司间划转资产")</f>
        <v>0</v>
      </c>
      <c r="AA12" s="54">
        <f>SUMIFS(卡片数据!$P:$P,卡片数据!$B:$B,"变电设备",卡片数据!$D:$D,"220kV",卡片数据!$N:$N,"省外划拨")</f>
        <v>0</v>
      </c>
      <c r="AB12" s="54">
        <f>SUMIFS(卡片数据!$P:$P,卡片数据!$B:$B,"变电设备",卡片数据!$D:$D,"220kV",卡片数据!$N:$N,"省内地市间划拨")</f>
        <v>0</v>
      </c>
      <c r="AC12" s="54">
        <f>SUM(SUMIFS(卡片数据!$P:$P,卡片数据!$B:$B,"变电设备",卡片数据!$D:$D,"220kV",卡片数据!$N:$N,{"拆分合并重分类","地市内划拨"}))</f>
        <v>0</v>
      </c>
      <c r="AD12" s="74">
        <f>SUM(AE12:AK12)</f>
        <v>0</v>
      </c>
      <c r="AE12" s="54">
        <f>SUM(SUMIFS(卡片数据!$S:$S,卡片数据!$B:$B,"变电设备",卡片数据!$D:$D,"220kV",卡片数据!$Q:$Q,{"报废"}))</f>
        <v>0</v>
      </c>
      <c r="AF12" s="54">
        <f>SUM(SUMIFS(卡片数据!$S:$S,卡片数据!$B:$B,"变电设备",卡片数据!$D:$D,"220kV",卡片数据!$Q:$Q,{"出售"}))</f>
        <v>0</v>
      </c>
      <c r="AG12" s="54">
        <f>SUM(SUMIFS(卡片数据!$S:$S,卡片数据!$B:$B,"变电设备",卡片数据!$D:$D,"220kV",卡片数据!$Q:$Q,{"三供一业无偿划出"}))</f>
        <v>0</v>
      </c>
      <c r="AH12" s="54">
        <f>SUMIFS(卡片数据!$S:$S,卡片数据!$B:$B,"变电设备",卡片数据!$D:$D,"220kV",卡片数据!$Q:$Q,"子分公司间划转资产")</f>
        <v>0</v>
      </c>
      <c r="AI12" s="54">
        <f>SUMIFS(卡片数据!$S:$S,卡片数据!$B:$B,"变电设备",卡片数据!$D:$D,"220kV",卡片数据!$Q:$Q,"省外划拨")</f>
        <v>0</v>
      </c>
      <c r="AJ12" s="54">
        <f>SUMIFS(卡片数据!$S:$S,卡片数据!$B:$B,"变电设备",卡片数据!$D:$D,"220kV",卡片数据!$Q:$Q,"省内地市间划拨")</f>
        <v>0</v>
      </c>
      <c r="AK12" s="54">
        <f>SUM(SUMIFS(卡片数据!$S:$S,卡片数据!$B:$B,"变电设备",卡片数据!$D:$D,"220kV",卡片数据!$Q:$Q,{"拆分合并重分类","地市内划拨"}))</f>
        <v>0</v>
      </c>
      <c r="AL12" s="54">
        <f>SUMIFS(卡片数据!L:L,卡片数据!$B:$B,"变电设备",卡片数据!$D:$D,"220kV")</f>
        <v>0</v>
      </c>
      <c r="AM12" s="74">
        <f t="shared" si="4"/>
        <v>0</v>
      </c>
      <c r="AN12" s="74">
        <f t="shared" si="5"/>
        <v>0</v>
      </c>
      <c r="AO12" s="54">
        <f>SUMIFS(卡片数据!W:W,卡片数据!$B:$B,"变电设备",卡片数据!$D:$D,"220kV")</f>
        <v>0</v>
      </c>
      <c r="AP12" s="54">
        <f>SUMIFS(卡片数据!X:X,卡片数据!$B:$B,"变电设备",卡片数据!$D:$D,"220kV")</f>
        <v>0</v>
      </c>
    </row>
    <row r="13" spans="1:42" s="67" customFormat="1" ht="11.25" x14ac:dyDescent="0.15">
      <c r="A13" s="55" t="s">
        <v>27</v>
      </c>
      <c r="B13" s="54">
        <f>SUMIFS(卡片数据!G:G,卡片数据!$B:$B,"变电设备",卡片数据!$D:$D,"110kV")</f>
        <v>4033.54</v>
      </c>
      <c r="C13" s="54">
        <f>SUMIFS(卡片数据!H:H,卡片数据!$B:$B,"变电设备",卡片数据!$D:$D,"110kV")</f>
        <v>4033.54</v>
      </c>
      <c r="D13" s="74">
        <f>SUM(E13:I13)</f>
        <v>0</v>
      </c>
      <c r="E13" s="54">
        <f>SUM(SUMIFS(卡片数据!$O:$O,卡片数据!$B:$B,"变电设备",卡片数据!$D:$D,"110kV",卡片数据!$N:$N,{"工程项目","零购项目","用户资产","盘盈资产","非货币性交易","捐赠增加"}))</f>
        <v>0</v>
      </c>
      <c r="F13" s="54">
        <f>SUMIFS(卡片数据!$O:$O,卡片数据!$B:$B,"变电设备",卡片数据!$D:$D,"110kV",卡片数据!$N:$N,"子分公司间划转资产")</f>
        <v>0</v>
      </c>
      <c r="G13" s="54">
        <f>SUMIFS(卡片数据!$O:$O,卡片数据!$B:$B,"变电设备",卡片数据!$D:$D,"110kV",卡片数据!$N:$N,"省外划拨")</f>
        <v>0</v>
      </c>
      <c r="H13" s="54">
        <f>SUMIFS(卡片数据!$O:$O,卡片数据!$B:$B,"变电设备",卡片数据!$D:$D,"110kV",卡片数据!$N:$N,"省内地市间划拨")</f>
        <v>0</v>
      </c>
      <c r="I13" s="54">
        <f>SUM(SUMIFS(卡片数据!$O:$O,卡片数据!$B:$B,"变电设备",卡片数据!$D:$D,"110kV",卡片数据!$N:$N,{"拆分合并重分类","地市内划拨"}))</f>
        <v>0</v>
      </c>
      <c r="J13" s="74">
        <f>SUM(K13:Q13)</f>
        <v>0</v>
      </c>
      <c r="K13" s="54">
        <f>SUM(SUMIFS(卡片数据!$R:$R,卡片数据!$B:$B,"变电设备",卡片数据!$D:$D,"110kV",卡片数据!$Q:$Q,{"报废"}))</f>
        <v>0</v>
      </c>
      <c r="L13" s="54">
        <f>SUM(SUMIFS(卡片数据!$R:$R,卡片数据!$B:$B,"变电设备",卡片数据!$D:$D,"110kV",卡片数据!$Q:$Q,{"出售"}))</f>
        <v>0</v>
      </c>
      <c r="M13" s="54">
        <f>SUM(SUMIFS(卡片数据!$R:$R,卡片数据!$B:$B,"变电设备",卡片数据!$D:$D,"110kV",卡片数据!$Q:$Q,{"三供一业无偿划出"}))</f>
        <v>0</v>
      </c>
      <c r="N13" s="54">
        <f>SUMIFS(卡片数据!$R:$R,卡片数据!$B:$B,"变电设备",卡片数据!$D:$D,"110kV",卡片数据!$Q:$Q,"子分公司间划转资产")</f>
        <v>0</v>
      </c>
      <c r="O13" s="54">
        <f>SUMIFS(卡片数据!$R:$R,卡片数据!$B:$B,"变电设备",卡片数据!$D:$D,"110kV",卡片数据!$Q:$Q,"省外划拨")</f>
        <v>0</v>
      </c>
      <c r="P13" s="54">
        <f>SUMIFS(卡片数据!$R:$R,卡片数据!$B:$B,"变电设备",卡片数据!$D:$D,"110kV",卡片数据!$Q:$Q,"省内地市间划拨")</f>
        <v>0</v>
      </c>
      <c r="Q13" s="54">
        <f>SUM(SUMIFS(卡片数据!$R:$R,卡片数据!$B:$B,"变电设备",卡片数据!$D:$D,"110kV",卡片数据!$Q:$Q,{"拆分合并重分类","地市内划拨"}))</f>
        <v>0</v>
      </c>
      <c r="R13" s="54">
        <f>SUMIFS(卡片数据!J:J,卡片数据!$B:$B,"变电设备",卡片数据!$D:$D,"110kV")</f>
        <v>4033.54</v>
      </c>
      <c r="S13" s="54">
        <f>SUMIFS(卡片数据!K:K,卡片数据!$B:$B,"变电设备",卡片数据!$D:$D,"110kV")</f>
        <v>4033.54</v>
      </c>
      <c r="T13" s="77">
        <f t="shared" si="8"/>
        <v>0</v>
      </c>
      <c r="U13" s="74">
        <f t="shared" si="7"/>
        <v>0</v>
      </c>
      <c r="V13" s="54">
        <f>SUMIFS(卡片数据!I:I,卡片数据!$B:$B,"变电设备",卡片数据!$D:$D,"110kV")</f>
        <v>4033.54</v>
      </c>
      <c r="W13" s="74">
        <f>SUM(X13:AC13)</f>
        <v>0</v>
      </c>
      <c r="X13" s="54">
        <f>SUM(SUMIFS(卡片数据!$P:$P,卡片数据!$B:$B,"变电设备",卡片数据!$D:$D,"110kV",卡片数据!$N:$N,{"工程项目","零购项目","用户资产","盘盈资产","非货币性交易","捐赠增加"}))</f>
        <v>0</v>
      </c>
      <c r="Y13" s="80">
        <f>SUMIFS(卡片数据!M:M,卡片数据!$B:$B,"变电设备",卡片数据!$D:$D,"110kV")</f>
        <v>0</v>
      </c>
      <c r="Z13" s="54">
        <f>SUMIFS(卡片数据!$P:$P,卡片数据!$B:$B,"变电设备",卡片数据!$D:$D,"110kV",卡片数据!$N:$N,"子分公司间划转资产")</f>
        <v>0</v>
      </c>
      <c r="AA13" s="54">
        <f>SUMIFS(卡片数据!$P:$P,卡片数据!$B:$B,"变电设备",卡片数据!$D:$D,"110kV",卡片数据!$N:$N,"省外划拨")</f>
        <v>0</v>
      </c>
      <c r="AB13" s="54">
        <f>SUMIFS(卡片数据!$P:$P,卡片数据!$B:$B,"变电设备",卡片数据!$D:$D,"110kV",卡片数据!$N:$N,"省内地市间划拨")</f>
        <v>0</v>
      </c>
      <c r="AC13" s="54">
        <f>SUM(SUMIFS(卡片数据!$P:$P,卡片数据!$B:$B,"变电设备",卡片数据!$D:$D,"110kV",卡片数据!$N:$N,{"拆分合并重分类","地市内划拨"}))</f>
        <v>0</v>
      </c>
      <c r="AD13" s="74">
        <f>SUM(AE13:AK13)</f>
        <v>0</v>
      </c>
      <c r="AE13" s="54">
        <f>SUM(SUMIFS(卡片数据!$S:$S,卡片数据!$B:$B,"变电设备",卡片数据!$D:$D,"110kV",卡片数据!$Q:$Q,{"报废"}))</f>
        <v>0</v>
      </c>
      <c r="AF13" s="54">
        <f>SUM(SUMIFS(卡片数据!$S:$S,卡片数据!$B:$B,"变电设备",卡片数据!$D:$D,"110kV",卡片数据!$Q:$Q,{"出售"}))</f>
        <v>0</v>
      </c>
      <c r="AG13" s="54">
        <f>SUM(SUMIFS(卡片数据!$S:$S,卡片数据!$B:$B,"变电设备",卡片数据!$D:$D,"110kV",卡片数据!$Q:$Q,{"三供一业无偿划出"}))</f>
        <v>0</v>
      </c>
      <c r="AH13" s="54">
        <f>SUMIFS(卡片数据!$S:$S,卡片数据!$B:$B,"变电设备",卡片数据!$D:$D,"110kV",卡片数据!$Q:$Q,"子分公司间划转资产")</f>
        <v>0</v>
      </c>
      <c r="AI13" s="54">
        <f>SUMIFS(卡片数据!$S:$S,卡片数据!$B:$B,"变电设备",卡片数据!$D:$D,"110kV",卡片数据!$Q:$Q,"省外划拨")</f>
        <v>0</v>
      </c>
      <c r="AJ13" s="54">
        <f>SUMIFS(卡片数据!$S:$S,卡片数据!$B:$B,"变电设备",卡片数据!$D:$D,"110kV",卡片数据!$Q:$Q,"省内地市间划拨")</f>
        <v>0</v>
      </c>
      <c r="AK13" s="54">
        <f>SUM(SUMIFS(卡片数据!$S:$S,卡片数据!$B:$B,"变电设备",卡片数据!$D:$D,"110kV",卡片数据!$Q:$Q,{"拆分合并重分类","地市内划拨"}))</f>
        <v>0</v>
      </c>
      <c r="AL13" s="54">
        <f>SUMIFS(卡片数据!L:L,卡片数据!$B:$B,"变电设备",卡片数据!$D:$D,"110kV")</f>
        <v>4033.54</v>
      </c>
      <c r="AM13" s="74">
        <f t="shared" si="4"/>
        <v>0</v>
      </c>
      <c r="AN13" s="74">
        <f t="shared" si="5"/>
        <v>0</v>
      </c>
      <c r="AO13" s="54">
        <f>SUMIFS(卡片数据!W:W,卡片数据!$B:$B,"变电设备",卡片数据!$D:$D,"110kV")</f>
        <v>4033.54</v>
      </c>
      <c r="AP13" s="54">
        <f>SUMIFS(卡片数据!X:X,卡片数据!$B:$B,"变电设备",卡片数据!$D:$D,"110kV")</f>
        <v>4033.54</v>
      </c>
    </row>
    <row r="14" spans="1:42" s="67" customFormat="1" ht="11.25" x14ac:dyDescent="0.15">
      <c r="A14" s="55" t="s">
        <v>28</v>
      </c>
      <c r="B14" s="54">
        <f>SUMIFS(卡片数据!G:G,卡片数据!$B:$B,"变电设备",卡片数据!$D:$D,"35kV")</f>
        <v>5906.76</v>
      </c>
      <c r="C14" s="54">
        <f>SUMIFS(卡片数据!H:H,卡片数据!$B:$B,"变电设备",卡片数据!$D:$D,"35kV")</f>
        <v>5906.76</v>
      </c>
      <c r="D14" s="74">
        <f>SUM(E14:I14)</f>
        <v>0</v>
      </c>
      <c r="E14" s="54">
        <f>SUM(SUMIFS(卡片数据!$O:$O,卡片数据!$B:$B,"变电设备",卡片数据!$D:$D,"35kV",卡片数据!$N:$N,{"工程项目","零购项目","用户资产","盘盈资产","非货币性交易","捐赠增加"}))</f>
        <v>0</v>
      </c>
      <c r="F14" s="54">
        <f>SUMIFS(卡片数据!$O:$O,卡片数据!$B:$B,"变电设备",卡片数据!$D:$D,"35kV",卡片数据!$N:$N,"子分公司间划转资产")</f>
        <v>0</v>
      </c>
      <c r="G14" s="54">
        <f>SUMIFS(卡片数据!$O:$O,卡片数据!$B:$B,"变电设备",卡片数据!$D:$D,"35kV",卡片数据!$N:$N,"省外划拨")</f>
        <v>0</v>
      </c>
      <c r="H14" s="54">
        <f>SUMIFS(卡片数据!$O:$O,卡片数据!$B:$B,"变电设备",卡片数据!$D:$D,"35kV",卡片数据!$N:$N,"省内地市间划拨")</f>
        <v>0</v>
      </c>
      <c r="I14" s="54">
        <f>SUM(SUMIFS(卡片数据!$O:$O,卡片数据!$B:$B,"变电设备",卡片数据!$D:$D,"35kV",卡片数据!$N:$N,{"拆分合并重分类","地市内划拨"}))</f>
        <v>0</v>
      </c>
      <c r="J14" s="74">
        <f>SUM(K14:Q14)</f>
        <v>0</v>
      </c>
      <c r="K14" s="54">
        <f>SUM(SUMIFS(卡片数据!$R:$R,卡片数据!$B:$B,"变电设备",卡片数据!$D:$D,"35kV",卡片数据!$Q:$Q,{"报废"}))</f>
        <v>0</v>
      </c>
      <c r="L14" s="54">
        <f>SUM(SUMIFS(卡片数据!$R:$R,卡片数据!$B:$B,"变电设备",卡片数据!$D:$D,"35kV",卡片数据!$Q:$Q,{"出售"}))</f>
        <v>0</v>
      </c>
      <c r="M14" s="54">
        <f>SUM(SUMIFS(卡片数据!$R:$R,卡片数据!$B:$B,"变电设备",卡片数据!$D:$D,"35kV",卡片数据!$Q:$Q,{"三供一业无偿划出"}))</f>
        <v>0</v>
      </c>
      <c r="N14" s="54">
        <f>SUMIFS(卡片数据!$R:$R,卡片数据!$B:$B,"变电设备",卡片数据!$D:$D,"35kV",卡片数据!$Q:$Q,"子分公司间划转资产")</f>
        <v>0</v>
      </c>
      <c r="O14" s="54">
        <f>SUMIFS(卡片数据!$R:$R,卡片数据!$B:$B,"变电设备",卡片数据!$D:$D,"35kV",卡片数据!$Q:$Q,"省外划拨")</f>
        <v>0</v>
      </c>
      <c r="P14" s="54">
        <f>SUMIFS(卡片数据!$R:$R,卡片数据!$B:$B,"变电设备",卡片数据!$D:$D,"35kV",卡片数据!$Q:$Q,"省内地市间划拨")</f>
        <v>0</v>
      </c>
      <c r="Q14" s="54">
        <f>SUM(SUMIFS(卡片数据!$R:$R,卡片数据!$B:$B,"变电设备",卡片数据!$D:$D,"35kV",卡片数据!$Q:$Q,{"拆分合并重分类","地市内划拨"}))</f>
        <v>0</v>
      </c>
      <c r="R14" s="54">
        <f>SUMIFS(卡片数据!J:J,卡片数据!$B:$B,"变电设备",卡片数据!$D:$D,"35kV")</f>
        <v>5906.76</v>
      </c>
      <c r="S14" s="54">
        <f>SUMIFS(卡片数据!K:K,卡片数据!$B:$B,"变电设备",卡片数据!$D:$D,"35kV")</f>
        <v>5906.76</v>
      </c>
      <c r="T14" s="77">
        <f t="shared" si="8"/>
        <v>0</v>
      </c>
      <c r="U14" s="74">
        <f t="shared" si="7"/>
        <v>0</v>
      </c>
      <c r="V14" s="54">
        <f>SUMIFS(卡片数据!I:I,卡片数据!$B:$B,"变电设备",卡片数据!$D:$D,"35kV")</f>
        <v>5906.76</v>
      </c>
      <c r="W14" s="74">
        <f>SUM(X14:AC14)</f>
        <v>0</v>
      </c>
      <c r="X14" s="54">
        <f>SUM(SUMIFS(卡片数据!$P:$P,卡片数据!$B:$B,"变电设备",卡片数据!$D:$D,"35kV",卡片数据!$N:$N,{"工程项目","零购项目","用户资产","盘盈资产","非货币性交易","捐赠增加"}))</f>
        <v>0</v>
      </c>
      <c r="Y14" s="80">
        <f>SUMIFS(卡片数据!M:M,卡片数据!$B:$B,"变电设备",卡片数据!$D:$D,"35kV")</f>
        <v>0</v>
      </c>
      <c r="Z14" s="54">
        <f>SUMIFS(卡片数据!$P:$P,卡片数据!$B:$B,"变电设备",卡片数据!$D:$D,"35kV",卡片数据!$N:$N,"子分公司间划转资产")</f>
        <v>0</v>
      </c>
      <c r="AA14" s="54">
        <f>SUMIFS(卡片数据!$P:$P,卡片数据!$B:$B,"变电设备",卡片数据!$D:$D,"35kV",卡片数据!$N:$N,"省外划拨")</f>
        <v>0</v>
      </c>
      <c r="AB14" s="54">
        <f>SUMIFS(卡片数据!$P:$P,卡片数据!$B:$B,"变电设备",卡片数据!$D:$D,"35kV",卡片数据!$N:$N,"省内地市间划拨")</f>
        <v>0</v>
      </c>
      <c r="AC14" s="54">
        <f>SUM(SUMIFS(卡片数据!$P:$P,卡片数据!$B:$B,"变电设备",卡片数据!$D:$D,"35kV",卡片数据!$N:$N,{"拆分合并重分类","地市内划拨"}))</f>
        <v>0</v>
      </c>
      <c r="AD14" s="74">
        <f>SUM(AE14:AK14)</f>
        <v>0</v>
      </c>
      <c r="AE14" s="54">
        <f>SUM(SUMIFS(卡片数据!$S:$S,卡片数据!$B:$B,"变电设备",卡片数据!$D:$D,"35kV",卡片数据!$Q:$Q,{"报废"}))</f>
        <v>0</v>
      </c>
      <c r="AF14" s="54">
        <f>SUM(SUMIFS(卡片数据!$S:$S,卡片数据!$B:$B,"变电设备",卡片数据!$D:$D,"35kV",卡片数据!$Q:$Q,{"出售"}))</f>
        <v>0</v>
      </c>
      <c r="AG14" s="54">
        <f>SUM(SUMIFS(卡片数据!$S:$S,卡片数据!$B:$B,"变电设备",卡片数据!$D:$D,"35kV",卡片数据!$Q:$Q,{"三供一业无偿划出"}))</f>
        <v>0</v>
      </c>
      <c r="AH14" s="54">
        <f>SUMIFS(卡片数据!$S:$S,卡片数据!$B:$B,"变电设备",卡片数据!$D:$D,"35kV",卡片数据!$Q:$Q,"子分公司间划转资产")</f>
        <v>0</v>
      </c>
      <c r="AI14" s="54">
        <f>SUMIFS(卡片数据!$S:$S,卡片数据!$B:$B,"变电设备",卡片数据!$D:$D,"35kV",卡片数据!$Q:$Q,"省外划拨")</f>
        <v>0</v>
      </c>
      <c r="AJ14" s="54">
        <f>SUMIFS(卡片数据!$S:$S,卡片数据!$B:$B,"变电设备",卡片数据!$D:$D,"35kV",卡片数据!$Q:$Q,"省内地市间划拨")</f>
        <v>0</v>
      </c>
      <c r="AK14" s="54">
        <f>SUM(SUMIFS(卡片数据!$S:$S,卡片数据!$B:$B,"变电设备",卡片数据!$D:$D,"35kV",卡片数据!$Q:$Q,{"拆分合并重分类","地市内划拨"}))</f>
        <v>0</v>
      </c>
      <c r="AL14" s="54">
        <f>SUMIFS(卡片数据!L:L,卡片数据!$B:$B,"变电设备",卡片数据!$D:$D,"35kV")</f>
        <v>5906.76</v>
      </c>
      <c r="AM14" s="74">
        <f t="shared" si="4"/>
        <v>0</v>
      </c>
      <c r="AN14" s="74">
        <f t="shared" si="5"/>
        <v>0</v>
      </c>
      <c r="AO14" s="54">
        <f>SUMIFS(卡片数据!W:W,卡片数据!$B:$B,"变电设备",卡片数据!$D:$D,"35kV")</f>
        <v>5906.76</v>
      </c>
      <c r="AP14" s="54">
        <f>SUMIFS(卡片数据!X:X,卡片数据!$B:$B,"变电设备",卡片数据!$D:$D,"35kV")</f>
        <v>5906.76</v>
      </c>
    </row>
    <row r="15" spans="1:42" s="67" customFormat="1" ht="11.25" x14ac:dyDescent="0.15">
      <c r="A15" s="55" t="s">
        <v>30</v>
      </c>
      <c r="B15" s="54">
        <f>SUMIFS(卡片数据!G:G,卡片数据!$B:$B,"变电设备",卡片数据!$D:$D,"10kV")</f>
        <v>0</v>
      </c>
      <c r="C15" s="54">
        <f>SUMIFS(卡片数据!H:H,卡片数据!$B:$B,"变电设备",卡片数据!$D:$D,"10kV")</f>
        <v>0</v>
      </c>
      <c r="D15" s="74">
        <f>SUM(E15:I15)</f>
        <v>0</v>
      </c>
      <c r="E15" s="54">
        <f>SUM(SUMIFS(卡片数据!$O:$O,卡片数据!$B:$B,"变电设备",卡片数据!$D:$D,"10kV",卡片数据!$N:$N,{"工程项目","零购项目","用户资产","盘盈资产","非货币性交易","捐赠增加"}))</f>
        <v>0</v>
      </c>
      <c r="F15" s="54">
        <f>SUMIFS(卡片数据!$O:$O,卡片数据!$B:$B,"变电设备",卡片数据!$D:$D,"10kV",卡片数据!$N:$N,"子分公司间划转资产")</f>
        <v>0</v>
      </c>
      <c r="G15" s="54">
        <f>SUMIFS(卡片数据!$O:$O,卡片数据!$B:$B,"变电设备",卡片数据!$D:$D,"10kV",卡片数据!$N:$N,"省外划拨")</f>
        <v>0</v>
      </c>
      <c r="H15" s="54">
        <f>SUMIFS(卡片数据!$O:$O,卡片数据!$B:$B,"变电设备",卡片数据!$D:$D,"10kV",卡片数据!$N:$N,"省内地市间划拨")</f>
        <v>0</v>
      </c>
      <c r="I15" s="54">
        <f>SUM(SUMIFS(卡片数据!$O:$O,卡片数据!$B:$B,"变电设备",卡片数据!$D:$D,"10kV",卡片数据!$N:$N,{"拆分合并重分类","地市内划拨"}))</f>
        <v>0</v>
      </c>
      <c r="J15" s="74">
        <f>SUM(K15:Q15)</f>
        <v>0</v>
      </c>
      <c r="K15" s="54">
        <f>SUM(SUMIFS(卡片数据!$R:$R,卡片数据!$B:$B,"变电设备",卡片数据!$D:$D,"10kV",卡片数据!$Q:$Q,{"报废"}))</f>
        <v>0</v>
      </c>
      <c r="L15" s="54">
        <f>SUM(SUMIFS(卡片数据!$R:$R,卡片数据!$B:$B,"变电设备",卡片数据!$D:$D,"10kV",卡片数据!$Q:$Q,{"出售"}))</f>
        <v>0</v>
      </c>
      <c r="M15" s="54">
        <f>SUM(SUMIFS(卡片数据!$R:$R,卡片数据!$B:$B,"变电设备",卡片数据!$D:$D,"10kV",卡片数据!$Q:$Q,{"三供一业无偿划出"}))</f>
        <v>0</v>
      </c>
      <c r="N15" s="54">
        <f>SUMIFS(卡片数据!$R:$R,卡片数据!$B:$B,"变电设备",卡片数据!$D:$D,"10kV",卡片数据!$Q:$Q,"子分公司间划转资产")</f>
        <v>0</v>
      </c>
      <c r="O15" s="54">
        <f>SUMIFS(卡片数据!$R:$R,卡片数据!$B:$B,"变电设备",卡片数据!$D:$D,"10kV",卡片数据!$Q:$Q,"省外划拨")</f>
        <v>0</v>
      </c>
      <c r="P15" s="54">
        <f>SUMIFS(卡片数据!$R:$R,卡片数据!$B:$B,"变电设备",卡片数据!$D:$D,"10kV",卡片数据!$Q:$Q,"省内地市间划拨")</f>
        <v>0</v>
      </c>
      <c r="Q15" s="54">
        <f>SUM(SUMIFS(卡片数据!$R:$R,卡片数据!$B:$B,"变电设备",卡片数据!$D:$D,"10kV",卡片数据!$Q:$Q,{"拆分合并重分类","地市内划拨"}))</f>
        <v>0</v>
      </c>
      <c r="R15" s="54">
        <f>SUMIFS(卡片数据!J:J,卡片数据!$B:$B,"变电设备",卡片数据!$D:$D,"10kV")</f>
        <v>0</v>
      </c>
      <c r="S15" s="54">
        <f>SUMIFS(卡片数据!K:K,卡片数据!$B:$B,"变电设备",卡片数据!$D:$D,"10kV")</f>
        <v>0</v>
      </c>
      <c r="T15" s="77">
        <f t="shared" si="8"/>
        <v>0</v>
      </c>
      <c r="U15" s="74">
        <f t="shared" si="7"/>
        <v>0</v>
      </c>
      <c r="V15" s="54">
        <f>SUMIFS(卡片数据!I:I,卡片数据!$B:$B,"变电设备",卡片数据!$D:$D,"10kV")</f>
        <v>0</v>
      </c>
      <c r="W15" s="74">
        <f>SUM(X15:AC15)</f>
        <v>0</v>
      </c>
      <c r="X15" s="54">
        <f>SUM(SUMIFS(卡片数据!$P:$P,卡片数据!$B:$B,"变电设备",卡片数据!$D:$D,"10kV",卡片数据!$N:$N,{"工程项目","零购项目","用户资产","盘盈资产","非货币性交易","捐赠增加"}))</f>
        <v>0</v>
      </c>
      <c r="Y15" s="80">
        <f>SUMIFS(卡片数据!M:M,卡片数据!$B:$B,"变电设备",卡片数据!$D:$D,"10kV")</f>
        <v>0</v>
      </c>
      <c r="Z15" s="54">
        <f>SUMIFS(卡片数据!$P:$P,卡片数据!$B:$B,"变电设备",卡片数据!$D:$D,"10kV",卡片数据!$N:$N,"子分公司间划转资产")</f>
        <v>0</v>
      </c>
      <c r="AA15" s="54">
        <f>SUMIFS(卡片数据!$P:$P,卡片数据!$B:$B,"变电设备",卡片数据!$D:$D,"10kV",卡片数据!$N:$N,"省外划拨")</f>
        <v>0</v>
      </c>
      <c r="AB15" s="54">
        <f>SUMIFS(卡片数据!$P:$P,卡片数据!$B:$B,"变电设备",卡片数据!$D:$D,"10kV",卡片数据!$N:$N,"省内地市间划拨")</f>
        <v>0</v>
      </c>
      <c r="AC15" s="54">
        <f>SUM(SUMIFS(卡片数据!$P:$P,卡片数据!$B:$B,"变电设备",卡片数据!$D:$D,"10kV",卡片数据!$N:$N,{"拆分合并重分类","地市内划拨"}))</f>
        <v>0</v>
      </c>
      <c r="AD15" s="74">
        <f>SUM(AE15:AK15)</f>
        <v>0</v>
      </c>
      <c r="AE15" s="54">
        <f>SUM(SUMIFS(卡片数据!$S:$S,卡片数据!$B:$B,"变电设备",卡片数据!$D:$D,"10kV",卡片数据!$Q:$Q,{"报废"}))</f>
        <v>0</v>
      </c>
      <c r="AF15" s="54">
        <f>SUM(SUMIFS(卡片数据!$S:$S,卡片数据!$B:$B,"变电设备",卡片数据!$D:$D,"10kV",卡片数据!$Q:$Q,{"出售"}))</f>
        <v>0</v>
      </c>
      <c r="AG15" s="54">
        <f>SUM(SUMIFS(卡片数据!$S:$S,卡片数据!$B:$B,"变电设备",卡片数据!$D:$D,"10kV",卡片数据!$Q:$Q,{"三供一业无偿划出"}))</f>
        <v>0</v>
      </c>
      <c r="AH15" s="54">
        <f>SUMIFS(卡片数据!$S:$S,卡片数据!$B:$B,"变电设备",卡片数据!$D:$D,"10kV",卡片数据!$Q:$Q,"子分公司间划转资产")</f>
        <v>0</v>
      </c>
      <c r="AI15" s="54">
        <f>SUMIFS(卡片数据!$S:$S,卡片数据!$B:$B,"变电设备",卡片数据!$D:$D,"10kV",卡片数据!$Q:$Q,"省外划拨")</f>
        <v>0</v>
      </c>
      <c r="AJ15" s="54">
        <f>SUMIFS(卡片数据!$S:$S,卡片数据!$B:$B,"变电设备",卡片数据!$D:$D,"10kV",卡片数据!$Q:$Q,"省内地市间划拨")</f>
        <v>0</v>
      </c>
      <c r="AK15" s="54">
        <f>SUM(SUMIFS(卡片数据!$S:$S,卡片数据!$B:$B,"变电设备",卡片数据!$D:$D,"10kV",卡片数据!$Q:$Q,{"拆分合并重分类","地市内划拨"}))</f>
        <v>0</v>
      </c>
      <c r="AL15" s="54">
        <f>SUMIFS(卡片数据!L:L,卡片数据!$B:$B,"变电设备",卡片数据!$D:$D,"10kV")</f>
        <v>0</v>
      </c>
      <c r="AM15" s="74">
        <f t="shared" si="4"/>
        <v>0</v>
      </c>
      <c r="AN15" s="74">
        <f t="shared" si="5"/>
        <v>0</v>
      </c>
      <c r="AO15" s="54">
        <f>SUMIFS(卡片数据!W:W,卡片数据!$B:$B,"变电设备",卡片数据!$D:$D,"10kV")</f>
        <v>0</v>
      </c>
      <c r="AP15" s="54">
        <f>SUMIFS(卡片数据!X:X,卡片数据!$B:$B,"变电设备",卡片数据!$D:$D,"10kV")</f>
        <v>0</v>
      </c>
    </row>
    <row r="16" spans="1:42" s="67" customFormat="1" ht="11.25" x14ac:dyDescent="0.15">
      <c r="A16" s="60" t="s">
        <v>31</v>
      </c>
      <c r="B16" s="73">
        <f t="shared" ref="B16:S16" si="14">SUM(B17:B19)</f>
        <v>0</v>
      </c>
      <c r="C16" s="73">
        <f t="shared" ref="C16" si="15">SUM(C17:C19)</f>
        <v>0</v>
      </c>
      <c r="D16" s="74">
        <f t="shared" si="14"/>
        <v>0</v>
      </c>
      <c r="E16" s="73">
        <f t="shared" si="14"/>
        <v>0</v>
      </c>
      <c r="F16" s="73">
        <f t="shared" si="14"/>
        <v>0</v>
      </c>
      <c r="G16" s="73">
        <f t="shared" si="14"/>
        <v>0</v>
      </c>
      <c r="H16" s="73">
        <f t="shared" si="14"/>
        <v>0</v>
      </c>
      <c r="I16" s="73">
        <f t="shared" si="14"/>
        <v>0</v>
      </c>
      <c r="J16" s="74">
        <f t="shared" si="14"/>
        <v>0</v>
      </c>
      <c r="K16" s="73">
        <f t="shared" si="14"/>
        <v>0</v>
      </c>
      <c r="L16" s="73">
        <f t="shared" si="14"/>
        <v>0</v>
      </c>
      <c r="M16" s="73">
        <f t="shared" si="14"/>
        <v>0</v>
      </c>
      <c r="N16" s="73">
        <f t="shared" si="14"/>
        <v>0</v>
      </c>
      <c r="O16" s="73">
        <f t="shared" si="14"/>
        <v>0</v>
      </c>
      <c r="P16" s="73">
        <f t="shared" si="14"/>
        <v>0</v>
      </c>
      <c r="Q16" s="73">
        <f t="shared" si="14"/>
        <v>0</v>
      </c>
      <c r="R16" s="73">
        <f t="shared" si="14"/>
        <v>0</v>
      </c>
      <c r="S16" s="73">
        <f t="shared" si="14"/>
        <v>0</v>
      </c>
      <c r="T16" s="77">
        <f t="shared" si="8"/>
        <v>0</v>
      </c>
      <c r="U16" s="74">
        <f t="shared" si="7"/>
        <v>0</v>
      </c>
      <c r="V16" s="73">
        <f>SUM(V17:V19)</f>
        <v>0</v>
      </c>
      <c r="W16" s="74">
        <f>SUM(W17:W19)</f>
        <v>0</v>
      </c>
      <c r="X16" s="73">
        <f t="shared" ref="X16:AC16" si="16">SUM(X17:X19)</f>
        <v>0</v>
      </c>
      <c r="Y16" s="79">
        <f t="shared" si="16"/>
        <v>0</v>
      </c>
      <c r="Z16" s="73">
        <f t="shared" si="16"/>
        <v>0</v>
      </c>
      <c r="AA16" s="73">
        <f t="shared" si="16"/>
        <v>0</v>
      </c>
      <c r="AB16" s="73">
        <f t="shared" si="16"/>
        <v>0</v>
      </c>
      <c r="AC16" s="73">
        <f t="shared" si="16"/>
        <v>0</v>
      </c>
      <c r="AD16" s="74">
        <f t="shared" ref="AD16:AL16" si="17">SUM(AD17:AD19)</f>
        <v>0</v>
      </c>
      <c r="AE16" s="73">
        <f t="shared" si="17"/>
        <v>0</v>
      </c>
      <c r="AF16" s="73">
        <f t="shared" si="17"/>
        <v>0</v>
      </c>
      <c r="AG16" s="73">
        <f t="shared" si="17"/>
        <v>0</v>
      </c>
      <c r="AH16" s="73">
        <f t="shared" si="17"/>
        <v>0</v>
      </c>
      <c r="AI16" s="73">
        <f t="shared" si="17"/>
        <v>0</v>
      </c>
      <c r="AJ16" s="73">
        <f t="shared" si="17"/>
        <v>0</v>
      </c>
      <c r="AK16" s="73">
        <f t="shared" si="17"/>
        <v>0</v>
      </c>
      <c r="AL16" s="73">
        <f t="shared" si="17"/>
        <v>0</v>
      </c>
      <c r="AM16" s="74">
        <f t="shared" si="4"/>
        <v>0</v>
      </c>
      <c r="AN16" s="74">
        <f t="shared" si="5"/>
        <v>0</v>
      </c>
      <c r="AO16" s="73">
        <f t="shared" ref="AO16:AP16" si="18">SUM(AO17:AO19)</f>
        <v>0</v>
      </c>
      <c r="AP16" s="73">
        <f t="shared" si="18"/>
        <v>0</v>
      </c>
    </row>
    <row r="17" spans="1:42" s="67" customFormat="1" ht="11.25" x14ac:dyDescent="0.15">
      <c r="A17" s="55" t="s">
        <v>28</v>
      </c>
      <c r="B17" s="54">
        <f>SUMIFS(卡片数据!G:G,卡片数据!$B:$B,"配电线路",卡片数据!$D:$D,"35kV")</f>
        <v>0</v>
      </c>
      <c r="C17" s="54">
        <f>SUMIFS(卡片数据!H:H,卡片数据!$B:$B,"配电线路",卡片数据!$D:$D,"35kV")</f>
        <v>0</v>
      </c>
      <c r="D17" s="74">
        <f>SUM(E17:I17)</f>
        <v>0</v>
      </c>
      <c r="E17" s="54">
        <f>SUM(SUMIFS(卡片数据!$O:$O,卡片数据!$B:$B,"配电线路",卡片数据!$D:$D,"35kV",卡片数据!$N:$N,{"工程项目","零购项目","用户资产","盘盈资产","非货币性交易","捐赠增加"}))</f>
        <v>0</v>
      </c>
      <c r="F17" s="54">
        <f>SUMIFS(卡片数据!$O:$O,卡片数据!$B:$B,"配电线路",卡片数据!$D:$D,"35kV",卡片数据!$N:$N,"子分公司间划转资产")</f>
        <v>0</v>
      </c>
      <c r="G17" s="54">
        <f>SUMIFS(卡片数据!$O:$O,卡片数据!$B:$B,"配电线路",卡片数据!$D:$D,"35kV",卡片数据!$N:$N,"省外划拨")</f>
        <v>0</v>
      </c>
      <c r="H17" s="54">
        <f>SUMIFS(卡片数据!$O:$O,卡片数据!$B:$B,"配电线路",卡片数据!$D:$D,"35kV",卡片数据!$N:$N,"省内地市间划拨")</f>
        <v>0</v>
      </c>
      <c r="I17" s="54">
        <f>SUM(SUMIFS(卡片数据!$O:$O,卡片数据!$B:$B,"配电线路",卡片数据!$D:$D,"35kV",卡片数据!$N:$N,{"拆分合并重分类","地市内划拨"}))</f>
        <v>0</v>
      </c>
      <c r="J17" s="74">
        <f>SUM(K17:Q17)</f>
        <v>0</v>
      </c>
      <c r="K17" s="54">
        <f>SUM(SUMIFS(卡片数据!$R:$R,卡片数据!$B:$B,"配电线路",卡片数据!$D:$D,"35kV",卡片数据!$Q:$Q,{"报废"}))</f>
        <v>0</v>
      </c>
      <c r="L17" s="54">
        <f>SUM(SUMIFS(卡片数据!$R:$R,卡片数据!$B:$B,"配电线路",卡片数据!$D:$D,"35kV",卡片数据!$Q:$Q,{"出售"}))</f>
        <v>0</v>
      </c>
      <c r="M17" s="54">
        <f>SUM(SUMIFS(卡片数据!$R:$R,卡片数据!$B:$B,"配电线路",卡片数据!$D:$D,"35kV",卡片数据!$Q:$Q,{"三供一业无偿划出"}))</f>
        <v>0</v>
      </c>
      <c r="N17" s="54">
        <f>SUMIFS(卡片数据!$R:$R,卡片数据!$B:$B,"配电线路",卡片数据!$D:$D,"35kV",卡片数据!$Q:$Q,"子分公司间划转资产")</f>
        <v>0</v>
      </c>
      <c r="O17" s="54">
        <f>SUMIFS(卡片数据!$R:$R,卡片数据!$B:$B,"配电线路",卡片数据!$D:$D,"35kV",卡片数据!$Q:$Q,"省外划拨")</f>
        <v>0</v>
      </c>
      <c r="P17" s="54">
        <f>SUMIFS(卡片数据!$R:$R,卡片数据!$B:$B,"配电线路",卡片数据!$D:$D,"35kV",卡片数据!$Q:$Q,"省内地市间划拨")</f>
        <v>0</v>
      </c>
      <c r="Q17" s="54">
        <f>SUM(SUMIFS(卡片数据!$R:$R,卡片数据!$B:$B,"配电线路",卡片数据!$D:$D,"35kV",卡片数据!$Q:$Q,{"拆分合并重分类","地市内划拨"}))</f>
        <v>0</v>
      </c>
      <c r="R17" s="54">
        <f>SUMIFS(卡片数据!J:J,卡片数据!$B:$B,"配电线路",卡片数据!$D:$D,"35kV")</f>
        <v>0</v>
      </c>
      <c r="S17" s="54">
        <f>SUMIFS(卡片数据!K:K,卡片数据!$B:$B,"配电线路",卡片数据!$D:$D,"35kV")</f>
        <v>0</v>
      </c>
      <c r="T17" s="77">
        <f t="shared" si="8"/>
        <v>0</v>
      </c>
      <c r="U17" s="74">
        <f t="shared" si="7"/>
        <v>0</v>
      </c>
      <c r="V17" s="54">
        <f>SUMIFS(卡片数据!I:I,卡片数据!$B:$B,"配电线路",卡片数据!$D:$D,"35kV")</f>
        <v>0</v>
      </c>
      <c r="W17" s="74">
        <f>SUM(X17:AC17)</f>
        <v>0</v>
      </c>
      <c r="X17" s="54">
        <f>SUM(SUMIFS(卡片数据!$P:$P,卡片数据!$B:$B,"配电线路",卡片数据!$D:$D,"35kV",卡片数据!$N:$N,{"工程项目","零购项目","用户资产","盘盈资产","非货币性交易","捐赠增加"}))</f>
        <v>0</v>
      </c>
      <c r="Y17" s="80">
        <f>SUMIFS(卡片数据!M:M,卡片数据!$B:$B,"配电线路",卡片数据!$D:$D,"35kV")</f>
        <v>0</v>
      </c>
      <c r="Z17" s="54">
        <f>SUMIFS(卡片数据!$P:$P,卡片数据!$B:$B,"配电线路",卡片数据!$D:$D,"35kV",卡片数据!$N:$N,"子分公司间划转资产")</f>
        <v>0</v>
      </c>
      <c r="AA17" s="54">
        <f>SUMIFS(卡片数据!$P:$P,卡片数据!$B:$B,"配电线路",卡片数据!$D:$D,"35kV",卡片数据!$N:$N,"省外划拨")</f>
        <v>0</v>
      </c>
      <c r="AB17" s="54">
        <f>SUMIFS(卡片数据!$P:$P,卡片数据!$B:$B,"配电线路",卡片数据!$D:$D,"35kV",卡片数据!$N:$N,"省内地市间划拨")</f>
        <v>0</v>
      </c>
      <c r="AC17" s="54">
        <f>SUM(SUMIFS(卡片数据!$P:$P,卡片数据!$B:$B,"配电线路",卡片数据!$D:$D,"35kV",卡片数据!$N:$N,{"拆分合并重分类","地市内划拨"}))</f>
        <v>0</v>
      </c>
      <c r="AD17" s="74">
        <f>SUM(AE17:AK17)</f>
        <v>0</v>
      </c>
      <c r="AE17" s="54">
        <f>SUM(SUMIFS(卡片数据!$S:$S,卡片数据!$B:$B,"配电线路",卡片数据!$D:$D,"35kV",卡片数据!$Q:$Q,{"报废"}))</f>
        <v>0</v>
      </c>
      <c r="AF17" s="54">
        <f>SUM(SUMIFS(卡片数据!$S:$S,卡片数据!$B:$B,"配电线路",卡片数据!$D:$D,"35kV",卡片数据!$Q:$Q,{"出售"}))</f>
        <v>0</v>
      </c>
      <c r="AG17" s="54">
        <f>SUM(SUMIFS(卡片数据!$S:$S,卡片数据!$B:$B,"配电线路",卡片数据!$D:$D,"35kV",卡片数据!$Q:$Q,{"三供一业无偿划出"}))</f>
        <v>0</v>
      </c>
      <c r="AH17" s="54">
        <f>SUMIFS(卡片数据!$S:$S,卡片数据!$B:$B,"配电线路",卡片数据!$D:$D,"35kV",卡片数据!$Q:$Q,"子分公司间划转资产")</f>
        <v>0</v>
      </c>
      <c r="AI17" s="54">
        <f>SUMIFS(卡片数据!$S:$S,卡片数据!$B:$B,"配电线路",卡片数据!$D:$D,"35kV",卡片数据!$Q:$Q,"省外划拨")</f>
        <v>0</v>
      </c>
      <c r="AJ17" s="54">
        <f>SUMIFS(卡片数据!$S:$S,卡片数据!$B:$B,"配电线路",卡片数据!$D:$D,"35kV",卡片数据!$Q:$Q,"省内地市间划拨")</f>
        <v>0</v>
      </c>
      <c r="AK17" s="54">
        <f>SUM(SUMIFS(卡片数据!$S:$S,卡片数据!$B:$B,"配电线路",卡片数据!$D:$D,"35kV",卡片数据!$Q:$Q,{"拆分合并重分类","地市内划拨"}))</f>
        <v>0</v>
      </c>
      <c r="AL17" s="54">
        <f>SUMIFS(卡片数据!L:L,卡片数据!$B:$B,"配电线路",卡片数据!$D:$D,"35kV")</f>
        <v>0</v>
      </c>
      <c r="AM17" s="74">
        <f t="shared" si="4"/>
        <v>0</v>
      </c>
      <c r="AN17" s="74">
        <f t="shared" si="5"/>
        <v>0</v>
      </c>
      <c r="AO17" s="54">
        <f>SUMIFS(卡片数据!W:W,卡片数据!$B:$B,"配电线路",卡片数据!$D:$D,"35kV")</f>
        <v>0</v>
      </c>
      <c r="AP17" s="54">
        <f>SUMIFS(卡片数据!X:X,卡片数据!$B:$B,"配电线路",卡片数据!$D:$D,"35kV")</f>
        <v>0</v>
      </c>
    </row>
    <row r="18" spans="1:42" s="67" customFormat="1" ht="12" customHeight="1" x14ac:dyDescent="0.15">
      <c r="A18" s="55" t="s">
        <v>30</v>
      </c>
      <c r="B18" s="54">
        <f>SUMIFS(卡片数据!G:G,卡片数据!$B:$B,"配电线路",卡片数据!$D:$D,"10kV")</f>
        <v>0</v>
      </c>
      <c r="C18" s="54">
        <f>SUMIFS(卡片数据!H:H,卡片数据!$B:$B,"配电线路",卡片数据!$D:$D,"10kV")</f>
        <v>0</v>
      </c>
      <c r="D18" s="74">
        <f>SUM(E18:I18)</f>
        <v>0</v>
      </c>
      <c r="E18" s="54">
        <f>SUM(SUMIFS(卡片数据!$O:$O,卡片数据!$B:$B,"配电线路",卡片数据!$D:$D,"10kV",卡片数据!$N:$N,{"工程项目","零购项目","用户资产","盘盈资产","非货币性交易","捐赠增加"}))</f>
        <v>0</v>
      </c>
      <c r="F18" s="54">
        <f>SUMIFS(卡片数据!$O:$O,卡片数据!$B:$B,"配电线路",卡片数据!$D:$D,"10kV",卡片数据!$N:$N,"子分公司间划转资产")</f>
        <v>0</v>
      </c>
      <c r="G18" s="54">
        <f>SUMIFS(卡片数据!$O:$O,卡片数据!$B:$B,"配电线路",卡片数据!$D:$D,"10kV",卡片数据!$N:$N,"省外划拨")</f>
        <v>0</v>
      </c>
      <c r="H18" s="54">
        <f>SUMIFS(卡片数据!$O:$O,卡片数据!$B:$B,"配电线路",卡片数据!$D:$D,"10kV",卡片数据!$N:$N,"省内地市间划拨")</f>
        <v>0</v>
      </c>
      <c r="I18" s="54">
        <f>SUM(SUMIFS(卡片数据!$O:$O,卡片数据!$B:$B,"配电线路",卡片数据!$D:$D,"10kV",卡片数据!$N:$N,{"拆分合并重分类","地市内划拨"}))</f>
        <v>0</v>
      </c>
      <c r="J18" s="74">
        <f>SUM(K18:Q18)</f>
        <v>0</v>
      </c>
      <c r="K18" s="54">
        <f>SUM(SUMIFS(卡片数据!$R:$R,卡片数据!$B:$B,"配电线路",卡片数据!$D:$D,"10kV",卡片数据!$Q:$Q,{"报废"}))</f>
        <v>0</v>
      </c>
      <c r="L18" s="54">
        <f>SUM(SUMIFS(卡片数据!$R:$R,卡片数据!$B:$B,"配电线路",卡片数据!$D:$D,"10kV",卡片数据!$Q:$Q,{"出售"}))</f>
        <v>0</v>
      </c>
      <c r="M18" s="54">
        <f>SUM(SUMIFS(卡片数据!$R:$R,卡片数据!$B:$B,"配电线路",卡片数据!$D:$D,"10kV",卡片数据!$Q:$Q,{"三供一业无偿划出"}))</f>
        <v>0</v>
      </c>
      <c r="N18" s="54">
        <f>SUMIFS(卡片数据!$R:$R,卡片数据!$B:$B,"配电线路",卡片数据!$D:$D,"10kV",卡片数据!$Q:$Q,"子分公司间划转资产")</f>
        <v>0</v>
      </c>
      <c r="O18" s="54">
        <f>SUMIFS(卡片数据!$R:$R,卡片数据!$B:$B,"配电线路",卡片数据!$D:$D,"10kV",卡片数据!$Q:$Q,"省外划拨")</f>
        <v>0</v>
      </c>
      <c r="P18" s="54">
        <f>SUMIFS(卡片数据!$R:$R,卡片数据!$B:$B,"配电线路",卡片数据!$D:$D,"10kV",卡片数据!$Q:$Q,"省内地市间划拨")</f>
        <v>0</v>
      </c>
      <c r="Q18" s="54">
        <f>SUM(SUMIFS(卡片数据!$R:$R,卡片数据!$B:$B,"配电线路",卡片数据!$D:$D,"10kV",卡片数据!$Q:$Q,{"拆分合并重分类","地市内划拨"}))</f>
        <v>0</v>
      </c>
      <c r="R18" s="54">
        <f>SUMIFS(卡片数据!J:J,卡片数据!$B:$B,"配电线路",卡片数据!$D:$D,"10kV")</f>
        <v>0</v>
      </c>
      <c r="S18" s="54">
        <f>SUMIFS(卡片数据!K:K,卡片数据!$B:$B,"配电线路",卡片数据!$D:$D,"10kV")</f>
        <v>0</v>
      </c>
      <c r="T18" s="77">
        <f t="shared" si="8"/>
        <v>0</v>
      </c>
      <c r="U18" s="74">
        <f t="shared" si="7"/>
        <v>0</v>
      </c>
      <c r="V18" s="54">
        <f>SUMIFS(卡片数据!I:I,卡片数据!$B:$B,"配电线路",卡片数据!$D:$D,"10kV")</f>
        <v>0</v>
      </c>
      <c r="W18" s="74">
        <f>SUM(X18:AC18)</f>
        <v>0</v>
      </c>
      <c r="X18" s="54">
        <f>SUM(SUMIFS(卡片数据!$P:$P,卡片数据!$B:$B,"配电线路",卡片数据!$D:$D,"10kV",卡片数据!$N:$N,{"工程项目","零购项目","用户资产","盘盈资产","非货币性交易","捐赠增加"}))</f>
        <v>0</v>
      </c>
      <c r="Y18" s="80">
        <f>SUMIFS(卡片数据!M:M,卡片数据!$B:$B,"配电线路",卡片数据!$D:$D,"10kV")</f>
        <v>0</v>
      </c>
      <c r="Z18" s="54">
        <f>SUMIFS(卡片数据!$P:$P,卡片数据!$B:$B,"配电线路",卡片数据!$D:$D,"10kV",卡片数据!$N:$N,"子分公司间划转资产")</f>
        <v>0</v>
      </c>
      <c r="AA18" s="54">
        <f>SUMIFS(卡片数据!$P:$P,卡片数据!$B:$B,"配电线路",卡片数据!$D:$D,"10kV",卡片数据!$N:$N,"省外划拨")</f>
        <v>0</v>
      </c>
      <c r="AB18" s="54">
        <f>SUMIFS(卡片数据!$P:$P,卡片数据!$B:$B,"配电线路",卡片数据!$D:$D,"10kV",卡片数据!$N:$N,"省内地市间划拨")</f>
        <v>0</v>
      </c>
      <c r="AC18" s="54">
        <f>SUM(SUMIFS(卡片数据!$P:$P,卡片数据!$B:$B,"配电线路",卡片数据!$D:$D,"10kV",卡片数据!$N:$N,{"拆分合并重分类","地市内划拨"}))</f>
        <v>0</v>
      </c>
      <c r="AD18" s="74">
        <f>SUM(AE18:AK18)</f>
        <v>0</v>
      </c>
      <c r="AE18" s="54">
        <f>SUM(SUMIFS(卡片数据!$S:$S,卡片数据!$B:$B,"配电线路",卡片数据!$D:$D,"10kV",卡片数据!$Q:$Q,{"报废"}))</f>
        <v>0</v>
      </c>
      <c r="AF18" s="54">
        <f>SUM(SUMIFS(卡片数据!$S:$S,卡片数据!$B:$B,"配电线路",卡片数据!$D:$D,"10kV",卡片数据!$Q:$Q,{"出售"}))</f>
        <v>0</v>
      </c>
      <c r="AG18" s="54">
        <f>SUM(SUMIFS(卡片数据!$S:$S,卡片数据!$B:$B,"配电线路",卡片数据!$D:$D,"10kV",卡片数据!$Q:$Q,{"三供一业无偿划出"}))</f>
        <v>0</v>
      </c>
      <c r="AH18" s="54">
        <f>SUMIFS(卡片数据!$S:$S,卡片数据!$B:$B,"配电线路",卡片数据!$D:$D,"10kV",卡片数据!$Q:$Q,"子分公司间划转资产")</f>
        <v>0</v>
      </c>
      <c r="AI18" s="54">
        <f>SUMIFS(卡片数据!$S:$S,卡片数据!$B:$B,"配电线路",卡片数据!$D:$D,"10kV",卡片数据!$Q:$Q,"省外划拨")</f>
        <v>0</v>
      </c>
      <c r="AJ18" s="54">
        <f>SUMIFS(卡片数据!$S:$S,卡片数据!$B:$B,"配电线路",卡片数据!$D:$D,"10kV",卡片数据!$Q:$Q,"省内地市间划拨")</f>
        <v>0</v>
      </c>
      <c r="AK18" s="54">
        <f>SUM(SUMIFS(卡片数据!$S:$S,卡片数据!$B:$B,"配电线路",卡片数据!$D:$D,"10kV",卡片数据!$Q:$Q,{"拆分合并重分类","地市内划拨"}))</f>
        <v>0</v>
      </c>
      <c r="AL18" s="54">
        <f>SUMIFS(卡片数据!L:L,卡片数据!$B:$B,"配电线路",卡片数据!$D:$D,"10kV")</f>
        <v>0</v>
      </c>
      <c r="AM18" s="74">
        <f t="shared" si="4"/>
        <v>0</v>
      </c>
      <c r="AN18" s="74">
        <f t="shared" si="5"/>
        <v>0</v>
      </c>
      <c r="AO18" s="54">
        <f>SUMIFS(卡片数据!W:W,卡片数据!$B:$B,"配电线路",卡片数据!$D:$D,"10kV")</f>
        <v>0</v>
      </c>
      <c r="AP18" s="54">
        <f>SUMIFS(卡片数据!X:X,卡片数据!$B:$B,"配电线路",卡片数据!$D:$D,"10kV")</f>
        <v>0</v>
      </c>
    </row>
    <row r="19" spans="1:42" s="67" customFormat="1" ht="11.25" x14ac:dyDescent="0.15">
      <c r="A19" s="55" t="s">
        <v>32</v>
      </c>
      <c r="B19" s="54">
        <f>SUMIFS(卡片数据!G:G,卡片数据!$B:$B,"配电线路",卡片数据!$D:$D,"10kV以下")</f>
        <v>0</v>
      </c>
      <c r="C19" s="54">
        <f>SUMIFS(卡片数据!H:H,卡片数据!$B:$B,"配电线路",卡片数据!$D:$D,"10kV以下")</f>
        <v>0</v>
      </c>
      <c r="D19" s="74">
        <f>SUM(E19:I19)</f>
        <v>0</v>
      </c>
      <c r="E19" s="54">
        <f>SUM(SUMIFS(卡片数据!$O:$O,卡片数据!$B:$B,"配电线路",卡片数据!$D:$D,"10kV以下",卡片数据!$N:$N,{"工程项目","零购项目","用户资产","盘盈资产","非货币性交易","捐赠增加"}))</f>
        <v>0</v>
      </c>
      <c r="F19" s="54">
        <f>SUMIFS(卡片数据!$O:$O,卡片数据!$B:$B,"配电线路",卡片数据!$D:$D,"10kV以下",卡片数据!$N:$N,"子分公司间划转资产")</f>
        <v>0</v>
      </c>
      <c r="G19" s="54">
        <f>SUMIFS(卡片数据!$O:$O,卡片数据!$B:$B,"配电线路",卡片数据!$D:$D,"10kV以下",卡片数据!$N:$N,"省外划拨")</f>
        <v>0</v>
      </c>
      <c r="H19" s="54">
        <f>SUMIFS(卡片数据!$O:$O,卡片数据!$B:$B,"配电线路",卡片数据!$D:$D,"10kV以下",卡片数据!$N:$N,"省内地市间划拨")</f>
        <v>0</v>
      </c>
      <c r="I19" s="54">
        <f>SUM(SUMIFS(卡片数据!$O:$O,卡片数据!$B:$B,"配电线路",卡片数据!$D:$D,"10kV以下",卡片数据!$N:$N,{"拆分合并重分类","地市内划拨"}))</f>
        <v>0</v>
      </c>
      <c r="J19" s="74">
        <f>SUM(K19:Q19)</f>
        <v>0</v>
      </c>
      <c r="K19" s="54">
        <f>SUM(SUMIFS(卡片数据!$R:$R,卡片数据!$B:$B,"配电线路",卡片数据!$D:$D,"10kV以下",卡片数据!$Q:$Q,{"报废"}))</f>
        <v>0</v>
      </c>
      <c r="L19" s="54">
        <f>SUM(SUMIFS(卡片数据!$R:$R,卡片数据!$B:$B,"配电线路",卡片数据!$D:$D,"10kV以下",卡片数据!$Q:$Q,{"出售"}))</f>
        <v>0</v>
      </c>
      <c r="M19" s="54">
        <f>SUM(SUMIFS(卡片数据!$R:$R,卡片数据!$B:$B,"配电线路",卡片数据!$D:$D,"10kV以下",卡片数据!$Q:$Q,{"三供一业无偿划出"}))</f>
        <v>0</v>
      </c>
      <c r="N19" s="54">
        <f>SUMIFS(卡片数据!$R:$R,卡片数据!$B:$B,"配电线路",卡片数据!$D:$D,"10kV以下",卡片数据!$Q:$Q,"子分公司间划转资产")</f>
        <v>0</v>
      </c>
      <c r="O19" s="54">
        <f>SUMIFS(卡片数据!$R:$R,卡片数据!$B:$B,"配电线路",卡片数据!$D:$D,"10kV以下",卡片数据!$Q:$Q,"省外划拨")</f>
        <v>0</v>
      </c>
      <c r="P19" s="54">
        <f>SUMIFS(卡片数据!$R:$R,卡片数据!$B:$B,"配电线路",卡片数据!$D:$D,"10kV以下",卡片数据!$Q:$Q,"省内地市间划拨")</f>
        <v>0</v>
      </c>
      <c r="Q19" s="54">
        <f>SUM(SUMIFS(卡片数据!$R:$R,卡片数据!$B:$B,"配电线路",卡片数据!$D:$D,"10kV以下",卡片数据!$Q:$Q,{"拆分合并重分类","地市内划拨"}))</f>
        <v>0</v>
      </c>
      <c r="R19" s="54">
        <f>SUMIFS(卡片数据!J:J,卡片数据!$B:$B,"配电线路",卡片数据!$D:$D,"10kV以下")</f>
        <v>0</v>
      </c>
      <c r="S19" s="54">
        <f>SUMIFS(卡片数据!K:K,卡片数据!$B:$B,"配电线路",卡片数据!$D:$D,"10kV以下")</f>
        <v>0</v>
      </c>
      <c r="T19" s="77">
        <f t="shared" si="8"/>
        <v>0</v>
      </c>
      <c r="U19" s="74">
        <f t="shared" si="7"/>
        <v>0</v>
      </c>
      <c r="V19" s="54">
        <f>SUMIFS(卡片数据!I:I,卡片数据!$B:$B,"配电线路",卡片数据!$D:$D,"10kV以下")</f>
        <v>0</v>
      </c>
      <c r="W19" s="74">
        <f>SUM(X19:AC19)</f>
        <v>0</v>
      </c>
      <c r="X19" s="54">
        <f>SUM(SUMIFS(卡片数据!$P:$P,卡片数据!$B:$B,"配电线路",卡片数据!$D:$D,"10kV以下",卡片数据!$N:$N,{"工程项目","零购项目","用户资产","盘盈资产","非货币性交易","捐赠增加"}))</f>
        <v>0</v>
      </c>
      <c r="Y19" s="80">
        <f>SUMIFS(卡片数据!M:M,卡片数据!$B:$B,"配电线路",卡片数据!$D:$D,"10kV以下")</f>
        <v>0</v>
      </c>
      <c r="Z19" s="54">
        <f>SUMIFS(卡片数据!$P:$P,卡片数据!$B:$B,"配电线路",卡片数据!$D:$D,"10kV以下",卡片数据!$N:$N,"子分公司间划转资产")</f>
        <v>0</v>
      </c>
      <c r="AA19" s="54">
        <f>SUMIFS(卡片数据!$P:$P,卡片数据!$B:$B,"配电线路",卡片数据!$D:$D,"10kV以下",卡片数据!$N:$N,"省外划拨")</f>
        <v>0</v>
      </c>
      <c r="AB19" s="54">
        <f>SUMIFS(卡片数据!$P:$P,卡片数据!$B:$B,"配电线路",卡片数据!$D:$D,"10kV以下",卡片数据!$N:$N,"省内地市间划拨")</f>
        <v>0</v>
      </c>
      <c r="AC19" s="54">
        <f>SUM(SUMIFS(卡片数据!$P:$P,卡片数据!$B:$B,"配电线路",卡片数据!$D:$D,"10kV以下",卡片数据!$N:$N,{"拆分合并重分类","地市内划拨"}))</f>
        <v>0</v>
      </c>
      <c r="AD19" s="74">
        <f>SUM(AE19:AK19)</f>
        <v>0</v>
      </c>
      <c r="AE19" s="54">
        <f>SUM(SUMIFS(卡片数据!$S:$S,卡片数据!$B:$B,"配电线路",卡片数据!$D:$D,"10kV以下",卡片数据!$Q:$Q,{"报废"}))</f>
        <v>0</v>
      </c>
      <c r="AF19" s="54">
        <f>SUM(SUMIFS(卡片数据!$S:$S,卡片数据!$B:$B,"配电线路",卡片数据!$D:$D,"10kV以下",卡片数据!$Q:$Q,{"出售"}))</f>
        <v>0</v>
      </c>
      <c r="AG19" s="54">
        <f>SUM(SUMIFS(卡片数据!$S:$S,卡片数据!$B:$B,"配电线路",卡片数据!$D:$D,"10kV以下",卡片数据!$Q:$Q,{"三供一业无偿划出"}))</f>
        <v>0</v>
      </c>
      <c r="AH19" s="54">
        <f>SUMIFS(卡片数据!$S:$S,卡片数据!$B:$B,"配电线路",卡片数据!$D:$D,"10kV以下",卡片数据!$Q:$Q,"子分公司间划转资产")</f>
        <v>0</v>
      </c>
      <c r="AI19" s="54">
        <f>SUMIFS(卡片数据!$S:$S,卡片数据!$B:$B,"配电线路",卡片数据!$D:$D,"10kV以下",卡片数据!$Q:$Q,"省外划拨")</f>
        <v>0</v>
      </c>
      <c r="AJ19" s="54">
        <f>SUMIFS(卡片数据!$S:$S,卡片数据!$B:$B,"配电线路",卡片数据!$D:$D,"10kV以下",卡片数据!$Q:$Q,"省内地市间划拨")</f>
        <v>0</v>
      </c>
      <c r="AK19" s="54">
        <f>SUM(SUMIFS(卡片数据!$S:$S,卡片数据!$B:$B,"配电线路",卡片数据!$D:$D,"10kV以下",卡片数据!$Q:$Q,{"拆分合并重分类","地市内划拨"}))</f>
        <v>0</v>
      </c>
      <c r="AL19" s="54">
        <f>SUMIFS(卡片数据!L:L,卡片数据!$B:$B,"配电线路",卡片数据!$D:$D,"10kV以下")</f>
        <v>0</v>
      </c>
      <c r="AM19" s="74">
        <f t="shared" si="4"/>
        <v>0</v>
      </c>
      <c r="AN19" s="74">
        <f t="shared" si="5"/>
        <v>0</v>
      </c>
      <c r="AO19" s="54">
        <f>SUMIFS(卡片数据!W:W,卡片数据!$B:$B,"配电线路",卡片数据!$D:$D,"10kV以下")</f>
        <v>0</v>
      </c>
      <c r="AP19" s="54">
        <f>SUMIFS(卡片数据!X:X,卡片数据!$B:$B,"配电线路",卡片数据!$D:$D,"10kV以下")</f>
        <v>0</v>
      </c>
    </row>
    <row r="20" spans="1:42" s="67" customFormat="1" ht="11.25" x14ac:dyDescent="0.15">
      <c r="A20" s="60" t="s">
        <v>33</v>
      </c>
      <c r="B20" s="73">
        <f>SUM(B21:B23)</f>
        <v>0</v>
      </c>
      <c r="C20" s="73">
        <f t="shared" ref="C20" si="19">SUM(C21:C23)</f>
        <v>0</v>
      </c>
      <c r="D20" s="74">
        <f t="shared" ref="D20:S20" si="20">SUM(D21:D23)</f>
        <v>0</v>
      </c>
      <c r="E20" s="73">
        <f t="shared" si="20"/>
        <v>0</v>
      </c>
      <c r="F20" s="73">
        <f t="shared" si="20"/>
        <v>0</v>
      </c>
      <c r="G20" s="73">
        <f t="shared" si="20"/>
        <v>0</v>
      </c>
      <c r="H20" s="73">
        <f t="shared" si="20"/>
        <v>0</v>
      </c>
      <c r="I20" s="73">
        <f t="shared" si="20"/>
        <v>0</v>
      </c>
      <c r="J20" s="74">
        <f t="shared" si="20"/>
        <v>0</v>
      </c>
      <c r="K20" s="73">
        <f t="shared" si="20"/>
        <v>0</v>
      </c>
      <c r="L20" s="73">
        <f t="shared" si="20"/>
        <v>0</v>
      </c>
      <c r="M20" s="73">
        <f t="shared" si="20"/>
        <v>0</v>
      </c>
      <c r="N20" s="73">
        <f t="shared" si="20"/>
        <v>0</v>
      </c>
      <c r="O20" s="73">
        <f t="shared" si="20"/>
        <v>0</v>
      </c>
      <c r="P20" s="73">
        <f t="shared" si="20"/>
        <v>0</v>
      </c>
      <c r="Q20" s="73">
        <f t="shared" si="20"/>
        <v>0</v>
      </c>
      <c r="R20" s="73">
        <f t="shared" si="20"/>
        <v>0</v>
      </c>
      <c r="S20" s="73">
        <f t="shared" si="20"/>
        <v>0</v>
      </c>
      <c r="T20" s="77">
        <f t="shared" si="8"/>
        <v>0</v>
      </c>
      <c r="U20" s="74">
        <f t="shared" si="7"/>
        <v>0</v>
      </c>
      <c r="V20" s="73">
        <f>SUM(V21:V23)</f>
        <v>0</v>
      </c>
      <c r="W20" s="74">
        <f>SUM(W21:W23)</f>
        <v>0</v>
      </c>
      <c r="X20" s="73">
        <f t="shared" ref="X20:AC20" si="21">SUM(X21:X23)</f>
        <v>0</v>
      </c>
      <c r="Y20" s="79">
        <f t="shared" si="21"/>
        <v>0</v>
      </c>
      <c r="Z20" s="73">
        <f t="shared" si="21"/>
        <v>0</v>
      </c>
      <c r="AA20" s="73">
        <f t="shared" si="21"/>
        <v>0</v>
      </c>
      <c r="AB20" s="73">
        <f t="shared" si="21"/>
        <v>0</v>
      </c>
      <c r="AC20" s="73">
        <f t="shared" si="21"/>
        <v>0</v>
      </c>
      <c r="AD20" s="74">
        <f t="shared" ref="AD20:AL20" si="22">SUM(AD21:AD23)</f>
        <v>0</v>
      </c>
      <c r="AE20" s="73">
        <f t="shared" si="22"/>
        <v>0</v>
      </c>
      <c r="AF20" s="73">
        <f t="shared" si="22"/>
        <v>0</v>
      </c>
      <c r="AG20" s="73">
        <f t="shared" si="22"/>
        <v>0</v>
      </c>
      <c r="AH20" s="73">
        <f t="shared" si="22"/>
        <v>0</v>
      </c>
      <c r="AI20" s="73">
        <f t="shared" si="22"/>
        <v>0</v>
      </c>
      <c r="AJ20" s="73">
        <f t="shared" si="22"/>
        <v>0</v>
      </c>
      <c r="AK20" s="73">
        <f t="shared" si="22"/>
        <v>0</v>
      </c>
      <c r="AL20" s="73">
        <f t="shared" si="22"/>
        <v>0</v>
      </c>
      <c r="AM20" s="74">
        <f t="shared" si="4"/>
        <v>0</v>
      </c>
      <c r="AN20" s="74">
        <f t="shared" si="5"/>
        <v>0</v>
      </c>
      <c r="AO20" s="73">
        <f>SUM(AO21:AO23)</f>
        <v>0</v>
      </c>
      <c r="AP20" s="73">
        <f>SUM(AP21:AP23)</f>
        <v>0</v>
      </c>
    </row>
    <row r="21" spans="1:42" s="67" customFormat="1" ht="11.25" x14ac:dyDescent="0.15">
      <c r="A21" s="55" t="s">
        <v>28</v>
      </c>
      <c r="B21" s="54">
        <f>SUMIFS(卡片数据!G:G,卡片数据!$B:$B,"配电设备-其他",卡片数据!$D:$D,"35kV")</f>
        <v>0</v>
      </c>
      <c r="C21" s="54">
        <f>SUMIFS(卡片数据!H:H,卡片数据!$B:$B,"配电设备-其他",卡片数据!$D:$D,"35kV")</f>
        <v>0</v>
      </c>
      <c r="D21" s="74">
        <f t="shared" ref="D21:D36" si="23">SUM(E21:I21)</f>
        <v>0</v>
      </c>
      <c r="E21" s="54">
        <f>SUM(SUMIFS(卡片数据!$O:$O,卡片数据!$B:$B,"配电设备-其他",卡片数据!$D:$D,"35kV",卡片数据!$N:$N,{"工程项目","零购项目","用户资产","盘盈资产","非货币性交易","捐赠增加"}))</f>
        <v>0</v>
      </c>
      <c r="F21" s="54">
        <f>SUMIFS(卡片数据!$O:$O,卡片数据!$B:$B,"配电设备-其他",卡片数据!$D:$D,"35kV",卡片数据!$N:$N,"子分公司间划转资产")</f>
        <v>0</v>
      </c>
      <c r="G21" s="54">
        <f>SUMIFS(卡片数据!$O:$O,卡片数据!$B:$B,"配电设备-其他",卡片数据!$D:$D,"35kV",卡片数据!$N:$N,"省外划拨")</f>
        <v>0</v>
      </c>
      <c r="H21" s="54">
        <f>SUMIFS(卡片数据!$O:$O,卡片数据!$B:$B,"配电设备-其他",卡片数据!$D:$D,"35kV",卡片数据!$N:$N,"省内地市间划拨")</f>
        <v>0</v>
      </c>
      <c r="I21" s="54">
        <f>SUM(SUMIFS(卡片数据!$O:$O,卡片数据!$B:$B,"配电设备-其他",卡片数据!$D:$D,"35kV",卡片数据!$N:$N,{"拆分合并重分类","地市内划拨"}))</f>
        <v>0</v>
      </c>
      <c r="J21" s="74">
        <f t="shared" ref="J21:J36" si="24">SUM(K21:Q21)</f>
        <v>0</v>
      </c>
      <c r="K21" s="54">
        <f>SUM(SUMIFS(卡片数据!$R:$R,卡片数据!$B:$B,"配电设备-其他",卡片数据!$D:$D,"35kV",卡片数据!$Q:$Q,{"报废"}))</f>
        <v>0</v>
      </c>
      <c r="L21" s="54">
        <f>SUM(SUMIFS(卡片数据!$R:$R,卡片数据!$B:$B,"配电设备-其他",卡片数据!$D:$D,"35kV",卡片数据!$Q:$Q,{"出售"}))</f>
        <v>0</v>
      </c>
      <c r="M21" s="54">
        <f>SUM(SUMIFS(卡片数据!$R:$R,卡片数据!$B:$B,"配电设备-其他",卡片数据!$D:$D,"35kV",卡片数据!$Q:$Q,{"三供一业无偿划出"}))</f>
        <v>0</v>
      </c>
      <c r="N21" s="54">
        <f>SUMIFS(卡片数据!$R:$R,卡片数据!$B:$B,"配电设备-其他",卡片数据!$D:$D,"35kV",卡片数据!$Q:$Q,"子分公司间划转资产")</f>
        <v>0</v>
      </c>
      <c r="O21" s="54">
        <f>SUMIFS(卡片数据!$R:$R,卡片数据!$B:$B,"配电设备-其他",卡片数据!$D:$D,"35kV",卡片数据!$Q:$Q,"省外划拨")</f>
        <v>0</v>
      </c>
      <c r="P21" s="54">
        <f>SUMIFS(卡片数据!$R:$R,卡片数据!$B:$B,"配电设备-其他",卡片数据!$D:$D,"35kV",卡片数据!$Q:$Q,"省内地市间划拨")</f>
        <v>0</v>
      </c>
      <c r="Q21" s="54">
        <f>SUM(SUMIFS(卡片数据!$R:$R,卡片数据!$B:$B,"配电设备-其他",卡片数据!$D:$D,"35kV",卡片数据!$Q:$Q,{"拆分合并重分类","地市内划拨"}))</f>
        <v>0</v>
      </c>
      <c r="R21" s="54">
        <f>SUMIFS(卡片数据!J:J,卡片数据!$B:$B,"配电设备-其他",卡片数据!$D:$D,"35kV")</f>
        <v>0</v>
      </c>
      <c r="S21" s="54">
        <f>SUMIFS(卡片数据!K:K,卡片数据!$B:$B,"配电设备-其他",卡片数据!$D:$D,"35kV")</f>
        <v>0</v>
      </c>
      <c r="T21" s="77">
        <f t="shared" si="8"/>
        <v>0</v>
      </c>
      <c r="U21" s="74">
        <f t="shared" si="7"/>
        <v>0</v>
      </c>
      <c r="V21" s="54">
        <f>SUMIFS(卡片数据!I:I,卡片数据!$B:$B,"配电设备-其他",卡片数据!$D:$D,"35kV")</f>
        <v>0</v>
      </c>
      <c r="W21" s="74">
        <f t="shared" ref="W21:W36" si="25">SUM(X21:AC21)</f>
        <v>0</v>
      </c>
      <c r="X21" s="54">
        <f>SUM(SUMIFS(卡片数据!$P:$P,卡片数据!$B:$B,"配电设备-其他",卡片数据!$D:$D,"35kV",卡片数据!$N:$N,{"工程项目","零购项目","用户资产","盘盈资产","非货币性交易","捐赠增加"}))</f>
        <v>0</v>
      </c>
      <c r="Y21" s="80">
        <f>SUMIFS(卡片数据!M:M,卡片数据!$B:$B,"配电设备-其他",卡片数据!$D:$D,"35kV")</f>
        <v>0</v>
      </c>
      <c r="Z21" s="54">
        <f>SUMIFS(卡片数据!$P:$P,卡片数据!$B:$B,"配电设备-其他",卡片数据!$D:$D,"35kV",卡片数据!$N:$N,"子分公司间划转资产")</f>
        <v>0</v>
      </c>
      <c r="AA21" s="54">
        <f>SUMIFS(卡片数据!$P:$P,卡片数据!$B:$B,"配电设备-其他",卡片数据!$D:$D,"35kV",卡片数据!$N:$N,"省外划拨")</f>
        <v>0</v>
      </c>
      <c r="AB21" s="54">
        <f>SUMIFS(卡片数据!$P:$P,卡片数据!$B:$B,"配电设备-其他",卡片数据!$D:$D,"35kV",卡片数据!$N:$N,"省内地市间划拨")</f>
        <v>0</v>
      </c>
      <c r="AC21" s="54">
        <f>SUM(SUMIFS(卡片数据!$P:$P,卡片数据!$B:$B,"配电设备-其他",卡片数据!$D:$D,"35kV",卡片数据!$N:$N,{"拆分合并重分类","地市内划拨"}))</f>
        <v>0</v>
      </c>
      <c r="AD21" s="74">
        <f t="shared" ref="AD21:AD36" si="26">SUM(AE21:AK21)</f>
        <v>0</v>
      </c>
      <c r="AE21" s="54">
        <f>SUM(SUMIFS(卡片数据!$S:$S,卡片数据!$B:$B,"配电设备-其他",卡片数据!$D:$D,"35kV",卡片数据!$Q:$Q,{"报废"}))</f>
        <v>0</v>
      </c>
      <c r="AF21" s="54">
        <f>SUM(SUMIFS(卡片数据!$S:$S,卡片数据!$B:$B,"配电设备-其他",卡片数据!$D:$D,"35kV",卡片数据!$Q:$Q,{"出售"}))</f>
        <v>0</v>
      </c>
      <c r="AG21" s="54">
        <f>SUM(SUMIFS(卡片数据!$S:$S,卡片数据!$B:$B,"配电设备-其他",卡片数据!$D:$D,"35kV",卡片数据!$Q:$Q,{"三供一业无偿划出"}))</f>
        <v>0</v>
      </c>
      <c r="AH21" s="54">
        <f>SUMIFS(卡片数据!$S:$S,卡片数据!$B:$B,"配电设备-其他",卡片数据!$D:$D,"35kV",卡片数据!$Q:$Q,"子分公司间划转资产")</f>
        <v>0</v>
      </c>
      <c r="AI21" s="54">
        <f>SUMIFS(卡片数据!$S:$S,卡片数据!$B:$B,"配电设备-其他",卡片数据!$D:$D,"35kV",卡片数据!$Q:$Q,"省外划拨")</f>
        <v>0</v>
      </c>
      <c r="AJ21" s="54">
        <f>SUMIFS(卡片数据!$S:$S,卡片数据!$B:$B,"配电设备-其他",卡片数据!$D:$D,"35kV",卡片数据!$Q:$Q,"省内地市间划拨")</f>
        <v>0</v>
      </c>
      <c r="AK21" s="54">
        <f>SUM(SUMIFS(卡片数据!$S:$S,卡片数据!$B:$B,"配电设备-其他",卡片数据!$D:$D,"35kV",卡片数据!$Q:$Q,{"拆分合并重分类","地市内划拨"}))</f>
        <v>0</v>
      </c>
      <c r="AL21" s="54">
        <f>SUMIFS(卡片数据!L:L,卡片数据!$B:$B,"配电设备-其他",卡片数据!$D:$D,"35kV")</f>
        <v>0</v>
      </c>
      <c r="AM21" s="74">
        <f t="shared" si="4"/>
        <v>0</v>
      </c>
      <c r="AN21" s="74">
        <f t="shared" si="5"/>
        <v>0</v>
      </c>
      <c r="AO21" s="54">
        <f>SUMIFS(卡片数据!W:W,卡片数据!$B:$B,"配电设备-其他",卡片数据!$D:$D,"35kV")</f>
        <v>0</v>
      </c>
      <c r="AP21" s="54">
        <f>SUMIFS(卡片数据!X:X,卡片数据!$B:$B,"配电设备-其他",卡片数据!$D:$D,"35kV")</f>
        <v>0</v>
      </c>
    </row>
    <row r="22" spans="1:42" s="67" customFormat="1" ht="11.25" x14ac:dyDescent="0.15">
      <c r="A22" s="55" t="s">
        <v>30</v>
      </c>
      <c r="B22" s="54">
        <f>SUMIFS(卡片数据!G:G,卡片数据!$B:$B,"配电设备-其他",卡片数据!$D:$D,"10kV")</f>
        <v>0</v>
      </c>
      <c r="C22" s="54">
        <f>SUMIFS(卡片数据!H:H,卡片数据!$B:$B,"配电设备-其他",卡片数据!$D:$D,"10kV")</f>
        <v>0</v>
      </c>
      <c r="D22" s="74">
        <f t="shared" si="23"/>
        <v>0</v>
      </c>
      <c r="E22" s="54">
        <f>SUM(SUMIFS(卡片数据!$O:$O,卡片数据!$B:$B,"配电设备-其他",卡片数据!$D:$D,"10kV",卡片数据!$N:$N,{"工程项目","零购项目","用户资产","盘盈资产","非货币性交易","捐赠增加"}))</f>
        <v>0</v>
      </c>
      <c r="F22" s="54">
        <f>SUMIFS(卡片数据!$O:$O,卡片数据!$B:$B,"配电设备-其他",卡片数据!$D:$D,"10kV",卡片数据!$N:$N,"子分公司间划转资产")</f>
        <v>0</v>
      </c>
      <c r="G22" s="54">
        <f>SUMIFS(卡片数据!$O:$O,卡片数据!$B:$B,"配电设备-其他",卡片数据!$D:$D,"10kV",卡片数据!$N:$N,"省外划拨")</f>
        <v>0</v>
      </c>
      <c r="H22" s="54">
        <f>SUMIFS(卡片数据!$O:$O,卡片数据!$B:$B,"配电设备-其他",卡片数据!$D:$D,"10kV",卡片数据!$N:$N,"省内地市间划拨")</f>
        <v>0</v>
      </c>
      <c r="I22" s="54">
        <f>SUM(SUMIFS(卡片数据!$O:$O,卡片数据!$B:$B,"配电设备-其他",卡片数据!$D:$D,"10kV",卡片数据!$N:$N,{"拆分合并重分类","地市内划拨"}))</f>
        <v>0</v>
      </c>
      <c r="J22" s="74">
        <f t="shared" si="24"/>
        <v>0</v>
      </c>
      <c r="K22" s="54">
        <f>SUM(SUMIFS(卡片数据!$R:$R,卡片数据!$B:$B,"配电设备-其他",卡片数据!$D:$D,"10kV",卡片数据!$Q:$Q,{"报废"}))</f>
        <v>0</v>
      </c>
      <c r="L22" s="54">
        <f>SUM(SUMIFS(卡片数据!$R:$R,卡片数据!$B:$B,"配电设备-其他",卡片数据!$D:$D,"10kV",卡片数据!$Q:$Q,{"出售"}))</f>
        <v>0</v>
      </c>
      <c r="M22" s="54">
        <f>SUM(SUMIFS(卡片数据!$R:$R,卡片数据!$B:$B,"配电设备-其他",卡片数据!$D:$D,"10kV",卡片数据!$Q:$Q,{"三供一业无偿划出"}))</f>
        <v>0</v>
      </c>
      <c r="N22" s="54">
        <f>SUMIFS(卡片数据!$R:$R,卡片数据!$B:$B,"配电设备-其他",卡片数据!$D:$D,"10kV",卡片数据!$Q:$Q,"子分公司间划转资产")</f>
        <v>0</v>
      </c>
      <c r="O22" s="54">
        <f>SUMIFS(卡片数据!$R:$R,卡片数据!$B:$B,"配电设备-其他",卡片数据!$D:$D,"10kV",卡片数据!$Q:$Q,"省外划拨")</f>
        <v>0</v>
      </c>
      <c r="P22" s="54">
        <f>SUMIFS(卡片数据!$R:$R,卡片数据!$B:$B,"配电设备-其他",卡片数据!$D:$D,"10kV",卡片数据!$Q:$Q,"省内地市间划拨")</f>
        <v>0</v>
      </c>
      <c r="Q22" s="54">
        <f>SUM(SUMIFS(卡片数据!$R:$R,卡片数据!$B:$B,"配电设备-其他",卡片数据!$D:$D,"10kV",卡片数据!$Q:$Q,{"拆分合并重分类","地市内划拨"}))</f>
        <v>0</v>
      </c>
      <c r="R22" s="54">
        <f>SUMIFS(卡片数据!J:J,卡片数据!$B:$B,"配电设备-其他",卡片数据!$D:$D,"10kV")</f>
        <v>0</v>
      </c>
      <c r="S22" s="54">
        <f>SUMIFS(卡片数据!K:K,卡片数据!$B:$B,"配电设备-其他",卡片数据!$D:$D,"10kV")</f>
        <v>0</v>
      </c>
      <c r="T22" s="77">
        <f t="shared" si="8"/>
        <v>0</v>
      </c>
      <c r="U22" s="74">
        <f t="shared" si="7"/>
        <v>0</v>
      </c>
      <c r="V22" s="54">
        <f>SUMIFS(卡片数据!I:I,卡片数据!$B:$B,"配电设备-其他",卡片数据!$D:$D,"10kV")</f>
        <v>0</v>
      </c>
      <c r="W22" s="74">
        <f t="shared" si="25"/>
        <v>0</v>
      </c>
      <c r="X22" s="54">
        <f>SUM(SUMIFS(卡片数据!$P:$P,卡片数据!$B:$B,"配电设备-其他",卡片数据!$D:$D,"10kV",卡片数据!$N:$N,{"工程项目","零购项目","用户资产","盘盈资产","非货币性交易","捐赠增加"}))</f>
        <v>0</v>
      </c>
      <c r="Y22" s="80">
        <f>SUMIFS(卡片数据!M:M,卡片数据!$B:$B,"配电设备-其他",卡片数据!$D:$D,"10kV")</f>
        <v>0</v>
      </c>
      <c r="Z22" s="54">
        <f>SUMIFS(卡片数据!$P:$P,卡片数据!$B:$B,"配电设备-其他",卡片数据!$D:$D,"10kV",卡片数据!$N:$N,"子分公司间划转资产")</f>
        <v>0</v>
      </c>
      <c r="AA22" s="54">
        <f>SUMIFS(卡片数据!$P:$P,卡片数据!$B:$B,"配电设备-其他",卡片数据!$D:$D,"10kV",卡片数据!$N:$N,"省外划拨")</f>
        <v>0</v>
      </c>
      <c r="AB22" s="54">
        <f>SUMIFS(卡片数据!$P:$P,卡片数据!$B:$B,"配电设备-其他",卡片数据!$D:$D,"10kV",卡片数据!$N:$N,"省内地市间划拨")</f>
        <v>0</v>
      </c>
      <c r="AC22" s="54">
        <f>SUM(SUMIFS(卡片数据!$P:$P,卡片数据!$B:$B,"配电设备-其他",卡片数据!$D:$D,"10kV",卡片数据!$N:$N,{"拆分合并重分类","地市内划拨"}))</f>
        <v>0</v>
      </c>
      <c r="AD22" s="74">
        <f t="shared" si="26"/>
        <v>0</v>
      </c>
      <c r="AE22" s="54">
        <f>SUM(SUMIFS(卡片数据!$S:$S,卡片数据!$B:$B,"配电设备-其他",卡片数据!$D:$D,"10kV",卡片数据!$Q:$Q,{"报废"}))</f>
        <v>0</v>
      </c>
      <c r="AF22" s="54">
        <f>SUM(SUMIFS(卡片数据!$S:$S,卡片数据!$B:$B,"配电设备-其他",卡片数据!$D:$D,"10kV",卡片数据!$Q:$Q,{"出售"}))</f>
        <v>0</v>
      </c>
      <c r="AG22" s="54">
        <f>SUM(SUMIFS(卡片数据!$S:$S,卡片数据!$B:$B,"配电设备-其他",卡片数据!$D:$D,"10kV",卡片数据!$Q:$Q,{"三供一业无偿划出"}))</f>
        <v>0</v>
      </c>
      <c r="AH22" s="54">
        <f>SUMIFS(卡片数据!$S:$S,卡片数据!$B:$B,"配电设备-其他",卡片数据!$D:$D,"10kV",卡片数据!$Q:$Q,"子分公司间划转资产")</f>
        <v>0</v>
      </c>
      <c r="AI22" s="54">
        <f>SUMIFS(卡片数据!$S:$S,卡片数据!$B:$B,"配电设备-其他",卡片数据!$D:$D,"10kV",卡片数据!$Q:$Q,"省外划拨")</f>
        <v>0</v>
      </c>
      <c r="AJ22" s="54">
        <f>SUMIFS(卡片数据!$S:$S,卡片数据!$B:$B,"配电设备-其他",卡片数据!$D:$D,"10kV",卡片数据!$Q:$Q,"省内地市间划拨")</f>
        <v>0</v>
      </c>
      <c r="AK22" s="54">
        <f>SUM(SUMIFS(卡片数据!$S:$S,卡片数据!$B:$B,"配电设备-其他",卡片数据!$D:$D,"10kV",卡片数据!$Q:$Q,{"拆分合并重分类","地市内划拨"}))</f>
        <v>0</v>
      </c>
      <c r="AL22" s="54">
        <f>SUMIFS(卡片数据!L:L,卡片数据!$B:$B,"配电设备-其他",卡片数据!$D:$D,"10kV")</f>
        <v>0</v>
      </c>
      <c r="AM22" s="74">
        <f t="shared" si="4"/>
        <v>0</v>
      </c>
      <c r="AN22" s="74">
        <f t="shared" si="5"/>
        <v>0</v>
      </c>
      <c r="AO22" s="54">
        <f>SUMIFS(卡片数据!W:W,卡片数据!$B:$B,"配电设备-其他",卡片数据!$D:$D,"10kV")</f>
        <v>0</v>
      </c>
      <c r="AP22" s="54">
        <f>SUMIFS(卡片数据!X:X,卡片数据!$B:$B,"配电设备-其他",卡片数据!$D:$D,"10kV")</f>
        <v>0</v>
      </c>
    </row>
    <row r="23" spans="1:42" s="67" customFormat="1" ht="11.25" x14ac:dyDescent="0.15">
      <c r="A23" s="55" t="s">
        <v>32</v>
      </c>
      <c r="B23" s="54">
        <f>SUMIFS(卡片数据!G:G,卡片数据!$B:$B,"配电设备-其他",卡片数据!$D:$D,"10kV以下")+SUMIFS(卡片数据!G:G,卡片数据!$B:$B,"配电设备-电动汽车充换电设备")</f>
        <v>0</v>
      </c>
      <c r="C23" s="54">
        <f>SUMIFS(卡片数据!H:H,卡片数据!$B:$B,"配电设备-其他",卡片数据!$D:$D,"10kV以下")+SUMIFS(卡片数据!H:H,卡片数据!$B:$B,"配电设备-电动汽车充换电设备")</f>
        <v>0</v>
      </c>
      <c r="D23" s="74">
        <f t="shared" si="23"/>
        <v>0</v>
      </c>
      <c r="E23" s="54">
        <f>SUM(SUMIFS(卡片数据!$O:$O,卡片数据!$B:$B,"配电设备-其他",卡片数据!$D:$D,"10kV以下",卡片数据!$N:$N,{"工程项目","零购项目","用户资产","盘盈资产","非货币性交易","捐赠增加"}))+SUM(SUMIFS(卡片数据!$O:$O,卡片数据!$B:$B,"配电设备-电动汽车充换电设备",卡片数据!$N:$N,{"工程项目","零购项目","用户资产","盘盈资产","非货币性交易","捐赠增加"}))</f>
        <v>0</v>
      </c>
      <c r="F23" s="54">
        <f>SUMIFS(卡片数据!$O:$O,卡片数据!$B:$B,"配电设备-其他",卡片数据!$D:$D,"10kV以下",卡片数据!$N:$N,"子分公司间划转资产")+SUMIFS(卡片数据!$O:$O,卡片数据!$B:$B,"配电设备-电动汽车充换电设备",卡片数据!$N:$N,"子分公司间划转资产")</f>
        <v>0</v>
      </c>
      <c r="G23" s="54">
        <f>SUMIFS(卡片数据!$O:$O,卡片数据!$B:$B,"配电设备-其他",卡片数据!$D:$D,"10kV以下",卡片数据!$N:$N,"省外划拨")+SUMIFS(卡片数据!$O:$O,卡片数据!$B:$B,"配电设备-电动汽车充换电设备",卡片数据!$N:$N,"省外划拨")</f>
        <v>0</v>
      </c>
      <c r="H23" s="54">
        <f>SUMIFS(卡片数据!$O:$O,卡片数据!$B:$B,"配电设备-其他",卡片数据!$D:$D,"10kV以下",卡片数据!$N:$N,"省内地市间划拨")+SUMIFS(卡片数据!$O:$O,卡片数据!$B:$B,"配电设备-电动汽车充换电设备",卡片数据!$N:$N,"省内地市间划拨")</f>
        <v>0</v>
      </c>
      <c r="I23" s="54">
        <f>SUM(SUMIFS(卡片数据!$O:$O,卡片数据!$B:$B,"配电设备-其他",卡片数据!$D:$D,"10kV以下",卡片数据!$N:$N,{"拆分合并重分类","地市内划拨"}))+SUM(SUMIFS(卡片数据!$O:$O,卡片数据!$B:$B,"配电设备-电动汽车充换电设备",卡片数据!$N:$N,{"拆分合并重分类","地市内划拨"}))</f>
        <v>0</v>
      </c>
      <c r="J23" s="74">
        <f t="shared" si="24"/>
        <v>0</v>
      </c>
      <c r="K23" s="63">
        <f>SUM(SUMIFS(卡片数据!$R:$R,卡片数据!$B:$B,"配电设备-其他",卡片数据!$D:$D,"10kV以下",卡片数据!$Q:$Q,{"报废"}))+SUM(SUMIFS(卡片数据!$R:$R,卡片数据!$B:$B,"配电设备-电动汽车充换电设备",卡片数据!$Q:$Q,{"报废"}))</f>
        <v>0</v>
      </c>
      <c r="L23" s="54">
        <f>SUM(SUMIFS(卡片数据!$R:$R,卡片数据!$B:$B,"配电设备-其他",卡片数据!$D:$D,"10kV以下",卡片数据!$Q:$Q,{"出售"}))+SUM(SUMIFS(卡片数据!$R:$R,卡片数据!$B:$B,"配电设备-电动汽车充换电设备",卡片数据!$Q:$Q,{"出售"}))</f>
        <v>0</v>
      </c>
      <c r="M23" s="54">
        <f>SUM(SUMIFS(卡片数据!$R:$R,卡片数据!$B:$B,"配电设备-其他",卡片数据!$D:$D,"10kV以下",卡片数据!$Q:$Q,{"三供一业无偿划出"}))+SUM(SUMIFS(卡片数据!$R:$R,卡片数据!$B:$B,"配电设备-电动汽车充换电设备",卡片数据!$Q:$Q,{"三供一业无偿划出"}))</f>
        <v>0</v>
      </c>
      <c r="N23" s="54">
        <f>SUMIFS(卡片数据!$R:$R,卡片数据!$B:$B,"配电设备-其他",卡片数据!$D:$D,"10kV以下",卡片数据!$Q:$Q,"子分公司间划转资产")+SUMIFS(卡片数据!$R:$R,卡片数据!$B:$B,"配电设备-电动汽车充换电设备",卡片数据!$Q:$Q,"子分公司间划转资产")</f>
        <v>0</v>
      </c>
      <c r="O23" s="54">
        <f>SUMIFS(卡片数据!$R:$R,卡片数据!$B:$B,"配电设备-其他",卡片数据!$D:$D,"10kV以下",卡片数据!$Q:$Q,"省外划拨")+SUMIFS(卡片数据!$R:$R,卡片数据!$B:$B,"配电设备-电动汽车充换电设备",卡片数据!$Q:$Q,"省外划拨")</f>
        <v>0</v>
      </c>
      <c r="P23" s="54">
        <f>SUMIFS(卡片数据!$R:$R,卡片数据!$B:$B,"配电设备-其他",卡片数据!$D:$D,"10kV以下",卡片数据!$Q:$Q,"省内地市间划拨")+SUMIFS(卡片数据!$R:$R,卡片数据!$B:$B,"配电设备-电动汽车充换电设备",卡片数据!$Q:$Q,"省内地市间划拨")</f>
        <v>0</v>
      </c>
      <c r="Q23" s="54">
        <f>SUM(SUMIFS(卡片数据!$R:$R,卡片数据!$B:$B,"配电设备-其他",卡片数据!$D:$D,"10kV以下",卡片数据!$Q:$Q,{"拆分合并重分类","地市内划拨"}))+SUM(SUMIFS(卡片数据!$R:$R,卡片数据!$B:$B,"配电设备-电动汽车充换电设备",卡片数据!$Q:$Q,{"拆分合并重分类","地市内划拨"}))</f>
        <v>0</v>
      </c>
      <c r="R23" s="54">
        <f>SUMIFS(卡片数据!J:J,卡片数据!$B:$B,"配电设备-其他",卡片数据!$D:$D,"10kV以下")+SUMIFS(卡片数据!J:J,卡片数据!$B:$B,"配电设备-电动汽车充换电设备")</f>
        <v>0</v>
      </c>
      <c r="S23" s="54">
        <f>SUMIFS(卡片数据!K:K,卡片数据!$B:$B,"配电设备-其他",卡片数据!$D:$D,"10kV以下")+SUMIFS(卡片数据!K:K,卡片数据!$B:$B,"配电设备-电动汽车充换电设备")</f>
        <v>0</v>
      </c>
      <c r="T23" s="77">
        <f t="shared" si="8"/>
        <v>0</v>
      </c>
      <c r="U23" s="74">
        <f t="shared" si="7"/>
        <v>0</v>
      </c>
      <c r="V23" s="54">
        <f>SUMIFS(卡片数据!I:I,卡片数据!$B:$B,"配电设备-其他",卡片数据!$D:$D,"10kV以下")+SUMIFS(卡片数据!I:I,卡片数据!$B:$B,"配电设备-电动汽车充换电设备")</f>
        <v>0</v>
      </c>
      <c r="W23" s="74">
        <f t="shared" si="25"/>
        <v>0</v>
      </c>
      <c r="X23" s="54">
        <f>SUM(SUMIFS(卡片数据!$P:$P,卡片数据!$B:$B,"配电设备-其他",卡片数据!$D:$D,"10kV以下",卡片数据!$N:$N,{"工程项目","零购项目","用户资产","盘盈资产","非货币性交易","捐赠增加"}))+SUM(SUMIFS(卡片数据!$P:$P,卡片数据!$B:$B,"配电设备-电动汽车充换电设备",卡片数据!$N:$N,{"工程项目","零购项目","用户资产","盘盈资产","非货币性交易","捐赠增加"}))</f>
        <v>0</v>
      </c>
      <c r="Y23" s="80">
        <f>SUMIFS(卡片数据!M:M,卡片数据!$B:$B,"配电设备-其他",卡片数据!$D:$D,"10kV以下")+SUMIFS(卡片数据!M:M,卡片数据!$B:$B,"配电设备-电动汽车充换电设备")</f>
        <v>0</v>
      </c>
      <c r="Z23" s="54">
        <f>SUMIFS(卡片数据!$P:$P,卡片数据!$B:$B,"配电设备-其他",卡片数据!$D:$D,"10kV以下",卡片数据!$N:$N,"子分公司间划转资产")+SUMIFS(卡片数据!$P:$P,卡片数据!$B:$B,"配电设备-电动汽车充换电设备",卡片数据!$N:$N,"子分公司间划转资产")</f>
        <v>0</v>
      </c>
      <c r="AA23" s="54">
        <f>SUMIFS(卡片数据!$P:$P,卡片数据!$B:$B,"配电设备-其他",卡片数据!$D:$D,"10kV以下",卡片数据!$N:$N,"省外划拨")+SUMIFS(卡片数据!$P:$P,卡片数据!$B:$B,"配电设备-电动汽车充换电设备",卡片数据!$N:$N,"省外划拨")</f>
        <v>0</v>
      </c>
      <c r="AB23" s="54">
        <f>SUMIFS(卡片数据!$P:$P,卡片数据!$B:$B,"配电设备-其他",卡片数据!$D:$D,"10kV以下",卡片数据!$N:$N,"省内地市间划拨")+SUMIFS(卡片数据!$P:$P,卡片数据!$B:$B,"配电设备-电动汽车充换电设备",卡片数据!$N:$N,"省内地市间划拨")</f>
        <v>0</v>
      </c>
      <c r="AC23" s="54">
        <f>SUM(SUMIFS(卡片数据!$P:$P,卡片数据!$B:$B,"配电设备-其他",卡片数据!$D:$D,"10kV以下",卡片数据!$N:$N,{"拆分合并重分类","地市内划拨"}))+SUM(SUMIFS(卡片数据!$P:$P,卡片数据!$B:$B,"配电设备-电动汽车充换电设备",卡片数据!$N:$N,{"拆分合并重分类","地市内划拨"}))</f>
        <v>0</v>
      </c>
      <c r="AD23" s="74">
        <f t="shared" si="26"/>
        <v>0</v>
      </c>
      <c r="AE23" s="63">
        <f>SUM(SUMIFS(卡片数据!$S:$S,卡片数据!$B:$B,"配电设备-其他",卡片数据!$D:$D,"10kV以下",卡片数据!$Q:$Q,{"报废"}))+SUM(SUMIFS(卡片数据!$S:$S,卡片数据!$B:$B,"配电设备-电动汽车充换电设备",卡片数据!$Q:$Q,{"报废"}))</f>
        <v>0</v>
      </c>
      <c r="AF23" s="63">
        <f>SUM(SUMIFS(卡片数据!$S:$S,卡片数据!$B:$B,"配电设备-其他",卡片数据!$D:$D,"10kV以下",卡片数据!$Q:$Q,{"出售"}))+SUM(SUMIFS(卡片数据!$S:$S,卡片数据!$B:$B,"配电设备-电动汽车充换电设备",卡片数据!$Q:$Q,{"出售"}))</f>
        <v>0</v>
      </c>
      <c r="AG23" s="63">
        <f>SUM(SUMIFS(卡片数据!$S:$S,卡片数据!$B:$B,"配电设备-其他",卡片数据!$D:$D,"10kV以下",卡片数据!$Q:$Q,{"三供一业无偿划出"}))+SUM(SUMIFS(卡片数据!$S:$S,卡片数据!$B:$B,"配电设备-电动汽车充换电设备",卡片数据!$Q:$Q,{"三供一业无偿划出"}))</f>
        <v>0</v>
      </c>
      <c r="AH23" s="54">
        <f>SUMIFS(卡片数据!$S:$S,卡片数据!$B:$B,"配电设备-其他",卡片数据!$D:$D,"10kV以下",卡片数据!$Q:$Q,"子分公司间划转资产")+SUMIFS(卡片数据!$S:$S,卡片数据!$B:$B,"配电设备-电动汽车充换电设备",卡片数据!$Q:$Q,"子分公司间划转资产")</f>
        <v>0</v>
      </c>
      <c r="AI23" s="54">
        <f>SUMIFS(卡片数据!$S:$S,卡片数据!$B:$B,"配电设备-其他",卡片数据!$D:$D,"10kV以下",卡片数据!$Q:$Q,"省外划拨")+SUMIFS(卡片数据!$S:$S,卡片数据!$B:$B,"配电设备-电动汽车充换电设备",卡片数据!$Q:$Q,"省外划拨")</f>
        <v>0</v>
      </c>
      <c r="AJ23" s="54">
        <f>SUMIFS(卡片数据!$S:$S,卡片数据!$B:$B,"配电设备-其他",卡片数据!$D:$D,"10kV以下",卡片数据!$Q:$Q,"省内地市间划拨")+SUMIFS(卡片数据!$S:$S,卡片数据!$B:$B,"配电设备-电动汽车充换电设备",卡片数据!$Q:$Q,"省内地市间划拨")</f>
        <v>0</v>
      </c>
      <c r="AK23" s="54">
        <f>SUM(SUMIFS(卡片数据!$S:$S,卡片数据!$B:$B,"配电设备-其他",卡片数据!$D:$D,"10kV以下",卡片数据!$Q:$Q,{"拆分合并重分类","地市内划拨"}))+SUM(SUMIFS(卡片数据!$S:$S,卡片数据!$B:$B,"配电设备-电动汽车充换电设备",卡片数据!$Q:$Q,{"拆分合并重分类","地市内划拨"}))</f>
        <v>0</v>
      </c>
      <c r="AL23" s="54">
        <f>SUMIFS(卡片数据!L:L,卡片数据!$B:$B,"配电设备-其他",卡片数据!$D:$D,"10kV以下")+SUMIFS(卡片数据!L:L,卡片数据!$B:$B,"配电设备-电动汽车充换电设备")</f>
        <v>0</v>
      </c>
      <c r="AM23" s="74">
        <f t="shared" si="4"/>
        <v>0</v>
      </c>
      <c r="AN23" s="74">
        <f t="shared" si="5"/>
        <v>0</v>
      </c>
      <c r="AO23" s="54">
        <f>SUMIFS(卡片数据!W:W,卡片数据!$B:$B,"配电设备-其他",卡片数据!$D:$D,"10kV以下")+SUMIFS(卡片数据!W:W,卡片数据!$B:$B,"配电设备-电动汽车充换电设备")</f>
        <v>0</v>
      </c>
      <c r="AP23" s="54">
        <f>SUMIFS(卡片数据!X:X,卡片数据!$B:$B,"配电设备-其他",卡片数据!$D:$D,"10kV以下")+SUMIFS(卡片数据!X:X,卡片数据!$B:$B,"配电设备-电动汽车充换电设备")</f>
        <v>0</v>
      </c>
    </row>
    <row r="24" spans="1:42" s="67" customFormat="1" ht="11.25" x14ac:dyDescent="0.15">
      <c r="A24" s="59" t="s">
        <v>34</v>
      </c>
      <c r="B24" s="54">
        <f>SUMIFS(卡片数据!G:G,卡片数据!$B:$B,"配电设备-电动汽车充换电设备")</f>
        <v>0</v>
      </c>
      <c r="C24" s="54">
        <f>SUMIFS(卡片数据!H:H,卡片数据!$B:$B,"配电设备-电动汽车充换电设备")</f>
        <v>0</v>
      </c>
      <c r="D24" s="74">
        <f t="shared" si="23"/>
        <v>0</v>
      </c>
      <c r="E24" s="54">
        <f>SUM(SUMIFS(卡片数据!$O:$O,卡片数据!$B:$B,"配电设备-电动汽车充换电设备",卡片数据!$N:$N,{"工程项目","零购项目","用户资产","盘盈资产","非货币性交易","捐赠增加"}))</f>
        <v>0</v>
      </c>
      <c r="F24" s="54">
        <f>SUMIFS(卡片数据!$O:$O,卡片数据!$B:$B,"配电设备-电动汽车充换电设备",卡片数据!$N:$N,"子分公司间划转资产")</f>
        <v>0</v>
      </c>
      <c r="G24" s="54">
        <f>SUMIFS(卡片数据!$O:$O,卡片数据!$B:$B,"配电设备-电动汽车充换电设备",卡片数据!$N:$N,"省外划拨")</f>
        <v>0</v>
      </c>
      <c r="H24" s="54">
        <f>SUMIFS(卡片数据!$O:$O,卡片数据!$B:$B,"配电设备-电动汽车充换电设备",卡片数据!$N:$N,"省内地市间划拨")</f>
        <v>0</v>
      </c>
      <c r="I24" s="54">
        <f>SUM(SUMIFS(卡片数据!$O:$O,卡片数据!$B:$B,"配电设备-电动汽车充换电设备",卡片数据!$N:$N,{"拆分合并重分类","地市内划拨"}))</f>
        <v>0</v>
      </c>
      <c r="J24" s="74">
        <f t="shared" si="24"/>
        <v>0</v>
      </c>
      <c r="K24" s="54">
        <f>SUM(SUMIFS(卡片数据!$R:$R,卡片数据!$B:$B,"配电设备-电动汽车充换电设备",卡片数据!$Q:$Q,{"报废"}))</f>
        <v>0</v>
      </c>
      <c r="L24" s="54">
        <f>SUM(SUMIFS(卡片数据!$R:$R,卡片数据!$B:$B,"配电设备-电动汽车充换电设备",卡片数据!$Q:$Q,{"出售"}))</f>
        <v>0</v>
      </c>
      <c r="M24" s="54">
        <f>SUM(SUMIFS(卡片数据!$R:$R,卡片数据!$B:$B,"配电设备-电动汽车充换电设备",卡片数据!$Q:$Q,{"三供一业无偿划出"}))</f>
        <v>0</v>
      </c>
      <c r="N24" s="54">
        <f>SUMIFS(卡片数据!$R:$R,卡片数据!$B:$B,"配电设备-电动汽车充换电设备",卡片数据!$Q:$Q,"子分公司间划转资产")</f>
        <v>0</v>
      </c>
      <c r="O24" s="54">
        <f>SUMIFS(卡片数据!$R:$R,卡片数据!$B:$B,"配电设备-电动汽车充换电设备",卡片数据!$Q:$Q,"省外划拨")</f>
        <v>0</v>
      </c>
      <c r="P24" s="54">
        <f>SUMIFS(卡片数据!$R:$R,卡片数据!$B:$B,"配电设备-电动汽车充换电设备",卡片数据!$Q:$Q,"省内地市间划拨")</f>
        <v>0</v>
      </c>
      <c r="Q24" s="54">
        <f>SUM(SUMIFS(卡片数据!$R:$R,卡片数据!$B:$B,"配电设备-电动汽车充换电设备",卡片数据!$Q:$Q,{"拆分合并重分类","地市内划拨"}))</f>
        <v>0</v>
      </c>
      <c r="R24" s="54">
        <f>SUMIFS(卡片数据!J:J,卡片数据!$B:$B,"配电设备-电动汽车充换电设备")</f>
        <v>0</v>
      </c>
      <c r="S24" s="54">
        <f>SUMIFS(卡片数据!K:K,卡片数据!$B:$B,"配电设备-电动汽车充换电设备")</f>
        <v>0</v>
      </c>
      <c r="T24" s="77">
        <f t="shared" si="8"/>
        <v>0</v>
      </c>
      <c r="U24" s="74">
        <f t="shared" si="7"/>
        <v>0</v>
      </c>
      <c r="V24" s="54">
        <f>SUMIFS(卡片数据!I:I,卡片数据!$B:$B,"配电设备-电动汽车充换电设备")</f>
        <v>0</v>
      </c>
      <c r="W24" s="74">
        <f t="shared" si="25"/>
        <v>0</v>
      </c>
      <c r="X24" s="54">
        <f>SUM(SUMIFS(卡片数据!$P:$P,卡片数据!$B:$B,"配电设备-电动汽车充换电设备",卡片数据!$N:$N,{"工程项目","零购项目","用户资产","盘盈资产","非货币性交易","捐赠增加"}))</f>
        <v>0</v>
      </c>
      <c r="Y24" s="80">
        <f>SUMIFS(卡片数据!M:M,卡片数据!$B:$B,"配电设备-电动汽车充换电设备")</f>
        <v>0</v>
      </c>
      <c r="Z24" s="54">
        <f>SUMIFS(卡片数据!$P:$P,卡片数据!$B:$B,"配电设备-电动汽车充换电设备",卡片数据!$N:$N,"子分公司间划转资产")</f>
        <v>0</v>
      </c>
      <c r="AA24" s="54">
        <f>SUMIFS(卡片数据!$P:$P,卡片数据!$B:$B,"配电设备-电动汽车充换电设备",卡片数据!$N:$N,"省外划拨")</f>
        <v>0</v>
      </c>
      <c r="AB24" s="54">
        <f>SUMIFS(卡片数据!$P:$P,卡片数据!$B:$B,"配电设备-电动汽车充换电设备",卡片数据!$N:$N,"省内地市间划拨")</f>
        <v>0</v>
      </c>
      <c r="AC24" s="54">
        <f>SUM(SUMIFS(卡片数据!$P:$P,卡片数据!$B:$B,"配电设备-电动汽车充换电设备",卡片数据!$N:$N,{"拆分合并重分类","地市内划拨"}))</f>
        <v>0</v>
      </c>
      <c r="AD24" s="74">
        <f t="shared" si="26"/>
        <v>0</v>
      </c>
      <c r="AE24" s="54">
        <f>SUM(SUMIFS(卡片数据!$S:$S,卡片数据!$B:$B,"配电设备-电动汽车充换电设备",卡片数据!$Q:$Q,{"报废"}))</f>
        <v>0</v>
      </c>
      <c r="AF24" s="54">
        <f>SUM(SUMIFS(卡片数据!$S:$S,卡片数据!$B:$B,"配电设备-电动汽车充换电设备",卡片数据!$Q:$Q,{"出售"}))</f>
        <v>0</v>
      </c>
      <c r="AG24" s="54">
        <f>SUM(SUMIFS(卡片数据!$S:$S,卡片数据!$B:$B,"配电设备-电动汽车充换电设备",卡片数据!$Q:$Q,{"三供一业无偿划出"}))</f>
        <v>0</v>
      </c>
      <c r="AH24" s="54">
        <f>SUMIFS(卡片数据!$S:$S,卡片数据!$B:$B,"配电设备-电动汽车充换电设备",卡片数据!$Q:$Q,"子分公司间划转资产")</f>
        <v>0</v>
      </c>
      <c r="AI24" s="54">
        <f>SUMIFS(卡片数据!$S:$S,卡片数据!$B:$B,"配电设备-电动汽车充换电设备",卡片数据!$Q:$Q,"省外划拨")</f>
        <v>0</v>
      </c>
      <c r="AJ24" s="54">
        <f>SUMIFS(卡片数据!$S:$S,卡片数据!$B:$B,"配电设备-电动汽车充换电设备",卡片数据!$Q:$Q,"省内地市间划拨")</f>
        <v>0</v>
      </c>
      <c r="AK24" s="54">
        <f>SUM(SUMIFS(卡片数据!$S:$S,卡片数据!$B:$B,"配电设备-电动汽车充换电设备",卡片数据!$Q:$Q,{"拆分合并重分类","地市内划拨"}))</f>
        <v>0</v>
      </c>
      <c r="AL24" s="54">
        <f>SUMIFS(卡片数据!L:L,卡片数据!$B:$B,"配电设备-电动汽车充换电设备")</f>
        <v>0</v>
      </c>
      <c r="AM24" s="74">
        <f t="shared" si="4"/>
        <v>0</v>
      </c>
      <c r="AN24" s="74">
        <f t="shared" si="5"/>
        <v>0</v>
      </c>
      <c r="AO24" s="54">
        <f>SUMIFS(卡片数据!W:W,卡片数据!$B:$B,"配电设备-电动汽车充换电设备")</f>
        <v>0</v>
      </c>
      <c r="AP24" s="54">
        <f>SUMIFS(卡片数据!X:X,卡片数据!$B:$B,"配电设备-电动汽车充换电设备")</f>
        <v>0</v>
      </c>
    </row>
    <row r="25" spans="1:42" s="67" customFormat="1" ht="11.25" x14ac:dyDescent="0.15">
      <c r="A25" s="60" t="s">
        <v>35</v>
      </c>
      <c r="B25" s="54">
        <f>SUMIFS(卡片数据!G:G,卡片数据!$B:$B,"用电计量设备")</f>
        <v>0</v>
      </c>
      <c r="C25" s="54">
        <f>SUMIFS(卡片数据!H:H,卡片数据!$B:$B,"用电计量设备")</f>
        <v>0</v>
      </c>
      <c r="D25" s="74">
        <f t="shared" si="23"/>
        <v>0</v>
      </c>
      <c r="E25" s="54">
        <f>SUM(SUMIFS(卡片数据!$O:$O,卡片数据!$B:$B,"用电计量设备",卡片数据!$N:$N,{"工程项目","零购项目","用户资产","盘盈资产","非货币性交易","捐赠增加"}))</f>
        <v>0</v>
      </c>
      <c r="F25" s="54">
        <f>SUMIFS(卡片数据!$O:$O,卡片数据!$B:$B,"用电计量设备",卡片数据!$N:$N,"子分公司间划转资产")</f>
        <v>0</v>
      </c>
      <c r="G25" s="54">
        <f>SUMIFS(卡片数据!$O:$O,卡片数据!$B:$B,"用电计量设备",卡片数据!$N:$N,"省外划拨")</f>
        <v>0</v>
      </c>
      <c r="H25" s="54">
        <f>SUMIFS(卡片数据!$O:$O,卡片数据!$B:$B,"用电计量设备",卡片数据!$N:$N,"省内地市间划拨")</f>
        <v>0</v>
      </c>
      <c r="I25" s="54">
        <f>SUM(SUMIFS(卡片数据!$O:$O,卡片数据!$B:$B,"用电计量设备",卡片数据!$N:$N,{"拆分合并重分类","地市内划拨"}))</f>
        <v>0</v>
      </c>
      <c r="J25" s="74">
        <f t="shared" si="24"/>
        <v>0</v>
      </c>
      <c r="K25" s="54">
        <f>SUM(SUMIFS(卡片数据!$R:$R,卡片数据!$B:$B,"用电计量设备",卡片数据!$Q:$Q,{"报废"}))</f>
        <v>0</v>
      </c>
      <c r="L25" s="54">
        <f>SUM(SUMIFS(卡片数据!$R:$R,卡片数据!$B:$B,"用电计量设备",卡片数据!$Q:$Q,{"出售"}))</f>
        <v>0</v>
      </c>
      <c r="M25" s="54">
        <f>SUM(SUMIFS(卡片数据!$R:$R,卡片数据!$B:$B,"用电计量设备",卡片数据!$Q:$Q,{"三供一业无偿划出"}))</f>
        <v>0</v>
      </c>
      <c r="N25" s="54">
        <f>SUMIFS(卡片数据!$R:$R,卡片数据!$B:$B,"用电计量设备",卡片数据!$Q:$Q,"子分公司间划转资产")</f>
        <v>0</v>
      </c>
      <c r="O25" s="54">
        <f>SUMIFS(卡片数据!$R:$R,卡片数据!$B:$B,"用电计量设备",卡片数据!$Q:$Q,"省外划拨")</f>
        <v>0</v>
      </c>
      <c r="P25" s="54">
        <f>SUMIFS(卡片数据!$R:$R,卡片数据!$B:$B,"用电计量设备",卡片数据!$Q:$Q,"省内地市间划拨")</f>
        <v>0</v>
      </c>
      <c r="Q25" s="54">
        <f>SUM(SUMIFS(卡片数据!$R:$R,卡片数据!$B:$B,"用电计量设备",卡片数据!$Q:$Q,{"拆分合并重分类","地市内划拨"}))</f>
        <v>0</v>
      </c>
      <c r="R25" s="54">
        <f>SUMIFS(卡片数据!J:J,卡片数据!$B:$B,"用电计量设备")</f>
        <v>0</v>
      </c>
      <c r="S25" s="54">
        <f>SUMIFS(卡片数据!K:K,卡片数据!$B:$B,"用电计量设备")</f>
        <v>0</v>
      </c>
      <c r="T25" s="77">
        <f t="shared" si="8"/>
        <v>0</v>
      </c>
      <c r="U25" s="74">
        <f t="shared" si="7"/>
        <v>0</v>
      </c>
      <c r="V25" s="54">
        <f>SUMIFS(卡片数据!I:I,卡片数据!$B:$B,"用电计量设备")</f>
        <v>0</v>
      </c>
      <c r="W25" s="74">
        <f t="shared" si="25"/>
        <v>0</v>
      </c>
      <c r="X25" s="54">
        <f>SUM(SUMIFS(卡片数据!$P:$P,卡片数据!$B:$B,"用电计量设备",卡片数据!$N:$N,{"工程项目","零购项目","用户资产","盘盈资产","非货币性交易","捐赠增加"}))</f>
        <v>0</v>
      </c>
      <c r="Y25" s="80">
        <f>SUMIFS(卡片数据!M:M,卡片数据!$B:$B,"用电计量设备")</f>
        <v>0</v>
      </c>
      <c r="Z25" s="54">
        <f>SUMIFS(卡片数据!$P:$P,卡片数据!$B:$B,"用电计量设备",卡片数据!$N:$N,"子分公司间划转资产")</f>
        <v>0</v>
      </c>
      <c r="AA25" s="54">
        <f>SUMIFS(卡片数据!$P:$P,卡片数据!$B:$B,"用电计量设备",卡片数据!$N:$N,"省外划拨")</f>
        <v>0</v>
      </c>
      <c r="AB25" s="54">
        <f>SUMIFS(卡片数据!$P:$P,卡片数据!$B:$B,"用电计量设备",卡片数据!$N:$N,"省内地市间划拨")</f>
        <v>0</v>
      </c>
      <c r="AC25" s="54">
        <f>SUM(SUMIFS(卡片数据!$P:$P,卡片数据!$B:$B,"用电计量设备",卡片数据!$N:$N,{"拆分合并重分类","地市内划拨"}))</f>
        <v>0</v>
      </c>
      <c r="AD25" s="74">
        <f t="shared" si="26"/>
        <v>0</v>
      </c>
      <c r="AE25" s="54">
        <f>SUM(SUMIFS(卡片数据!$S:$S,卡片数据!$B:$B,"用电计量设备",卡片数据!$Q:$Q,{"报废"}))</f>
        <v>0</v>
      </c>
      <c r="AF25" s="54">
        <f>SUM(SUMIFS(卡片数据!$S:$S,卡片数据!$B:$B,"用电计量设备",卡片数据!$Q:$Q,{"出售"}))</f>
        <v>0</v>
      </c>
      <c r="AG25" s="54">
        <f>SUM(SUMIFS(卡片数据!$S:$S,卡片数据!$B:$B,"用电计量设备",卡片数据!$Q:$Q,{"三供一业无偿划出"}))</f>
        <v>0</v>
      </c>
      <c r="AH25" s="54">
        <f>SUMIFS(卡片数据!$S:$S,卡片数据!$B:$B,"用电计量设备",卡片数据!$Q:$Q,"子分公司间划转资产")</f>
        <v>0</v>
      </c>
      <c r="AI25" s="54">
        <f>SUMIFS(卡片数据!$S:$S,卡片数据!$B:$B,"用电计量设备",卡片数据!$Q:$Q,"省外划拨")</f>
        <v>0</v>
      </c>
      <c r="AJ25" s="54">
        <f>SUMIFS(卡片数据!$S:$S,卡片数据!$B:$B,"用电计量设备",卡片数据!$Q:$Q,"省内地市间划拨")</f>
        <v>0</v>
      </c>
      <c r="AK25" s="54">
        <f>SUM(SUMIFS(卡片数据!$S:$S,卡片数据!$B:$B,"用电计量设备",卡片数据!$Q:$Q,{"拆分合并重分类","地市内划拨"}))</f>
        <v>0</v>
      </c>
      <c r="AL25" s="54">
        <f>SUMIFS(卡片数据!L:L,卡片数据!$B:$B,"用电计量设备")</f>
        <v>0</v>
      </c>
      <c r="AM25" s="74">
        <f t="shared" si="4"/>
        <v>0</v>
      </c>
      <c r="AN25" s="74">
        <f t="shared" si="5"/>
        <v>0</v>
      </c>
      <c r="AO25" s="54">
        <f>SUMIFS(卡片数据!W:W,卡片数据!$B:$B,"用电计量设备")</f>
        <v>0</v>
      </c>
      <c r="AP25" s="54">
        <f>SUMIFS(卡片数据!X:X,卡片数据!$B:$B,"用电计量设备")</f>
        <v>0</v>
      </c>
    </row>
    <row r="26" spans="1:42" s="67" customFormat="1" ht="11.25" x14ac:dyDescent="0.15">
      <c r="A26" s="60" t="s">
        <v>36</v>
      </c>
      <c r="B26" s="54">
        <f>SUMIFS(卡片数据!G:G,卡片数据!$B:$B,"通信线路及设备")</f>
        <v>0</v>
      </c>
      <c r="C26" s="54">
        <f>SUMIFS(卡片数据!H:H,卡片数据!$B:$B,"通信线路及设备")</f>
        <v>0</v>
      </c>
      <c r="D26" s="74">
        <f t="shared" si="23"/>
        <v>0</v>
      </c>
      <c r="E26" s="54">
        <f>SUM(SUMIFS(卡片数据!$O:$O,卡片数据!$B:$B,"通信线路及设备",卡片数据!$N:$N,{"工程项目","零购项目","用户资产","盘盈资产","非货币性交易","捐赠增加"}))</f>
        <v>0</v>
      </c>
      <c r="F26" s="54">
        <f>SUMIFS(卡片数据!$O:$O,卡片数据!$B:$B,"通信线路及设备",卡片数据!$N:$N,"子分公司间划转资产")</f>
        <v>0</v>
      </c>
      <c r="G26" s="54">
        <f>SUMIFS(卡片数据!$O:$O,卡片数据!$B:$B,"通信线路及设备",卡片数据!$N:$N,"省外划拨")</f>
        <v>0</v>
      </c>
      <c r="H26" s="54">
        <f>SUMIFS(卡片数据!$O:$O,卡片数据!$B:$B,"通信线路及设备",卡片数据!$N:$N,"省内地市间划拨")</f>
        <v>0</v>
      </c>
      <c r="I26" s="54">
        <f>SUM(SUMIFS(卡片数据!$O:$O,卡片数据!$B:$B,"通信线路及设备",卡片数据!$N:$N,{"拆分合并重分类","地市内划拨"}))</f>
        <v>0</v>
      </c>
      <c r="J26" s="74">
        <f t="shared" si="24"/>
        <v>0</v>
      </c>
      <c r="K26" s="54">
        <f>SUM(SUMIFS(卡片数据!$R:$R,卡片数据!$B:$B,"通信线路及设备",卡片数据!$Q:$Q,{"报废"}))</f>
        <v>0</v>
      </c>
      <c r="L26" s="54">
        <f>SUM(SUMIFS(卡片数据!$R:$R,卡片数据!$B:$B,"通信线路及设备",卡片数据!$Q:$Q,{"出售"}))</f>
        <v>0</v>
      </c>
      <c r="M26" s="54">
        <f>SUM(SUMIFS(卡片数据!$R:$R,卡片数据!$B:$B,"通信线路及设备",卡片数据!$Q:$Q,{"三供一业无偿划出"}))</f>
        <v>0</v>
      </c>
      <c r="N26" s="54">
        <f>SUMIFS(卡片数据!$R:$R,卡片数据!$B:$B,"通信线路及设备",卡片数据!$Q:$Q,"子分公司间划转资产")</f>
        <v>0</v>
      </c>
      <c r="O26" s="54">
        <f>SUMIFS(卡片数据!$R:$R,卡片数据!$B:$B,"通信线路及设备",卡片数据!$Q:$Q,"省外划拨")</f>
        <v>0</v>
      </c>
      <c r="P26" s="54">
        <f>SUMIFS(卡片数据!$R:$R,卡片数据!$B:$B,"通信线路及设备",卡片数据!$Q:$Q,"省内地市间划拨")</f>
        <v>0</v>
      </c>
      <c r="Q26" s="54">
        <f>SUM(SUMIFS(卡片数据!$R:$R,卡片数据!$B:$B,"通信线路及设备",卡片数据!$Q:$Q,{"拆分合并重分类","地市内划拨"}))</f>
        <v>0</v>
      </c>
      <c r="R26" s="54">
        <f>SUMIFS(卡片数据!J:J,卡片数据!$B:$B,"通信线路及设备")</f>
        <v>0</v>
      </c>
      <c r="S26" s="54">
        <f>SUMIFS(卡片数据!K:K,卡片数据!$B:$B,"通信线路及设备")</f>
        <v>0</v>
      </c>
      <c r="T26" s="77">
        <f t="shared" si="8"/>
        <v>0</v>
      </c>
      <c r="U26" s="74">
        <f t="shared" si="7"/>
        <v>0</v>
      </c>
      <c r="V26" s="54">
        <f>SUMIFS(卡片数据!I:I,卡片数据!$B:$B,"通信线路及设备")</f>
        <v>0</v>
      </c>
      <c r="W26" s="74">
        <f t="shared" si="25"/>
        <v>0</v>
      </c>
      <c r="X26" s="54">
        <f>SUM(SUMIFS(卡片数据!$P:$P,卡片数据!$B:$B,"通信线路及设备",卡片数据!$N:$N,{"工程项目","零购项目","用户资产","盘盈资产","非货币性交易","捐赠增加"}))</f>
        <v>0</v>
      </c>
      <c r="Y26" s="80">
        <f>SUMIFS(卡片数据!M:M,卡片数据!$B:$B,"通信线路及设备")</f>
        <v>0</v>
      </c>
      <c r="Z26" s="54">
        <f>SUMIFS(卡片数据!$P:$P,卡片数据!$B:$B,"通信线路及设备",卡片数据!$N:$N,"子分公司间划转资产")</f>
        <v>0</v>
      </c>
      <c r="AA26" s="54">
        <f>SUMIFS(卡片数据!$P:$P,卡片数据!$B:$B,"通信线路及设备",卡片数据!$N:$N,"省外划拨")</f>
        <v>0</v>
      </c>
      <c r="AB26" s="54">
        <f>SUMIFS(卡片数据!$P:$P,卡片数据!$B:$B,"通信线路及设备",卡片数据!$N:$N,"省内地市间划拨")</f>
        <v>0</v>
      </c>
      <c r="AC26" s="54">
        <f>SUM(SUMIFS(卡片数据!$P:$P,卡片数据!$B:$B,"通信线路及设备",卡片数据!$N:$N,{"拆分合并重分类","地市内划拨"}))</f>
        <v>0</v>
      </c>
      <c r="AD26" s="74">
        <f t="shared" si="26"/>
        <v>0</v>
      </c>
      <c r="AE26" s="54">
        <f>SUM(SUMIFS(卡片数据!$S:$S,卡片数据!$B:$B,"通信线路及设备",卡片数据!$Q:$Q,{"报废"}))</f>
        <v>0</v>
      </c>
      <c r="AF26" s="54">
        <f>SUM(SUMIFS(卡片数据!$S:$S,卡片数据!$B:$B,"通信线路及设备",卡片数据!$Q:$Q,{"出售"}))</f>
        <v>0</v>
      </c>
      <c r="AG26" s="54">
        <f>SUM(SUMIFS(卡片数据!$S:$S,卡片数据!$B:$B,"通信线路及设备",卡片数据!$Q:$Q,{"三供一业无偿划出"}))</f>
        <v>0</v>
      </c>
      <c r="AH26" s="54">
        <f>SUMIFS(卡片数据!$S:$S,卡片数据!$B:$B,"通信线路及设备",卡片数据!$Q:$Q,"子分公司间划转资产")</f>
        <v>0</v>
      </c>
      <c r="AI26" s="54">
        <f>SUMIFS(卡片数据!$S:$S,卡片数据!$B:$B,"通信线路及设备",卡片数据!$Q:$Q,"省外划拨")</f>
        <v>0</v>
      </c>
      <c r="AJ26" s="54">
        <f>SUMIFS(卡片数据!$S:$S,卡片数据!$B:$B,"通信线路及设备",卡片数据!$Q:$Q,"省内地市间划拨")</f>
        <v>0</v>
      </c>
      <c r="AK26" s="54">
        <f>SUM(SUMIFS(卡片数据!$S:$S,卡片数据!$B:$B,"通信线路及设备",卡片数据!$Q:$Q,{"拆分合并重分类","地市内划拨"}))</f>
        <v>0</v>
      </c>
      <c r="AL26" s="54">
        <f>SUMIFS(卡片数据!L:L,卡片数据!$B:$B,"通信线路及设备")</f>
        <v>0</v>
      </c>
      <c r="AM26" s="74">
        <f t="shared" si="4"/>
        <v>0</v>
      </c>
      <c r="AN26" s="74">
        <f t="shared" si="5"/>
        <v>0</v>
      </c>
      <c r="AO26" s="54">
        <f>SUMIFS(卡片数据!W:W,卡片数据!$B:$B,"通信线路及设备")</f>
        <v>0</v>
      </c>
      <c r="AP26" s="54">
        <f>SUMIFS(卡片数据!X:X,卡片数据!$B:$B,"通信线路及设备")</f>
        <v>0</v>
      </c>
    </row>
    <row r="27" spans="1:42" s="67" customFormat="1" ht="11.25" x14ac:dyDescent="0.15">
      <c r="A27" s="60" t="s">
        <v>37</v>
      </c>
      <c r="B27" s="54">
        <f>SUMIFS(卡片数据!G:G,卡片数据!$B:$B,"自动化控制设备、信息设备及仪器仪表")</f>
        <v>0</v>
      </c>
      <c r="C27" s="54">
        <f>SUMIFS(卡片数据!H:H,卡片数据!$B:$B,"自动化控制设备、信息设备及仪器仪表")</f>
        <v>0</v>
      </c>
      <c r="D27" s="74">
        <f t="shared" si="23"/>
        <v>0</v>
      </c>
      <c r="E27" s="54">
        <f>SUM(SUMIFS(卡片数据!$O:$O,卡片数据!$B:$B,"自动化控制设备、信息设备及仪器仪表",卡片数据!$N:$N,{"工程项目","零购项目","用户资产","盘盈资产","非货币性交易","捐赠增加"}))</f>
        <v>0</v>
      </c>
      <c r="F27" s="54">
        <f>SUMIFS(卡片数据!$O:$O,卡片数据!$B:$B,"自动化控制设备、信息设备及仪器仪表",卡片数据!$N:$N,"子分公司间划转资产")</f>
        <v>0</v>
      </c>
      <c r="G27" s="54">
        <f>SUMIFS(卡片数据!$O:$O,卡片数据!$B:$B,"自动化控制设备、信息设备及仪器仪表",卡片数据!$N:$N,"省外划拨")</f>
        <v>0</v>
      </c>
      <c r="H27" s="54">
        <f>SUMIFS(卡片数据!$O:$O,卡片数据!$B:$B,"自动化控制设备、信息设备及仪器仪表",卡片数据!$N:$N,"省内地市间划拨")</f>
        <v>0</v>
      </c>
      <c r="I27" s="54">
        <f>SUM(SUMIFS(卡片数据!$O:$O,卡片数据!$B:$B,"自动化控制设备、信息设备及仪器仪表",卡片数据!$N:$N,{"拆分合并重分类","地市内划拨"}))</f>
        <v>0</v>
      </c>
      <c r="J27" s="74">
        <f t="shared" si="24"/>
        <v>0</v>
      </c>
      <c r="K27" s="54">
        <f>SUM(SUMIFS(卡片数据!$R:$R,卡片数据!$B:$B,"自动化控制设备、信息设备及仪器仪表",卡片数据!$Q:$Q,{"报废"}))</f>
        <v>0</v>
      </c>
      <c r="L27" s="54">
        <f>SUM(SUMIFS(卡片数据!$R:$R,卡片数据!$B:$B,"自动化控制设备、信息设备及仪器仪表",卡片数据!$Q:$Q,{"出售"}))</f>
        <v>0</v>
      </c>
      <c r="M27" s="54">
        <f>SUM(SUMIFS(卡片数据!$R:$R,卡片数据!$B:$B,"自动化控制设备、信息设备及仪器仪表",卡片数据!$Q:$Q,{"三供一业无偿划出"}))</f>
        <v>0</v>
      </c>
      <c r="N27" s="54">
        <f>SUMIFS(卡片数据!$R:$R,卡片数据!$B:$B,"自动化控制设备、信息设备及仪器仪表",卡片数据!$Q:$Q,"子分公司间划转资产")</f>
        <v>0</v>
      </c>
      <c r="O27" s="54">
        <f>SUMIFS(卡片数据!$R:$R,卡片数据!$B:$B,"自动化控制设备、信息设备及仪器仪表",卡片数据!$Q:$Q,"省外划拨")</f>
        <v>0</v>
      </c>
      <c r="P27" s="54">
        <f>SUMIFS(卡片数据!$R:$R,卡片数据!$B:$B,"自动化控制设备、信息设备及仪器仪表",卡片数据!$Q:$Q,"省内地市间划拨")</f>
        <v>0</v>
      </c>
      <c r="Q27" s="54">
        <f>SUM(SUMIFS(卡片数据!$R:$R,卡片数据!$B:$B,"自动化控制设备、信息设备及仪器仪表",卡片数据!$Q:$Q,{"拆分合并重分类","地市内划拨"}))</f>
        <v>0</v>
      </c>
      <c r="R27" s="54">
        <f>SUMIFS(卡片数据!J:J,卡片数据!$B:$B,"自动化控制设备、信息设备及仪器仪表")</f>
        <v>0</v>
      </c>
      <c r="S27" s="54">
        <f>SUMIFS(卡片数据!K:K,卡片数据!$B:$B,"自动化控制设备、信息设备及仪器仪表")</f>
        <v>0</v>
      </c>
      <c r="T27" s="77">
        <f t="shared" si="8"/>
        <v>0</v>
      </c>
      <c r="U27" s="74">
        <f t="shared" si="7"/>
        <v>0</v>
      </c>
      <c r="V27" s="54">
        <f>SUMIFS(卡片数据!I:I,卡片数据!$B:$B,"自动化控制设备、信息设备及仪器仪表")</f>
        <v>0</v>
      </c>
      <c r="W27" s="74">
        <f t="shared" si="25"/>
        <v>0</v>
      </c>
      <c r="X27" s="54">
        <f>SUM(SUMIFS(卡片数据!$P:$P,卡片数据!$B:$B,"自动化控制设备、信息设备及仪器仪表",卡片数据!$N:$N,{"工程项目","零购项目","用户资产","盘盈资产","非货币性交易","捐赠增加"}))</f>
        <v>0</v>
      </c>
      <c r="Y27" s="80">
        <f>SUMIFS(卡片数据!M:M,卡片数据!$B:$B,"自动化控制设备、信息设备及仪器仪表")</f>
        <v>0</v>
      </c>
      <c r="Z27" s="54">
        <f>SUMIFS(卡片数据!$P:$P,卡片数据!$B:$B,"自动化控制设备、信息设备及仪器仪表",卡片数据!$N:$N,"子分公司间划转资产")</f>
        <v>0</v>
      </c>
      <c r="AA27" s="54">
        <f>SUMIFS(卡片数据!$P:$P,卡片数据!$B:$B,"自动化控制设备、信息设备及仪器仪表",卡片数据!$N:$N,"省外划拨")</f>
        <v>0</v>
      </c>
      <c r="AB27" s="54">
        <f>SUMIFS(卡片数据!$P:$P,卡片数据!$B:$B,"自动化控制设备、信息设备及仪器仪表",卡片数据!$N:$N,"省内地市间划拨")</f>
        <v>0</v>
      </c>
      <c r="AC27" s="54">
        <f>SUM(SUMIFS(卡片数据!$P:$P,卡片数据!$B:$B,"自动化控制设备、信息设备及仪器仪表",卡片数据!$N:$N,{"拆分合并重分类","地市内划拨"}))</f>
        <v>0</v>
      </c>
      <c r="AD27" s="74">
        <f t="shared" si="26"/>
        <v>0</v>
      </c>
      <c r="AE27" s="54">
        <f>SUM(SUMIFS(卡片数据!$S:$S,卡片数据!$B:$B,"自动化控制设备、信息设备及仪器仪表",卡片数据!$Q:$Q,{"报废"}))</f>
        <v>0</v>
      </c>
      <c r="AF27" s="54">
        <f>SUM(SUMIFS(卡片数据!$S:$S,卡片数据!$B:$B,"自动化控制设备、信息设备及仪器仪表",卡片数据!$Q:$Q,{"出售"}))</f>
        <v>0</v>
      </c>
      <c r="AG27" s="54">
        <f>SUM(SUMIFS(卡片数据!$S:$S,卡片数据!$B:$B,"自动化控制设备、信息设备及仪器仪表",卡片数据!$Q:$Q,{"三供一业无偿划出"}))</f>
        <v>0</v>
      </c>
      <c r="AH27" s="54">
        <f>SUMIFS(卡片数据!$S:$S,卡片数据!$B:$B,"自动化控制设备、信息设备及仪器仪表",卡片数据!$Q:$Q,"子分公司间划转资产")</f>
        <v>0</v>
      </c>
      <c r="AI27" s="54">
        <f>SUMIFS(卡片数据!$S:$S,卡片数据!$B:$B,"自动化控制设备、信息设备及仪器仪表",卡片数据!$Q:$Q,"省外划拨")</f>
        <v>0</v>
      </c>
      <c r="AJ27" s="54">
        <f>SUMIFS(卡片数据!$S:$S,卡片数据!$B:$B,"自动化控制设备、信息设备及仪器仪表",卡片数据!$Q:$Q,"省内地市间划拨")</f>
        <v>0</v>
      </c>
      <c r="AK27" s="54">
        <f>SUM(SUMIFS(卡片数据!$S:$S,卡片数据!$B:$B,"自动化控制设备、信息设备及仪器仪表",卡片数据!$Q:$Q,{"拆分合并重分类","地市内划拨"}))</f>
        <v>0</v>
      </c>
      <c r="AL27" s="54">
        <f>SUMIFS(卡片数据!L:L,卡片数据!$B:$B,"自动化控制设备、信息设备及仪器仪表")</f>
        <v>0</v>
      </c>
      <c r="AM27" s="74">
        <f t="shared" si="4"/>
        <v>0</v>
      </c>
      <c r="AN27" s="74">
        <f t="shared" si="5"/>
        <v>0</v>
      </c>
      <c r="AO27" s="54">
        <f>SUMIFS(卡片数据!W:W,卡片数据!$B:$B,"自动化控制设备、信息设备及仪器仪表")</f>
        <v>0</v>
      </c>
      <c r="AP27" s="54">
        <f>SUMIFS(卡片数据!X:X,卡片数据!$B:$B,"自动化控制设备、信息设备及仪器仪表")</f>
        <v>0</v>
      </c>
    </row>
    <row r="28" spans="1:42" s="67" customFormat="1" ht="11.25" x14ac:dyDescent="0.15">
      <c r="A28" s="60" t="s">
        <v>38</v>
      </c>
      <c r="B28" s="54">
        <f>SUMIFS(卡片数据!G:G,卡片数据!$B:$B,"发电及供热设备")</f>
        <v>0</v>
      </c>
      <c r="C28" s="54">
        <f>SUMIFS(卡片数据!H:H,卡片数据!$B:$B,"发电及供热设备")</f>
        <v>0</v>
      </c>
      <c r="D28" s="74">
        <f t="shared" si="23"/>
        <v>0</v>
      </c>
      <c r="E28" s="54">
        <f>SUM(SUMIFS(卡片数据!$O:$O,卡片数据!$B:$B,"发电及供热设备",卡片数据!$N:$N,{"工程项目","零购项目","用户资产","盘盈资产","非货币性交易","捐赠增加"}))</f>
        <v>0</v>
      </c>
      <c r="F28" s="54">
        <f>SUMIFS(卡片数据!$O:$O,卡片数据!$B:$B,"发电及供热设备",卡片数据!$N:$N,"子分公司间划转资产")</f>
        <v>0</v>
      </c>
      <c r="G28" s="54">
        <f>SUMIFS(卡片数据!$O:$O,卡片数据!$B:$B,"发电及供热设备",卡片数据!$N:$N,"省外划拨")</f>
        <v>0</v>
      </c>
      <c r="H28" s="54">
        <f>SUMIFS(卡片数据!$O:$O,卡片数据!$B:$B,"发电及供热设备",卡片数据!$N:$N,"省内地市间划拨")</f>
        <v>0</v>
      </c>
      <c r="I28" s="54">
        <f>SUM(SUMIFS(卡片数据!$O:$O,卡片数据!$B:$B,"发电及供热设备",卡片数据!$N:$N,{"拆分合并重分类","地市内划拨"}))</f>
        <v>0</v>
      </c>
      <c r="J28" s="74">
        <f t="shared" si="24"/>
        <v>0</v>
      </c>
      <c r="K28" s="54">
        <f>SUM(SUMIFS(卡片数据!$R:$R,卡片数据!$B:$B,"发电及供热设备",卡片数据!$Q:$Q,{"报废"}))</f>
        <v>0</v>
      </c>
      <c r="L28" s="54">
        <f>SUM(SUMIFS(卡片数据!$R:$R,卡片数据!$B:$B,"发电及供热设备",卡片数据!$Q:$Q,{"出售"}))</f>
        <v>0</v>
      </c>
      <c r="M28" s="54">
        <f>SUM(SUMIFS(卡片数据!$R:$R,卡片数据!$B:$B,"发电及供热设备",卡片数据!$Q:$Q,{"三供一业无偿划出"}))</f>
        <v>0</v>
      </c>
      <c r="N28" s="54">
        <f>SUMIFS(卡片数据!$R:$R,卡片数据!$B:$B,"发电及供热设备",卡片数据!$Q:$Q,"子分公司间划转资产")</f>
        <v>0</v>
      </c>
      <c r="O28" s="54">
        <f>SUMIFS(卡片数据!$R:$R,卡片数据!$B:$B,"发电及供热设备",卡片数据!$Q:$Q,"省外划拨")</f>
        <v>0</v>
      </c>
      <c r="P28" s="54">
        <f>SUMIFS(卡片数据!$R:$R,卡片数据!$B:$B,"发电及供热设备",卡片数据!$Q:$Q,"省内地市间划拨")</f>
        <v>0</v>
      </c>
      <c r="Q28" s="54">
        <f>SUM(SUMIFS(卡片数据!$R:$R,卡片数据!$B:$B,"发电及供热设备",卡片数据!$Q:$Q,{"拆分合并重分类","地市内划拨"}))</f>
        <v>0</v>
      </c>
      <c r="R28" s="54">
        <f>SUMIFS(卡片数据!J:J,卡片数据!$B:$B,"发电及供热设备")</f>
        <v>0</v>
      </c>
      <c r="S28" s="54">
        <f>SUMIFS(卡片数据!K:K,卡片数据!$B:$B,"发电及供热设备")</f>
        <v>0</v>
      </c>
      <c r="T28" s="77">
        <f t="shared" si="8"/>
        <v>0</v>
      </c>
      <c r="U28" s="74">
        <f t="shared" si="7"/>
        <v>0</v>
      </c>
      <c r="V28" s="54">
        <f>SUMIFS(卡片数据!I:I,卡片数据!$B:$B,"发电及供热设备")</f>
        <v>0</v>
      </c>
      <c r="W28" s="74">
        <f t="shared" si="25"/>
        <v>0</v>
      </c>
      <c r="X28" s="54">
        <f>SUM(SUMIFS(卡片数据!$P:$P,卡片数据!$B:$B,"发电及供热设备",卡片数据!$N:$N,{"工程项目","零购项目","用户资产","盘盈资产","非货币性交易","捐赠增加"}))</f>
        <v>0</v>
      </c>
      <c r="Y28" s="80">
        <f>SUMIFS(卡片数据!M:M,卡片数据!$B:$B,"发电及供热设备")</f>
        <v>0</v>
      </c>
      <c r="Z28" s="54">
        <f>SUMIFS(卡片数据!$P:$P,卡片数据!$B:$B,"发电及供热设备",卡片数据!$N:$N,"子分公司间划转资产")</f>
        <v>0</v>
      </c>
      <c r="AA28" s="54">
        <f>SUMIFS(卡片数据!$P:$P,卡片数据!$B:$B,"发电及供热设备",卡片数据!$N:$N,"省外划拨")</f>
        <v>0</v>
      </c>
      <c r="AB28" s="54">
        <f>SUMIFS(卡片数据!$P:$P,卡片数据!$B:$B,"发电及供热设备",卡片数据!$N:$N,"省内地市间划拨")</f>
        <v>0</v>
      </c>
      <c r="AC28" s="54">
        <f>SUM(SUMIFS(卡片数据!$P:$P,卡片数据!$B:$B,"发电及供热设备",卡片数据!$N:$N,{"拆分合并重分类","地市内划拨"}))</f>
        <v>0</v>
      </c>
      <c r="AD28" s="74">
        <f t="shared" si="26"/>
        <v>0</v>
      </c>
      <c r="AE28" s="54">
        <f>SUM(SUMIFS(卡片数据!$S:$S,卡片数据!$B:$B,"发电及供热设备",卡片数据!$Q:$Q,{"报废"}))</f>
        <v>0</v>
      </c>
      <c r="AF28" s="54">
        <f>SUM(SUMIFS(卡片数据!$S:$S,卡片数据!$B:$B,"发电及供热设备",卡片数据!$Q:$Q,{"出售"}))</f>
        <v>0</v>
      </c>
      <c r="AG28" s="54">
        <f>SUM(SUMIFS(卡片数据!$S:$S,卡片数据!$B:$B,"发电及供热设备",卡片数据!$Q:$Q,{"三供一业无偿划出"}))</f>
        <v>0</v>
      </c>
      <c r="AH28" s="54">
        <f>SUMIFS(卡片数据!$S:$S,卡片数据!$B:$B,"发电及供热设备",卡片数据!$Q:$Q,"子分公司间划转资产")</f>
        <v>0</v>
      </c>
      <c r="AI28" s="54">
        <f>SUMIFS(卡片数据!$S:$S,卡片数据!$B:$B,"发电及供热设备",卡片数据!$Q:$Q,"省外划拨")</f>
        <v>0</v>
      </c>
      <c r="AJ28" s="54">
        <f>SUMIFS(卡片数据!$S:$S,卡片数据!$B:$B,"发电及供热设备",卡片数据!$Q:$Q,"省内地市间划拨")</f>
        <v>0</v>
      </c>
      <c r="AK28" s="54">
        <f>SUM(SUMIFS(卡片数据!$S:$S,卡片数据!$B:$B,"发电及供热设备",卡片数据!$Q:$Q,{"拆分合并重分类","地市内划拨"}))</f>
        <v>0</v>
      </c>
      <c r="AL28" s="54">
        <f>SUMIFS(卡片数据!L:L,卡片数据!$B:$B,"发电及供热设备")</f>
        <v>0</v>
      </c>
      <c r="AM28" s="74">
        <f t="shared" si="4"/>
        <v>0</v>
      </c>
      <c r="AN28" s="74">
        <f t="shared" si="5"/>
        <v>0</v>
      </c>
      <c r="AO28" s="54">
        <f>SUMIFS(卡片数据!W:W,卡片数据!$B:$B,"发电及供热设备")</f>
        <v>0</v>
      </c>
      <c r="AP28" s="54">
        <f>SUMIFS(卡片数据!X:X,卡片数据!$B:$B,"发电及供热设备")</f>
        <v>0</v>
      </c>
    </row>
    <row r="29" spans="1:42" s="67" customFormat="1" ht="11.25" x14ac:dyDescent="0.15">
      <c r="A29" s="60" t="s">
        <v>39</v>
      </c>
      <c r="B29" s="54">
        <f>SUMIFS(卡片数据!G:G,卡片数据!$B:$B,"水工机械设备")</f>
        <v>0</v>
      </c>
      <c r="C29" s="54">
        <f>SUMIFS(卡片数据!H:H,卡片数据!$B:$B,"水工机械设备")</f>
        <v>0</v>
      </c>
      <c r="D29" s="74">
        <f t="shared" si="23"/>
        <v>0</v>
      </c>
      <c r="E29" s="54">
        <f>SUM(SUMIFS(卡片数据!$O:$O,卡片数据!$B:$B,"水工机械设备",卡片数据!$N:$N,{"工程项目","零购项目","用户资产","盘盈资产","非货币性交易","捐赠增加"}))</f>
        <v>0</v>
      </c>
      <c r="F29" s="54">
        <f>SUMIFS(卡片数据!$O:$O,卡片数据!$B:$B,"水工机械设备",卡片数据!$N:$N,"子分公司间划转资产")</f>
        <v>0</v>
      </c>
      <c r="G29" s="54">
        <f>SUMIFS(卡片数据!$O:$O,卡片数据!$B:$B,"水工机械设备",卡片数据!$N:$N,"省外划拨")</f>
        <v>0</v>
      </c>
      <c r="H29" s="54">
        <f>SUMIFS(卡片数据!$O:$O,卡片数据!$B:$B,"水工机械设备",卡片数据!$N:$N,"省内地市间划拨")</f>
        <v>0</v>
      </c>
      <c r="I29" s="54">
        <f>SUM(SUMIFS(卡片数据!$O:$O,卡片数据!$B:$B,"水工机械设备",卡片数据!$N:$N,{"拆分合并重分类","地市内划拨"}))</f>
        <v>0</v>
      </c>
      <c r="J29" s="74">
        <f t="shared" si="24"/>
        <v>0</v>
      </c>
      <c r="K29" s="54">
        <f>SUM(SUMIFS(卡片数据!$R:$R,卡片数据!$B:$B,"水工机械设备",卡片数据!$Q:$Q,{"报废"}))</f>
        <v>0</v>
      </c>
      <c r="L29" s="54">
        <f>SUM(SUMIFS(卡片数据!$R:$R,卡片数据!$B:$B,"水工机械设备",卡片数据!$Q:$Q,{"出售"}))</f>
        <v>0</v>
      </c>
      <c r="M29" s="54">
        <f>SUM(SUMIFS(卡片数据!$R:$R,卡片数据!$B:$B,"水工机械设备",卡片数据!$Q:$Q,{"三供一业无偿划出"}))</f>
        <v>0</v>
      </c>
      <c r="N29" s="54">
        <f>SUMIFS(卡片数据!$R:$R,卡片数据!$B:$B,"水工机械设备",卡片数据!$Q:$Q,"子分公司间划转资产")</f>
        <v>0</v>
      </c>
      <c r="O29" s="54">
        <f>SUMIFS(卡片数据!$R:$R,卡片数据!$B:$B,"水工机械设备",卡片数据!$Q:$Q,"省外划拨")</f>
        <v>0</v>
      </c>
      <c r="P29" s="54">
        <f>SUMIFS(卡片数据!$R:$R,卡片数据!$B:$B,"水工机械设备",卡片数据!$Q:$Q,"省内地市间划拨")</f>
        <v>0</v>
      </c>
      <c r="Q29" s="54">
        <f>SUM(SUMIFS(卡片数据!$R:$R,卡片数据!$B:$B,"水工机械设备",卡片数据!$Q:$Q,{"拆分合并重分类","地市内划拨"}))</f>
        <v>0</v>
      </c>
      <c r="R29" s="54">
        <f>SUMIFS(卡片数据!J:J,卡片数据!$B:$B,"水工机械设备")</f>
        <v>0</v>
      </c>
      <c r="S29" s="54">
        <f>SUMIFS(卡片数据!K:K,卡片数据!$B:$B,"水工机械设备")</f>
        <v>0</v>
      </c>
      <c r="T29" s="77">
        <f t="shared" si="8"/>
        <v>0</v>
      </c>
      <c r="U29" s="74">
        <f t="shared" si="7"/>
        <v>0</v>
      </c>
      <c r="V29" s="54">
        <f>SUMIFS(卡片数据!I:I,卡片数据!$B:$B,"水工机械设备")</f>
        <v>0</v>
      </c>
      <c r="W29" s="74">
        <f t="shared" si="25"/>
        <v>0</v>
      </c>
      <c r="X29" s="54">
        <f>SUM(SUMIFS(卡片数据!$P:$P,卡片数据!$B:$B,"水工机械设备",卡片数据!$N:$N,{"工程项目","零购项目","用户资产","盘盈资产","非货币性交易","捐赠增加"}))</f>
        <v>0</v>
      </c>
      <c r="Y29" s="80">
        <f>SUMIFS(卡片数据!M:M,卡片数据!$B:$B,"水工机械设备")</f>
        <v>0</v>
      </c>
      <c r="Z29" s="54">
        <f>SUMIFS(卡片数据!$P:$P,卡片数据!$B:$B,"水工机械设备",卡片数据!$N:$N,"子分公司间划转资产")</f>
        <v>0</v>
      </c>
      <c r="AA29" s="54">
        <f>SUMIFS(卡片数据!$P:$P,卡片数据!$B:$B,"水工机械设备",卡片数据!$N:$N,"省外划拨")</f>
        <v>0</v>
      </c>
      <c r="AB29" s="54">
        <f>SUMIFS(卡片数据!$P:$P,卡片数据!$B:$B,"水工机械设备",卡片数据!$N:$N,"省内地市间划拨")</f>
        <v>0</v>
      </c>
      <c r="AC29" s="54">
        <f>SUM(SUMIFS(卡片数据!$P:$P,卡片数据!$B:$B,"水工机械设备",卡片数据!$N:$N,{"拆分合并重分类","地市内划拨"}))</f>
        <v>0</v>
      </c>
      <c r="AD29" s="74">
        <f t="shared" si="26"/>
        <v>0</v>
      </c>
      <c r="AE29" s="54">
        <f>SUM(SUMIFS(卡片数据!$S:$S,卡片数据!$B:$B,"水工机械设备",卡片数据!$Q:$Q,{"报废"}))</f>
        <v>0</v>
      </c>
      <c r="AF29" s="54">
        <f>SUM(SUMIFS(卡片数据!$S:$S,卡片数据!$B:$B,"水工机械设备",卡片数据!$Q:$Q,{"出售"}))</f>
        <v>0</v>
      </c>
      <c r="AG29" s="54">
        <f>SUM(SUMIFS(卡片数据!$S:$S,卡片数据!$B:$B,"水工机械设备",卡片数据!$Q:$Q,{"三供一业无偿划出"}))</f>
        <v>0</v>
      </c>
      <c r="AH29" s="54">
        <f>SUMIFS(卡片数据!$S:$S,卡片数据!$B:$B,"水工机械设备",卡片数据!$Q:$Q,"子分公司间划转资产")</f>
        <v>0</v>
      </c>
      <c r="AI29" s="54">
        <f>SUMIFS(卡片数据!$S:$S,卡片数据!$B:$B,"水工机械设备",卡片数据!$Q:$Q,"省外划拨")</f>
        <v>0</v>
      </c>
      <c r="AJ29" s="54">
        <f>SUMIFS(卡片数据!$S:$S,卡片数据!$B:$B,"水工机械设备",卡片数据!$Q:$Q,"省内地市间划拨")</f>
        <v>0</v>
      </c>
      <c r="AK29" s="54">
        <f>SUM(SUMIFS(卡片数据!$S:$S,卡片数据!$B:$B,"水工机械设备",卡片数据!$Q:$Q,{"拆分合并重分类","地市内划拨"}))</f>
        <v>0</v>
      </c>
      <c r="AL29" s="54">
        <f>SUMIFS(卡片数据!L:L,卡片数据!$B:$B,"水工机械设备")</f>
        <v>0</v>
      </c>
      <c r="AM29" s="74">
        <f t="shared" si="4"/>
        <v>0</v>
      </c>
      <c r="AN29" s="74">
        <f t="shared" si="5"/>
        <v>0</v>
      </c>
      <c r="AO29" s="54">
        <f>SUMIFS(卡片数据!W:W,卡片数据!$B:$B,"水工机械设备")</f>
        <v>0</v>
      </c>
      <c r="AP29" s="54">
        <f>SUMIFS(卡片数据!X:X,卡片数据!$B:$B,"水工机械设备")</f>
        <v>0</v>
      </c>
    </row>
    <row r="30" spans="1:42" s="67" customFormat="1" ht="11.25" x14ac:dyDescent="0.15">
      <c r="A30" s="60" t="s">
        <v>40</v>
      </c>
      <c r="B30" s="54">
        <f>SUMIFS(卡片数据!G:G,卡片数据!$B:$B,"制造及检修维护设备")</f>
        <v>0</v>
      </c>
      <c r="C30" s="54">
        <f>SUMIFS(卡片数据!H:H,卡片数据!$B:$B,"制造及检修维护设备")</f>
        <v>0</v>
      </c>
      <c r="D30" s="74">
        <f t="shared" si="23"/>
        <v>0</v>
      </c>
      <c r="E30" s="54">
        <f>SUM(SUMIFS(卡片数据!$O:$O,卡片数据!$B:$B,"制造及检修维护设备",卡片数据!$N:$N,{"工程项目","零购项目","用户资产","盘盈资产","非货币性交易","捐赠增加"}))</f>
        <v>0</v>
      </c>
      <c r="F30" s="54">
        <f>SUMIFS(卡片数据!$O:$O,卡片数据!$B:$B,"制造及检修维护设备",卡片数据!$N:$N,"子分公司间划转资产")</f>
        <v>0</v>
      </c>
      <c r="G30" s="54">
        <f>SUMIFS(卡片数据!$O:$O,卡片数据!$B:$B,"制造及检修维护设备",卡片数据!$N:$N,"省外划拨")</f>
        <v>0</v>
      </c>
      <c r="H30" s="54">
        <f>SUMIFS(卡片数据!$O:$O,卡片数据!$B:$B,"制造及检修维护设备",卡片数据!$N:$N,"省内地市间划拨")</f>
        <v>0</v>
      </c>
      <c r="I30" s="54">
        <f>SUM(SUMIFS(卡片数据!$O:$O,卡片数据!$B:$B,"制造及检修维护设备",卡片数据!$N:$N,{"拆分合并重分类","地市内划拨"}))</f>
        <v>0</v>
      </c>
      <c r="J30" s="74">
        <f t="shared" si="24"/>
        <v>0</v>
      </c>
      <c r="K30" s="54">
        <f>SUM(SUMIFS(卡片数据!$R:$R,卡片数据!$B:$B,"制造及检修维护设备",卡片数据!$Q:$Q,{"报废"}))</f>
        <v>0</v>
      </c>
      <c r="L30" s="54">
        <f>SUM(SUMIFS(卡片数据!$R:$R,卡片数据!$B:$B,"制造及检修维护设备",卡片数据!$Q:$Q,{"出售"}))</f>
        <v>0</v>
      </c>
      <c r="M30" s="54">
        <f>SUM(SUMIFS(卡片数据!$R:$R,卡片数据!$B:$B,"制造及检修维护设备",卡片数据!$Q:$Q,{"三供一业无偿划出"}))</f>
        <v>0</v>
      </c>
      <c r="N30" s="54">
        <f>SUMIFS(卡片数据!$R:$R,卡片数据!$B:$B,"制造及检修维护设备",卡片数据!$Q:$Q,"子分公司间划转资产")</f>
        <v>0</v>
      </c>
      <c r="O30" s="54">
        <f>SUMIFS(卡片数据!$R:$R,卡片数据!$B:$B,"制造及检修维护设备",卡片数据!$Q:$Q,"省外划拨")</f>
        <v>0</v>
      </c>
      <c r="P30" s="54">
        <f>SUMIFS(卡片数据!$R:$R,卡片数据!$B:$B,"制造及检修维护设备",卡片数据!$Q:$Q,"省内地市间划拨")</f>
        <v>0</v>
      </c>
      <c r="Q30" s="54">
        <f>SUM(SUMIFS(卡片数据!$R:$R,卡片数据!$B:$B,"制造及检修维护设备",卡片数据!$Q:$Q,{"拆分合并重分类","地市内划拨"}))</f>
        <v>0</v>
      </c>
      <c r="R30" s="54">
        <f>SUMIFS(卡片数据!J:J,卡片数据!$B:$B,"制造及检修维护设备")</f>
        <v>0</v>
      </c>
      <c r="S30" s="54">
        <f>SUMIFS(卡片数据!K:K,卡片数据!$B:$B,"制造及检修维护设备")</f>
        <v>0</v>
      </c>
      <c r="T30" s="77">
        <f t="shared" si="8"/>
        <v>0</v>
      </c>
      <c r="U30" s="74">
        <f t="shared" si="7"/>
        <v>0</v>
      </c>
      <c r="V30" s="54">
        <f>SUMIFS(卡片数据!I:I,卡片数据!$B:$B,"制造及检修维护设备")</f>
        <v>0</v>
      </c>
      <c r="W30" s="74">
        <f t="shared" si="25"/>
        <v>0</v>
      </c>
      <c r="X30" s="54">
        <f>SUM(SUMIFS(卡片数据!$P:$P,卡片数据!$B:$B,"制造及检修维护设备",卡片数据!$N:$N,{"工程项目","零购项目","用户资产","盘盈资产","非货币性交易","捐赠增加"}))</f>
        <v>0</v>
      </c>
      <c r="Y30" s="80">
        <f>SUMIFS(卡片数据!M:M,卡片数据!$B:$B,"制造及检修维护设备")</f>
        <v>0</v>
      </c>
      <c r="Z30" s="54">
        <f>SUMIFS(卡片数据!$P:$P,卡片数据!$B:$B,"制造及检修维护设备",卡片数据!$N:$N,"子分公司间划转资产")</f>
        <v>0</v>
      </c>
      <c r="AA30" s="54">
        <f>SUMIFS(卡片数据!$P:$P,卡片数据!$B:$B,"制造及检修维护设备",卡片数据!$N:$N,"省外划拨")</f>
        <v>0</v>
      </c>
      <c r="AB30" s="54">
        <f>SUMIFS(卡片数据!$P:$P,卡片数据!$B:$B,"制造及检修维护设备",卡片数据!$N:$N,"省内地市间划拨")</f>
        <v>0</v>
      </c>
      <c r="AC30" s="54">
        <f>SUM(SUMIFS(卡片数据!$P:$P,卡片数据!$B:$B,"制造及检修维护设备",卡片数据!$N:$N,{"拆分合并重分类","地市内划拨"}))</f>
        <v>0</v>
      </c>
      <c r="AD30" s="74">
        <f t="shared" si="26"/>
        <v>0</v>
      </c>
      <c r="AE30" s="54">
        <f>SUM(SUMIFS(卡片数据!$S:$S,卡片数据!$B:$B,"制造及检修维护设备",卡片数据!$Q:$Q,{"报废"}))</f>
        <v>0</v>
      </c>
      <c r="AF30" s="54">
        <f>SUM(SUMIFS(卡片数据!$S:$S,卡片数据!$B:$B,"制造及检修维护设备",卡片数据!$Q:$Q,{"出售"}))</f>
        <v>0</v>
      </c>
      <c r="AG30" s="54">
        <f>SUM(SUMIFS(卡片数据!$S:$S,卡片数据!$B:$B,"制造及检修维护设备",卡片数据!$Q:$Q,{"三供一业无偿划出"}))</f>
        <v>0</v>
      </c>
      <c r="AH30" s="54">
        <f>SUMIFS(卡片数据!$S:$S,卡片数据!$B:$B,"制造及检修维护设备",卡片数据!$Q:$Q,"子分公司间划转资产")</f>
        <v>0</v>
      </c>
      <c r="AI30" s="54">
        <f>SUMIFS(卡片数据!$S:$S,卡片数据!$B:$B,"制造及检修维护设备",卡片数据!$Q:$Q,"省外划拨")</f>
        <v>0</v>
      </c>
      <c r="AJ30" s="54">
        <f>SUMIFS(卡片数据!$S:$S,卡片数据!$B:$B,"制造及检修维护设备",卡片数据!$Q:$Q,"省内地市间划拨")</f>
        <v>0</v>
      </c>
      <c r="AK30" s="54">
        <f>SUM(SUMIFS(卡片数据!$S:$S,卡片数据!$B:$B,"制造及检修维护设备",卡片数据!$Q:$Q,{"拆分合并重分类","地市内划拨"}))</f>
        <v>0</v>
      </c>
      <c r="AL30" s="54">
        <f>SUMIFS(卡片数据!L:L,卡片数据!$B:$B,"制造及检修维护设备")</f>
        <v>0</v>
      </c>
      <c r="AM30" s="74">
        <f t="shared" si="4"/>
        <v>0</v>
      </c>
      <c r="AN30" s="74">
        <f t="shared" si="5"/>
        <v>0</v>
      </c>
      <c r="AO30" s="54">
        <f>SUMIFS(卡片数据!W:W,卡片数据!$B:$B,"制造及检修维护设备")</f>
        <v>0</v>
      </c>
      <c r="AP30" s="54">
        <f>SUMIFS(卡片数据!X:X,卡片数据!$B:$B,"制造及检修维护设备")</f>
        <v>0</v>
      </c>
    </row>
    <row r="31" spans="1:42" s="67" customFormat="1" ht="11.25" x14ac:dyDescent="0.15">
      <c r="A31" s="60" t="s">
        <v>41</v>
      </c>
      <c r="B31" s="54">
        <f>SUMIFS(卡片数据!G:G,卡片数据!$B:$B,"生产管理用工器具")</f>
        <v>0</v>
      </c>
      <c r="C31" s="54">
        <f>SUMIFS(卡片数据!H:H,卡片数据!$B:$B,"生产管理用工器具")</f>
        <v>0</v>
      </c>
      <c r="D31" s="74">
        <f t="shared" si="23"/>
        <v>0</v>
      </c>
      <c r="E31" s="54">
        <f>SUM(SUMIFS(卡片数据!$O:$O,卡片数据!$B:$B,"生产管理用工器具",卡片数据!$N:$N,{"工程项目","零购项目","用户资产","盘盈资产","非货币性交易","捐赠增加"}))</f>
        <v>0</v>
      </c>
      <c r="F31" s="54">
        <f>SUMIFS(卡片数据!$O:$O,卡片数据!$B:$B,"生产管理用工器具",卡片数据!$N:$N,"子分公司间划转资产")</f>
        <v>0</v>
      </c>
      <c r="G31" s="54">
        <f>SUMIFS(卡片数据!$O:$O,卡片数据!$B:$B,"生产管理用工器具",卡片数据!$N:$N,"省外划拨")</f>
        <v>0</v>
      </c>
      <c r="H31" s="54">
        <f>SUMIFS(卡片数据!$O:$O,卡片数据!$B:$B,"生产管理用工器具",卡片数据!$N:$N,"省内地市间划拨")</f>
        <v>0</v>
      </c>
      <c r="I31" s="54">
        <f>SUM(SUMIFS(卡片数据!$O:$O,卡片数据!$B:$B,"生产管理用工器具",卡片数据!$N:$N,{"拆分合并重分类","地市内划拨"}))</f>
        <v>0</v>
      </c>
      <c r="J31" s="74">
        <f t="shared" si="24"/>
        <v>0</v>
      </c>
      <c r="K31" s="54">
        <f>SUM(SUMIFS(卡片数据!$R:$R,卡片数据!$B:$B,"生产管理用工器具",卡片数据!$Q:$Q,{"报废"}))</f>
        <v>0</v>
      </c>
      <c r="L31" s="54">
        <f>SUM(SUMIFS(卡片数据!$R:$R,卡片数据!$B:$B,"生产管理用工器具",卡片数据!$Q:$Q,{"出售"}))</f>
        <v>0</v>
      </c>
      <c r="M31" s="54">
        <f>SUM(SUMIFS(卡片数据!$R:$R,卡片数据!$B:$B,"生产管理用工器具",卡片数据!$Q:$Q,{"三供一业无偿划出"}))</f>
        <v>0</v>
      </c>
      <c r="N31" s="54">
        <f>SUMIFS(卡片数据!$R:$R,卡片数据!$B:$B,"生产管理用工器具",卡片数据!$Q:$Q,"子分公司间划转资产")</f>
        <v>0</v>
      </c>
      <c r="O31" s="54">
        <f>SUMIFS(卡片数据!$R:$R,卡片数据!$B:$B,"生产管理用工器具",卡片数据!$Q:$Q,"省外划拨")</f>
        <v>0</v>
      </c>
      <c r="P31" s="54">
        <f>SUMIFS(卡片数据!$R:$R,卡片数据!$B:$B,"生产管理用工器具",卡片数据!$Q:$Q,"省内地市间划拨")</f>
        <v>0</v>
      </c>
      <c r="Q31" s="54">
        <f>SUM(SUMIFS(卡片数据!$R:$R,卡片数据!$B:$B,"生产管理用工器具",卡片数据!$Q:$Q,{"拆分合并重分类","地市内划拨"}))</f>
        <v>0</v>
      </c>
      <c r="R31" s="54">
        <f>SUMIFS(卡片数据!J:J,卡片数据!$B:$B,"生产管理用工器具")</f>
        <v>0</v>
      </c>
      <c r="S31" s="54">
        <f>SUMIFS(卡片数据!K:K,卡片数据!$B:$B,"生产管理用工器具")</f>
        <v>0</v>
      </c>
      <c r="T31" s="77">
        <f t="shared" si="8"/>
        <v>0</v>
      </c>
      <c r="U31" s="74">
        <f t="shared" si="7"/>
        <v>0</v>
      </c>
      <c r="V31" s="54">
        <f>SUMIFS(卡片数据!I:I,卡片数据!$B:$B,"生产管理用工器具")</f>
        <v>0</v>
      </c>
      <c r="W31" s="74">
        <f t="shared" si="25"/>
        <v>0</v>
      </c>
      <c r="X31" s="54">
        <f>SUM(SUMIFS(卡片数据!$P:$P,卡片数据!$B:$B,"生产管理用工器具",卡片数据!$N:$N,{"工程项目","零购项目","用户资产","盘盈资产","非货币性交易","捐赠增加"}))</f>
        <v>0</v>
      </c>
      <c r="Y31" s="80">
        <f>SUMIFS(卡片数据!M:M,卡片数据!$B:$B,"生产管理用工器具")</f>
        <v>0</v>
      </c>
      <c r="Z31" s="54">
        <f>SUMIFS(卡片数据!$P:$P,卡片数据!$B:$B,"生产管理用工器具",卡片数据!$N:$N,"子分公司间划转资产")</f>
        <v>0</v>
      </c>
      <c r="AA31" s="54">
        <f>SUMIFS(卡片数据!$P:$P,卡片数据!$B:$B,"生产管理用工器具",卡片数据!$N:$N,"省外划拨")</f>
        <v>0</v>
      </c>
      <c r="AB31" s="54">
        <f>SUMIFS(卡片数据!$P:$P,卡片数据!$B:$B,"生产管理用工器具",卡片数据!$N:$N,"省内地市间划拨")</f>
        <v>0</v>
      </c>
      <c r="AC31" s="54">
        <f>SUM(SUMIFS(卡片数据!$P:$P,卡片数据!$B:$B,"生产管理用工器具",卡片数据!$N:$N,{"拆分合并重分类","地市内划拨"}))</f>
        <v>0</v>
      </c>
      <c r="AD31" s="74">
        <f t="shared" si="26"/>
        <v>0</v>
      </c>
      <c r="AE31" s="54">
        <f>SUM(SUMIFS(卡片数据!$S:$S,卡片数据!$B:$B,"生产管理用工器具",卡片数据!$Q:$Q,{"报废"}))</f>
        <v>0</v>
      </c>
      <c r="AF31" s="54">
        <f>SUM(SUMIFS(卡片数据!$S:$S,卡片数据!$B:$B,"生产管理用工器具",卡片数据!$Q:$Q,{"出售"}))</f>
        <v>0</v>
      </c>
      <c r="AG31" s="54">
        <f>SUM(SUMIFS(卡片数据!$S:$S,卡片数据!$B:$B,"生产管理用工器具",卡片数据!$Q:$Q,{"三供一业无偿划出"}))</f>
        <v>0</v>
      </c>
      <c r="AH31" s="54">
        <f>SUMIFS(卡片数据!$S:$S,卡片数据!$B:$B,"生产管理用工器具",卡片数据!$Q:$Q,"子分公司间划转资产")</f>
        <v>0</v>
      </c>
      <c r="AI31" s="54">
        <f>SUMIFS(卡片数据!$S:$S,卡片数据!$B:$B,"生产管理用工器具",卡片数据!$Q:$Q,"省外划拨")</f>
        <v>0</v>
      </c>
      <c r="AJ31" s="54">
        <f>SUMIFS(卡片数据!$S:$S,卡片数据!$B:$B,"生产管理用工器具",卡片数据!$Q:$Q,"省内地市间划拨")</f>
        <v>0</v>
      </c>
      <c r="AK31" s="54">
        <f>SUM(SUMIFS(卡片数据!$S:$S,卡片数据!$B:$B,"生产管理用工器具",卡片数据!$Q:$Q,{"拆分合并重分类","地市内划拨"}))</f>
        <v>0</v>
      </c>
      <c r="AL31" s="54">
        <f>SUMIFS(卡片数据!L:L,卡片数据!$B:$B,"生产管理用工器具")</f>
        <v>0</v>
      </c>
      <c r="AM31" s="74">
        <f t="shared" si="4"/>
        <v>0</v>
      </c>
      <c r="AN31" s="74">
        <f t="shared" si="5"/>
        <v>0</v>
      </c>
      <c r="AO31" s="54">
        <f>SUMIFS(卡片数据!W:W,卡片数据!$B:$B,"生产管理用工器具")</f>
        <v>0</v>
      </c>
      <c r="AP31" s="54">
        <f>SUMIFS(卡片数据!X:X,卡片数据!$B:$B,"生产管理用工器具")</f>
        <v>0</v>
      </c>
    </row>
    <row r="32" spans="1:42" s="67" customFormat="1" ht="11.25" x14ac:dyDescent="0.15">
      <c r="A32" s="60" t="s">
        <v>42</v>
      </c>
      <c r="B32" s="54">
        <f>SUMIFS(卡片数据!G:G,卡片数据!$B:$B,"运输设备")</f>
        <v>0</v>
      </c>
      <c r="C32" s="54">
        <f>SUMIFS(卡片数据!H:H,卡片数据!$B:$B,"运输设备")</f>
        <v>0</v>
      </c>
      <c r="D32" s="74">
        <f t="shared" si="23"/>
        <v>0</v>
      </c>
      <c r="E32" s="54">
        <f>SUM(SUMIFS(卡片数据!$O:$O,卡片数据!$B:$B,"运输设备",卡片数据!$N:$N,{"工程项目","零购项目","用户资产","盘盈资产","非货币性交易","捐赠增加"}))</f>
        <v>0</v>
      </c>
      <c r="F32" s="54">
        <f>SUMIFS(卡片数据!$O:$O,卡片数据!$B:$B,"运输设备",卡片数据!$N:$N,"子分公司间划转资产")</f>
        <v>0</v>
      </c>
      <c r="G32" s="54">
        <f>SUMIFS(卡片数据!$O:$O,卡片数据!$B:$B,"运输设备",卡片数据!$N:$N,"省外划拨")</f>
        <v>0</v>
      </c>
      <c r="H32" s="54">
        <f>SUMIFS(卡片数据!$O:$O,卡片数据!$B:$B,"运输设备",卡片数据!$N:$N,"省内地市间划拨")</f>
        <v>0</v>
      </c>
      <c r="I32" s="54">
        <f>SUM(SUMIFS(卡片数据!$O:$O,卡片数据!$B:$B,"运输设备",卡片数据!$N:$N,{"拆分合并重分类","地市内划拨"}))</f>
        <v>0</v>
      </c>
      <c r="J32" s="74">
        <f t="shared" si="24"/>
        <v>0</v>
      </c>
      <c r="K32" s="54">
        <f>SUM(SUMIFS(卡片数据!$R:$R,卡片数据!$B:$B,"运输设备",卡片数据!$Q:$Q,{"报废"}))</f>
        <v>0</v>
      </c>
      <c r="L32" s="54">
        <f>SUM(SUMIFS(卡片数据!$R:$R,卡片数据!$B:$B,"运输设备",卡片数据!$Q:$Q,{"出售"}))</f>
        <v>0</v>
      </c>
      <c r="M32" s="54">
        <f>SUM(SUMIFS(卡片数据!$R:$R,卡片数据!$B:$B,"运输设备",卡片数据!$Q:$Q,{"三供一业无偿划出"}))</f>
        <v>0</v>
      </c>
      <c r="N32" s="54">
        <f>SUMIFS(卡片数据!$R:$R,卡片数据!$B:$B,"运输设备",卡片数据!$Q:$Q,"子分公司间划转资产")</f>
        <v>0</v>
      </c>
      <c r="O32" s="54">
        <f>SUMIFS(卡片数据!$R:$R,卡片数据!$B:$B,"运输设备",卡片数据!$Q:$Q,"省外划拨")</f>
        <v>0</v>
      </c>
      <c r="P32" s="54">
        <f>SUMIFS(卡片数据!$R:$R,卡片数据!$B:$B,"运输设备",卡片数据!$Q:$Q,"省内地市间划拨")</f>
        <v>0</v>
      </c>
      <c r="Q32" s="54">
        <f>SUM(SUMIFS(卡片数据!$R:$R,卡片数据!$B:$B,"运输设备",卡片数据!$Q:$Q,{"拆分合并重分类","地市内划拨"}))</f>
        <v>0</v>
      </c>
      <c r="R32" s="54">
        <f>SUMIFS(卡片数据!J:J,卡片数据!$B:$B,"运输设备")</f>
        <v>0</v>
      </c>
      <c r="S32" s="54">
        <f>SUMIFS(卡片数据!K:K,卡片数据!$B:$B,"运输设备")</f>
        <v>0</v>
      </c>
      <c r="T32" s="77">
        <f t="shared" si="8"/>
        <v>0</v>
      </c>
      <c r="U32" s="74">
        <f t="shared" si="7"/>
        <v>0</v>
      </c>
      <c r="V32" s="54">
        <f>SUMIFS(卡片数据!I:I,卡片数据!$B:$B,"运输设备")</f>
        <v>0</v>
      </c>
      <c r="W32" s="74">
        <f t="shared" si="25"/>
        <v>0</v>
      </c>
      <c r="X32" s="54">
        <f>SUM(SUMIFS(卡片数据!$P:$P,卡片数据!$B:$B,"运输设备",卡片数据!$N:$N,{"工程项目","零购项目","用户资产","盘盈资产","非货币性交易","捐赠增加"}))</f>
        <v>0</v>
      </c>
      <c r="Y32" s="80">
        <f>SUMIFS(卡片数据!M:M,卡片数据!$B:$B,"运输设备")</f>
        <v>0</v>
      </c>
      <c r="Z32" s="54">
        <f>SUMIFS(卡片数据!$P:$P,卡片数据!$B:$B,"运输设备",卡片数据!$N:$N,"子分公司间划转资产")</f>
        <v>0</v>
      </c>
      <c r="AA32" s="54">
        <f>SUMIFS(卡片数据!$P:$P,卡片数据!$B:$B,"运输设备",卡片数据!$N:$N,"省外划拨")</f>
        <v>0</v>
      </c>
      <c r="AB32" s="54">
        <f>SUMIFS(卡片数据!$P:$P,卡片数据!$B:$B,"运输设备",卡片数据!$N:$N,"省内地市间划拨")</f>
        <v>0</v>
      </c>
      <c r="AC32" s="54">
        <f>SUM(SUMIFS(卡片数据!$P:$P,卡片数据!$B:$B,"运输设备",卡片数据!$N:$N,{"拆分合并重分类","地市内划拨"}))</f>
        <v>0</v>
      </c>
      <c r="AD32" s="74">
        <f t="shared" si="26"/>
        <v>0</v>
      </c>
      <c r="AE32" s="54">
        <f>SUM(SUMIFS(卡片数据!$S:$S,卡片数据!$B:$B,"运输设备",卡片数据!$Q:$Q,{"报废"}))</f>
        <v>0</v>
      </c>
      <c r="AF32" s="54">
        <f>SUM(SUMIFS(卡片数据!$S:$S,卡片数据!$B:$B,"运输设备",卡片数据!$Q:$Q,{"出售"}))</f>
        <v>0</v>
      </c>
      <c r="AG32" s="54">
        <f>SUM(SUMIFS(卡片数据!$S:$S,卡片数据!$B:$B,"运输设备",卡片数据!$Q:$Q,{"三供一业无偿划出"}))</f>
        <v>0</v>
      </c>
      <c r="AH32" s="54">
        <f>SUMIFS(卡片数据!$S:$S,卡片数据!$B:$B,"运输设备",卡片数据!$Q:$Q,"子分公司间划转资产")</f>
        <v>0</v>
      </c>
      <c r="AI32" s="54">
        <f>SUMIFS(卡片数据!$S:$S,卡片数据!$B:$B,"运输设备",卡片数据!$Q:$Q,"省外划拨")</f>
        <v>0</v>
      </c>
      <c r="AJ32" s="54">
        <f>SUMIFS(卡片数据!$S:$S,卡片数据!$B:$B,"运输设备",卡片数据!$Q:$Q,"省内地市间划拨")</f>
        <v>0</v>
      </c>
      <c r="AK32" s="54">
        <f>SUM(SUMIFS(卡片数据!$S:$S,卡片数据!$B:$B,"运输设备",卡片数据!$Q:$Q,{"拆分合并重分类","地市内划拨"}))</f>
        <v>0</v>
      </c>
      <c r="AL32" s="54">
        <f>SUMIFS(卡片数据!L:L,卡片数据!$B:$B,"运输设备")</f>
        <v>0</v>
      </c>
      <c r="AM32" s="74">
        <f t="shared" si="4"/>
        <v>0</v>
      </c>
      <c r="AN32" s="74">
        <f t="shared" si="5"/>
        <v>0</v>
      </c>
      <c r="AO32" s="54">
        <f>SUMIFS(卡片数据!W:W,卡片数据!$B:$B,"运输设备")</f>
        <v>0</v>
      </c>
      <c r="AP32" s="54">
        <f>SUMIFS(卡片数据!X:X,卡片数据!$B:$B,"运输设备")</f>
        <v>0</v>
      </c>
    </row>
    <row r="33" spans="1:42" s="67" customFormat="1" ht="11.25" x14ac:dyDescent="0.15">
      <c r="A33" s="60" t="s">
        <v>43</v>
      </c>
      <c r="B33" s="54">
        <f>SUMIFS(卡片数据!G:G,卡片数据!$B:$B,"辅助生产用设备及器具")</f>
        <v>0</v>
      </c>
      <c r="C33" s="54">
        <f>SUMIFS(卡片数据!H:H,卡片数据!$B:$B,"辅助生产用设备及器具")</f>
        <v>0</v>
      </c>
      <c r="D33" s="74">
        <f t="shared" si="23"/>
        <v>0</v>
      </c>
      <c r="E33" s="54">
        <f>SUM(SUMIFS(卡片数据!$O:$O,卡片数据!$B:$B,"辅助生产用设备及器具",卡片数据!$N:$N,{"工程项目","零购项目","用户资产","盘盈资产","非货币性交易","捐赠增加"}))</f>
        <v>0</v>
      </c>
      <c r="F33" s="54">
        <f>SUMIFS(卡片数据!$O:$O,卡片数据!$B:$B,"辅助生产用设备及器具",卡片数据!$N:$N,"子分公司间划转资产")</f>
        <v>0</v>
      </c>
      <c r="G33" s="54">
        <f>SUMIFS(卡片数据!$O:$O,卡片数据!$B:$B,"辅助生产用设备及器具",卡片数据!$N:$N,"省外划拨")</f>
        <v>0</v>
      </c>
      <c r="H33" s="54">
        <f>SUMIFS(卡片数据!$O:$O,卡片数据!$B:$B,"辅助生产用设备及器具",卡片数据!$N:$N,"省内地市间划拨")</f>
        <v>0</v>
      </c>
      <c r="I33" s="54">
        <f>SUM(SUMIFS(卡片数据!$O:$O,卡片数据!$B:$B,"辅助生产用设备及器具",卡片数据!$N:$N,{"拆分合并重分类","地市内划拨"}))</f>
        <v>0</v>
      </c>
      <c r="J33" s="74">
        <f t="shared" si="24"/>
        <v>0</v>
      </c>
      <c r="K33" s="54">
        <f>SUM(SUMIFS(卡片数据!$R:$R,卡片数据!$B:$B,"辅助生产用设备及器具",卡片数据!$Q:$Q,{"报废"}))</f>
        <v>0</v>
      </c>
      <c r="L33" s="54">
        <f>SUM(SUMIFS(卡片数据!$R:$R,卡片数据!$B:$B,"辅助生产用设备及器具",卡片数据!$Q:$Q,{"出售"}))</f>
        <v>0</v>
      </c>
      <c r="M33" s="54">
        <f>SUM(SUMIFS(卡片数据!$R:$R,卡片数据!$B:$B,"辅助生产用设备及器具",卡片数据!$Q:$Q,{"三供一业无偿划出"}))</f>
        <v>0</v>
      </c>
      <c r="N33" s="54">
        <f>SUMIFS(卡片数据!$R:$R,卡片数据!$B:$B,"辅助生产用设备及器具",卡片数据!$Q:$Q,"子分公司间划转资产")</f>
        <v>0</v>
      </c>
      <c r="O33" s="54">
        <f>SUMIFS(卡片数据!$R:$R,卡片数据!$B:$B,"辅助生产用设备及器具",卡片数据!$Q:$Q,"省外划拨")</f>
        <v>0</v>
      </c>
      <c r="P33" s="54">
        <f>SUMIFS(卡片数据!$R:$R,卡片数据!$B:$B,"辅助生产用设备及器具",卡片数据!$Q:$Q,"省内地市间划拨")</f>
        <v>0</v>
      </c>
      <c r="Q33" s="54">
        <f>SUM(SUMIFS(卡片数据!$R:$R,卡片数据!$B:$B,"辅助生产用设备及器具",卡片数据!$Q:$Q,{"拆分合并重分类","地市内划拨"}))</f>
        <v>0</v>
      </c>
      <c r="R33" s="54">
        <f>SUMIFS(卡片数据!J:J,卡片数据!$B:$B,"辅助生产用设备及器具")</f>
        <v>0</v>
      </c>
      <c r="S33" s="54">
        <f>SUMIFS(卡片数据!K:K,卡片数据!$B:$B,"辅助生产用设备及器具")</f>
        <v>0</v>
      </c>
      <c r="T33" s="77">
        <f t="shared" si="8"/>
        <v>0</v>
      </c>
      <c r="U33" s="74">
        <f t="shared" si="7"/>
        <v>0</v>
      </c>
      <c r="V33" s="54">
        <f>SUMIFS(卡片数据!I:I,卡片数据!$B:$B,"辅助生产用设备及器具")</f>
        <v>0</v>
      </c>
      <c r="W33" s="74">
        <f t="shared" si="25"/>
        <v>0</v>
      </c>
      <c r="X33" s="54">
        <f>SUM(SUMIFS(卡片数据!$P:$P,卡片数据!$B:$B,"辅助生产用设备及器具",卡片数据!$N:$N,{"工程项目","零购项目","用户资产","盘盈资产","非货币性交易","捐赠增加"}))</f>
        <v>0</v>
      </c>
      <c r="Y33" s="80">
        <f>SUMIFS(卡片数据!M:M,卡片数据!$B:$B,"辅助生产用设备及器具")</f>
        <v>0</v>
      </c>
      <c r="Z33" s="54">
        <f>SUMIFS(卡片数据!$P:$P,卡片数据!$B:$B,"辅助生产用设备及器具",卡片数据!$N:$N,"子分公司间划转资产")</f>
        <v>0</v>
      </c>
      <c r="AA33" s="54">
        <f>SUMIFS(卡片数据!$P:$P,卡片数据!$B:$B,"辅助生产用设备及器具",卡片数据!$N:$N,"省外划拨")</f>
        <v>0</v>
      </c>
      <c r="AB33" s="54">
        <f>SUMIFS(卡片数据!$P:$P,卡片数据!$B:$B,"辅助生产用设备及器具",卡片数据!$N:$N,"省内地市间划拨")</f>
        <v>0</v>
      </c>
      <c r="AC33" s="54">
        <f>SUM(SUMIFS(卡片数据!$P:$P,卡片数据!$B:$B,"辅助生产用设备及器具",卡片数据!$N:$N,{"拆分合并重分类","地市内划拨"}))</f>
        <v>0</v>
      </c>
      <c r="AD33" s="74">
        <f t="shared" si="26"/>
        <v>0</v>
      </c>
      <c r="AE33" s="54">
        <f>SUM(SUMIFS(卡片数据!$S:$S,卡片数据!$B:$B,"辅助生产用设备及器具",卡片数据!$Q:$Q,{"报废"}))</f>
        <v>0</v>
      </c>
      <c r="AF33" s="54">
        <f>SUM(SUMIFS(卡片数据!$S:$S,卡片数据!$B:$B,"辅助生产用设备及器具",卡片数据!$Q:$Q,{"出售"}))</f>
        <v>0</v>
      </c>
      <c r="AG33" s="54">
        <f>SUM(SUMIFS(卡片数据!$S:$S,卡片数据!$B:$B,"辅助生产用设备及器具",卡片数据!$Q:$Q,{"三供一业无偿划出"}))</f>
        <v>0</v>
      </c>
      <c r="AH33" s="54">
        <f>SUMIFS(卡片数据!$S:$S,卡片数据!$B:$B,"辅助生产用设备及器具",卡片数据!$Q:$Q,"子分公司间划转资产")</f>
        <v>0</v>
      </c>
      <c r="AI33" s="54">
        <f>SUMIFS(卡片数据!$S:$S,卡片数据!$B:$B,"辅助生产用设备及器具",卡片数据!$Q:$Q,"省外划拨")</f>
        <v>0</v>
      </c>
      <c r="AJ33" s="54">
        <f>SUMIFS(卡片数据!$S:$S,卡片数据!$B:$B,"辅助生产用设备及器具",卡片数据!$Q:$Q,"省内地市间划拨")</f>
        <v>0</v>
      </c>
      <c r="AK33" s="54">
        <f>SUM(SUMIFS(卡片数据!$S:$S,卡片数据!$B:$B,"辅助生产用设备及器具",卡片数据!$Q:$Q,{"拆分合并重分类","地市内划拨"}))</f>
        <v>0</v>
      </c>
      <c r="AL33" s="54">
        <f>SUMIFS(卡片数据!L:L,卡片数据!$B:$B,"辅助生产用设备及器具")</f>
        <v>0</v>
      </c>
      <c r="AM33" s="74">
        <f t="shared" si="4"/>
        <v>0</v>
      </c>
      <c r="AN33" s="74">
        <f t="shared" si="5"/>
        <v>0</v>
      </c>
      <c r="AO33" s="54">
        <f>SUMIFS(卡片数据!W:W,卡片数据!$B:$B,"辅助生产用设备及器具")</f>
        <v>0</v>
      </c>
      <c r="AP33" s="54">
        <f>SUMIFS(卡片数据!X:X,卡片数据!$B:$B,"辅助生产用设备及器具")</f>
        <v>0</v>
      </c>
    </row>
    <row r="34" spans="1:42" s="67" customFormat="1" ht="11.25" x14ac:dyDescent="0.15">
      <c r="A34" s="60" t="s">
        <v>44</v>
      </c>
      <c r="B34" s="54">
        <f>SUMIFS(卡片数据!G:G,卡片数据!$B:$B,"房屋")</f>
        <v>0</v>
      </c>
      <c r="C34" s="54">
        <f>SUMIFS(卡片数据!H:H,卡片数据!$B:$B,"房屋")</f>
        <v>0</v>
      </c>
      <c r="D34" s="74">
        <f t="shared" si="23"/>
        <v>0</v>
      </c>
      <c r="E34" s="54">
        <f>SUM(SUMIFS(卡片数据!$O:$O,卡片数据!$B:$B,"房屋",卡片数据!$N:$N,{"工程项目","零购项目","用户资产","盘盈资产","非货币性交易","捐赠增加"}))</f>
        <v>0</v>
      </c>
      <c r="F34" s="54">
        <f>SUMIFS(卡片数据!$O:$O,卡片数据!$B:$B,"房屋",卡片数据!$N:$N,"子分公司间划转资产")</f>
        <v>0</v>
      </c>
      <c r="G34" s="54">
        <f>SUMIFS(卡片数据!$O:$O,卡片数据!$B:$B,"房屋",卡片数据!$N:$N,"省外划拨")</f>
        <v>0</v>
      </c>
      <c r="H34" s="54">
        <f>SUMIFS(卡片数据!$O:$O,卡片数据!$B:$B,"房屋",卡片数据!$N:$N,"省内地市间划拨")</f>
        <v>0</v>
      </c>
      <c r="I34" s="54">
        <f>SUM(SUMIFS(卡片数据!$O:$O,卡片数据!$B:$B,"房屋",卡片数据!$N:$N,{"拆分合并重分类","地市内划拨"}))</f>
        <v>0</v>
      </c>
      <c r="J34" s="74">
        <f t="shared" si="24"/>
        <v>0</v>
      </c>
      <c r="K34" s="54">
        <f>SUM(SUMIFS(卡片数据!$R:$R,卡片数据!$B:$B,"房屋",卡片数据!$Q:$Q,{"报废"}))</f>
        <v>0</v>
      </c>
      <c r="L34" s="54">
        <f>SUM(SUMIFS(卡片数据!$R:$R,卡片数据!$B:$B,"房屋",卡片数据!$Q:$Q,{"出售"}))</f>
        <v>0</v>
      </c>
      <c r="M34" s="54">
        <f>SUM(SUMIFS(卡片数据!$R:$R,卡片数据!$B:$B,"房屋",卡片数据!$Q:$Q,{"三供一业无偿划出"}))</f>
        <v>0</v>
      </c>
      <c r="N34" s="54">
        <f>SUMIFS(卡片数据!$R:$R,卡片数据!$B:$B,"房屋",卡片数据!$Q:$Q,"子分公司间划转资产")</f>
        <v>0</v>
      </c>
      <c r="O34" s="54">
        <f>SUMIFS(卡片数据!$R:$R,卡片数据!$B:$B,"房屋",卡片数据!$Q:$Q,"省外划拨")</f>
        <v>0</v>
      </c>
      <c r="P34" s="54">
        <f>SUMIFS(卡片数据!$R:$R,卡片数据!$B:$B,"房屋",卡片数据!$Q:$Q,"省内地市间划拨")</f>
        <v>0</v>
      </c>
      <c r="Q34" s="54">
        <f>SUM(SUMIFS(卡片数据!$R:$R,卡片数据!$B:$B,"房屋",卡片数据!$Q:$Q,{"拆分合并重分类","地市内划拨"}))</f>
        <v>0</v>
      </c>
      <c r="R34" s="54">
        <f>SUMIFS(卡片数据!J:J,卡片数据!$B:$B,"房屋")</f>
        <v>0</v>
      </c>
      <c r="S34" s="54">
        <f>SUMIFS(卡片数据!K:K,卡片数据!$B:$B,"房屋")</f>
        <v>0</v>
      </c>
      <c r="T34" s="77">
        <f t="shared" si="8"/>
        <v>0</v>
      </c>
      <c r="U34" s="74">
        <f t="shared" si="7"/>
        <v>0</v>
      </c>
      <c r="V34" s="54">
        <f>SUMIFS(卡片数据!I:I,卡片数据!$B:$B,"房屋")</f>
        <v>0</v>
      </c>
      <c r="W34" s="74">
        <f t="shared" si="25"/>
        <v>0</v>
      </c>
      <c r="X34" s="54">
        <f>SUM(SUMIFS(卡片数据!$P:$P,卡片数据!$B:$B,"房屋",卡片数据!$N:$N,{"工程项目","零购项目","用户资产","盘盈资产","非货币性交易","捐赠增加"}))</f>
        <v>0</v>
      </c>
      <c r="Y34" s="80">
        <f>SUMIFS(卡片数据!M:M,卡片数据!$B:$B,"房屋")</f>
        <v>0</v>
      </c>
      <c r="Z34" s="54">
        <f>SUMIFS(卡片数据!$P:$P,卡片数据!$B:$B,"房屋",卡片数据!$N:$N,"子分公司间划转资产")</f>
        <v>0</v>
      </c>
      <c r="AA34" s="54">
        <f>SUMIFS(卡片数据!$P:$P,卡片数据!$B:$B,"房屋",卡片数据!$N:$N,"省外划拨")</f>
        <v>0</v>
      </c>
      <c r="AB34" s="54">
        <f>SUMIFS(卡片数据!$P:$P,卡片数据!$B:$B,"房屋",卡片数据!$N:$N,"省内地市间划拨")</f>
        <v>0</v>
      </c>
      <c r="AC34" s="54">
        <f>SUM(SUMIFS(卡片数据!$P:$P,卡片数据!$B:$B,"房屋",卡片数据!$N:$N,{"拆分合并重分类","地市内划拨"}))</f>
        <v>0</v>
      </c>
      <c r="AD34" s="74">
        <f t="shared" si="26"/>
        <v>0</v>
      </c>
      <c r="AE34" s="54">
        <f>SUM(SUMIFS(卡片数据!$S:$S,卡片数据!$B:$B,"房屋",卡片数据!$Q:$Q,{"报废"}))</f>
        <v>0</v>
      </c>
      <c r="AF34" s="54">
        <f>SUM(SUMIFS(卡片数据!$S:$S,卡片数据!$B:$B,"房屋",卡片数据!$Q:$Q,{"出售"}))</f>
        <v>0</v>
      </c>
      <c r="AG34" s="54">
        <f>SUM(SUMIFS(卡片数据!$S:$S,卡片数据!$B:$B,"房屋",卡片数据!$Q:$Q,{"三供一业无偿划出"}))</f>
        <v>0</v>
      </c>
      <c r="AH34" s="54">
        <f>SUMIFS(卡片数据!$S:$S,卡片数据!$B:$B,"房屋",卡片数据!$Q:$Q,"子分公司间划转资产")</f>
        <v>0</v>
      </c>
      <c r="AI34" s="54">
        <f>SUMIFS(卡片数据!$S:$S,卡片数据!$B:$B,"房屋",卡片数据!$Q:$Q,"省外划拨")</f>
        <v>0</v>
      </c>
      <c r="AJ34" s="54">
        <f>SUMIFS(卡片数据!$S:$S,卡片数据!$B:$B,"房屋",卡片数据!$Q:$Q,"省内地市间划拨")</f>
        <v>0</v>
      </c>
      <c r="AK34" s="54">
        <f>SUM(SUMIFS(卡片数据!$S:$S,卡片数据!$B:$B,"房屋",卡片数据!$Q:$Q,{"拆分合并重分类","地市内划拨"}))</f>
        <v>0</v>
      </c>
      <c r="AL34" s="54">
        <f>SUMIFS(卡片数据!L:L,卡片数据!$B:$B,"房屋")</f>
        <v>0</v>
      </c>
      <c r="AM34" s="74">
        <f t="shared" si="4"/>
        <v>0</v>
      </c>
      <c r="AN34" s="74">
        <f t="shared" si="5"/>
        <v>0</v>
      </c>
      <c r="AO34" s="54">
        <f>SUMIFS(卡片数据!W:W,卡片数据!$B:$B,"房屋")</f>
        <v>0</v>
      </c>
      <c r="AP34" s="54">
        <f>SUMIFS(卡片数据!X:X,卡片数据!$B:$B,"房屋")</f>
        <v>0</v>
      </c>
    </row>
    <row r="35" spans="1:42" s="67" customFormat="1" ht="11.25" x14ac:dyDescent="0.15">
      <c r="A35" s="60" t="s">
        <v>45</v>
      </c>
      <c r="B35" s="54">
        <f>SUMIFS(卡片数据!G:G,卡片数据!$B:$B,"建筑物")</f>
        <v>0</v>
      </c>
      <c r="C35" s="54">
        <f>SUMIFS(卡片数据!H:H,卡片数据!$B:$B,"建筑物")</f>
        <v>0</v>
      </c>
      <c r="D35" s="74">
        <f t="shared" si="23"/>
        <v>0</v>
      </c>
      <c r="E35" s="54">
        <f>SUM(SUMIFS(卡片数据!$O:$O,卡片数据!$B:$B,"建筑物",卡片数据!$N:$N,{"工程项目","零购项目","用户资产","盘盈资产","非货币性交易","捐赠增加"}))</f>
        <v>0</v>
      </c>
      <c r="F35" s="54">
        <f>SUMIFS(卡片数据!$O:$O,卡片数据!$B:$B,"建筑物",卡片数据!$N:$N,"子分公司间划转资产")</f>
        <v>0</v>
      </c>
      <c r="G35" s="54">
        <f>SUMIFS(卡片数据!$O:$O,卡片数据!$B:$B,"建筑物",卡片数据!$N:$N,"省外划拨")</f>
        <v>0</v>
      </c>
      <c r="H35" s="54">
        <f>SUMIFS(卡片数据!$O:$O,卡片数据!$B:$B,"建筑物",卡片数据!$N:$N,"省内地市间划拨")</f>
        <v>0</v>
      </c>
      <c r="I35" s="54">
        <f>SUM(SUMIFS(卡片数据!$O:$O,卡片数据!$B:$B,"建筑物",卡片数据!$N:$N,{"拆分合并重分类","地市内划拨"}))</f>
        <v>0</v>
      </c>
      <c r="J35" s="74">
        <f t="shared" si="24"/>
        <v>0</v>
      </c>
      <c r="K35" s="54">
        <f>SUM(SUMIFS(卡片数据!$R:$R,卡片数据!$B:$B,"建筑物",卡片数据!$Q:$Q,{"报废"}))</f>
        <v>0</v>
      </c>
      <c r="L35" s="54">
        <f>SUM(SUMIFS(卡片数据!$R:$R,卡片数据!$B:$B,"建筑物",卡片数据!$Q:$Q,{"出售"}))</f>
        <v>0</v>
      </c>
      <c r="M35" s="54">
        <f>SUM(SUMIFS(卡片数据!$R:$R,卡片数据!$B:$B,"建筑物",卡片数据!$Q:$Q,{"三供一业无偿划出"}))</f>
        <v>0</v>
      </c>
      <c r="N35" s="54">
        <f>SUMIFS(卡片数据!$R:$R,卡片数据!$B:$B,"建筑物",卡片数据!$Q:$Q,"子分公司间划转资产")</f>
        <v>0</v>
      </c>
      <c r="O35" s="54">
        <f>SUMIFS(卡片数据!$R:$R,卡片数据!$B:$B,"建筑物",卡片数据!$Q:$Q,"省外划拨")</f>
        <v>0</v>
      </c>
      <c r="P35" s="54">
        <f>SUMIFS(卡片数据!$R:$R,卡片数据!$B:$B,"建筑物",卡片数据!$Q:$Q,"省内地市间划拨")</f>
        <v>0</v>
      </c>
      <c r="Q35" s="54">
        <f>SUM(SUMIFS(卡片数据!$R:$R,卡片数据!$B:$B,"建筑物",卡片数据!$Q:$Q,{"拆分合并重分类","地市内划拨"}))</f>
        <v>0</v>
      </c>
      <c r="R35" s="54">
        <f>SUMIFS(卡片数据!J:J,卡片数据!$B:$B,"建筑物")</f>
        <v>0</v>
      </c>
      <c r="S35" s="54">
        <f>SUMIFS(卡片数据!K:K,卡片数据!$B:$B,"建筑物")</f>
        <v>0</v>
      </c>
      <c r="T35" s="77">
        <f t="shared" si="8"/>
        <v>0</v>
      </c>
      <c r="U35" s="74">
        <f t="shared" si="7"/>
        <v>0</v>
      </c>
      <c r="V35" s="54">
        <f>SUMIFS(卡片数据!I:I,卡片数据!$B:$B,"建筑物")</f>
        <v>0</v>
      </c>
      <c r="W35" s="74">
        <f t="shared" si="25"/>
        <v>0</v>
      </c>
      <c r="X35" s="54">
        <f>SUM(SUMIFS(卡片数据!$P:$P,卡片数据!$B:$B,"建筑物",卡片数据!$N:$N,{"工程项目","零购项目","用户资产","盘盈资产","非货币性交易","捐赠增加"}))</f>
        <v>0</v>
      </c>
      <c r="Y35" s="80">
        <f>SUMIFS(卡片数据!M:M,卡片数据!$B:$B,"建筑物")</f>
        <v>0</v>
      </c>
      <c r="Z35" s="54">
        <f>SUMIFS(卡片数据!$P:$P,卡片数据!$B:$B,"建筑物",卡片数据!$N:$N,"子分公司间划转资产")</f>
        <v>0</v>
      </c>
      <c r="AA35" s="54">
        <f>SUMIFS(卡片数据!$P:$P,卡片数据!$B:$B,"建筑物",卡片数据!$N:$N,"省外划拨")</f>
        <v>0</v>
      </c>
      <c r="AB35" s="54">
        <f>SUMIFS(卡片数据!$P:$P,卡片数据!$B:$B,"建筑物",卡片数据!$N:$N,"省内地市间划拨")</f>
        <v>0</v>
      </c>
      <c r="AC35" s="54">
        <f>SUM(SUMIFS(卡片数据!$P:$P,卡片数据!$B:$B,"建筑物",卡片数据!$N:$N,{"拆分合并重分类","地市内划拨"}))</f>
        <v>0</v>
      </c>
      <c r="AD35" s="74">
        <f t="shared" si="26"/>
        <v>0</v>
      </c>
      <c r="AE35" s="54">
        <f>SUM(SUMIFS(卡片数据!$S:$S,卡片数据!$B:$B,"建筑物",卡片数据!$Q:$Q,{"报废"}))</f>
        <v>0</v>
      </c>
      <c r="AF35" s="54">
        <f>SUM(SUMIFS(卡片数据!$S:$S,卡片数据!$B:$B,"建筑物",卡片数据!$Q:$Q,{"出售"}))</f>
        <v>0</v>
      </c>
      <c r="AG35" s="54">
        <f>SUM(SUMIFS(卡片数据!$S:$S,卡片数据!$B:$B,"建筑物",卡片数据!$Q:$Q,{"三供一业无偿划出"}))</f>
        <v>0</v>
      </c>
      <c r="AH35" s="54">
        <f>SUMIFS(卡片数据!$S:$S,卡片数据!$B:$B,"建筑物",卡片数据!$Q:$Q,"子分公司间划转资产")</f>
        <v>0</v>
      </c>
      <c r="AI35" s="54">
        <f>SUMIFS(卡片数据!$S:$S,卡片数据!$B:$B,"建筑物",卡片数据!$Q:$Q,"省外划拨")</f>
        <v>0</v>
      </c>
      <c r="AJ35" s="54">
        <f>SUMIFS(卡片数据!$S:$S,卡片数据!$B:$B,"建筑物",卡片数据!$Q:$Q,"省内地市间划拨")</f>
        <v>0</v>
      </c>
      <c r="AK35" s="54">
        <f>SUM(SUMIFS(卡片数据!$S:$S,卡片数据!$B:$B,"建筑物",卡片数据!$Q:$Q,{"拆分合并重分类","地市内划拨"}))</f>
        <v>0</v>
      </c>
      <c r="AL35" s="54">
        <f>SUMIFS(卡片数据!L:L,卡片数据!$B:$B,"建筑物")</f>
        <v>0</v>
      </c>
      <c r="AM35" s="74">
        <f t="shared" si="4"/>
        <v>0</v>
      </c>
      <c r="AN35" s="74">
        <f t="shared" si="5"/>
        <v>0</v>
      </c>
      <c r="AO35" s="54">
        <f>SUMIFS(卡片数据!W:W,卡片数据!$B:$B,"建筑物")</f>
        <v>0</v>
      </c>
      <c r="AP35" s="54">
        <f>SUMIFS(卡片数据!X:X,卡片数据!$B:$B,"建筑物")</f>
        <v>0</v>
      </c>
    </row>
    <row r="36" spans="1:42" s="67" customFormat="1" ht="11.25" x14ac:dyDescent="0.15">
      <c r="A36" s="60" t="s">
        <v>46</v>
      </c>
      <c r="B36" s="54">
        <f>SUMIFS(卡片数据!G:G,卡片数据!$B:$B,"土地")</f>
        <v>0</v>
      </c>
      <c r="C36" s="54">
        <f>SUMIFS(卡片数据!H:H,卡片数据!$B:$B,"土地")</f>
        <v>0</v>
      </c>
      <c r="D36" s="74">
        <f t="shared" si="23"/>
        <v>0</v>
      </c>
      <c r="E36" s="54">
        <f>SUM(SUMIFS(卡片数据!$O:$O,卡片数据!$B:$B,"土地",卡片数据!$N:$N,{"工程项目","零购项目","用户资产","盘盈资产","非货币性交易","捐赠增加"}))</f>
        <v>0</v>
      </c>
      <c r="F36" s="54">
        <f>SUMIFS(卡片数据!$O:$O,卡片数据!$B:$B,"土地",卡片数据!$N:$N,"子分公司间划转资产")</f>
        <v>0</v>
      </c>
      <c r="G36" s="54">
        <f>SUMIFS(卡片数据!$O:$O,卡片数据!$B:$B,"土地",卡片数据!$N:$N,"省外划拨")</f>
        <v>0</v>
      </c>
      <c r="H36" s="54">
        <f>SUMIFS(卡片数据!$O:$O,卡片数据!$B:$B,"土地",卡片数据!$N:$N,"省内地市间划拨")</f>
        <v>0</v>
      </c>
      <c r="I36" s="54">
        <f>SUM(SUMIFS(卡片数据!$O:$O,卡片数据!$B:$B,"土地",卡片数据!$N:$N,{"拆分合并重分类","地市内划拨"}))</f>
        <v>0</v>
      </c>
      <c r="J36" s="74">
        <f t="shared" si="24"/>
        <v>0</v>
      </c>
      <c r="K36" s="54">
        <f>SUM(SUMIFS(卡片数据!$R:$R,卡片数据!$B:$B,"土地",卡片数据!$Q:$Q,{"报废"}))</f>
        <v>0</v>
      </c>
      <c r="L36" s="54">
        <f>SUM(SUMIFS(卡片数据!$R:$R,卡片数据!$B:$B,"土地",卡片数据!$Q:$Q,{"出售"}))</f>
        <v>0</v>
      </c>
      <c r="M36" s="54">
        <f>SUM(SUMIFS(卡片数据!$R:$R,卡片数据!$B:$B,"土地",卡片数据!$Q:$Q,{"三供一业无偿划出"}))</f>
        <v>0</v>
      </c>
      <c r="N36" s="54">
        <f>SUMIFS(卡片数据!$R:$R,卡片数据!$B:$B,"土地",卡片数据!$Q:$Q,"子分公司间划转资产")</f>
        <v>0</v>
      </c>
      <c r="O36" s="54">
        <f>SUMIFS(卡片数据!$R:$R,卡片数据!$B:$B,"土地",卡片数据!$Q:$Q,"省外划拨")</f>
        <v>0</v>
      </c>
      <c r="P36" s="54">
        <f>SUMIFS(卡片数据!$R:$R,卡片数据!$B:$B,"土地",卡片数据!$Q:$Q,"省内地市间划拨")</f>
        <v>0</v>
      </c>
      <c r="Q36" s="54">
        <f>SUM(SUMIFS(卡片数据!$R:$R,卡片数据!$B:$B,"土地",卡片数据!$Q:$Q,{"拆分合并重分类","地市内划拨"}))</f>
        <v>0</v>
      </c>
      <c r="R36" s="54">
        <f>SUMIFS(卡片数据!J:J,卡片数据!$B:$B,"土地")</f>
        <v>0</v>
      </c>
      <c r="S36" s="54">
        <f>SUMIFS(卡片数据!K:K,卡片数据!$B:$B,"土地")</f>
        <v>0</v>
      </c>
      <c r="T36" s="77">
        <f t="shared" si="8"/>
        <v>0</v>
      </c>
      <c r="U36" s="77">
        <f t="shared" si="7"/>
        <v>0</v>
      </c>
      <c r="V36" s="54">
        <f>SUMIFS(卡片数据!I:I,卡片数据!$B:$B,"土地")</f>
        <v>0</v>
      </c>
      <c r="W36" s="74">
        <f t="shared" si="25"/>
        <v>0</v>
      </c>
      <c r="X36" s="54">
        <f>SUM(SUMIFS(卡片数据!$P:$P,卡片数据!$B:$B,"土地",卡片数据!$N:$N,{"工程项目","零购项目","用户资产","盘盈资产","非货币性交易","捐赠增加"}))</f>
        <v>0</v>
      </c>
      <c r="Y36" s="80">
        <f>SUMIFS(卡片数据!M:M,卡片数据!$B:$B,"土地")</f>
        <v>0</v>
      </c>
      <c r="Z36" s="54">
        <f>SUMIFS(卡片数据!$P:$P,卡片数据!$B:$B,"土地",卡片数据!$N:$N,"子分公司间划转资产")</f>
        <v>0</v>
      </c>
      <c r="AA36" s="54">
        <f>SUMIFS(卡片数据!$P:$P,卡片数据!$B:$B,"土地",卡片数据!$N:$N,"省外划拨")</f>
        <v>0</v>
      </c>
      <c r="AB36" s="54">
        <f>SUMIFS(卡片数据!$P:$P,卡片数据!$B:$B,"土地",卡片数据!$N:$N,"省内地市间划拨")</f>
        <v>0</v>
      </c>
      <c r="AC36" s="54">
        <f>SUM(SUMIFS(卡片数据!$P:$P,卡片数据!$B:$B,"土地",卡片数据!$N:$N,{"拆分合并重分类","地市内划拨"}))</f>
        <v>0</v>
      </c>
      <c r="AD36" s="74">
        <f t="shared" si="26"/>
        <v>0</v>
      </c>
      <c r="AE36" s="54">
        <f>SUM(SUMIFS(卡片数据!$S:$S,卡片数据!$B:$B,"土地",卡片数据!$Q:$Q,{"报废"}))</f>
        <v>0</v>
      </c>
      <c r="AF36" s="54">
        <f>SUM(SUMIFS(卡片数据!$S:$S,卡片数据!$B:$B,"土地",卡片数据!$Q:$Q,{"出售"}))</f>
        <v>0</v>
      </c>
      <c r="AG36" s="54">
        <f>SUM(SUMIFS(卡片数据!$S:$S,卡片数据!$B:$B,"土地",卡片数据!$Q:$Q,{"三供一业无偿划出"}))</f>
        <v>0</v>
      </c>
      <c r="AH36" s="54">
        <f>SUMIFS(卡片数据!$S:$S,卡片数据!$B:$B,"土地",卡片数据!$Q:$Q,"子分公司间划转资产")</f>
        <v>0</v>
      </c>
      <c r="AI36" s="54">
        <f>SUMIFS(卡片数据!$S:$S,卡片数据!$B:$B,"土地",卡片数据!$Q:$Q,"省外划拨")</f>
        <v>0</v>
      </c>
      <c r="AJ36" s="54">
        <f>SUMIFS(卡片数据!$S:$S,卡片数据!$B:$B,"土地",卡片数据!$Q:$Q,"省内地市间划拨")</f>
        <v>0</v>
      </c>
      <c r="AK36" s="54">
        <f>SUM(SUMIFS(卡片数据!$S:$S,卡片数据!$B:$B,"土地",卡片数据!$Q:$Q,{"拆分合并重分类","地市内划拨"}))</f>
        <v>0</v>
      </c>
      <c r="AL36" s="54">
        <f>SUMIFS(卡片数据!L:L,卡片数据!$B:$B,"土地")</f>
        <v>0</v>
      </c>
      <c r="AM36" s="74">
        <f t="shared" si="4"/>
        <v>0</v>
      </c>
      <c r="AN36" s="74">
        <f t="shared" si="5"/>
        <v>0</v>
      </c>
      <c r="AO36" s="54">
        <f>SUMIFS(卡片数据!W:W,卡片数据!$B:$B,"土地")</f>
        <v>0</v>
      </c>
      <c r="AP36" s="54">
        <f>SUMIFS(卡片数据!X:X,卡片数据!$B:$B,"土地")</f>
        <v>0</v>
      </c>
    </row>
    <row r="37" spans="1:42" s="67" customFormat="1" ht="11.25" x14ac:dyDescent="0.15">
      <c r="A37" s="62" t="s">
        <v>11</v>
      </c>
      <c r="B37" s="73">
        <f>B5+B10+B16+B20+B25+B26+B27+B28+B29+B30+B31+B32+B33+B34+B35+B36</f>
        <v>9940.2999999999993</v>
      </c>
      <c r="C37" s="73">
        <f t="shared" ref="C37" si="27">C5+C10+C16+C20+C25+C26+C27+C28+C29+C30+C31+C32+C33+C34+C35+C36</f>
        <v>9940.2999999999993</v>
      </c>
      <c r="D37" s="74">
        <f t="shared" ref="D37:S37" si="28">D5+D10+D16+D20+D25+D26+D27+D28+D29+D30+D31+D32+D33+D34+D35+D36</f>
        <v>0</v>
      </c>
      <c r="E37" s="73">
        <f t="shared" si="28"/>
        <v>0</v>
      </c>
      <c r="F37" s="73">
        <f t="shared" si="28"/>
        <v>0</v>
      </c>
      <c r="G37" s="73">
        <f t="shared" si="28"/>
        <v>0</v>
      </c>
      <c r="H37" s="73">
        <f t="shared" si="28"/>
        <v>0</v>
      </c>
      <c r="I37" s="73">
        <f t="shared" si="28"/>
        <v>0</v>
      </c>
      <c r="J37" s="74">
        <f t="shared" si="28"/>
        <v>0</v>
      </c>
      <c r="K37" s="73">
        <f t="shared" si="28"/>
        <v>0</v>
      </c>
      <c r="L37" s="73">
        <f t="shared" si="28"/>
        <v>0</v>
      </c>
      <c r="M37" s="73">
        <f t="shared" si="28"/>
        <v>0</v>
      </c>
      <c r="N37" s="73">
        <f t="shared" si="28"/>
        <v>0</v>
      </c>
      <c r="O37" s="73">
        <f t="shared" si="28"/>
        <v>0</v>
      </c>
      <c r="P37" s="73">
        <f t="shared" si="28"/>
        <v>0</v>
      </c>
      <c r="Q37" s="73">
        <f t="shared" si="28"/>
        <v>0</v>
      </c>
      <c r="R37" s="73">
        <f t="shared" si="28"/>
        <v>9940.2999999999993</v>
      </c>
      <c r="S37" s="73">
        <f t="shared" si="28"/>
        <v>9940.2999999999993</v>
      </c>
      <c r="T37" s="77">
        <f t="shared" si="8"/>
        <v>0</v>
      </c>
      <c r="U37" s="77">
        <f t="shared" si="7"/>
        <v>0</v>
      </c>
      <c r="V37" s="73">
        <f>V5+V10+V16+V20+V25+V26+V27+V28+V29+V30+V31+V32+V33+V34+V35+V36</f>
        <v>9940.2999999999993</v>
      </c>
      <c r="W37" s="74">
        <f>W5+W10+W16+W20+W25+W26+W27+W28+W29+W30+W31+W32+W33+W34+W35+W36</f>
        <v>0</v>
      </c>
      <c r="X37" s="73">
        <f t="shared" ref="X37:AC37" si="29">X5+X10+X16+X20+X25+X26+X27+X28+X29+X30+X31+X32+X33+X34+X35+X36</f>
        <v>0</v>
      </c>
      <c r="Y37" s="58">
        <f t="shared" si="29"/>
        <v>0</v>
      </c>
      <c r="Z37" s="73">
        <f t="shared" si="29"/>
        <v>0</v>
      </c>
      <c r="AA37" s="73">
        <f t="shared" si="29"/>
        <v>0</v>
      </c>
      <c r="AB37" s="73">
        <f t="shared" si="29"/>
        <v>0</v>
      </c>
      <c r="AC37" s="73">
        <f t="shared" si="29"/>
        <v>0</v>
      </c>
      <c r="AD37" s="74">
        <f t="shared" ref="AD37:AL37" si="30">AD5+AD10+AD16+AD20+AD25+AD26+AD27+AD28+AD29+AD30+AD31+AD32+AD33+AD34+AD35+AD36</f>
        <v>0</v>
      </c>
      <c r="AE37" s="73">
        <f t="shared" si="30"/>
        <v>0</v>
      </c>
      <c r="AF37" s="73">
        <f t="shared" si="30"/>
        <v>0</v>
      </c>
      <c r="AG37" s="73">
        <f t="shared" si="30"/>
        <v>0</v>
      </c>
      <c r="AH37" s="73">
        <f t="shared" si="30"/>
        <v>0</v>
      </c>
      <c r="AI37" s="73">
        <f t="shared" si="30"/>
        <v>0</v>
      </c>
      <c r="AJ37" s="73">
        <f t="shared" si="30"/>
        <v>0</v>
      </c>
      <c r="AK37" s="73">
        <f t="shared" si="30"/>
        <v>0</v>
      </c>
      <c r="AL37" s="73">
        <f t="shared" si="30"/>
        <v>9940.2999999999993</v>
      </c>
      <c r="AM37" s="74">
        <f t="shared" si="4"/>
        <v>0</v>
      </c>
      <c r="AN37" s="74">
        <f t="shared" si="5"/>
        <v>0</v>
      </c>
      <c r="AO37" s="73">
        <f t="shared" ref="AO37:AP37" si="31">AO5+AO10+AO16+AO20+AO25+AO26+AO27+AO28+AO29+AO30+AO31+AO32+AO33+AO34+AO35+AO36</f>
        <v>9940.2999999999993</v>
      </c>
      <c r="AP37" s="73">
        <f t="shared" si="31"/>
        <v>9940.2999999999993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1:AP1"/>
    <mergeCell ref="W2:AA2"/>
    <mergeCell ref="B3:C3"/>
    <mergeCell ref="D3:I3"/>
    <mergeCell ref="J3:Q3"/>
    <mergeCell ref="R3:S3"/>
    <mergeCell ref="W3:AC3"/>
    <mergeCell ref="AD3:AK3"/>
    <mergeCell ref="AO3:AP3"/>
    <mergeCell ref="A3:A4"/>
    <mergeCell ref="T3:T4"/>
    <mergeCell ref="U3:U4"/>
    <mergeCell ref="AM3:AM4"/>
    <mergeCell ref="AN3:AN4"/>
  </mergeCells>
  <phoneticPr fontId="3" type="noConversion"/>
  <pageMargins left="0.74791666666666701" right="0.74791666666666701" top="0.6" bottom="0.98402777777777795" header="0.50902777777777797" footer="0.51180555555555596"/>
  <pageSetup paperSize="9" fitToWidth="0" fitToHeight="0" orientation="landscape" useFirstPageNumber="1" errors="NA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8"/>
  <sheetViews>
    <sheetView showZeros="0" tabSelected="1" zoomScale="96" zoomScaleNormal="96" workbookViewId="0">
      <pane xSplit="1" ySplit="4" topLeftCell="B5" activePane="bottomRight" state="frozen"/>
      <selection pane="topRight"/>
      <selection pane="bottomLeft"/>
      <selection pane="bottomRight" activeCell="E7" sqref="E7"/>
    </sheetView>
  </sheetViews>
  <sheetFormatPr defaultColWidth="9" defaultRowHeight="14.25" x14ac:dyDescent="0.15"/>
  <cols>
    <col min="1" max="1" width="29.375" customWidth="1"/>
    <col min="2" max="2" width="17" customWidth="1"/>
    <col min="3" max="3" width="21.625" customWidth="1"/>
    <col min="4" max="4" width="16.125" customWidth="1"/>
    <col min="5" max="5" width="14.875" customWidth="1"/>
    <col min="6" max="6" width="16" customWidth="1"/>
    <col min="7" max="7" width="16.875" customWidth="1"/>
    <col min="8" max="8" width="17" customWidth="1"/>
    <col min="9" max="10" width="23.5" customWidth="1"/>
    <col min="11" max="11" width="15.125" customWidth="1"/>
    <col min="12" max="12" width="19.5" customWidth="1"/>
    <col min="13" max="14" width="16.125" customWidth="1"/>
    <col min="15" max="16" width="23.5" customWidth="1"/>
    <col min="17" max="17" width="16.5" customWidth="1"/>
    <col min="18" max="19" width="21.875" customWidth="1"/>
    <col min="20" max="20" width="16.125" customWidth="1"/>
    <col min="21" max="22" width="21.875" customWidth="1"/>
  </cols>
  <sheetData>
    <row r="1" spans="1:22" ht="18.75" x14ac:dyDescent="0.1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s="119" customFormat="1" x14ac:dyDescent="0.15">
      <c r="A2" s="116" t="s">
        <v>161</v>
      </c>
      <c r="B2" s="116">
        <v>1</v>
      </c>
      <c r="C2" s="116">
        <v>2</v>
      </c>
      <c r="D2" s="116">
        <v>3</v>
      </c>
      <c r="E2" s="116">
        <v>4</v>
      </c>
      <c r="F2" s="117">
        <v>5</v>
      </c>
      <c r="G2" s="117" t="s">
        <v>145</v>
      </c>
      <c r="H2" s="117" t="s">
        <v>146</v>
      </c>
      <c r="I2" s="118" t="s">
        <v>147</v>
      </c>
      <c r="J2" s="118" t="s">
        <v>148</v>
      </c>
      <c r="K2" s="118" t="s">
        <v>149</v>
      </c>
      <c r="L2" s="118" t="s">
        <v>150</v>
      </c>
      <c r="M2" s="118" t="s">
        <v>151</v>
      </c>
      <c r="N2" s="118" t="s">
        <v>152</v>
      </c>
      <c r="O2" s="118" t="s">
        <v>153</v>
      </c>
      <c r="P2" s="118" t="s">
        <v>154</v>
      </c>
      <c r="Q2" s="118" t="s">
        <v>155</v>
      </c>
      <c r="R2" s="120" t="s">
        <v>156</v>
      </c>
      <c r="S2" s="120" t="s">
        <v>157</v>
      </c>
      <c r="T2" s="120" t="s">
        <v>158</v>
      </c>
      <c r="U2" s="120" t="s">
        <v>159</v>
      </c>
      <c r="V2" s="120" t="s">
        <v>160</v>
      </c>
    </row>
    <row r="3" spans="1:22" s="42" customFormat="1" ht="14.25" customHeight="1" x14ac:dyDescent="0.15">
      <c r="A3" s="97" t="s">
        <v>1</v>
      </c>
      <c r="B3" s="99" t="s">
        <v>48</v>
      </c>
      <c r="C3" s="100"/>
      <c r="D3" s="101"/>
      <c r="E3" s="99" t="s">
        <v>49</v>
      </c>
      <c r="F3" s="100"/>
      <c r="G3" s="101"/>
      <c r="H3" s="99" t="s">
        <v>50</v>
      </c>
      <c r="I3" s="100"/>
      <c r="J3" s="101"/>
      <c r="K3" s="99" t="s">
        <v>51</v>
      </c>
      <c r="L3" s="100"/>
      <c r="M3" s="101"/>
      <c r="N3" s="99" t="s">
        <v>52</v>
      </c>
      <c r="O3" s="100"/>
      <c r="P3" s="101"/>
      <c r="Q3" s="99" t="s">
        <v>53</v>
      </c>
      <c r="R3" s="100"/>
      <c r="S3" s="101"/>
      <c r="T3" s="99" t="s">
        <v>54</v>
      </c>
      <c r="U3" s="100"/>
      <c r="V3" s="101"/>
    </row>
    <row r="4" spans="1:22" s="43" customFormat="1" ht="33.75" customHeight="1" x14ac:dyDescent="0.15">
      <c r="A4" s="97"/>
      <c r="B4" s="48" t="s">
        <v>11</v>
      </c>
      <c r="C4" s="48" t="s">
        <v>55</v>
      </c>
      <c r="D4" s="48" t="s">
        <v>56</v>
      </c>
      <c r="E4" s="48" t="s">
        <v>11</v>
      </c>
      <c r="F4" s="48" t="s">
        <v>55</v>
      </c>
      <c r="G4" s="48" t="s">
        <v>56</v>
      </c>
      <c r="H4" s="48" t="s">
        <v>11</v>
      </c>
      <c r="I4" s="48" t="s">
        <v>57</v>
      </c>
      <c r="J4" s="48" t="s">
        <v>58</v>
      </c>
      <c r="K4" s="48" t="s">
        <v>11</v>
      </c>
      <c r="L4" s="48" t="s">
        <v>57</v>
      </c>
      <c r="M4" s="48" t="s">
        <v>58</v>
      </c>
      <c r="N4" s="48" t="s">
        <v>11</v>
      </c>
      <c r="O4" s="48" t="s">
        <v>59</v>
      </c>
      <c r="P4" s="48" t="s">
        <v>60</v>
      </c>
      <c r="Q4" s="48" t="s">
        <v>11</v>
      </c>
      <c r="R4" s="48" t="s">
        <v>61</v>
      </c>
      <c r="S4" s="48" t="s">
        <v>62</v>
      </c>
      <c r="T4" s="48" t="s">
        <v>11</v>
      </c>
      <c r="U4" s="48" t="s">
        <v>61</v>
      </c>
      <c r="V4" s="48" t="s">
        <v>62</v>
      </c>
    </row>
    <row r="5" spans="1:22" ht="12.75" customHeight="1" x14ac:dyDescent="0.15">
      <c r="A5" s="49" t="s">
        <v>166</v>
      </c>
      <c r="B5" s="50">
        <f t="shared" ref="B5:B65" si="0">C5+D5</f>
        <v>0</v>
      </c>
      <c r="C5" s="51">
        <f t="shared" ref="C5:V5" si="1">SUM(C6:C9)</f>
        <v>0</v>
      </c>
      <c r="D5" s="51">
        <f t="shared" si="1"/>
        <v>0</v>
      </c>
      <c r="E5" s="50">
        <f t="shared" ref="E5:E65" si="2">F5+G5</f>
        <v>0</v>
      </c>
      <c r="F5" s="51">
        <f t="shared" si="1"/>
        <v>0</v>
      </c>
      <c r="G5" s="51">
        <f t="shared" si="1"/>
        <v>0</v>
      </c>
      <c r="H5" s="52">
        <f>I5+J5</f>
        <v>0</v>
      </c>
      <c r="I5" s="51">
        <f t="shared" si="1"/>
        <v>0</v>
      </c>
      <c r="J5" s="51">
        <f t="shared" si="1"/>
        <v>0</v>
      </c>
      <c r="K5" s="52">
        <f>L5+M5</f>
        <v>0</v>
      </c>
      <c r="L5" s="51">
        <f>SUM(L6:L9)</f>
        <v>0</v>
      </c>
      <c r="M5" s="51">
        <f t="shared" si="1"/>
        <v>0</v>
      </c>
      <c r="N5" s="52">
        <f>O5+P5</f>
        <v>0</v>
      </c>
      <c r="O5" s="51">
        <f t="shared" si="1"/>
        <v>0</v>
      </c>
      <c r="P5" s="51">
        <f t="shared" si="1"/>
        <v>0</v>
      </c>
      <c r="Q5" s="52">
        <f>R5+S5</f>
        <v>0</v>
      </c>
      <c r="R5" s="51">
        <f t="shared" si="1"/>
        <v>0</v>
      </c>
      <c r="S5" s="51">
        <f t="shared" si="1"/>
        <v>0</v>
      </c>
      <c r="T5" s="52">
        <f>U5+V5</f>
        <v>0</v>
      </c>
      <c r="U5" s="51">
        <f t="shared" si="1"/>
        <v>0</v>
      </c>
      <c r="V5" s="51">
        <f t="shared" si="1"/>
        <v>0</v>
      </c>
    </row>
    <row r="6" spans="1:22" x14ac:dyDescent="0.15">
      <c r="A6" s="53" t="s">
        <v>25</v>
      </c>
      <c r="B6" s="50">
        <f t="shared" si="0"/>
        <v>0</v>
      </c>
      <c r="C6" s="54">
        <f>SUMIFS(卡片数据!G:G,卡片数据!$B:$B,"输电线路",卡片数据!$D:$D,"500kV",卡片数据!E:E,"&lt;2015-1-1")</f>
        <v>0</v>
      </c>
      <c r="D6" s="54">
        <f>SUMIFS(卡片数据!G:G,卡片数据!$B:$B,"输电线路",卡片数据!$D:$D,"500kV",卡片数据!E:E,"&gt;=2015-1-1")</f>
        <v>0</v>
      </c>
      <c r="E6" s="50">
        <f t="shared" si="2"/>
        <v>0</v>
      </c>
      <c r="F6" s="54">
        <f>SUMIFS(卡片数据!J:J,卡片数据!$B:$B,"输电线路",卡片数据!$D:$D,"500kV",卡片数据!E:E,"&lt;2015-1-1")</f>
        <v>0</v>
      </c>
      <c r="G6" s="54">
        <f>SUMIFS(卡片数据!J:J,卡片数据!$B:$B,"输电线路",卡片数据!$D:$D,"500kV",卡片数据!E:E,"&gt;=2015-1-1")</f>
        <v>0</v>
      </c>
      <c r="H6" s="52">
        <f t="shared" ref="H6:H65" si="3">I6+J6</f>
        <v>0</v>
      </c>
      <c r="I6" s="54">
        <f>SUMIFS(卡片数据!I:I,卡片数据!$B:$B,"输电线路",卡片数据!$D:$D,"500kV",卡片数据!E:E,"&lt;2015-1-1")</f>
        <v>0</v>
      </c>
      <c r="J6" s="54">
        <f>SUMIFS(卡片数据!I:I,卡片数据!$B:$B,"输电线路",卡片数据!$D:$D,"500kV",卡片数据!E:E,"&gt;=2015-1-1")</f>
        <v>0</v>
      </c>
      <c r="K6" s="52">
        <f t="shared" ref="K6:K65" si="4">L6+M6</f>
        <v>0</v>
      </c>
      <c r="L6" s="54">
        <f>SUMIFS(卡片数据!L:L,卡片数据!$B:$B,"输电线路",卡片数据!$D:$D,"500kV",卡片数据!E:E,"&lt;2015-1-1")</f>
        <v>0</v>
      </c>
      <c r="M6" s="54">
        <f>SUMIFS(卡片数据!L:L,卡片数据!$B:$B,"输电线路",卡片数据!$D:$D,"500kV",卡片数据!E:E,"&gt;=2015-1-1")</f>
        <v>0</v>
      </c>
      <c r="N6" s="52">
        <f t="shared" ref="N6:N65" si="5">O6+P6</f>
        <v>0</v>
      </c>
      <c r="O6" s="54">
        <f>SUMIFS(卡片数据!M:M,卡片数据!$B:$B,"输电线路",卡片数据!$D:$D,"500kV",卡片数据!E:E,"&lt;2015-1-1")</f>
        <v>0</v>
      </c>
      <c r="P6" s="54">
        <f>SUMIFS(卡片数据!M:M,卡片数据!$B:$B,"输电线路",卡片数据!$D:$D,"500kV",卡片数据!E:E,"&gt;=2015-1-1")</f>
        <v>0</v>
      </c>
      <c r="Q6" s="52">
        <f t="shared" ref="Q6:Q65" si="6">R6+S6</f>
        <v>0</v>
      </c>
      <c r="R6" s="54">
        <f t="shared" ref="R6:R9" si="7">C6-I6</f>
        <v>0</v>
      </c>
      <c r="S6" s="54">
        <f t="shared" ref="S6:S9" si="8">D6-J6</f>
        <v>0</v>
      </c>
      <c r="T6" s="52">
        <f t="shared" ref="T6:T65" si="9">U6+V6</f>
        <v>0</v>
      </c>
      <c r="U6" s="54">
        <f t="shared" ref="U6:U9" si="10">F6-L6</f>
        <v>0</v>
      </c>
      <c r="V6" s="54">
        <f t="shared" ref="V6:V9" si="11">G6-M6</f>
        <v>0</v>
      </c>
    </row>
    <row r="7" spans="1:22" x14ac:dyDescent="0.15">
      <c r="A7" s="53" t="s">
        <v>26</v>
      </c>
      <c r="B7" s="50">
        <f t="shared" si="0"/>
        <v>0</v>
      </c>
      <c r="C7" s="54">
        <f>SUMIFS(卡片数据!G:G,卡片数据!$B:$B,"输电线路",卡片数据!$D:$D,"220kV",卡片数据!E:E,"&lt;2015-1-1")</f>
        <v>0</v>
      </c>
      <c r="D7" s="54">
        <f>SUMIFS(卡片数据!G:G,卡片数据!$B:$B,"输电线路",卡片数据!$D:$D,"220kV",卡片数据!E:E,"&gt;=2015-1-1")</f>
        <v>0</v>
      </c>
      <c r="E7" s="50">
        <f t="shared" si="2"/>
        <v>0</v>
      </c>
      <c r="F7" s="54">
        <f>SUMIFS(卡片数据!J:J,卡片数据!$B:$B,"输电线路",卡片数据!$D:$D,"220kV",卡片数据!E:E,"&lt;2015-1-1")</f>
        <v>0</v>
      </c>
      <c r="G7" s="54">
        <f>SUMIFS(卡片数据!J:J,卡片数据!$B:$B,"输电线路",卡片数据!$D:$D,"220kV",卡片数据!E:E,"&gt;=2015-1-1")</f>
        <v>0</v>
      </c>
      <c r="H7" s="52">
        <f t="shared" si="3"/>
        <v>0</v>
      </c>
      <c r="I7" s="54">
        <f>SUMIFS(卡片数据!I:I,卡片数据!$B:$B,"输电线路",卡片数据!$D:$D,"220kV",卡片数据!E:E,"&lt;2015-1-1")</f>
        <v>0</v>
      </c>
      <c r="J7" s="54">
        <f>SUMIFS(卡片数据!I:I,卡片数据!$B:$B,"输电线路",卡片数据!$D:$D,"220kV",卡片数据!E:E,"&gt;=2015-1-1")</f>
        <v>0</v>
      </c>
      <c r="K7" s="52">
        <f t="shared" si="4"/>
        <v>0</v>
      </c>
      <c r="L7" s="54">
        <f>SUMIFS(卡片数据!L:L,卡片数据!$B:$B,"输电线路",卡片数据!$D:$D,"220kV",卡片数据!E:E,"&lt;2015-1-1")</f>
        <v>0</v>
      </c>
      <c r="M7" s="54">
        <f>SUMIFS(卡片数据!L:L,卡片数据!$B:$B,"输电线路",卡片数据!$D:$D,"220kV",卡片数据!E:E,"&gt;=2015-1-1")</f>
        <v>0</v>
      </c>
      <c r="N7" s="52">
        <f t="shared" si="5"/>
        <v>0</v>
      </c>
      <c r="O7" s="54">
        <f>SUMIFS(卡片数据!M:M,卡片数据!$B:$B,"输电线路",卡片数据!$D:$D,"220kV",卡片数据!E:E,"&lt;2015-1-1")</f>
        <v>0</v>
      </c>
      <c r="P7" s="54">
        <f>SUMIFS(卡片数据!M:M,卡片数据!$B:$B,"输电线路",卡片数据!$D:$D,"220kV",卡片数据!E:E,"&gt;=2015-1-1")</f>
        <v>0</v>
      </c>
      <c r="Q7" s="52">
        <f t="shared" si="6"/>
        <v>0</v>
      </c>
      <c r="R7" s="54">
        <f t="shared" si="7"/>
        <v>0</v>
      </c>
      <c r="S7" s="54">
        <f t="shared" si="8"/>
        <v>0</v>
      </c>
      <c r="T7" s="52">
        <f t="shared" si="9"/>
        <v>0</v>
      </c>
      <c r="U7" s="54">
        <f t="shared" si="10"/>
        <v>0</v>
      </c>
      <c r="V7" s="54">
        <f t="shared" si="11"/>
        <v>0</v>
      </c>
    </row>
    <row r="8" spans="1:22" x14ac:dyDescent="0.15">
      <c r="A8" s="53" t="s">
        <v>27</v>
      </c>
      <c r="B8" s="50">
        <f t="shared" si="0"/>
        <v>0</v>
      </c>
      <c r="C8" s="54">
        <f>SUMIFS(卡片数据!G:G,卡片数据!$B:$B,"输电线路",卡片数据!$D:$D,"110kV",卡片数据!E:E,"&lt;2015-1-1")</f>
        <v>0</v>
      </c>
      <c r="D8" s="54">
        <f>SUMIFS(卡片数据!G:G,卡片数据!$B:$B,"输电线路",卡片数据!$D:$D,"110kV",卡片数据!E:E,"&gt;=2015-1-1")</f>
        <v>0</v>
      </c>
      <c r="E8" s="50">
        <f t="shared" si="2"/>
        <v>0</v>
      </c>
      <c r="F8" s="54">
        <f>SUMIFS(卡片数据!J:J,卡片数据!$B:$B,"输电线路",卡片数据!$D:$D,"110kV",卡片数据!E:E,"&lt;2015-1-1")</f>
        <v>0</v>
      </c>
      <c r="G8" s="54">
        <f>SUMIFS(卡片数据!J:J,卡片数据!$B:$B,"输电线路",卡片数据!$D:$D,"110kV",卡片数据!E:E,"&gt;=2015-1-1")</f>
        <v>0</v>
      </c>
      <c r="H8" s="52">
        <f t="shared" si="3"/>
        <v>0</v>
      </c>
      <c r="I8" s="54">
        <f>SUMIFS(卡片数据!I:I,卡片数据!$B:$B,"输电线路",卡片数据!$D:$D,"110kV",卡片数据!E:E,"&lt;2015-1-1")</f>
        <v>0</v>
      </c>
      <c r="J8" s="54">
        <f>SUMIFS(卡片数据!I:I,卡片数据!$B:$B,"输电线路",卡片数据!$D:$D,"110kV",卡片数据!E:E,"&gt;=2015-1-1")</f>
        <v>0</v>
      </c>
      <c r="K8" s="52">
        <f t="shared" si="4"/>
        <v>0</v>
      </c>
      <c r="L8" s="54">
        <f>SUMIFS(卡片数据!L:L,卡片数据!$B:$B,"输电线路",卡片数据!$D:$D,"110kV",卡片数据!E:E,"&lt;2015-1-1")</f>
        <v>0</v>
      </c>
      <c r="M8" s="54">
        <f>SUMIFS(卡片数据!L:L,卡片数据!$B:$B,"输电线路",卡片数据!$D:$D,"110kV",卡片数据!E:E,"&gt;=2015-1-1")</f>
        <v>0</v>
      </c>
      <c r="N8" s="52">
        <f t="shared" si="5"/>
        <v>0</v>
      </c>
      <c r="O8" s="54">
        <f>SUMIFS(卡片数据!M:M,卡片数据!$B:$B,"输电线路",卡片数据!$D:$D,"110kV",卡片数据!E:E,"&lt;2015-1-1")</f>
        <v>0</v>
      </c>
      <c r="P8" s="54">
        <f>SUMIFS(卡片数据!M:M,卡片数据!$B:$B,"输电线路",卡片数据!$D:$D,"110kV",卡片数据!E:E,"&gt;=2015-1-1")</f>
        <v>0</v>
      </c>
      <c r="Q8" s="52">
        <f t="shared" si="6"/>
        <v>0</v>
      </c>
      <c r="R8" s="54">
        <f t="shared" si="7"/>
        <v>0</v>
      </c>
      <c r="S8" s="54">
        <f t="shared" si="8"/>
        <v>0</v>
      </c>
      <c r="T8" s="52">
        <f t="shared" si="9"/>
        <v>0</v>
      </c>
      <c r="U8" s="54">
        <f t="shared" si="10"/>
        <v>0</v>
      </c>
      <c r="V8" s="54">
        <f t="shared" si="11"/>
        <v>0</v>
      </c>
    </row>
    <row r="9" spans="1:22" x14ac:dyDescent="0.15">
      <c r="A9" s="53" t="s">
        <v>28</v>
      </c>
      <c r="B9" s="50">
        <f t="shared" si="0"/>
        <v>0</v>
      </c>
      <c r="C9" s="54">
        <f>SUMIFS(卡片数据!G:G,卡片数据!$B:$B,"输电线路",卡片数据!$D:$D,"35kV",卡片数据!E:E,"&lt;2015-1-1")</f>
        <v>0</v>
      </c>
      <c r="D9" s="54">
        <f>SUMIFS(卡片数据!G:G,卡片数据!$B:$B,"输电线路",卡片数据!$D:$D,"35kV",卡片数据!E:E,"&gt;=2015-1-1")</f>
        <v>0</v>
      </c>
      <c r="E9" s="50">
        <f t="shared" si="2"/>
        <v>0</v>
      </c>
      <c r="F9" s="54">
        <f>SUMIFS(卡片数据!J:J,卡片数据!$B:$B,"输电线路",卡片数据!$D:$D,"35kV",卡片数据!E:E,"&lt;2015-1-1")</f>
        <v>0</v>
      </c>
      <c r="G9" s="54">
        <f>SUMIFS(卡片数据!J:J,卡片数据!$B:$B,"输电线路",卡片数据!$D:$D,"35kV",卡片数据!E:E,"&gt;=2015-1-1")</f>
        <v>0</v>
      </c>
      <c r="H9" s="52">
        <f t="shared" si="3"/>
        <v>0</v>
      </c>
      <c r="I9" s="54">
        <f>SUMIFS(卡片数据!I:I,卡片数据!$B:$B,"输电线路",卡片数据!$D:$D,"35kV",卡片数据!E:E,"&lt;2015-1-1")</f>
        <v>0</v>
      </c>
      <c r="J9" s="54">
        <f>SUMIFS(卡片数据!I:I,卡片数据!$B:$B,"输电线路",卡片数据!$D:$D,"35kV",卡片数据!E:E,"&gt;=2015-1-1")</f>
        <v>0</v>
      </c>
      <c r="K9" s="52">
        <f t="shared" si="4"/>
        <v>0</v>
      </c>
      <c r="L9" s="54">
        <f>SUMIFS(卡片数据!L:L,卡片数据!$B:$B,"输电线路",卡片数据!$D:$D,"35kV",卡片数据!E:E,"&lt;2015-1-1")</f>
        <v>0</v>
      </c>
      <c r="M9" s="54">
        <f>SUMIFS(卡片数据!L:L,卡片数据!$B:$B,"输电线路",卡片数据!$D:$D,"35kV",卡片数据!E:E,"&gt;=2015-1-1")</f>
        <v>0</v>
      </c>
      <c r="N9" s="52">
        <f t="shared" si="5"/>
        <v>0</v>
      </c>
      <c r="O9" s="54">
        <f>SUMIFS(卡片数据!M:M,卡片数据!$B:$B,"输电线路",卡片数据!$D:$D,"35kV",卡片数据!E:E,"&lt;2015-1-1")</f>
        <v>0</v>
      </c>
      <c r="P9" s="54">
        <f>SUMIFS(卡片数据!M:M,卡片数据!$B:$B,"输电线路",卡片数据!$D:$D,"35kV",卡片数据!E:E,"&gt;=2015-1-1")</f>
        <v>0</v>
      </c>
      <c r="Q9" s="52">
        <f t="shared" si="6"/>
        <v>0</v>
      </c>
      <c r="R9" s="54">
        <f t="shared" si="7"/>
        <v>0</v>
      </c>
      <c r="S9" s="54">
        <f t="shared" si="8"/>
        <v>0</v>
      </c>
      <c r="T9" s="52">
        <f t="shared" si="9"/>
        <v>0</v>
      </c>
      <c r="U9" s="54">
        <f t="shared" si="10"/>
        <v>0</v>
      </c>
      <c r="V9" s="54">
        <f t="shared" si="11"/>
        <v>0</v>
      </c>
    </row>
    <row r="10" spans="1:22" x14ac:dyDescent="0.15">
      <c r="A10" s="49" t="s">
        <v>162</v>
      </c>
      <c r="B10" s="50">
        <f t="shared" si="0"/>
        <v>9940.2999999999993</v>
      </c>
      <c r="C10" s="51">
        <f>SUM(C11:C15)</f>
        <v>9940.2999999999993</v>
      </c>
      <c r="D10" s="51">
        <f t="shared" ref="D10:V10" si="12">SUM(D11:D15)</f>
        <v>0</v>
      </c>
      <c r="E10" s="50">
        <f t="shared" si="2"/>
        <v>9940.2999999999993</v>
      </c>
      <c r="F10" s="51">
        <f t="shared" si="12"/>
        <v>9940.2999999999993</v>
      </c>
      <c r="G10" s="51">
        <f t="shared" si="12"/>
        <v>0</v>
      </c>
      <c r="H10" s="52">
        <f t="shared" si="3"/>
        <v>9940.2999999999993</v>
      </c>
      <c r="I10" s="51">
        <f t="shared" si="12"/>
        <v>9940.2999999999993</v>
      </c>
      <c r="J10" s="51">
        <f t="shared" si="12"/>
        <v>0</v>
      </c>
      <c r="K10" s="52">
        <f t="shared" si="4"/>
        <v>9940.2999999999993</v>
      </c>
      <c r="L10" s="51">
        <f t="shared" si="12"/>
        <v>9940.2999999999993</v>
      </c>
      <c r="M10" s="51">
        <f t="shared" si="12"/>
        <v>0</v>
      </c>
      <c r="N10" s="52">
        <f t="shared" si="5"/>
        <v>0</v>
      </c>
      <c r="O10" s="51">
        <f t="shared" si="12"/>
        <v>0</v>
      </c>
      <c r="P10" s="51">
        <f t="shared" si="12"/>
        <v>0</v>
      </c>
      <c r="Q10" s="52">
        <f t="shared" si="6"/>
        <v>0</v>
      </c>
      <c r="R10" s="51">
        <f t="shared" si="12"/>
        <v>0</v>
      </c>
      <c r="S10" s="51">
        <f t="shared" si="12"/>
        <v>0</v>
      </c>
      <c r="T10" s="52">
        <f t="shared" si="9"/>
        <v>0</v>
      </c>
      <c r="U10" s="51">
        <f t="shared" si="12"/>
        <v>0</v>
      </c>
      <c r="V10" s="51">
        <f t="shared" si="12"/>
        <v>0</v>
      </c>
    </row>
    <row r="11" spans="1:22" x14ac:dyDescent="0.15">
      <c r="A11" s="53" t="s">
        <v>25</v>
      </c>
      <c r="B11" s="50">
        <f t="shared" si="0"/>
        <v>0</v>
      </c>
      <c r="C11" s="54">
        <f>SUMIFS(卡片数据!G:G,卡片数据!$B:$B,"变电设备",卡片数据!$D:$D,"500kV",卡片数据!E:E,"&lt;2015-1-1")</f>
        <v>0</v>
      </c>
      <c r="D11" s="54">
        <f>SUMIFS(卡片数据!G:G,卡片数据!$B:$B,"变电设备",卡片数据!$D:$D,"500kV",卡片数据!E:E,"&gt;=2015-1-1")</f>
        <v>0</v>
      </c>
      <c r="E11" s="50">
        <f t="shared" si="2"/>
        <v>0</v>
      </c>
      <c r="F11" s="54">
        <f>SUMIFS(卡片数据!J:J,卡片数据!$B:$B,"变电设备",卡片数据!$D:$D,"500kV",卡片数据!E:E,"&lt;2015-1-1")</f>
        <v>0</v>
      </c>
      <c r="G11" s="54">
        <f>SUMIFS(卡片数据!J:J,卡片数据!$B:$B,"变电设备",卡片数据!$D:$D,"500kV",卡片数据!E:E,"&gt;=2015-1-1")</f>
        <v>0</v>
      </c>
      <c r="H11" s="52">
        <f t="shared" si="3"/>
        <v>0</v>
      </c>
      <c r="I11" s="54">
        <f>SUMIFS(卡片数据!I:I,卡片数据!$B:$B,"变电设备",卡片数据!$D:$D,"500kV",卡片数据!E:E,"&lt;2015-1-1")</f>
        <v>0</v>
      </c>
      <c r="J11" s="54">
        <f>SUMIFS(卡片数据!I:I,卡片数据!$B:$B,"变电设备",卡片数据!$D:$D,"500kV",卡片数据!E:E,"&gt;=2015-1-1")</f>
        <v>0</v>
      </c>
      <c r="K11" s="52">
        <f t="shared" si="4"/>
        <v>0</v>
      </c>
      <c r="L11" s="54">
        <f>SUMIFS(卡片数据!L:L,卡片数据!$B:$B,"变电设备",卡片数据!$D:$D,"500kV",卡片数据!E:E,"&lt;2015-1-1")</f>
        <v>0</v>
      </c>
      <c r="M11" s="54">
        <f>SUMIFS(卡片数据!L:L,卡片数据!$B:$B,"变电设备",卡片数据!$D:$D,"500kV",卡片数据!E:E,"&gt;=2015-1-1")</f>
        <v>0</v>
      </c>
      <c r="N11" s="52">
        <f t="shared" si="5"/>
        <v>0</v>
      </c>
      <c r="O11" s="54">
        <f>SUMIFS(卡片数据!M:M,卡片数据!$B:$B,"变电设备",卡片数据!$D:$D,"500kV",卡片数据!E:E,"&lt;2015-1-1")</f>
        <v>0</v>
      </c>
      <c r="P11" s="54">
        <f>SUMIFS(卡片数据!M:M,卡片数据!$B:$B,"变电设备",卡片数据!$D:$D,"500kV",卡片数据!E:E,"&gt;=2015-1-1")</f>
        <v>0</v>
      </c>
      <c r="Q11" s="52">
        <f t="shared" si="6"/>
        <v>0</v>
      </c>
      <c r="R11" s="54">
        <f t="shared" ref="R11:R15" si="13">C11-I11</f>
        <v>0</v>
      </c>
      <c r="S11" s="54">
        <f t="shared" ref="S11:S15" si="14">D11-J11</f>
        <v>0</v>
      </c>
      <c r="T11" s="52">
        <f t="shared" si="9"/>
        <v>0</v>
      </c>
      <c r="U11" s="54">
        <f t="shared" ref="U11:U15" si="15">F11-L11</f>
        <v>0</v>
      </c>
      <c r="V11" s="54">
        <f t="shared" ref="V11:V15" si="16">G11-M11</f>
        <v>0</v>
      </c>
    </row>
    <row r="12" spans="1:22" x14ac:dyDescent="0.15">
      <c r="A12" s="55" t="s">
        <v>26</v>
      </c>
      <c r="B12" s="50">
        <f t="shared" si="0"/>
        <v>0</v>
      </c>
      <c r="C12" s="54">
        <f>SUMIFS(卡片数据!G:G,卡片数据!$B:$B,"变电设备",卡片数据!$D:$D,"220kV",卡片数据!E:E,"&lt;2015-1-1")</f>
        <v>0</v>
      </c>
      <c r="D12" s="54">
        <f>SUMIFS(卡片数据!G:G,卡片数据!$B:$B,"变电设备",卡片数据!$D:$D,"220kV",卡片数据!E:E,"&gt;=2015-1-1")</f>
        <v>0</v>
      </c>
      <c r="E12" s="50">
        <f t="shared" si="2"/>
        <v>0</v>
      </c>
      <c r="F12" s="54">
        <f>SUMIFS(卡片数据!J:J,卡片数据!$B:$B,"变电设备",卡片数据!$D:$D,"220kV",卡片数据!E:E,"&lt;2015-1-1")</f>
        <v>0</v>
      </c>
      <c r="G12" s="54">
        <f>SUMIFS(卡片数据!J:J,卡片数据!$B:$B,"变电设备",卡片数据!$D:$D,"220kV",卡片数据!E:E,"&gt;=2015-1-1")</f>
        <v>0</v>
      </c>
      <c r="H12" s="52">
        <f t="shared" si="3"/>
        <v>0</v>
      </c>
      <c r="I12" s="54">
        <f>SUMIFS(卡片数据!I:I,卡片数据!$B:$B,"变电设备",卡片数据!$D:$D,"220kV",卡片数据!E:E,"&lt;2015-1-1")</f>
        <v>0</v>
      </c>
      <c r="J12" s="54">
        <f>SUMIFS(卡片数据!I:I,卡片数据!$B:$B,"变电设备",卡片数据!$D:$D,"220kV",卡片数据!E:E,"&gt;=2015-1-1")</f>
        <v>0</v>
      </c>
      <c r="K12" s="52">
        <f t="shared" si="4"/>
        <v>0</v>
      </c>
      <c r="L12" s="54">
        <f>SUMIFS(卡片数据!L:L,卡片数据!$B:$B,"变电设备",卡片数据!$D:$D,"220kV",卡片数据!E:E,"&lt;2015-1-1")</f>
        <v>0</v>
      </c>
      <c r="M12" s="54">
        <f>SUMIFS(卡片数据!L:L,卡片数据!$B:$B,"变电设备",卡片数据!$D:$D,"220kV",卡片数据!E:E,"&gt;=2015-1-1")</f>
        <v>0</v>
      </c>
      <c r="N12" s="52">
        <f t="shared" si="5"/>
        <v>0</v>
      </c>
      <c r="O12" s="54">
        <f>SUMIFS(卡片数据!M:M,卡片数据!$B:$B,"变电设备",卡片数据!$D:$D,"220kV",卡片数据!E:E,"&lt;2015-1-1")</f>
        <v>0</v>
      </c>
      <c r="P12" s="54">
        <f>SUMIFS(卡片数据!M:M,卡片数据!$B:$B,"变电设备",卡片数据!$D:$D,"220kV",卡片数据!E:E,"&gt;=2015-1-1")</f>
        <v>0</v>
      </c>
      <c r="Q12" s="52">
        <f t="shared" si="6"/>
        <v>0</v>
      </c>
      <c r="R12" s="54">
        <f t="shared" si="13"/>
        <v>0</v>
      </c>
      <c r="S12" s="54">
        <f t="shared" si="14"/>
        <v>0</v>
      </c>
      <c r="T12" s="52">
        <f t="shared" si="9"/>
        <v>0</v>
      </c>
      <c r="U12" s="54">
        <f t="shared" si="15"/>
        <v>0</v>
      </c>
      <c r="V12" s="54">
        <f t="shared" si="16"/>
        <v>0</v>
      </c>
    </row>
    <row r="13" spans="1:22" x14ac:dyDescent="0.15">
      <c r="A13" s="55" t="s">
        <v>27</v>
      </c>
      <c r="B13" s="50">
        <f t="shared" si="0"/>
        <v>4033.54</v>
      </c>
      <c r="C13" s="54">
        <f>SUMIFS(卡片数据!G:G,卡片数据!$B:$B,"变电设备",卡片数据!$D:$D,"110kV",卡片数据!E:E,"&lt;2015-1-1")</f>
        <v>4033.54</v>
      </c>
      <c r="D13" s="54">
        <f>SUMIFS(卡片数据!G:G,卡片数据!$B:$B,"变电设备",卡片数据!$D:$D,"110kV",卡片数据!E:E,"&gt;=2015-1-1")</f>
        <v>0</v>
      </c>
      <c r="E13" s="50">
        <f t="shared" si="2"/>
        <v>4033.54</v>
      </c>
      <c r="F13" s="54">
        <f>SUMIFS(卡片数据!J:J,卡片数据!$B:$B,"变电设备",卡片数据!$D:$D,"110kV",卡片数据!E:E,"&lt;2015-1-1")</f>
        <v>4033.54</v>
      </c>
      <c r="G13" s="54">
        <f>SUMIFS(卡片数据!J:J,卡片数据!$B:$B,"变电设备",卡片数据!$D:$D,"110kV",卡片数据!E:E,"&gt;=2015-1-1")</f>
        <v>0</v>
      </c>
      <c r="H13" s="52">
        <f t="shared" si="3"/>
        <v>4033.54</v>
      </c>
      <c r="I13" s="54">
        <f>SUMIFS(卡片数据!I:I,卡片数据!$B:$B,"变电设备",卡片数据!$D:$D,"110kV",卡片数据!E:E,"&lt;2015-1-1")</f>
        <v>4033.54</v>
      </c>
      <c r="J13" s="54">
        <f>SUMIFS(卡片数据!I:I,卡片数据!$B:$B,"变电设备",卡片数据!$D:$D,"110kV",卡片数据!E:E,"&gt;=2015-1-1")</f>
        <v>0</v>
      </c>
      <c r="K13" s="52">
        <f t="shared" si="4"/>
        <v>4033.54</v>
      </c>
      <c r="L13" s="54">
        <f>SUMIFS(卡片数据!L:L,卡片数据!$B:$B,"变电设备",卡片数据!$D:$D,"110kV",卡片数据!E:E,"&lt;2015-1-1")</f>
        <v>4033.54</v>
      </c>
      <c r="M13" s="54">
        <f>SUMIFS(卡片数据!L:L,卡片数据!$B:$B,"变电设备",卡片数据!$D:$D,"110kV",卡片数据!E:E,"&gt;=2015-1-1")</f>
        <v>0</v>
      </c>
      <c r="N13" s="52">
        <f t="shared" si="5"/>
        <v>0</v>
      </c>
      <c r="O13" s="54">
        <f>SUMIFS(卡片数据!M:M,卡片数据!$B:$B,"变电设备",卡片数据!$D:$D,"110kV",卡片数据!E:E,"&lt;2015-1-1")</f>
        <v>0</v>
      </c>
      <c r="P13" s="54">
        <f>SUMIFS(卡片数据!M:M,卡片数据!$B:$B,"变电设备",卡片数据!$D:$D,"110kV",卡片数据!E:E,"&gt;=2015-1-1")</f>
        <v>0</v>
      </c>
      <c r="Q13" s="52">
        <f t="shared" si="6"/>
        <v>0</v>
      </c>
      <c r="R13" s="54">
        <f t="shared" si="13"/>
        <v>0</v>
      </c>
      <c r="S13" s="54">
        <f t="shared" si="14"/>
        <v>0</v>
      </c>
      <c r="T13" s="52">
        <f t="shared" si="9"/>
        <v>0</v>
      </c>
      <c r="U13" s="54">
        <f t="shared" si="15"/>
        <v>0</v>
      </c>
      <c r="V13" s="54">
        <f t="shared" si="16"/>
        <v>0</v>
      </c>
    </row>
    <row r="14" spans="1:22" x14ac:dyDescent="0.15">
      <c r="A14" s="55" t="s">
        <v>28</v>
      </c>
      <c r="B14" s="50">
        <f t="shared" si="0"/>
        <v>5906.76</v>
      </c>
      <c r="C14" s="54">
        <f>SUMIFS(卡片数据!G:G,卡片数据!$B:$B,"变电设备",卡片数据!$D:$D,"35kV",卡片数据!E:E,"&lt;2015-1-1")</f>
        <v>5906.76</v>
      </c>
      <c r="D14" s="54">
        <f>SUMIFS(卡片数据!G:G,卡片数据!$B:$B,"变电设备",卡片数据!$D:$D,"35kV",卡片数据!E:E,"&gt;=2015-1-1")</f>
        <v>0</v>
      </c>
      <c r="E14" s="50">
        <f t="shared" si="2"/>
        <v>5906.76</v>
      </c>
      <c r="F14" s="54">
        <f>SUMIFS(卡片数据!J:J,卡片数据!$B:$B,"变电设备",卡片数据!$D:$D,"35kV",卡片数据!E:E,"&lt;2015-1-1")</f>
        <v>5906.76</v>
      </c>
      <c r="G14" s="54">
        <f>SUMIFS(卡片数据!J:J,卡片数据!$B:$B,"变电设备",卡片数据!$D:$D,"35kV",卡片数据!E:E,"&gt;=2015-1-1")</f>
        <v>0</v>
      </c>
      <c r="H14" s="52">
        <f t="shared" si="3"/>
        <v>5906.76</v>
      </c>
      <c r="I14" s="54">
        <f>SUMIFS(卡片数据!I:I,卡片数据!$B:$B,"变电设备",卡片数据!$D:$D,"35kV",卡片数据!E:E,"&lt;2015-1-1")</f>
        <v>5906.76</v>
      </c>
      <c r="J14" s="54">
        <f>SUMIFS(卡片数据!I:I,卡片数据!$B:$B,"变电设备",卡片数据!$D:$D,"35kV",卡片数据!E:E,"&gt;=2015-1-1")</f>
        <v>0</v>
      </c>
      <c r="K14" s="52">
        <f t="shared" si="4"/>
        <v>5906.76</v>
      </c>
      <c r="L14" s="54">
        <f>SUMIFS(卡片数据!L:L,卡片数据!$B:$B,"变电设备",卡片数据!$D:$D,"35kV",卡片数据!E:E,"&lt;2015-1-1")</f>
        <v>5906.76</v>
      </c>
      <c r="M14" s="54">
        <f>SUMIFS(卡片数据!L:L,卡片数据!$B:$B,"变电设备",卡片数据!$D:$D,"35kV",卡片数据!E:E,"&gt;=2015-1-1")</f>
        <v>0</v>
      </c>
      <c r="N14" s="52">
        <f t="shared" si="5"/>
        <v>0</v>
      </c>
      <c r="O14" s="54">
        <f>SUMIFS(卡片数据!M:M,卡片数据!$B:$B,"变电设备",卡片数据!$D:$D,"35kV",卡片数据!E:E,"&lt;2015-1-1")</f>
        <v>0</v>
      </c>
      <c r="P14" s="54">
        <f>SUMIFS(卡片数据!M:M,卡片数据!$B:$B,"变电设备",卡片数据!$D:$D,"35kV",卡片数据!E:E,"&gt;=2015-1-1")</f>
        <v>0</v>
      </c>
      <c r="Q14" s="52">
        <f t="shared" si="6"/>
        <v>0</v>
      </c>
      <c r="R14" s="54">
        <f t="shared" si="13"/>
        <v>0</v>
      </c>
      <c r="S14" s="54">
        <f t="shared" si="14"/>
        <v>0</v>
      </c>
      <c r="T14" s="52">
        <f t="shared" si="9"/>
        <v>0</v>
      </c>
      <c r="U14" s="54">
        <f t="shared" si="15"/>
        <v>0</v>
      </c>
      <c r="V14" s="54">
        <f t="shared" si="16"/>
        <v>0</v>
      </c>
    </row>
    <row r="15" spans="1:22" x14ac:dyDescent="0.15">
      <c r="A15" s="55" t="s">
        <v>30</v>
      </c>
      <c r="B15" s="50">
        <f t="shared" si="0"/>
        <v>0</v>
      </c>
      <c r="C15" s="54">
        <f>SUMIFS(卡片数据!G:G,卡片数据!$B:$B,"变电设备",卡片数据!$D:$D,"10kV",卡片数据!E:E,"&lt;2015-1-1")</f>
        <v>0</v>
      </c>
      <c r="D15" s="54">
        <f>SUMIFS(卡片数据!G:G,卡片数据!$B:$B,"变电设备",卡片数据!$D:$D,"10kV",卡片数据!E:E,"&gt;=2015-1-1")</f>
        <v>0</v>
      </c>
      <c r="E15" s="50">
        <f t="shared" si="2"/>
        <v>0</v>
      </c>
      <c r="F15" s="54">
        <f>SUMIFS(卡片数据!J:J,卡片数据!$B:$B,"变电设备",卡片数据!$D:$D,"10kV",卡片数据!E:E,"&lt;2015-1-1")</f>
        <v>0</v>
      </c>
      <c r="G15" s="54">
        <f>SUMIFS(卡片数据!J:J,卡片数据!$B:$B,"变电设备",卡片数据!$D:$D,"10kV",卡片数据!E:E,"&gt;=2015-1-1")</f>
        <v>0</v>
      </c>
      <c r="H15" s="52">
        <f t="shared" si="3"/>
        <v>0</v>
      </c>
      <c r="I15" s="54">
        <f>SUMIFS(卡片数据!I:I,卡片数据!$B:$B,"变电设备",卡片数据!$D:$D,"10kV",卡片数据!E:E,"&lt;2015-1-1")</f>
        <v>0</v>
      </c>
      <c r="J15" s="54">
        <f>SUMIFS(卡片数据!I:I,卡片数据!$B:$B,"变电设备",卡片数据!$D:$D,"10kV",卡片数据!E:E,"&gt;=2015-1-1")</f>
        <v>0</v>
      </c>
      <c r="K15" s="52">
        <f t="shared" si="4"/>
        <v>0</v>
      </c>
      <c r="L15" s="54">
        <f>SUMIFS(卡片数据!L:L,卡片数据!$B:$B,"变电设备",卡片数据!$D:$D,"10kV",卡片数据!E:E,"&lt;2015-1-1")</f>
        <v>0</v>
      </c>
      <c r="M15" s="54">
        <f>SUMIFS(卡片数据!L:L,卡片数据!$B:$B,"变电设备",卡片数据!$D:$D,"10kV",卡片数据!E:E,"&gt;=2015-1-1")</f>
        <v>0</v>
      </c>
      <c r="N15" s="52">
        <f t="shared" si="5"/>
        <v>0</v>
      </c>
      <c r="O15" s="54">
        <f>SUMIFS(卡片数据!M:M,卡片数据!$B:$B,"变电设备",卡片数据!$D:$D,"10kV",卡片数据!E:E,"&lt;2015-1-1")</f>
        <v>0</v>
      </c>
      <c r="P15" s="54">
        <f>SUMIFS(卡片数据!M:M,卡片数据!$B:$B,"变电设备",卡片数据!$D:$D,"10kV",卡片数据!E:E,"&gt;=2015-1-1")</f>
        <v>0</v>
      </c>
      <c r="Q15" s="52">
        <f t="shared" si="6"/>
        <v>0</v>
      </c>
      <c r="R15" s="54">
        <f t="shared" si="13"/>
        <v>0</v>
      </c>
      <c r="S15" s="54">
        <f t="shared" si="14"/>
        <v>0</v>
      </c>
      <c r="T15" s="52">
        <f t="shared" si="9"/>
        <v>0</v>
      </c>
      <c r="U15" s="54">
        <f t="shared" si="15"/>
        <v>0</v>
      </c>
      <c r="V15" s="54">
        <f t="shared" si="16"/>
        <v>0</v>
      </c>
    </row>
    <row r="16" spans="1:22" x14ac:dyDescent="0.15">
      <c r="A16" s="56" t="s">
        <v>163</v>
      </c>
      <c r="B16" s="50">
        <f t="shared" si="0"/>
        <v>0</v>
      </c>
      <c r="C16" s="51">
        <f>C17+C21</f>
        <v>0</v>
      </c>
      <c r="D16" s="51">
        <f>D17+D21</f>
        <v>0</v>
      </c>
      <c r="E16" s="50">
        <f t="shared" si="2"/>
        <v>0</v>
      </c>
      <c r="F16" s="51">
        <f>F17+F21</f>
        <v>0</v>
      </c>
      <c r="G16" s="51">
        <f t="shared" ref="G16:V16" si="17">G17+G21</f>
        <v>0</v>
      </c>
      <c r="H16" s="52">
        <f t="shared" si="3"/>
        <v>0</v>
      </c>
      <c r="I16" s="51">
        <f t="shared" si="17"/>
        <v>0</v>
      </c>
      <c r="J16" s="51">
        <f t="shared" si="17"/>
        <v>0</v>
      </c>
      <c r="K16" s="52">
        <f t="shared" si="4"/>
        <v>0</v>
      </c>
      <c r="L16" s="51">
        <f t="shared" si="17"/>
        <v>0</v>
      </c>
      <c r="M16" s="51">
        <f t="shared" si="17"/>
        <v>0</v>
      </c>
      <c r="N16" s="52">
        <f t="shared" si="5"/>
        <v>0</v>
      </c>
      <c r="O16" s="51">
        <f t="shared" si="17"/>
        <v>0</v>
      </c>
      <c r="P16" s="51">
        <f t="shared" si="17"/>
        <v>0</v>
      </c>
      <c r="Q16" s="52">
        <f t="shared" si="6"/>
        <v>0</v>
      </c>
      <c r="R16" s="51">
        <f t="shared" si="17"/>
        <v>0</v>
      </c>
      <c r="S16" s="51">
        <f t="shared" si="17"/>
        <v>0</v>
      </c>
      <c r="T16" s="52">
        <f t="shared" si="9"/>
        <v>0</v>
      </c>
      <c r="U16" s="51">
        <f t="shared" si="17"/>
        <v>0</v>
      </c>
      <c r="V16" s="51">
        <f t="shared" si="17"/>
        <v>0</v>
      </c>
    </row>
    <row r="17" spans="1:22" x14ac:dyDescent="0.15">
      <c r="A17" s="57" t="s">
        <v>164</v>
      </c>
      <c r="B17" s="50">
        <f t="shared" si="0"/>
        <v>0</v>
      </c>
      <c r="C17" s="58">
        <f>SUM(C18:C20)</f>
        <v>0</v>
      </c>
      <c r="D17" s="58">
        <f t="shared" ref="D17:V17" si="18">SUM(D18:D20)</f>
        <v>0</v>
      </c>
      <c r="E17" s="50">
        <f t="shared" si="2"/>
        <v>0</v>
      </c>
      <c r="F17" s="58">
        <f t="shared" si="18"/>
        <v>0</v>
      </c>
      <c r="G17" s="58">
        <f t="shared" si="18"/>
        <v>0</v>
      </c>
      <c r="H17" s="52">
        <f t="shared" si="3"/>
        <v>0</v>
      </c>
      <c r="I17" s="58">
        <f t="shared" si="18"/>
        <v>0</v>
      </c>
      <c r="J17" s="58">
        <f t="shared" si="18"/>
        <v>0</v>
      </c>
      <c r="K17" s="52">
        <f t="shared" si="4"/>
        <v>0</v>
      </c>
      <c r="L17" s="58">
        <f t="shared" si="18"/>
        <v>0</v>
      </c>
      <c r="M17" s="58">
        <f t="shared" si="18"/>
        <v>0</v>
      </c>
      <c r="N17" s="52">
        <f t="shared" si="5"/>
        <v>0</v>
      </c>
      <c r="O17" s="58">
        <f t="shared" si="18"/>
        <v>0</v>
      </c>
      <c r="P17" s="58">
        <f t="shared" si="18"/>
        <v>0</v>
      </c>
      <c r="Q17" s="52">
        <f t="shared" si="6"/>
        <v>0</v>
      </c>
      <c r="R17" s="58">
        <f t="shared" si="18"/>
        <v>0</v>
      </c>
      <c r="S17" s="58">
        <f t="shared" si="18"/>
        <v>0</v>
      </c>
      <c r="T17" s="52">
        <f t="shared" si="9"/>
        <v>0</v>
      </c>
      <c r="U17" s="58">
        <f t="shared" si="18"/>
        <v>0</v>
      </c>
      <c r="V17" s="58">
        <f t="shared" si="18"/>
        <v>0</v>
      </c>
    </row>
    <row r="18" spans="1:22" x14ac:dyDescent="0.15">
      <c r="A18" s="55" t="s">
        <v>28</v>
      </c>
      <c r="B18" s="50">
        <f t="shared" si="0"/>
        <v>0</v>
      </c>
      <c r="C18" s="54">
        <f>SUMIFS(卡片数据!G:G,卡片数据!$B:$B,"配电线路",卡片数据!$D:$D,"35kV",卡片数据!E:E,"&lt;2015-1-1")</f>
        <v>0</v>
      </c>
      <c r="D18" s="54">
        <f>SUMIFS(卡片数据!G:G,卡片数据!$B:$B,"配电线路",卡片数据!$D:$D,"35kV",卡片数据!E:E,"&gt;=2015-1-1")</f>
        <v>0</v>
      </c>
      <c r="E18" s="50">
        <f t="shared" si="2"/>
        <v>0</v>
      </c>
      <c r="F18" s="54">
        <f>SUMIFS(卡片数据!J:J,卡片数据!$B:$B,"配电线路",卡片数据!$D:$D,"35kV",卡片数据!E:E,"&lt;2015-1-1")</f>
        <v>0</v>
      </c>
      <c r="G18" s="54">
        <f>SUMIFS(卡片数据!J:J,卡片数据!$B:$B,"配电线路",卡片数据!$D:$D,"35kV",卡片数据!E:E,"&gt;=2015-1-1")</f>
        <v>0</v>
      </c>
      <c r="H18" s="52">
        <f t="shared" si="3"/>
        <v>0</v>
      </c>
      <c r="I18" s="54">
        <f>SUMIFS(卡片数据!I:I,卡片数据!$B:$B,"配电线路",卡片数据!$D:$D,"35kV",卡片数据!E:E,"&lt;2015-1-1")</f>
        <v>0</v>
      </c>
      <c r="J18" s="54">
        <f>SUMIFS(卡片数据!I:I,卡片数据!$B:$B,"配电线路",卡片数据!$D:$D,"35kV",卡片数据!E:E,"&gt;=2015-1-1")</f>
        <v>0</v>
      </c>
      <c r="K18" s="52">
        <f t="shared" si="4"/>
        <v>0</v>
      </c>
      <c r="L18" s="54">
        <f>SUMIFS(卡片数据!L:L,卡片数据!$B:$B,"配电线路",卡片数据!$D:$D,"35kV",卡片数据!E:E,"&lt;2015-1-1")</f>
        <v>0</v>
      </c>
      <c r="M18" s="54">
        <f>SUMIFS(卡片数据!L:L,卡片数据!$B:$B,"配电线路",卡片数据!$D:$D,"35kV",卡片数据!E:E,"&gt;=2015-1-1")</f>
        <v>0</v>
      </c>
      <c r="N18" s="52">
        <f t="shared" si="5"/>
        <v>0</v>
      </c>
      <c r="O18" s="54">
        <f>SUMIFS(卡片数据!M:M,卡片数据!$B:$B,"配电线路",卡片数据!$D:$D,"35kV",卡片数据!E:E,"&lt;2015-1-1")</f>
        <v>0</v>
      </c>
      <c r="P18" s="54">
        <f>SUMIFS(卡片数据!M:M,卡片数据!$B:$B,"配电线路",卡片数据!$D:$D,"35kV",卡片数据!E:E,"&gt;=2015-1-1")</f>
        <v>0</v>
      </c>
      <c r="Q18" s="52">
        <f t="shared" si="6"/>
        <v>0</v>
      </c>
      <c r="R18" s="54">
        <f t="shared" ref="R18:R20" si="19">C18-I18</f>
        <v>0</v>
      </c>
      <c r="S18" s="54">
        <f t="shared" ref="S18:S20" si="20">D18-J18</f>
        <v>0</v>
      </c>
      <c r="T18" s="52">
        <f t="shared" si="9"/>
        <v>0</v>
      </c>
      <c r="U18" s="54">
        <f t="shared" ref="U18:U20" si="21">F18-L18</f>
        <v>0</v>
      </c>
      <c r="V18" s="54">
        <f t="shared" ref="V18:V20" si="22">G18-M18</f>
        <v>0</v>
      </c>
    </row>
    <row r="19" spans="1:22" x14ac:dyDescent="0.15">
      <c r="A19" s="55" t="s">
        <v>30</v>
      </c>
      <c r="B19" s="50">
        <f t="shared" si="0"/>
        <v>0</v>
      </c>
      <c r="C19" s="54">
        <f>SUMIFS(卡片数据!G:G,卡片数据!$B:$B,"配电线路",卡片数据!$D:$D,"10kV",卡片数据!E:E,"&lt;2015-1-1")</f>
        <v>0</v>
      </c>
      <c r="D19" s="54">
        <f>SUMIFS(卡片数据!G:G,卡片数据!$B:$B,"配电线路",卡片数据!$D:$D,"10kV",卡片数据!E:E,"&gt;=2015-1-1")</f>
        <v>0</v>
      </c>
      <c r="E19" s="50">
        <f t="shared" si="2"/>
        <v>0</v>
      </c>
      <c r="F19" s="54">
        <f>SUMIFS(卡片数据!J:J,卡片数据!$B:$B,"配电线路",卡片数据!$D:$D,"10kV",卡片数据!E:E,"&lt;2015-1-1")</f>
        <v>0</v>
      </c>
      <c r="G19" s="54">
        <f>SUMIFS(卡片数据!J:J,卡片数据!$B:$B,"配电线路",卡片数据!$D:$D,"10kV",卡片数据!E:E,"&gt;=2015-1-1")</f>
        <v>0</v>
      </c>
      <c r="H19" s="52">
        <f t="shared" si="3"/>
        <v>0</v>
      </c>
      <c r="I19" s="54">
        <f>SUMIFS(卡片数据!I:I,卡片数据!$B:$B,"配电线路",卡片数据!$D:$D,"10kV",卡片数据!E:E,"&lt;2015-1-1")</f>
        <v>0</v>
      </c>
      <c r="J19" s="54">
        <f>SUMIFS(卡片数据!I:I,卡片数据!$B:$B,"配电线路",卡片数据!$D:$D,"10kV",卡片数据!E:E,"&gt;=2015-1-1")</f>
        <v>0</v>
      </c>
      <c r="K19" s="52">
        <f t="shared" si="4"/>
        <v>0</v>
      </c>
      <c r="L19" s="54">
        <f>SUMIFS(卡片数据!L:L,卡片数据!$B:$B,"配电线路",卡片数据!$D:$D,"10kV",卡片数据!E:E,"&lt;2015-1-1")</f>
        <v>0</v>
      </c>
      <c r="M19" s="54">
        <f>SUMIFS(卡片数据!L:L,卡片数据!$B:$B,"配电线路",卡片数据!$D:$D,"10kV",卡片数据!E:E,"&gt;=2015-1-1")</f>
        <v>0</v>
      </c>
      <c r="N19" s="52">
        <f t="shared" si="5"/>
        <v>0</v>
      </c>
      <c r="O19" s="54">
        <f>SUMIFS(卡片数据!M:M,卡片数据!$B:$B,"配电线路",卡片数据!$D:$D,"10kV",卡片数据!E:E,"&lt;2015-1-1")</f>
        <v>0</v>
      </c>
      <c r="P19" s="54">
        <f>SUMIFS(卡片数据!M:M,卡片数据!$B:$B,"配电线路",卡片数据!$D:$D,"10kV",卡片数据!E:E,"&gt;=2015-1-1")</f>
        <v>0</v>
      </c>
      <c r="Q19" s="52">
        <f t="shared" si="6"/>
        <v>0</v>
      </c>
      <c r="R19" s="54">
        <f t="shared" si="19"/>
        <v>0</v>
      </c>
      <c r="S19" s="54">
        <f t="shared" si="20"/>
        <v>0</v>
      </c>
      <c r="T19" s="52">
        <f t="shared" si="9"/>
        <v>0</v>
      </c>
      <c r="U19" s="54">
        <f t="shared" si="21"/>
        <v>0</v>
      </c>
      <c r="V19" s="54">
        <f t="shared" si="22"/>
        <v>0</v>
      </c>
    </row>
    <row r="20" spans="1:22" x14ac:dyDescent="0.15">
      <c r="A20" s="55" t="s">
        <v>32</v>
      </c>
      <c r="B20" s="50">
        <f t="shared" si="0"/>
        <v>0</v>
      </c>
      <c r="C20" s="54">
        <f>SUMIFS(卡片数据!G:G,卡片数据!$B:$B,"配电线路",卡片数据!$D:$D,"10kV以下",卡片数据!E:E,"&lt;2015-1-1")</f>
        <v>0</v>
      </c>
      <c r="D20" s="54">
        <f>SUMIFS(卡片数据!G:G,卡片数据!$B:$B,"配电线路",卡片数据!$D:$D,"10kV以下",卡片数据!E:E,"&gt;=2015-1-1")</f>
        <v>0</v>
      </c>
      <c r="E20" s="50">
        <f t="shared" si="2"/>
        <v>0</v>
      </c>
      <c r="F20" s="54">
        <f>SUMIFS(卡片数据!J:J,卡片数据!$B:$B,"配电线路",卡片数据!$D:$D,"10kV以下",卡片数据!E:E,"&lt;2015-1-1")</f>
        <v>0</v>
      </c>
      <c r="G20" s="54">
        <f>SUMIFS(卡片数据!J:J,卡片数据!$B:$B,"配电线路",卡片数据!$D:$D,"10kV以下",卡片数据!E:E,"&gt;=2015-1-1")</f>
        <v>0</v>
      </c>
      <c r="H20" s="52">
        <f t="shared" si="3"/>
        <v>0</v>
      </c>
      <c r="I20" s="54">
        <f>SUMIFS(卡片数据!I:I,卡片数据!$B:$B,"配电线路",卡片数据!$D:$D,"10kV以下",卡片数据!E:E,"&lt;2015-1-1")</f>
        <v>0</v>
      </c>
      <c r="J20" s="54">
        <f>SUMIFS(卡片数据!I:I,卡片数据!$B:$B,"配电线路",卡片数据!$D:$D,"10kV以下",卡片数据!E:E,"&gt;=2015-1-1")</f>
        <v>0</v>
      </c>
      <c r="K20" s="52">
        <f t="shared" si="4"/>
        <v>0</v>
      </c>
      <c r="L20" s="54">
        <f>SUMIFS(卡片数据!L:L,卡片数据!$B:$B,"配电线路",卡片数据!$D:$D,"10kV以下",卡片数据!E:E,"&lt;2015-1-1")</f>
        <v>0</v>
      </c>
      <c r="M20" s="54">
        <f>SUMIFS(卡片数据!L:L,卡片数据!$B:$B,"配电线路",卡片数据!$D:$D,"10kV以下",卡片数据!E:E,"&gt;=2015-1-1")</f>
        <v>0</v>
      </c>
      <c r="N20" s="52">
        <f t="shared" si="5"/>
        <v>0</v>
      </c>
      <c r="O20" s="54">
        <f>SUMIFS(卡片数据!M:M,卡片数据!$B:$B,"配电线路",卡片数据!$D:$D,"10kV以下",卡片数据!E:E,"&lt;2015-1-1")</f>
        <v>0</v>
      </c>
      <c r="P20" s="54">
        <f>SUMIFS(卡片数据!M:M,卡片数据!$B:$B,"配电线路",卡片数据!$D:$D,"10kV以下",卡片数据!E:E,"&gt;=2015-1-1")</f>
        <v>0</v>
      </c>
      <c r="Q20" s="52">
        <f t="shared" si="6"/>
        <v>0</v>
      </c>
      <c r="R20" s="54">
        <f t="shared" si="19"/>
        <v>0</v>
      </c>
      <c r="S20" s="54">
        <f t="shared" si="20"/>
        <v>0</v>
      </c>
      <c r="T20" s="52">
        <f t="shared" si="9"/>
        <v>0</v>
      </c>
      <c r="U20" s="54">
        <f t="shared" si="21"/>
        <v>0</v>
      </c>
      <c r="V20" s="54">
        <f t="shared" si="22"/>
        <v>0</v>
      </c>
    </row>
    <row r="21" spans="1:22" x14ac:dyDescent="0.15">
      <c r="A21" s="57" t="s">
        <v>165</v>
      </c>
      <c r="B21" s="50">
        <f t="shared" si="0"/>
        <v>0</v>
      </c>
      <c r="C21" s="58">
        <f>SUM(C22:C24)</f>
        <v>0</v>
      </c>
      <c r="D21" s="58">
        <f t="shared" ref="D21:V21" si="23">SUM(D22:D24)</f>
        <v>0</v>
      </c>
      <c r="E21" s="50">
        <f t="shared" si="2"/>
        <v>0</v>
      </c>
      <c r="F21" s="58">
        <f>SUM(F22:F24)</f>
        <v>0</v>
      </c>
      <c r="G21" s="58">
        <f t="shared" si="23"/>
        <v>0</v>
      </c>
      <c r="H21" s="52">
        <f t="shared" si="3"/>
        <v>0</v>
      </c>
      <c r="I21" s="58">
        <f>SUM(I22:I24)</f>
        <v>0</v>
      </c>
      <c r="J21" s="58">
        <f t="shared" si="23"/>
        <v>0</v>
      </c>
      <c r="K21" s="52">
        <f t="shared" si="4"/>
        <v>0</v>
      </c>
      <c r="L21" s="58">
        <f t="shared" si="23"/>
        <v>0</v>
      </c>
      <c r="M21" s="58">
        <f t="shared" si="23"/>
        <v>0</v>
      </c>
      <c r="N21" s="52">
        <f t="shared" si="5"/>
        <v>0</v>
      </c>
      <c r="O21" s="58">
        <f t="shared" si="23"/>
        <v>0</v>
      </c>
      <c r="P21" s="58">
        <f t="shared" si="23"/>
        <v>0</v>
      </c>
      <c r="Q21" s="52">
        <f t="shared" si="6"/>
        <v>0</v>
      </c>
      <c r="R21" s="58">
        <f t="shared" si="23"/>
        <v>0</v>
      </c>
      <c r="S21" s="58">
        <f t="shared" si="23"/>
        <v>0</v>
      </c>
      <c r="T21" s="52">
        <f t="shared" si="9"/>
        <v>0</v>
      </c>
      <c r="U21" s="58">
        <f t="shared" si="23"/>
        <v>0</v>
      </c>
      <c r="V21" s="58">
        <f t="shared" si="23"/>
        <v>0</v>
      </c>
    </row>
    <row r="22" spans="1:22" x14ac:dyDescent="0.15">
      <c r="A22" s="55" t="s">
        <v>28</v>
      </c>
      <c r="B22" s="50">
        <f t="shared" si="0"/>
        <v>0</v>
      </c>
      <c r="C22" s="54">
        <f>SUMIFS(卡片数据!G:G,卡片数据!$B:$B,"配电设备-其他",卡片数据!$D:$D,"35kV",卡片数据!E:E,"&lt;2015-1-1")</f>
        <v>0</v>
      </c>
      <c r="D22" s="54">
        <f>SUMIFS(卡片数据!G:G,卡片数据!$B:$B,"配电设备-其他",卡片数据!$D:$D,"35kV",卡片数据!E:E,"&gt;=2015-1-1")</f>
        <v>0</v>
      </c>
      <c r="E22" s="50">
        <f t="shared" si="2"/>
        <v>0</v>
      </c>
      <c r="F22" s="54">
        <f>SUMIFS(卡片数据!J:J,卡片数据!$B:$B,"配电设备-其他",卡片数据!$D:$D,"35kV",卡片数据!E:E,"&lt;2015-1-1")</f>
        <v>0</v>
      </c>
      <c r="G22" s="54">
        <f>SUMIFS(卡片数据!J:J,卡片数据!$B:$B,"配电设备-其他",卡片数据!$D:$D,"35kV",卡片数据!E:E,"&gt;=2015-1-1")</f>
        <v>0</v>
      </c>
      <c r="H22" s="52">
        <f t="shared" si="3"/>
        <v>0</v>
      </c>
      <c r="I22" s="54">
        <f>SUMIFS(卡片数据!I:I,卡片数据!$B:$B,"配电设备-其他",卡片数据!$D:$D,"35kV",卡片数据!E:E,"&lt;2015-1-1")</f>
        <v>0</v>
      </c>
      <c r="J22" s="54">
        <f>SUMIFS(卡片数据!I:I,卡片数据!$B:$B,"配电设备-其他",卡片数据!$D:$D,"35kV",卡片数据!E:E,"&gt;=2015-1-1")</f>
        <v>0</v>
      </c>
      <c r="K22" s="52">
        <f t="shared" si="4"/>
        <v>0</v>
      </c>
      <c r="L22" s="54">
        <f>SUMIFS(卡片数据!L:L,卡片数据!$B:$B,"配电设备-其他",卡片数据!$D:$D,"35kV",卡片数据!E:E,"&lt;2015-1-1")</f>
        <v>0</v>
      </c>
      <c r="M22" s="54">
        <f>SUMIFS(卡片数据!L:L,卡片数据!$B:$B,"配电设备-其他",卡片数据!$D:$D,"35kV",卡片数据!E:E,"&gt;=2015-1-1")</f>
        <v>0</v>
      </c>
      <c r="N22" s="52">
        <f t="shared" si="5"/>
        <v>0</v>
      </c>
      <c r="O22" s="54">
        <f>SUMIFS(卡片数据!M:M,卡片数据!$B:$B,"配电设备-其他",卡片数据!$D:$D,"35kV",卡片数据!E:E,"&lt;2015-1-1")</f>
        <v>0</v>
      </c>
      <c r="P22" s="54">
        <f>SUMIFS(卡片数据!M:M,卡片数据!$B:$B,"配电设备-其他",卡片数据!$D:$D,"35kV",卡片数据!E:E,"&gt;=2015-1-1")</f>
        <v>0</v>
      </c>
      <c r="Q22" s="52">
        <f t="shared" si="6"/>
        <v>0</v>
      </c>
      <c r="R22" s="54">
        <f t="shared" ref="R22:R27" si="24">C22-I22</f>
        <v>0</v>
      </c>
      <c r="S22" s="54">
        <f t="shared" ref="S22:S27" si="25">D22-J22</f>
        <v>0</v>
      </c>
      <c r="T22" s="52">
        <f t="shared" si="9"/>
        <v>0</v>
      </c>
      <c r="U22" s="54">
        <f t="shared" ref="U22:U27" si="26">F22-L22</f>
        <v>0</v>
      </c>
      <c r="V22" s="54">
        <f t="shared" ref="V22:V27" si="27">G22-M22</f>
        <v>0</v>
      </c>
    </row>
    <row r="23" spans="1:22" x14ac:dyDescent="0.15">
      <c r="A23" s="55" t="s">
        <v>30</v>
      </c>
      <c r="B23" s="50">
        <f t="shared" si="0"/>
        <v>0</v>
      </c>
      <c r="C23" s="54">
        <f>SUMIFS(卡片数据!G:G,卡片数据!$B:$B,"配电设备-其他",卡片数据!$D:$D,"10kV",卡片数据!E:E,"&lt;2015-1-1")</f>
        <v>0</v>
      </c>
      <c r="D23" s="54">
        <f>SUMIFS(卡片数据!G:G,卡片数据!$B:$B,"配电设备-其他",卡片数据!$D:$D,"10kV",卡片数据!E:E,"&gt;=2015-1-1")</f>
        <v>0</v>
      </c>
      <c r="E23" s="50">
        <f t="shared" si="2"/>
        <v>0</v>
      </c>
      <c r="F23" s="54">
        <f>SUMIFS(卡片数据!J:J,卡片数据!$B:$B,"配电设备-其他",卡片数据!$D:$D,"10kV",卡片数据!E:E,"&lt;2015-1-1")</f>
        <v>0</v>
      </c>
      <c r="G23" s="54">
        <f>SUMIFS(卡片数据!J:J,卡片数据!$B:$B,"配电设备-其他",卡片数据!$D:$D,"10kV",卡片数据!E:E,"&gt;=2015-1-1")</f>
        <v>0</v>
      </c>
      <c r="H23" s="52">
        <f t="shared" si="3"/>
        <v>0</v>
      </c>
      <c r="I23" s="54">
        <f>SUMIFS(卡片数据!I:I,卡片数据!$B:$B,"配电设备-其他",卡片数据!$D:$D,"10kV",卡片数据!E:E,"&lt;2015-1-1")</f>
        <v>0</v>
      </c>
      <c r="J23" s="54">
        <f>SUMIFS(卡片数据!I:I,卡片数据!$B:$B,"配电设备-其他",卡片数据!$D:$D,"10kV",卡片数据!E:E,"&gt;=2015-1-1")</f>
        <v>0</v>
      </c>
      <c r="K23" s="52">
        <f t="shared" si="4"/>
        <v>0</v>
      </c>
      <c r="L23" s="54">
        <f>SUMIFS(卡片数据!L:L,卡片数据!$B:$B,"配电设备-其他",卡片数据!$D:$D,"10kV",卡片数据!E:E,"&lt;2015-1-1")</f>
        <v>0</v>
      </c>
      <c r="M23" s="54">
        <f>SUMIFS(卡片数据!L:L,卡片数据!$B:$B,"配电设备-其他",卡片数据!$D:$D,"10kV",卡片数据!E:E,"&gt;=2015-1-1")</f>
        <v>0</v>
      </c>
      <c r="N23" s="52">
        <f t="shared" si="5"/>
        <v>0</v>
      </c>
      <c r="O23" s="54">
        <f>SUMIFS(卡片数据!M:M,卡片数据!$B:$B,"配电设备-其他",卡片数据!$D:$D,"10kV",卡片数据!E:E,"&lt;2015-1-1")</f>
        <v>0</v>
      </c>
      <c r="P23" s="54">
        <f>SUMIFS(卡片数据!M:M,卡片数据!$B:$B,"配电设备-其他",卡片数据!$D:$D,"10kV",卡片数据!E:E,"&gt;=2015-1-1")</f>
        <v>0</v>
      </c>
      <c r="Q23" s="52">
        <f t="shared" si="6"/>
        <v>0</v>
      </c>
      <c r="R23" s="54">
        <f t="shared" si="24"/>
        <v>0</v>
      </c>
      <c r="S23" s="54">
        <f t="shared" si="25"/>
        <v>0</v>
      </c>
      <c r="T23" s="52">
        <f t="shared" si="9"/>
        <v>0</v>
      </c>
      <c r="U23" s="54">
        <f t="shared" si="26"/>
        <v>0</v>
      </c>
      <c r="V23" s="54">
        <f t="shared" si="27"/>
        <v>0</v>
      </c>
    </row>
    <row r="24" spans="1:22" x14ac:dyDescent="0.15">
      <c r="A24" s="55" t="s">
        <v>32</v>
      </c>
      <c r="B24" s="50">
        <f t="shared" si="0"/>
        <v>0</v>
      </c>
      <c r="C24" s="54">
        <f>SUMIFS(卡片数据!G:G,卡片数据!$B:$B,"配电设备-其他",卡片数据!$D:$D,"10kV以下",卡片数据!E:E,"&lt;2015-1-1")+SUMIFS(卡片数据!G:G,卡片数据!$B:$B,"配电设备-电动汽车充换电设备",卡片数据!E:E,"&lt;2015-1-1")</f>
        <v>0</v>
      </c>
      <c r="D24" s="54">
        <f>SUMIFS(卡片数据!G:G,卡片数据!$B:$B,"配电设备-其他",卡片数据!$D:$D,"10kV以下",卡片数据!E:E,"&gt;=2015-1-1")+SUMIFS(卡片数据!G:G,卡片数据!$B:$B,"配电设备-电动汽车充换电设备",卡片数据!E:E,"&gt;=2015-1-1")</f>
        <v>0</v>
      </c>
      <c r="E24" s="50">
        <f t="shared" si="2"/>
        <v>0</v>
      </c>
      <c r="F24" s="54">
        <f>SUMIFS(卡片数据!J:J,卡片数据!$B:$B,"配电设备-其他",卡片数据!$D:$D,"10kV以下",卡片数据!E:E,"&lt;2015-1-1")+SUMIFS(卡片数据!J:J,卡片数据!$B:$B,"配电设备-电动汽车充换电设备",卡片数据!E:E,"&lt;2015-1-1")</f>
        <v>0</v>
      </c>
      <c r="G24" s="54">
        <f>SUMIFS(卡片数据!J:J,卡片数据!$B:$B,"配电设备-其他",卡片数据!$D:$D,"10kV以下",卡片数据!E:E,"&gt;=2015-1-1")+SUMIFS(卡片数据!J:J,卡片数据!$B:$B,"配电设备-电动汽车充换电设备",卡片数据!E:E,"&gt;=2015-1-1")</f>
        <v>0</v>
      </c>
      <c r="H24" s="52">
        <f t="shared" si="3"/>
        <v>0</v>
      </c>
      <c r="I24" s="54">
        <f>SUMIFS(卡片数据!I:I,卡片数据!$B:$B,"配电设备-其他",卡片数据!$D:$D,"10kV以下",卡片数据!E:E,"&lt;2015-1-1")+SUMIFS(卡片数据!I:I,卡片数据!$B:$B,"配电设备-电动汽车充换电设备",卡片数据!E:E,"&lt;2015-1-1")</f>
        <v>0</v>
      </c>
      <c r="J24" s="54">
        <f>SUMIFS(卡片数据!I:I,卡片数据!$B:$B,"配电设备-其他",卡片数据!$D:$D,"10kV以下",卡片数据!E:E,"&gt;=2015-1-1")+SUMIFS(卡片数据!I:I,卡片数据!$B:$B,"配电设备-电动汽车充换电设备",卡片数据!E:E,"&gt;=2015-1-1")</f>
        <v>0</v>
      </c>
      <c r="K24" s="52">
        <f t="shared" si="4"/>
        <v>0</v>
      </c>
      <c r="L24" s="54">
        <f>SUMIFS(卡片数据!L:L,卡片数据!$B:$B,"配电设备-其他",卡片数据!$D:$D,"10kV以下",卡片数据!E:E,"&lt;2015-1-1")+SUMIFS(卡片数据!L:L,卡片数据!$B:$B,"配电设备-电动汽车充换电设备",卡片数据!E:E,"&lt;2015-1-1")</f>
        <v>0</v>
      </c>
      <c r="M24" s="54">
        <f>SUMIFS(卡片数据!L:L,卡片数据!$B:$B,"配电设备-其他",卡片数据!$D:$D,"10kV以下",卡片数据!E:E,"&gt;=2015-1-1")+SUMIFS(卡片数据!L:L,卡片数据!$B:$B,"配电设备-电动汽车充换电设备",卡片数据!E:E,"&gt;=2015-1-1")</f>
        <v>0</v>
      </c>
      <c r="N24" s="52">
        <f t="shared" si="5"/>
        <v>0</v>
      </c>
      <c r="O24" s="54">
        <f>SUMIFS(卡片数据!M:M,卡片数据!$B:$B,"配电设备-其他",卡片数据!$D:$D,"10kV以下",卡片数据!E:E,"&lt;2015-1-1")+SUMIFS(卡片数据!M:M,卡片数据!$B:$B,"配电设备-电动汽车充换电设备",卡片数据!E:E,"&lt;2015-1-1")</f>
        <v>0</v>
      </c>
      <c r="P24" s="54">
        <f>SUMIFS(卡片数据!M:M,卡片数据!$B:$B,"配电设备-其他",卡片数据!$D:$D,"10kV以下",卡片数据!E:E,"&gt;=2015-1-1")+SUMIFS(卡片数据!M:M,卡片数据!$B:$B,"配电设备-电动汽车充换电设备",卡片数据!E:E,"&gt;=2015-1-1")</f>
        <v>0</v>
      </c>
      <c r="Q24" s="52">
        <f t="shared" si="6"/>
        <v>0</v>
      </c>
      <c r="R24" s="54">
        <f t="shared" si="24"/>
        <v>0</v>
      </c>
      <c r="S24" s="54">
        <f t="shared" si="25"/>
        <v>0</v>
      </c>
      <c r="T24" s="52">
        <f t="shared" si="9"/>
        <v>0</v>
      </c>
      <c r="U24" s="54">
        <f t="shared" si="26"/>
        <v>0</v>
      </c>
      <c r="V24" s="54">
        <f t="shared" si="27"/>
        <v>0</v>
      </c>
    </row>
    <row r="25" spans="1:22" x14ac:dyDescent="0.15">
      <c r="A25" s="59" t="s">
        <v>34</v>
      </c>
      <c r="B25" s="50">
        <f t="shared" si="0"/>
        <v>0</v>
      </c>
      <c r="C25" s="54">
        <f>SUMIFS(卡片数据!G:G,卡片数据!$B:$B,"配电设备-电动汽车充换电设备",卡片数据!E:E,"&lt;2015-1-1")</f>
        <v>0</v>
      </c>
      <c r="D25" s="54">
        <f>SUMIFS(卡片数据!G:G,卡片数据!$B:$B,"配电设备-电动汽车充换电设备",卡片数据!E:E,"&gt;=2015-1-1")</f>
        <v>0</v>
      </c>
      <c r="E25" s="50">
        <f t="shared" si="2"/>
        <v>0</v>
      </c>
      <c r="F25" s="54">
        <f>SUMIFS(卡片数据!J:J,卡片数据!$B:$B,"配电设备-电动汽车充换电设备",卡片数据!E:E,"&lt;2015-1-1")</f>
        <v>0</v>
      </c>
      <c r="G25" s="54">
        <f>SUMIFS(卡片数据!J:J,卡片数据!$B:$B,"配电设备-电动汽车充换电设备",卡片数据!E:E,"&gt;=2015-1-1")</f>
        <v>0</v>
      </c>
      <c r="H25" s="52">
        <f t="shared" si="3"/>
        <v>0</v>
      </c>
      <c r="I25" s="54">
        <f>SUMIFS(卡片数据!I:I,卡片数据!$B:$B,"配电设备-电动汽车充换电设备",卡片数据!E:E,"&lt;2015-1-1")</f>
        <v>0</v>
      </c>
      <c r="J25" s="54">
        <f>SUMIFS(卡片数据!I:I,卡片数据!$B:$B,"配电设备-电动汽车充换电设备",卡片数据!E:E,"&gt;=2015-1-1")</f>
        <v>0</v>
      </c>
      <c r="K25" s="52">
        <f t="shared" si="4"/>
        <v>0</v>
      </c>
      <c r="L25" s="54">
        <f>SUMIFS(卡片数据!L:L,卡片数据!$B:$B,"配电设备-电动汽车充换电设备",卡片数据!E:E,"&lt;2015-1-1")</f>
        <v>0</v>
      </c>
      <c r="M25" s="54">
        <f>SUMIFS(卡片数据!L:L,卡片数据!$B:$B,"配电设备-电动汽车充换电设备",卡片数据!E:E,"&gt;=2015-1-1")</f>
        <v>0</v>
      </c>
      <c r="N25" s="52">
        <f t="shared" si="5"/>
        <v>0</v>
      </c>
      <c r="O25" s="54">
        <f>SUMIFS(卡片数据!M:M,卡片数据!$B:$B,"配电设备-电动汽车充换电设备",卡片数据!E:E,"&lt;2015-1-1")</f>
        <v>0</v>
      </c>
      <c r="P25" s="54">
        <f>SUMIFS(卡片数据!M:M,卡片数据!$B:$B,"配电设备-电动汽车充换电设备",卡片数据!E:E,"&gt;=2015-1-1")</f>
        <v>0</v>
      </c>
      <c r="Q25" s="52">
        <f t="shared" si="6"/>
        <v>0</v>
      </c>
      <c r="R25" s="54">
        <f t="shared" si="24"/>
        <v>0</v>
      </c>
      <c r="S25" s="54">
        <f t="shared" si="25"/>
        <v>0</v>
      </c>
      <c r="T25" s="52">
        <f t="shared" si="9"/>
        <v>0</v>
      </c>
      <c r="U25" s="54">
        <f t="shared" si="26"/>
        <v>0</v>
      </c>
      <c r="V25" s="54">
        <f t="shared" si="27"/>
        <v>0</v>
      </c>
    </row>
    <row r="26" spans="1:22" x14ac:dyDescent="0.15">
      <c r="A26" s="60" t="s">
        <v>35</v>
      </c>
      <c r="B26" s="50">
        <f t="shared" si="0"/>
        <v>0</v>
      </c>
      <c r="C26" s="54">
        <f>SUMIFS(卡片数据!G:G,卡片数据!$B:$B,"用电计量设备",卡片数据!E:E,"&lt;2015-1-1")</f>
        <v>0</v>
      </c>
      <c r="D26" s="54">
        <f>SUMIFS(卡片数据!G:G,卡片数据!$B:$B,"用电计量设备",卡片数据!E:E,"&gt;=2015-1-1")</f>
        <v>0</v>
      </c>
      <c r="E26" s="50">
        <f t="shared" si="2"/>
        <v>0</v>
      </c>
      <c r="F26" s="54">
        <f>SUMIFS(卡片数据!J:J,卡片数据!$B:$B,"用电计量设备",卡片数据!E:E,"&lt;2015-1-1")</f>
        <v>0</v>
      </c>
      <c r="G26" s="54">
        <f>SUMIFS(卡片数据!J:J,卡片数据!$B:$B,"用电计量设备",卡片数据!E:E,"&gt;=2015-1-1")</f>
        <v>0</v>
      </c>
      <c r="H26" s="52">
        <f t="shared" si="3"/>
        <v>0</v>
      </c>
      <c r="I26" s="54">
        <f>SUMIFS(卡片数据!I:I,卡片数据!$B:$B,"用电计量设备",卡片数据!E:E,"&lt;2015-1-1")</f>
        <v>0</v>
      </c>
      <c r="J26" s="54">
        <f>SUMIFS(卡片数据!I:I,卡片数据!$B:$B,"用电计量设备",卡片数据!E:E,"&gt;=2015-1-1")</f>
        <v>0</v>
      </c>
      <c r="K26" s="52">
        <f t="shared" si="4"/>
        <v>0</v>
      </c>
      <c r="L26" s="54">
        <f>SUMIFS(卡片数据!L:L,卡片数据!$B:$B,"用电计量设备",卡片数据!E:E,"&lt;2015-1-1")</f>
        <v>0</v>
      </c>
      <c r="M26" s="54">
        <f>SUMIFS(卡片数据!L:L,卡片数据!$B:$B,"用电计量设备",卡片数据!E:E,"&gt;=2015-1-1")</f>
        <v>0</v>
      </c>
      <c r="N26" s="52">
        <f t="shared" si="5"/>
        <v>0</v>
      </c>
      <c r="O26" s="54">
        <f>SUMIFS(卡片数据!M:M,卡片数据!$B:$B,"用电计量设备",卡片数据!E:E,"&lt;2015-1-1")</f>
        <v>0</v>
      </c>
      <c r="P26" s="54">
        <f>SUMIFS(卡片数据!M:M,卡片数据!$B:$B,"用电计量设备",卡片数据!E:E,"&gt;=2015-1-1")</f>
        <v>0</v>
      </c>
      <c r="Q26" s="52">
        <f t="shared" si="6"/>
        <v>0</v>
      </c>
      <c r="R26" s="54">
        <f t="shared" si="24"/>
        <v>0</v>
      </c>
      <c r="S26" s="54">
        <f t="shared" si="25"/>
        <v>0</v>
      </c>
      <c r="T26" s="52">
        <f t="shared" si="9"/>
        <v>0</v>
      </c>
      <c r="U26" s="54">
        <f t="shared" si="26"/>
        <v>0</v>
      </c>
      <c r="V26" s="54">
        <f t="shared" si="27"/>
        <v>0</v>
      </c>
    </row>
    <row r="27" spans="1:22" x14ac:dyDescent="0.15">
      <c r="A27" s="60" t="s">
        <v>63</v>
      </c>
      <c r="B27" s="50">
        <f t="shared" si="0"/>
        <v>0</v>
      </c>
      <c r="C27" s="54">
        <f>SUMIFS(卡片数据!G:G,卡片数据!$B:$B,"通信线路及设备",卡片数据!E:E,"&lt;2015-1-1")</f>
        <v>0</v>
      </c>
      <c r="D27" s="54">
        <f>SUMIFS(卡片数据!G:G,卡片数据!$B:$B,"通信线路及设备",卡片数据!E:E,"&gt;=2015-1-1")</f>
        <v>0</v>
      </c>
      <c r="E27" s="50">
        <f t="shared" si="2"/>
        <v>0</v>
      </c>
      <c r="F27" s="54">
        <f>SUMIFS(卡片数据!J:J,卡片数据!$B:$B,"通信线路及设备",卡片数据!E:E,"&lt;2015-1-1")</f>
        <v>0</v>
      </c>
      <c r="G27" s="54">
        <f>SUMIFS(卡片数据!J:J,卡片数据!$B:$B,"通信线路及设备",卡片数据!E:E,"&gt;=2015-1-1")</f>
        <v>0</v>
      </c>
      <c r="H27" s="52">
        <f t="shared" si="3"/>
        <v>0</v>
      </c>
      <c r="I27" s="54">
        <f>SUMIFS(卡片数据!I:I,卡片数据!$B:$B,"通信线路及设备",卡片数据!E:E,"&lt;2015-1-1")</f>
        <v>0</v>
      </c>
      <c r="J27" s="54">
        <f>SUMIFS(卡片数据!I:I,卡片数据!$B:$B,"通信线路及设备",卡片数据!E:E,"&gt;=2015-1-1")</f>
        <v>0</v>
      </c>
      <c r="K27" s="52">
        <f t="shared" si="4"/>
        <v>0</v>
      </c>
      <c r="L27" s="54">
        <f>SUMIFS(卡片数据!L:L,卡片数据!$B:$B,"通信线路及设备",卡片数据!E:E,"&lt;2015-1-1")</f>
        <v>0</v>
      </c>
      <c r="M27" s="54">
        <f>SUMIFS(卡片数据!L:L,卡片数据!$B:$B,"通信线路及设备",卡片数据!E:E,"&gt;=2015-1-1")</f>
        <v>0</v>
      </c>
      <c r="N27" s="52">
        <f t="shared" si="5"/>
        <v>0</v>
      </c>
      <c r="O27" s="54">
        <f>SUMIFS(卡片数据!M:M,卡片数据!$B:$B,"通信线路及设备",卡片数据!E:E,"&lt;2015-1-1")</f>
        <v>0</v>
      </c>
      <c r="P27" s="54">
        <f>SUMIFS(卡片数据!M:M,卡片数据!$B:$B,"通信线路及设备",卡片数据!E:E,"&gt;=2015-1-1")</f>
        <v>0</v>
      </c>
      <c r="Q27" s="52">
        <f t="shared" si="6"/>
        <v>0</v>
      </c>
      <c r="R27" s="54">
        <f t="shared" si="24"/>
        <v>0</v>
      </c>
      <c r="S27" s="54">
        <f t="shared" si="25"/>
        <v>0</v>
      </c>
      <c r="T27" s="52">
        <f t="shared" si="9"/>
        <v>0</v>
      </c>
      <c r="U27" s="54">
        <f t="shared" si="26"/>
        <v>0</v>
      </c>
      <c r="V27" s="54">
        <f t="shared" si="27"/>
        <v>0</v>
      </c>
    </row>
    <row r="28" spans="1:22" x14ac:dyDescent="0.15">
      <c r="A28" s="56" t="s">
        <v>37</v>
      </c>
      <c r="B28" s="50">
        <f t="shared" si="0"/>
        <v>0</v>
      </c>
      <c r="C28" s="51">
        <f>SUM(C29:C33)</f>
        <v>0</v>
      </c>
      <c r="D28" s="51">
        <f t="shared" ref="D28:V28" si="28">SUM(D29:D33)</f>
        <v>0</v>
      </c>
      <c r="E28" s="50">
        <f t="shared" si="2"/>
        <v>0</v>
      </c>
      <c r="F28" s="51">
        <f t="shared" si="28"/>
        <v>0</v>
      </c>
      <c r="G28" s="51">
        <f t="shared" si="28"/>
        <v>0</v>
      </c>
      <c r="H28" s="52">
        <f t="shared" si="3"/>
        <v>0</v>
      </c>
      <c r="I28" s="51">
        <f t="shared" si="28"/>
        <v>0</v>
      </c>
      <c r="J28" s="51">
        <f t="shared" si="28"/>
        <v>0</v>
      </c>
      <c r="K28" s="52">
        <f t="shared" si="4"/>
        <v>0</v>
      </c>
      <c r="L28" s="51">
        <f t="shared" si="28"/>
        <v>0</v>
      </c>
      <c r="M28" s="51">
        <f t="shared" si="28"/>
        <v>0</v>
      </c>
      <c r="N28" s="52">
        <f t="shared" si="5"/>
        <v>0</v>
      </c>
      <c r="O28" s="51">
        <f t="shared" si="28"/>
        <v>0</v>
      </c>
      <c r="P28" s="51">
        <f t="shared" si="28"/>
        <v>0</v>
      </c>
      <c r="Q28" s="52">
        <f t="shared" si="6"/>
        <v>0</v>
      </c>
      <c r="R28" s="51">
        <f t="shared" si="28"/>
        <v>0</v>
      </c>
      <c r="S28" s="51">
        <f t="shared" si="28"/>
        <v>0</v>
      </c>
      <c r="T28" s="52">
        <f t="shared" si="9"/>
        <v>0</v>
      </c>
      <c r="U28" s="51">
        <f t="shared" si="28"/>
        <v>0</v>
      </c>
      <c r="V28" s="51">
        <f t="shared" si="28"/>
        <v>0</v>
      </c>
    </row>
    <row r="29" spans="1:22" x14ac:dyDescent="0.15">
      <c r="A29" s="61" t="s">
        <v>64</v>
      </c>
      <c r="B29" s="50">
        <f t="shared" si="0"/>
        <v>0</v>
      </c>
      <c r="C29" s="54">
        <f>SUMIFS(卡片数据!G:G,卡片数据!$A:$A,"2001*",卡片数据!E:E,"&lt;2015-1-1")</f>
        <v>0</v>
      </c>
      <c r="D29" s="54">
        <f>SUMIFS(卡片数据!G:G,卡片数据!$A:$A,"2001*",卡片数据!E:E,"&gt;=2015-1-1")</f>
        <v>0</v>
      </c>
      <c r="E29" s="50">
        <f t="shared" si="2"/>
        <v>0</v>
      </c>
      <c r="F29" s="54">
        <f>SUMIFS(卡片数据!J:J,卡片数据!$A:$A,"2001*",卡片数据!E:E,"&lt;2015-1-1")</f>
        <v>0</v>
      </c>
      <c r="G29" s="54">
        <f>SUMIFS(卡片数据!J:J,卡片数据!$A:$A,"2001*",卡片数据!E:E,"&gt;=2015-1-1")</f>
        <v>0</v>
      </c>
      <c r="H29" s="52">
        <f t="shared" si="3"/>
        <v>0</v>
      </c>
      <c r="I29" s="54">
        <f>SUMIFS(卡片数据!I:I,卡片数据!$A:$A,"2001*",卡片数据!E:E,"&lt;2015-1-1")</f>
        <v>0</v>
      </c>
      <c r="J29" s="54">
        <f>SUMIFS(卡片数据!I:I,卡片数据!$A:$A,"2001*",卡片数据!E:E,"&gt;=2015-1-1")</f>
        <v>0</v>
      </c>
      <c r="K29" s="52">
        <f t="shared" si="4"/>
        <v>0</v>
      </c>
      <c r="L29" s="54">
        <f>SUMIFS(卡片数据!L:L,卡片数据!$A:$A,"2001*",卡片数据!E:E,"&lt;2015-1-1")</f>
        <v>0</v>
      </c>
      <c r="M29" s="54">
        <f>SUMIFS(卡片数据!L:L,卡片数据!$A:$A,"2001*",卡片数据!E:E,"&gt;=2015-1-1")</f>
        <v>0</v>
      </c>
      <c r="N29" s="52">
        <f t="shared" si="5"/>
        <v>0</v>
      </c>
      <c r="O29" s="54">
        <f>SUMIFS(卡片数据!M:M,卡片数据!$A:$A,"2001*",卡片数据!E:E,"&lt;2015-1-1")</f>
        <v>0</v>
      </c>
      <c r="P29" s="54">
        <f>SUMIFS(卡片数据!M:M,卡片数据!$A:$A,"2001*",卡片数据!E:E,"&gt;=2015-1-1")</f>
        <v>0</v>
      </c>
      <c r="Q29" s="52">
        <f t="shared" si="6"/>
        <v>0</v>
      </c>
      <c r="R29" s="54">
        <f t="shared" ref="R29:R33" si="29">C29-I29</f>
        <v>0</v>
      </c>
      <c r="S29" s="54">
        <f t="shared" ref="S29:S33" si="30">D29-J29</f>
        <v>0</v>
      </c>
      <c r="T29" s="52">
        <f t="shared" si="9"/>
        <v>0</v>
      </c>
      <c r="U29" s="54">
        <f t="shared" ref="U29:U33" si="31">F29-L29</f>
        <v>0</v>
      </c>
      <c r="V29" s="54">
        <f t="shared" ref="V29:V33" si="32">G29-M29</f>
        <v>0</v>
      </c>
    </row>
    <row r="30" spans="1:22" x14ac:dyDescent="0.15">
      <c r="A30" s="61" t="s">
        <v>65</v>
      </c>
      <c r="B30" s="50">
        <f t="shared" si="0"/>
        <v>0</v>
      </c>
      <c r="C30" s="54">
        <f>SUMIFS(卡片数据!G:G,卡片数据!$A:$A,"2004*",卡片数据!E:E,"&lt;2015-1-1")</f>
        <v>0</v>
      </c>
      <c r="D30" s="54">
        <f>SUMIFS(卡片数据!G:G,卡片数据!$A:$A,"2004*",卡片数据!E:E,"&gt;=2015-1-1")</f>
        <v>0</v>
      </c>
      <c r="E30" s="50">
        <f t="shared" si="2"/>
        <v>0</v>
      </c>
      <c r="F30" s="54">
        <f>SUMIFS(卡片数据!J:J,卡片数据!$A:$A,"2004*",卡片数据!E:E,"&lt;2015-1-1")</f>
        <v>0</v>
      </c>
      <c r="G30" s="54">
        <f>SUMIFS(卡片数据!J:J,卡片数据!$A:$A,"2004*",卡片数据!E:E,"&gt;=2015-1-1")</f>
        <v>0</v>
      </c>
      <c r="H30" s="52">
        <f t="shared" si="3"/>
        <v>0</v>
      </c>
      <c r="I30" s="54">
        <f>SUMIFS(卡片数据!I:I,卡片数据!$A:$A,"2004*",卡片数据!E:E,"&lt;2015-1-1")</f>
        <v>0</v>
      </c>
      <c r="J30" s="54">
        <f>SUMIFS(卡片数据!I:I,卡片数据!$A:$A,"2004*",卡片数据!E:E,"&gt;=2015-1-1")</f>
        <v>0</v>
      </c>
      <c r="K30" s="52">
        <f t="shared" si="4"/>
        <v>0</v>
      </c>
      <c r="L30" s="54">
        <f>SUMIFS(卡片数据!L:L,卡片数据!$A:$A,"2004*",卡片数据!E:E,"&lt;2015-1-1")</f>
        <v>0</v>
      </c>
      <c r="M30" s="54">
        <f>SUMIFS(卡片数据!L:L,卡片数据!$A:$A,"2004*",卡片数据!E:E,"&gt;=2015-1-1")</f>
        <v>0</v>
      </c>
      <c r="N30" s="52">
        <f t="shared" si="5"/>
        <v>0</v>
      </c>
      <c r="O30" s="54">
        <f>SUMIFS(卡片数据!M:M,卡片数据!$A:$A,"2004*",卡片数据!E:E,"&lt;2015-1-1")</f>
        <v>0</v>
      </c>
      <c r="P30" s="54">
        <f>SUMIFS(卡片数据!M:M,卡片数据!$A:$A,"2004*",卡片数据!E:E,"&gt;=2015-1-1")</f>
        <v>0</v>
      </c>
      <c r="Q30" s="52">
        <f t="shared" si="6"/>
        <v>0</v>
      </c>
      <c r="R30" s="54">
        <f t="shared" si="29"/>
        <v>0</v>
      </c>
      <c r="S30" s="54">
        <f t="shared" si="30"/>
        <v>0</v>
      </c>
      <c r="T30" s="52">
        <f t="shared" si="9"/>
        <v>0</v>
      </c>
      <c r="U30" s="54">
        <f t="shared" si="31"/>
        <v>0</v>
      </c>
      <c r="V30" s="54">
        <f t="shared" si="32"/>
        <v>0</v>
      </c>
    </row>
    <row r="31" spans="1:22" x14ac:dyDescent="0.15">
      <c r="A31" s="61" t="s">
        <v>66</v>
      </c>
      <c r="B31" s="50">
        <f t="shared" si="0"/>
        <v>0</v>
      </c>
      <c r="C31" s="54">
        <f>SUMIFS(卡片数据!G:G,卡片数据!$A:$A,"2099*",卡片数据!E:E,"&lt;2015-1-1")</f>
        <v>0</v>
      </c>
      <c r="D31" s="54">
        <f>SUMIFS(卡片数据!G:G,卡片数据!$A:$A,"2099*",卡片数据!E:E,"&gt;=2015-1-1")</f>
        <v>0</v>
      </c>
      <c r="E31" s="50">
        <f t="shared" si="2"/>
        <v>0</v>
      </c>
      <c r="F31" s="54">
        <f>SUMIFS(卡片数据!J:J,卡片数据!$A:$A,"2099*",卡片数据!E:E,"&lt;2015-1-1")</f>
        <v>0</v>
      </c>
      <c r="G31" s="54">
        <f>SUMIFS(卡片数据!J:J,卡片数据!$A:$A,"2099*",卡片数据!E:E,"&gt;=2015-1-1")</f>
        <v>0</v>
      </c>
      <c r="H31" s="52">
        <f t="shared" si="3"/>
        <v>0</v>
      </c>
      <c r="I31" s="54">
        <f>SUMIFS(卡片数据!I:I,卡片数据!$A:$A,"2099*",卡片数据!E:E,"&lt;2015-1-1")</f>
        <v>0</v>
      </c>
      <c r="J31" s="54">
        <f>SUMIFS(卡片数据!I:I,卡片数据!$A:$A,"2099*",卡片数据!E:E,"&gt;=2015-1-1")</f>
        <v>0</v>
      </c>
      <c r="K31" s="52">
        <f t="shared" si="4"/>
        <v>0</v>
      </c>
      <c r="L31" s="54">
        <f>SUMIFS(卡片数据!L:L,卡片数据!$A:$A,"2099*",卡片数据!E:E,"&lt;2015-1-1")</f>
        <v>0</v>
      </c>
      <c r="M31" s="54">
        <f>SUMIFS(卡片数据!L:L,卡片数据!$A:$A,"2099*",卡片数据!E:E,"&gt;=2015-1-1")</f>
        <v>0</v>
      </c>
      <c r="N31" s="52">
        <f t="shared" si="5"/>
        <v>0</v>
      </c>
      <c r="O31" s="54">
        <f>SUMIFS(卡片数据!M:M,卡片数据!$A:$A,"2099*",卡片数据!E:E,"&lt;2015-1-1")</f>
        <v>0</v>
      </c>
      <c r="P31" s="54">
        <f>SUMIFS(卡片数据!M:M,卡片数据!$A:$A,"2099*",卡片数据!E:E,"&gt;=2015-1-1")</f>
        <v>0</v>
      </c>
      <c r="Q31" s="52">
        <f t="shared" si="6"/>
        <v>0</v>
      </c>
      <c r="R31" s="54">
        <f t="shared" si="29"/>
        <v>0</v>
      </c>
      <c r="S31" s="54">
        <f t="shared" si="30"/>
        <v>0</v>
      </c>
      <c r="T31" s="52">
        <f t="shared" si="9"/>
        <v>0</v>
      </c>
      <c r="U31" s="54">
        <f t="shared" si="31"/>
        <v>0</v>
      </c>
      <c r="V31" s="54">
        <f t="shared" si="32"/>
        <v>0</v>
      </c>
    </row>
    <row r="32" spans="1:22" x14ac:dyDescent="0.15">
      <c r="A32" s="61" t="s">
        <v>67</v>
      </c>
      <c r="B32" s="50">
        <f t="shared" si="0"/>
        <v>0</v>
      </c>
      <c r="C32" s="54">
        <f>SUMIFS(卡片数据!G:G,卡片数据!$A:$A,"2003*",卡片数据!E:E,"&lt;2015-1-1")</f>
        <v>0</v>
      </c>
      <c r="D32" s="54">
        <f>SUMIFS(卡片数据!G:G,卡片数据!$A:$A,"2003*",卡片数据!E:E,"&gt;=2015-1-1")</f>
        <v>0</v>
      </c>
      <c r="E32" s="50">
        <f t="shared" si="2"/>
        <v>0</v>
      </c>
      <c r="F32" s="54">
        <f>SUMIFS(卡片数据!J:J,卡片数据!$A:$A,"2003*",卡片数据!E:E,"&lt;2015-1-1")</f>
        <v>0</v>
      </c>
      <c r="G32" s="54">
        <f>SUMIFS(卡片数据!J:J,卡片数据!$A:$A,"2003*",卡片数据!E:E,"&gt;=2015-1-1")</f>
        <v>0</v>
      </c>
      <c r="H32" s="52">
        <f t="shared" si="3"/>
        <v>0</v>
      </c>
      <c r="I32" s="54">
        <f>SUMIFS(卡片数据!I:I,卡片数据!$A:$A,"2003*",卡片数据!E:E,"&lt;2015-1-1")</f>
        <v>0</v>
      </c>
      <c r="J32" s="54">
        <f>SUMIFS(卡片数据!I:I,卡片数据!$A:$A,"2003*",卡片数据!E:E,"&gt;=2015-1-1")</f>
        <v>0</v>
      </c>
      <c r="K32" s="52">
        <f t="shared" si="4"/>
        <v>0</v>
      </c>
      <c r="L32" s="54">
        <f>SUMIFS(卡片数据!L:L,卡片数据!$A:$A,"2003*",卡片数据!E:E,"&lt;2015-1-1")</f>
        <v>0</v>
      </c>
      <c r="M32" s="54">
        <f>SUMIFS(卡片数据!L:L,卡片数据!$A:$A,"2003*",卡片数据!E:E,"&gt;=2015-1-1")</f>
        <v>0</v>
      </c>
      <c r="N32" s="52">
        <f t="shared" si="5"/>
        <v>0</v>
      </c>
      <c r="O32" s="54">
        <f>SUMIFS(卡片数据!M:M,卡片数据!$A:$A,"2003*",卡片数据!E:E,"&lt;2015-1-1")</f>
        <v>0</v>
      </c>
      <c r="P32" s="54">
        <f>SUMIFS(卡片数据!M:M,卡片数据!$A:$A,"2003*",卡片数据!E:E,"&gt;=2015-1-1")</f>
        <v>0</v>
      </c>
      <c r="Q32" s="52">
        <f t="shared" si="6"/>
        <v>0</v>
      </c>
      <c r="R32" s="54">
        <f t="shared" si="29"/>
        <v>0</v>
      </c>
      <c r="S32" s="54">
        <f t="shared" si="30"/>
        <v>0</v>
      </c>
      <c r="T32" s="52">
        <f t="shared" si="9"/>
        <v>0</v>
      </c>
      <c r="U32" s="54">
        <f t="shared" si="31"/>
        <v>0</v>
      </c>
      <c r="V32" s="54">
        <f t="shared" si="32"/>
        <v>0</v>
      </c>
    </row>
    <row r="33" spans="1:22" x14ac:dyDescent="0.15">
      <c r="A33" s="61" t="s">
        <v>68</v>
      </c>
      <c r="B33" s="50">
        <f t="shared" si="0"/>
        <v>0</v>
      </c>
      <c r="C33" s="54">
        <f>SUMIFS(卡片数据!G:G,卡片数据!$A:$A,"2002*",卡片数据!E:E,"&lt;2015-1-1")</f>
        <v>0</v>
      </c>
      <c r="D33" s="54">
        <f>SUMIFS(卡片数据!G:G,卡片数据!$A:$A,"2002*",卡片数据!E:E,"&gt;=2015-1-1")</f>
        <v>0</v>
      </c>
      <c r="E33" s="50">
        <f t="shared" si="2"/>
        <v>0</v>
      </c>
      <c r="F33" s="54">
        <f>SUMIFS(卡片数据!J:J,卡片数据!$A:$A,"2002*",卡片数据!E:E,"&lt;2015-1-1")</f>
        <v>0</v>
      </c>
      <c r="G33" s="54">
        <f>SUMIFS(卡片数据!J:J,卡片数据!$A:$A,"2002*",卡片数据!E:E,"&gt;=2015-1-1")</f>
        <v>0</v>
      </c>
      <c r="H33" s="52">
        <f t="shared" si="3"/>
        <v>0</v>
      </c>
      <c r="I33" s="54">
        <f>SUMIFS(卡片数据!I:I,卡片数据!$A:$A,"2002*",卡片数据!E:E,"&lt;2015-1-1")</f>
        <v>0</v>
      </c>
      <c r="J33" s="54">
        <f>SUMIFS(卡片数据!I:I,卡片数据!$A:$A,"2002*",卡片数据!E:E,"&gt;=2015-1-1")</f>
        <v>0</v>
      </c>
      <c r="K33" s="52">
        <f t="shared" si="4"/>
        <v>0</v>
      </c>
      <c r="L33" s="54">
        <f>SUMIFS(卡片数据!L:L,卡片数据!$A:$A,"2002*",卡片数据!E:E,"&lt;2015-1-1")</f>
        <v>0</v>
      </c>
      <c r="M33" s="54">
        <f>SUMIFS(卡片数据!L:L,卡片数据!$A:$A,"2002*",卡片数据!E:E,"&gt;=2015-1-1")</f>
        <v>0</v>
      </c>
      <c r="N33" s="52">
        <f t="shared" si="5"/>
        <v>0</v>
      </c>
      <c r="O33" s="54">
        <f>SUMIFS(卡片数据!M:M,卡片数据!$A:$A,"2002*",卡片数据!E:E,"&lt;2015-1-1")</f>
        <v>0</v>
      </c>
      <c r="P33" s="54">
        <f>SUMIFS(卡片数据!M:M,卡片数据!$A:$A,"2002*",卡片数据!E:E,"&gt;=2015-1-1")</f>
        <v>0</v>
      </c>
      <c r="Q33" s="52">
        <f t="shared" si="6"/>
        <v>0</v>
      </c>
      <c r="R33" s="54">
        <f t="shared" si="29"/>
        <v>0</v>
      </c>
      <c r="S33" s="54">
        <f t="shared" si="30"/>
        <v>0</v>
      </c>
      <c r="T33" s="52">
        <f t="shared" si="9"/>
        <v>0</v>
      </c>
      <c r="U33" s="54">
        <f t="shared" si="31"/>
        <v>0</v>
      </c>
      <c r="V33" s="54">
        <f t="shared" si="32"/>
        <v>0</v>
      </c>
    </row>
    <row r="34" spans="1:22" x14ac:dyDescent="0.15">
      <c r="A34" s="56" t="s">
        <v>38</v>
      </c>
      <c r="B34" s="50">
        <f t="shared" si="0"/>
        <v>0</v>
      </c>
      <c r="C34" s="51">
        <f>SUM(C35:C48)</f>
        <v>0</v>
      </c>
      <c r="D34" s="51">
        <f t="shared" ref="D34:P34" si="33">SUM(D35:D48)</f>
        <v>0</v>
      </c>
      <c r="E34" s="50">
        <f t="shared" si="2"/>
        <v>0</v>
      </c>
      <c r="F34" s="51">
        <f t="shared" si="33"/>
        <v>0</v>
      </c>
      <c r="G34" s="51">
        <f t="shared" si="33"/>
        <v>0</v>
      </c>
      <c r="H34" s="52">
        <f t="shared" si="3"/>
        <v>0</v>
      </c>
      <c r="I34" s="51">
        <f t="shared" si="33"/>
        <v>0</v>
      </c>
      <c r="J34" s="51">
        <f t="shared" si="33"/>
        <v>0</v>
      </c>
      <c r="K34" s="52">
        <f t="shared" si="4"/>
        <v>0</v>
      </c>
      <c r="L34" s="51">
        <f t="shared" si="33"/>
        <v>0</v>
      </c>
      <c r="M34" s="51">
        <f t="shared" si="33"/>
        <v>0</v>
      </c>
      <c r="N34" s="52">
        <f t="shared" si="5"/>
        <v>0</v>
      </c>
      <c r="O34" s="51">
        <f t="shared" si="33"/>
        <v>0</v>
      </c>
      <c r="P34" s="51">
        <f t="shared" si="33"/>
        <v>0</v>
      </c>
      <c r="Q34" s="52">
        <f t="shared" si="6"/>
        <v>0</v>
      </c>
      <c r="R34" s="51">
        <f t="shared" ref="R34:V34" si="34">SUM(R35:R48)</f>
        <v>0</v>
      </c>
      <c r="S34" s="51">
        <f t="shared" si="34"/>
        <v>0</v>
      </c>
      <c r="T34" s="52">
        <f t="shared" si="9"/>
        <v>0</v>
      </c>
      <c r="U34" s="51">
        <f t="shared" si="34"/>
        <v>0</v>
      </c>
      <c r="V34" s="51">
        <f t="shared" si="34"/>
        <v>0</v>
      </c>
    </row>
    <row r="35" spans="1:22" x14ac:dyDescent="0.15">
      <c r="A35" s="60" t="s">
        <v>69</v>
      </c>
      <c r="B35" s="50">
        <f t="shared" si="0"/>
        <v>0</v>
      </c>
      <c r="C35" s="54">
        <f>SUMIFS(卡片数据!G:G,卡片数据!$A:$A,"2101*",卡片数据!E:E,"&lt;2015-1-1")</f>
        <v>0</v>
      </c>
      <c r="D35" s="54">
        <f>SUMIFS(卡片数据!G:G,卡片数据!$A:$A,"2101*",卡片数据!E:E,"&gt;=2015-1-1")</f>
        <v>0</v>
      </c>
      <c r="E35" s="50">
        <f t="shared" si="2"/>
        <v>0</v>
      </c>
      <c r="F35" s="54">
        <f>SUMIFS(卡片数据!J:J,卡片数据!$A:$A,"2101*",卡片数据!E:E,"&lt;2015-1-1")</f>
        <v>0</v>
      </c>
      <c r="G35" s="54">
        <f>SUMIFS(卡片数据!J:J,卡片数据!$A:$A,"2101*",卡片数据!E:E,"&gt;=2015-1-1")</f>
        <v>0</v>
      </c>
      <c r="H35" s="52">
        <f t="shared" si="3"/>
        <v>0</v>
      </c>
      <c r="I35" s="54">
        <f>SUMIFS(卡片数据!I:I,卡片数据!$A:$A,"2101*",卡片数据!E:E,"&lt;2015-1-1")</f>
        <v>0</v>
      </c>
      <c r="J35" s="54">
        <f>SUMIFS(卡片数据!I:I,卡片数据!$A:$A,"2101*",卡片数据!E:E,"&gt;=2015-1-1")</f>
        <v>0</v>
      </c>
      <c r="K35" s="52">
        <f t="shared" si="4"/>
        <v>0</v>
      </c>
      <c r="L35" s="54">
        <f>SUMIFS(卡片数据!L:L,卡片数据!$A:$A,"2101*",卡片数据!E:E,"&lt;2015-1-1")</f>
        <v>0</v>
      </c>
      <c r="M35" s="54">
        <f>SUMIFS(卡片数据!L:L,卡片数据!$A:$A,"2101*",卡片数据!E:E,"&gt;=2015-1-1")</f>
        <v>0</v>
      </c>
      <c r="N35" s="52">
        <f t="shared" si="5"/>
        <v>0</v>
      </c>
      <c r="O35" s="54">
        <f>SUMIFS(卡片数据!M:M,卡片数据!$A:$A,"2101*",卡片数据!E:E,"&lt;2015-1-1")</f>
        <v>0</v>
      </c>
      <c r="P35" s="54">
        <f>SUMIFS(卡片数据!M:M,卡片数据!$A:$A,"2101*",卡片数据!E:E,"&gt;=2015-1-1")</f>
        <v>0</v>
      </c>
      <c r="Q35" s="52">
        <f t="shared" si="6"/>
        <v>0</v>
      </c>
      <c r="R35" s="54">
        <f t="shared" ref="R35:R51" si="35">C35-I35</f>
        <v>0</v>
      </c>
      <c r="S35" s="54">
        <f t="shared" ref="S35:S51" si="36">D35-J35</f>
        <v>0</v>
      </c>
      <c r="T35" s="52">
        <f t="shared" si="9"/>
        <v>0</v>
      </c>
      <c r="U35" s="54">
        <f t="shared" ref="U35:U51" si="37">F35-L35</f>
        <v>0</v>
      </c>
      <c r="V35" s="54">
        <f t="shared" ref="V35:V51" si="38">G35-M35</f>
        <v>0</v>
      </c>
    </row>
    <row r="36" spans="1:22" x14ac:dyDescent="0.15">
      <c r="A36" s="60" t="s">
        <v>70</v>
      </c>
      <c r="B36" s="50">
        <f t="shared" si="0"/>
        <v>0</v>
      </c>
      <c r="C36" s="54">
        <f>SUMIFS(卡片数据!G:G,卡片数据!$A:$A,"2102*",卡片数据!E:E,"&lt;2015-1-1")</f>
        <v>0</v>
      </c>
      <c r="D36" s="54">
        <f>SUMIFS(卡片数据!G:G,卡片数据!$A:$A,"2102*",卡片数据!E:E,"&gt;=2015-1-1")</f>
        <v>0</v>
      </c>
      <c r="E36" s="50">
        <f t="shared" si="2"/>
        <v>0</v>
      </c>
      <c r="F36" s="54">
        <f>SUMIFS(卡片数据!J:J,卡片数据!$A:$A,"2102*",卡片数据!E:E,"&lt;2015-1-1")</f>
        <v>0</v>
      </c>
      <c r="G36" s="54">
        <f>SUMIFS(卡片数据!J:J,卡片数据!$A:$A,"2102*",卡片数据!E:E,"&gt;=2015-1-1")</f>
        <v>0</v>
      </c>
      <c r="H36" s="52">
        <f t="shared" si="3"/>
        <v>0</v>
      </c>
      <c r="I36" s="54">
        <f>SUMIFS(卡片数据!I:I,卡片数据!$A:$A,"2102*",卡片数据!E:E,"&lt;2015-1-1")</f>
        <v>0</v>
      </c>
      <c r="J36" s="54">
        <f>SUMIFS(卡片数据!I:I,卡片数据!$A:$A,"2102*",卡片数据!E:E,"&gt;=2015-1-1")</f>
        <v>0</v>
      </c>
      <c r="K36" s="52">
        <f t="shared" si="4"/>
        <v>0</v>
      </c>
      <c r="L36" s="54">
        <f>SUMIFS(卡片数据!L:L,卡片数据!$A:$A,"2102*",卡片数据!E:E,"&lt;2015-1-1")</f>
        <v>0</v>
      </c>
      <c r="M36" s="54">
        <f>SUMIFS(卡片数据!L:L,卡片数据!$A:$A,"2102*",卡片数据!E:E,"&gt;=2015-1-1")</f>
        <v>0</v>
      </c>
      <c r="N36" s="52">
        <f t="shared" si="5"/>
        <v>0</v>
      </c>
      <c r="O36" s="54">
        <f>SUMIFS(卡片数据!M:M,卡片数据!$A:$A,"2102*",卡片数据!E:E,"&lt;2015-1-1")</f>
        <v>0</v>
      </c>
      <c r="P36" s="54">
        <f>SUMIFS(卡片数据!M:M,卡片数据!$A:$A,"2102*",卡片数据!E:E,"&gt;=2015-1-1")</f>
        <v>0</v>
      </c>
      <c r="Q36" s="52">
        <f t="shared" si="6"/>
        <v>0</v>
      </c>
      <c r="R36" s="54">
        <f t="shared" si="35"/>
        <v>0</v>
      </c>
      <c r="S36" s="54">
        <f t="shared" si="36"/>
        <v>0</v>
      </c>
      <c r="T36" s="52">
        <f t="shared" si="9"/>
        <v>0</v>
      </c>
      <c r="U36" s="54">
        <f t="shared" si="37"/>
        <v>0</v>
      </c>
      <c r="V36" s="54">
        <f t="shared" si="38"/>
        <v>0</v>
      </c>
    </row>
    <row r="37" spans="1:22" x14ac:dyDescent="0.15">
      <c r="A37" s="60" t="s">
        <v>71</v>
      </c>
      <c r="B37" s="50">
        <f t="shared" si="0"/>
        <v>0</v>
      </c>
      <c r="C37" s="54">
        <f>SUMIFS(卡片数据!G:G,卡片数据!$A:$A,"2103*",卡片数据!E:E,"&lt;2015-1-1")</f>
        <v>0</v>
      </c>
      <c r="D37" s="54">
        <f>SUMIFS(卡片数据!G:G,卡片数据!$A:$A,"2103*",卡片数据!E:E,"&gt;=2015-1-1")</f>
        <v>0</v>
      </c>
      <c r="E37" s="50">
        <f t="shared" si="2"/>
        <v>0</v>
      </c>
      <c r="F37" s="54">
        <f>SUMIFS(卡片数据!J:J,卡片数据!$A:$A,"2103*",卡片数据!E:E,"&lt;2015-1-1")</f>
        <v>0</v>
      </c>
      <c r="G37" s="54">
        <f>SUMIFS(卡片数据!J:J,卡片数据!$A:$A,"2103*",卡片数据!E:E,"&gt;=2015-1-1")</f>
        <v>0</v>
      </c>
      <c r="H37" s="52">
        <f t="shared" si="3"/>
        <v>0</v>
      </c>
      <c r="I37" s="54">
        <f>SUMIFS(卡片数据!I:I,卡片数据!$A:$A,"2103*",卡片数据!E:E,"&lt;2015-1-1")</f>
        <v>0</v>
      </c>
      <c r="J37" s="54">
        <f>SUMIFS(卡片数据!I:I,卡片数据!$A:$A,"2103*",卡片数据!E:E,"&gt;=2015-1-1")</f>
        <v>0</v>
      </c>
      <c r="K37" s="52">
        <f t="shared" si="4"/>
        <v>0</v>
      </c>
      <c r="L37" s="54">
        <f>SUMIFS(卡片数据!L:L,卡片数据!$A:$A,"2103*",卡片数据!E:E,"&lt;2015-1-1")</f>
        <v>0</v>
      </c>
      <c r="M37" s="54">
        <f>SUMIFS(卡片数据!L:L,卡片数据!$A:$A,"2103*",卡片数据!E:E,"&gt;=2015-1-1")</f>
        <v>0</v>
      </c>
      <c r="N37" s="52">
        <f t="shared" si="5"/>
        <v>0</v>
      </c>
      <c r="O37" s="54">
        <f>SUMIFS(卡片数据!M:M,卡片数据!$A:$A,"2103*",卡片数据!E:E,"&lt;2015-1-1")</f>
        <v>0</v>
      </c>
      <c r="P37" s="54">
        <f>SUMIFS(卡片数据!M:M,卡片数据!$A:$A,"2103*",卡片数据!E:E,"&gt;=2015-1-1")</f>
        <v>0</v>
      </c>
      <c r="Q37" s="52">
        <f t="shared" si="6"/>
        <v>0</v>
      </c>
      <c r="R37" s="54">
        <f t="shared" si="35"/>
        <v>0</v>
      </c>
      <c r="S37" s="54">
        <f t="shared" si="36"/>
        <v>0</v>
      </c>
      <c r="T37" s="52">
        <f t="shared" si="9"/>
        <v>0</v>
      </c>
      <c r="U37" s="54">
        <f t="shared" si="37"/>
        <v>0</v>
      </c>
      <c r="V37" s="54">
        <f t="shared" si="38"/>
        <v>0</v>
      </c>
    </row>
    <row r="38" spans="1:22" x14ac:dyDescent="0.15">
      <c r="A38" s="60" t="s">
        <v>72</v>
      </c>
      <c r="B38" s="50">
        <f t="shared" si="0"/>
        <v>0</v>
      </c>
      <c r="C38" s="54">
        <f>SUMIFS(卡片数据!G:G,卡片数据!$A:$A,"2104*",卡片数据!E:E,"&lt;2015-1-1")</f>
        <v>0</v>
      </c>
      <c r="D38" s="54">
        <f>SUMIFS(卡片数据!G:G,卡片数据!$A:$A,"2104*",卡片数据!E:E,"&gt;=2015-1-1")</f>
        <v>0</v>
      </c>
      <c r="E38" s="50">
        <f t="shared" si="2"/>
        <v>0</v>
      </c>
      <c r="F38" s="54">
        <f>SUMIFS(卡片数据!J:J,卡片数据!$A:$A,"2104*",卡片数据!E:E,"&lt;2015-1-1")</f>
        <v>0</v>
      </c>
      <c r="G38" s="54">
        <f>SUMIFS(卡片数据!J:J,卡片数据!$A:$A,"2104*",卡片数据!E:E,"&gt;=2015-1-1")</f>
        <v>0</v>
      </c>
      <c r="H38" s="52">
        <f t="shared" si="3"/>
        <v>0</v>
      </c>
      <c r="I38" s="54">
        <f>SUMIFS(卡片数据!I:I,卡片数据!$A:$A,"2104*",卡片数据!E:E,"&lt;2015-1-1")</f>
        <v>0</v>
      </c>
      <c r="J38" s="54">
        <f>SUMIFS(卡片数据!I:I,卡片数据!$A:$A,"2104*",卡片数据!E:E,"&gt;=2015-1-1")</f>
        <v>0</v>
      </c>
      <c r="K38" s="52">
        <f t="shared" si="4"/>
        <v>0</v>
      </c>
      <c r="L38" s="54">
        <f>SUMIFS(卡片数据!L:L,卡片数据!$A:$A,"2104*",卡片数据!E:E,"&lt;2015-1-1")</f>
        <v>0</v>
      </c>
      <c r="M38" s="54">
        <f>SUMIFS(卡片数据!L:L,卡片数据!$A:$A,"2104*",卡片数据!E:E,"&gt;=2015-1-1")</f>
        <v>0</v>
      </c>
      <c r="N38" s="52">
        <f t="shared" si="5"/>
        <v>0</v>
      </c>
      <c r="O38" s="54">
        <f>SUMIFS(卡片数据!M:M,卡片数据!$A:$A,"2104*",卡片数据!E:E,"&lt;2015-1-1")</f>
        <v>0</v>
      </c>
      <c r="P38" s="54">
        <f>SUMIFS(卡片数据!M:M,卡片数据!$A:$A,"2104*",卡片数据!E:E,"&gt;=2015-1-1")</f>
        <v>0</v>
      </c>
      <c r="Q38" s="52">
        <f t="shared" si="6"/>
        <v>0</v>
      </c>
      <c r="R38" s="54">
        <f t="shared" si="35"/>
        <v>0</v>
      </c>
      <c r="S38" s="54">
        <f t="shared" si="36"/>
        <v>0</v>
      </c>
      <c r="T38" s="52">
        <f t="shared" si="9"/>
        <v>0</v>
      </c>
      <c r="U38" s="54">
        <f t="shared" si="37"/>
        <v>0</v>
      </c>
      <c r="V38" s="54">
        <f t="shared" si="38"/>
        <v>0</v>
      </c>
    </row>
    <row r="39" spans="1:22" x14ac:dyDescent="0.15">
      <c r="A39" s="60" t="s">
        <v>73</v>
      </c>
      <c r="B39" s="50">
        <f t="shared" si="0"/>
        <v>0</v>
      </c>
      <c r="C39" s="54">
        <f>SUMIFS(卡片数据!G:G,卡片数据!$A:$A,"2105*",卡片数据!E:E,"&lt;2015-1-1")</f>
        <v>0</v>
      </c>
      <c r="D39" s="54">
        <f>SUMIFS(卡片数据!G:G,卡片数据!$A:$A,"2105*",卡片数据!E:E,"&gt;=2015-1-1")</f>
        <v>0</v>
      </c>
      <c r="E39" s="50">
        <f t="shared" si="2"/>
        <v>0</v>
      </c>
      <c r="F39" s="54">
        <f>SUMIFS(卡片数据!J:J,卡片数据!$A:$A,"2105*",卡片数据!E:E,"&lt;2015-1-1")</f>
        <v>0</v>
      </c>
      <c r="G39" s="54">
        <f>SUMIFS(卡片数据!J:J,卡片数据!$A:$A,"2105*",卡片数据!E:E,"&gt;=2015-1-1")</f>
        <v>0</v>
      </c>
      <c r="H39" s="52">
        <f t="shared" si="3"/>
        <v>0</v>
      </c>
      <c r="I39" s="54">
        <f>SUMIFS(卡片数据!I:I,卡片数据!$A:$A,"2105*",卡片数据!E:E,"&lt;2015-1-1")</f>
        <v>0</v>
      </c>
      <c r="J39" s="54">
        <f>SUMIFS(卡片数据!I:I,卡片数据!$A:$A,"2105*",卡片数据!E:E,"&gt;=2015-1-1")</f>
        <v>0</v>
      </c>
      <c r="K39" s="52">
        <f t="shared" si="4"/>
        <v>0</v>
      </c>
      <c r="L39" s="54">
        <f>SUMIFS(卡片数据!L:L,卡片数据!$A:$A,"2105*",卡片数据!E:E,"&lt;2015-1-1")</f>
        <v>0</v>
      </c>
      <c r="M39" s="54">
        <f>SUMIFS(卡片数据!L:L,卡片数据!$A:$A,"2105*",卡片数据!E:E,"&gt;=2015-1-1")</f>
        <v>0</v>
      </c>
      <c r="N39" s="52">
        <f t="shared" si="5"/>
        <v>0</v>
      </c>
      <c r="O39" s="54">
        <f>SUMIFS(卡片数据!M:M,卡片数据!$A:$A,"2105*",卡片数据!E:E,"&lt;2015-1-1")</f>
        <v>0</v>
      </c>
      <c r="P39" s="54">
        <f>SUMIFS(卡片数据!M:M,卡片数据!$A:$A,"2105*",卡片数据!E:E,"&gt;=2015-1-1")</f>
        <v>0</v>
      </c>
      <c r="Q39" s="52">
        <f t="shared" si="6"/>
        <v>0</v>
      </c>
      <c r="R39" s="54">
        <f t="shared" si="35"/>
        <v>0</v>
      </c>
      <c r="S39" s="54">
        <f t="shared" si="36"/>
        <v>0</v>
      </c>
      <c r="T39" s="52">
        <f t="shared" si="9"/>
        <v>0</v>
      </c>
      <c r="U39" s="54">
        <f t="shared" si="37"/>
        <v>0</v>
      </c>
      <c r="V39" s="54">
        <f t="shared" si="38"/>
        <v>0</v>
      </c>
    </row>
    <row r="40" spans="1:22" x14ac:dyDescent="0.15">
      <c r="A40" s="60" t="s">
        <v>74</v>
      </c>
      <c r="B40" s="50">
        <f t="shared" si="0"/>
        <v>0</v>
      </c>
      <c r="C40" s="54">
        <f>SUMIFS(卡片数据!G:G,卡片数据!$A:$A,"2113*",卡片数据!E:E,"&lt;2015-1-1")</f>
        <v>0</v>
      </c>
      <c r="D40" s="54">
        <f>SUMIFS(卡片数据!G:G,卡片数据!$A:$A,"2113*",卡片数据!E:E,"&gt;=2015-1-1")</f>
        <v>0</v>
      </c>
      <c r="E40" s="50">
        <f t="shared" si="2"/>
        <v>0</v>
      </c>
      <c r="F40" s="54">
        <f>SUMIFS(卡片数据!J:J,卡片数据!$A:$A,"2113*",卡片数据!E:E,"&lt;2015-1-1")</f>
        <v>0</v>
      </c>
      <c r="G40" s="54">
        <f>SUMIFS(卡片数据!J:J,卡片数据!$A:$A,"2113*",卡片数据!E:E,"&gt;=2015-1-1")</f>
        <v>0</v>
      </c>
      <c r="H40" s="52">
        <f t="shared" si="3"/>
        <v>0</v>
      </c>
      <c r="I40" s="54">
        <f>SUMIFS(卡片数据!I:I,卡片数据!$A:$A,"2113*",卡片数据!E:E,"&lt;2015-1-1")</f>
        <v>0</v>
      </c>
      <c r="J40" s="54">
        <f>SUMIFS(卡片数据!I:I,卡片数据!$A:$A,"2113*",卡片数据!E:E,"&gt;=2015-1-1")</f>
        <v>0</v>
      </c>
      <c r="K40" s="52">
        <f t="shared" si="4"/>
        <v>0</v>
      </c>
      <c r="L40" s="54">
        <f>SUMIFS(卡片数据!L:L,卡片数据!$A:$A,"2113*",卡片数据!E:E,"&lt;2015-1-1")</f>
        <v>0</v>
      </c>
      <c r="M40" s="54">
        <f>SUMIFS(卡片数据!L:L,卡片数据!$A:$A,"2113*",卡片数据!E:E,"&gt;=2015-1-1")</f>
        <v>0</v>
      </c>
      <c r="N40" s="52">
        <f t="shared" si="5"/>
        <v>0</v>
      </c>
      <c r="O40" s="54">
        <f>SUMIFS(卡片数据!M:M,卡片数据!$A:$A,"2113*",卡片数据!E:E,"&lt;2015-1-1")</f>
        <v>0</v>
      </c>
      <c r="P40" s="54">
        <f>SUMIFS(卡片数据!M:M,卡片数据!$A:$A,"2113*",卡片数据!E:E,"&gt;=2015-1-1")</f>
        <v>0</v>
      </c>
      <c r="Q40" s="52">
        <f t="shared" si="6"/>
        <v>0</v>
      </c>
      <c r="R40" s="54">
        <f t="shared" si="35"/>
        <v>0</v>
      </c>
      <c r="S40" s="54">
        <f t="shared" si="36"/>
        <v>0</v>
      </c>
      <c r="T40" s="52">
        <f t="shared" si="9"/>
        <v>0</v>
      </c>
      <c r="U40" s="54">
        <f t="shared" si="37"/>
        <v>0</v>
      </c>
      <c r="V40" s="54">
        <f t="shared" si="38"/>
        <v>0</v>
      </c>
    </row>
    <row r="41" spans="1:22" x14ac:dyDescent="0.15">
      <c r="A41" s="60" t="s">
        <v>75</v>
      </c>
      <c r="B41" s="50">
        <f t="shared" si="0"/>
        <v>0</v>
      </c>
      <c r="C41" s="54">
        <f>SUMIFS(卡片数据!G:G,卡片数据!$A:$A,"2106*",卡片数据!E:E,"&lt;2015-1-1")</f>
        <v>0</v>
      </c>
      <c r="D41" s="54">
        <f>SUMIFS(卡片数据!G:G,卡片数据!$A:$A,"2106*",卡片数据!E:E,"&gt;=2015-1-1")</f>
        <v>0</v>
      </c>
      <c r="E41" s="50">
        <f t="shared" si="2"/>
        <v>0</v>
      </c>
      <c r="F41" s="54">
        <f>SUMIFS(卡片数据!J:J,卡片数据!$A:$A,"2106*",卡片数据!E:E,"&lt;2015-1-1")</f>
        <v>0</v>
      </c>
      <c r="G41" s="54">
        <f>SUMIFS(卡片数据!J:J,卡片数据!$A:$A,"2106*",卡片数据!E:E,"&gt;=2015-1-1")</f>
        <v>0</v>
      </c>
      <c r="H41" s="52">
        <f t="shared" si="3"/>
        <v>0</v>
      </c>
      <c r="I41" s="54">
        <f>SUMIFS(卡片数据!I:I,卡片数据!$A:$A,"2106*",卡片数据!E:E,"&lt;2015-1-1")</f>
        <v>0</v>
      </c>
      <c r="J41" s="54">
        <f>SUMIFS(卡片数据!I:I,卡片数据!$A:$A,"2106*",卡片数据!E:E,"&gt;=2015-1-1")</f>
        <v>0</v>
      </c>
      <c r="K41" s="52">
        <f t="shared" si="4"/>
        <v>0</v>
      </c>
      <c r="L41" s="54">
        <f>SUMIFS(卡片数据!L:L,卡片数据!$A:$A,"2106*",卡片数据!E:E,"&lt;2015-1-1")</f>
        <v>0</v>
      </c>
      <c r="M41" s="54">
        <f>SUMIFS(卡片数据!L:L,卡片数据!$A:$A,"2106*",卡片数据!E:E,"&gt;=2015-1-1")</f>
        <v>0</v>
      </c>
      <c r="N41" s="52">
        <f t="shared" si="5"/>
        <v>0</v>
      </c>
      <c r="O41" s="54">
        <f>SUMIFS(卡片数据!M:M,卡片数据!$A:$A,"2106*",卡片数据!E:E,"&lt;2015-1-1")</f>
        <v>0</v>
      </c>
      <c r="P41" s="54">
        <f>SUMIFS(卡片数据!M:M,卡片数据!$A:$A,"2106*",卡片数据!E:E,"&gt;=2015-1-1")</f>
        <v>0</v>
      </c>
      <c r="Q41" s="52">
        <f t="shared" si="6"/>
        <v>0</v>
      </c>
      <c r="R41" s="54">
        <f t="shared" si="35"/>
        <v>0</v>
      </c>
      <c r="S41" s="54">
        <f t="shared" si="36"/>
        <v>0</v>
      </c>
      <c r="T41" s="52">
        <f t="shared" si="9"/>
        <v>0</v>
      </c>
      <c r="U41" s="54">
        <f t="shared" si="37"/>
        <v>0</v>
      </c>
      <c r="V41" s="54">
        <f t="shared" si="38"/>
        <v>0</v>
      </c>
    </row>
    <row r="42" spans="1:22" x14ac:dyDescent="0.15">
      <c r="A42" s="60" t="s">
        <v>76</v>
      </c>
      <c r="B42" s="50">
        <f t="shared" si="0"/>
        <v>0</v>
      </c>
      <c r="C42" s="54">
        <f>SUMIFS(卡片数据!G:G,卡片数据!$A:$A,"2107*",卡片数据!E:E,"&lt;2015-1-1")</f>
        <v>0</v>
      </c>
      <c r="D42" s="54">
        <f>SUMIFS(卡片数据!G:G,卡片数据!$A:$A,"2107*",卡片数据!E:E,"&gt;=2015-1-1")</f>
        <v>0</v>
      </c>
      <c r="E42" s="50">
        <f t="shared" si="2"/>
        <v>0</v>
      </c>
      <c r="F42" s="54">
        <f>SUMIFS(卡片数据!J:J,卡片数据!$A:$A,"2107*",卡片数据!E:E,"&lt;2015-1-1")</f>
        <v>0</v>
      </c>
      <c r="G42" s="54">
        <f>SUMIFS(卡片数据!J:J,卡片数据!$A:$A,"2107*",卡片数据!E:E,"&gt;=2015-1-1")</f>
        <v>0</v>
      </c>
      <c r="H42" s="52">
        <f t="shared" si="3"/>
        <v>0</v>
      </c>
      <c r="I42" s="54">
        <f>SUMIFS(卡片数据!I:I,卡片数据!$A:$A,"2107*",卡片数据!E:E,"&lt;2015-1-1")</f>
        <v>0</v>
      </c>
      <c r="J42" s="54">
        <f>SUMIFS(卡片数据!I:I,卡片数据!$A:$A,"2107*",卡片数据!E:E,"&gt;=2015-1-1")</f>
        <v>0</v>
      </c>
      <c r="K42" s="52">
        <f t="shared" si="4"/>
        <v>0</v>
      </c>
      <c r="L42" s="54">
        <f>SUMIFS(卡片数据!L:L,卡片数据!$A:$A,"2107*",卡片数据!E:E,"&lt;2015-1-1")</f>
        <v>0</v>
      </c>
      <c r="M42" s="54">
        <f>SUMIFS(卡片数据!L:L,卡片数据!$A:$A,"2107*",卡片数据!E:E,"&gt;=2015-1-1")</f>
        <v>0</v>
      </c>
      <c r="N42" s="52">
        <f t="shared" si="5"/>
        <v>0</v>
      </c>
      <c r="O42" s="54">
        <f>SUMIFS(卡片数据!M:M,卡片数据!$A:$A,"2107*",卡片数据!E:E,"&lt;2015-1-1")</f>
        <v>0</v>
      </c>
      <c r="P42" s="54">
        <f>SUMIFS(卡片数据!M:M,卡片数据!$A:$A,"2107*",卡片数据!E:E,"&gt;=2015-1-1")</f>
        <v>0</v>
      </c>
      <c r="Q42" s="52">
        <f t="shared" si="6"/>
        <v>0</v>
      </c>
      <c r="R42" s="54">
        <f t="shared" si="35"/>
        <v>0</v>
      </c>
      <c r="S42" s="54">
        <f t="shared" si="36"/>
        <v>0</v>
      </c>
      <c r="T42" s="52">
        <f t="shared" si="9"/>
        <v>0</v>
      </c>
      <c r="U42" s="54">
        <f t="shared" si="37"/>
        <v>0</v>
      </c>
      <c r="V42" s="54">
        <f t="shared" si="38"/>
        <v>0</v>
      </c>
    </row>
    <row r="43" spans="1:22" x14ac:dyDescent="0.15">
      <c r="A43" s="60" t="s">
        <v>77</v>
      </c>
      <c r="B43" s="50">
        <f t="shared" si="0"/>
        <v>0</v>
      </c>
      <c r="C43" s="54">
        <f>SUMIFS(卡片数据!G:G,卡片数据!$A:$A,"2108*",卡片数据!E:E,"&lt;2015-1-1")</f>
        <v>0</v>
      </c>
      <c r="D43" s="54">
        <f>SUMIFS(卡片数据!G:G,卡片数据!$A:$A,"2108*",卡片数据!E:E,"&gt;=2015-1-1")</f>
        <v>0</v>
      </c>
      <c r="E43" s="50">
        <f t="shared" si="2"/>
        <v>0</v>
      </c>
      <c r="F43" s="54">
        <f>SUMIFS(卡片数据!J:J,卡片数据!$A:$A,"2108*",卡片数据!E:E,"&lt;2015-1-1")</f>
        <v>0</v>
      </c>
      <c r="G43" s="54">
        <f>SUMIFS(卡片数据!J:J,卡片数据!$A:$A,"2108*",卡片数据!E:E,"&gt;=2015-1-1")</f>
        <v>0</v>
      </c>
      <c r="H43" s="52">
        <f t="shared" si="3"/>
        <v>0</v>
      </c>
      <c r="I43" s="54">
        <f>SUMIFS(卡片数据!I:I,卡片数据!$A:$A,"2108*",卡片数据!E:E,"&lt;2015-1-1")</f>
        <v>0</v>
      </c>
      <c r="J43" s="54">
        <f>SUMIFS(卡片数据!I:I,卡片数据!$A:$A,"2108*",卡片数据!E:E,"&gt;=2015-1-1")</f>
        <v>0</v>
      </c>
      <c r="K43" s="52">
        <f t="shared" si="4"/>
        <v>0</v>
      </c>
      <c r="L43" s="54">
        <f>SUMIFS(卡片数据!L:L,卡片数据!$A:$A,"2108*",卡片数据!E:E,"&lt;2015-1-1")</f>
        <v>0</v>
      </c>
      <c r="M43" s="54">
        <f>SUMIFS(卡片数据!L:L,卡片数据!$A:$A,"2108*",卡片数据!E:E,"&gt;=2015-1-1")</f>
        <v>0</v>
      </c>
      <c r="N43" s="52">
        <f t="shared" si="5"/>
        <v>0</v>
      </c>
      <c r="O43" s="54">
        <f>SUMIFS(卡片数据!M:M,卡片数据!$A:$A,"2108*",卡片数据!E:E,"&lt;2015-1-1")</f>
        <v>0</v>
      </c>
      <c r="P43" s="54">
        <f>SUMIFS(卡片数据!M:M,卡片数据!$A:$A,"2108*",卡片数据!E:E,"&gt;=2015-1-1")</f>
        <v>0</v>
      </c>
      <c r="Q43" s="52">
        <f t="shared" si="6"/>
        <v>0</v>
      </c>
      <c r="R43" s="54">
        <f t="shared" si="35"/>
        <v>0</v>
      </c>
      <c r="S43" s="54">
        <f t="shared" si="36"/>
        <v>0</v>
      </c>
      <c r="T43" s="52">
        <f t="shared" si="9"/>
        <v>0</v>
      </c>
      <c r="U43" s="54">
        <f t="shared" si="37"/>
        <v>0</v>
      </c>
      <c r="V43" s="54">
        <f t="shared" si="38"/>
        <v>0</v>
      </c>
    </row>
    <row r="44" spans="1:22" x14ac:dyDescent="0.15">
      <c r="A44" s="60" t="s">
        <v>78</v>
      </c>
      <c r="B44" s="50">
        <f t="shared" si="0"/>
        <v>0</v>
      </c>
      <c r="C44" s="54">
        <f>SUMIFS(卡片数据!G:G,卡片数据!$A:$A,"2109*",卡片数据!E:E,"&lt;2015-1-1")</f>
        <v>0</v>
      </c>
      <c r="D44" s="54">
        <f>SUMIFS(卡片数据!G:G,卡片数据!$A:$A,"2109*",卡片数据!E:E,"&gt;=2015-1-1")</f>
        <v>0</v>
      </c>
      <c r="E44" s="50">
        <f t="shared" si="2"/>
        <v>0</v>
      </c>
      <c r="F44" s="54">
        <f>SUMIFS(卡片数据!J:J,卡片数据!$A:$A,"2109*",卡片数据!E:E,"&lt;2015-1-1")</f>
        <v>0</v>
      </c>
      <c r="G44" s="54">
        <f>SUMIFS(卡片数据!J:J,卡片数据!$A:$A,"2109*",卡片数据!E:E,"&gt;=2015-1-1")</f>
        <v>0</v>
      </c>
      <c r="H44" s="52">
        <f t="shared" si="3"/>
        <v>0</v>
      </c>
      <c r="I44" s="54">
        <f>SUMIFS(卡片数据!I:I,卡片数据!$A:$A,"2109*",卡片数据!E:E,"&lt;2015-1-1")</f>
        <v>0</v>
      </c>
      <c r="J44" s="54">
        <f>SUMIFS(卡片数据!I:I,卡片数据!$A:$A,"2109*",卡片数据!E:E,"&gt;=2015-1-1")</f>
        <v>0</v>
      </c>
      <c r="K44" s="52">
        <f t="shared" si="4"/>
        <v>0</v>
      </c>
      <c r="L44" s="54">
        <f>SUMIFS(卡片数据!L:L,卡片数据!$A:$A,"2109*",卡片数据!E:E,"&lt;2015-1-1")</f>
        <v>0</v>
      </c>
      <c r="M44" s="54">
        <f>SUMIFS(卡片数据!L:L,卡片数据!$A:$A,"2109*",卡片数据!E:E,"&gt;=2015-1-1")</f>
        <v>0</v>
      </c>
      <c r="N44" s="52">
        <f t="shared" si="5"/>
        <v>0</v>
      </c>
      <c r="O44" s="54">
        <f>SUMIFS(卡片数据!M:M,卡片数据!$A:$A,"2109*",卡片数据!E:E,"&lt;2015-1-1")</f>
        <v>0</v>
      </c>
      <c r="P44" s="54">
        <f>SUMIFS(卡片数据!M:M,卡片数据!$A:$A,"2109*",卡片数据!E:E,"&gt;=2015-1-1")</f>
        <v>0</v>
      </c>
      <c r="Q44" s="52">
        <f t="shared" si="6"/>
        <v>0</v>
      </c>
      <c r="R44" s="54">
        <f t="shared" si="35"/>
        <v>0</v>
      </c>
      <c r="S44" s="54">
        <f t="shared" si="36"/>
        <v>0</v>
      </c>
      <c r="T44" s="52">
        <f t="shared" si="9"/>
        <v>0</v>
      </c>
      <c r="U44" s="54">
        <f t="shared" si="37"/>
        <v>0</v>
      </c>
      <c r="V44" s="54">
        <f t="shared" si="38"/>
        <v>0</v>
      </c>
    </row>
    <row r="45" spans="1:22" x14ac:dyDescent="0.15">
      <c r="A45" s="60" t="s">
        <v>79</v>
      </c>
      <c r="B45" s="50">
        <f t="shared" si="0"/>
        <v>0</v>
      </c>
      <c r="C45" s="54">
        <f>SUMIFS(卡片数据!G:G,卡片数据!$A:$A,"2110*",卡片数据!E:E,"&lt;2015-1-1")</f>
        <v>0</v>
      </c>
      <c r="D45" s="54">
        <f>SUMIFS(卡片数据!G:G,卡片数据!$A:$A,"2110*",卡片数据!E:E,"&gt;=2015-1-1")</f>
        <v>0</v>
      </c>
      <c r="E45" s="50">
        <f t="shared" si="2"/>
        <v>0</v>
      </c>
      <c r="F45" s="54">
        <f>SUMIFS(卡片数据!J:J,卡片数据!$A:$A,"2110*",卡片数据!E:E,"&lt;2015-1-1")</f>
        <v>0</v>
      </c>
      <c r="G45" s="54">
        <f>SUMIFS(卡片数据!J:J,卡片数据!$A:$A,"2110*",卡片数据!E:E,"&gt;=2015-1-1")</f>
        <v>0</v>
      </c>
      <c r="H45" s="52">
        <f t="shared" si="3"/>
        <v>0</v>
      </c>
      <c r="I45" s="54">
        <f>SUMIFS(卡片数据!I:I,卡片数据!$A:$A,"2110*",卡片数据!E:E,"&lt;2015-1-1")</f>
        <v>0</v>
      </c>
      <c r="J45" s="54">
        <f>SUMIFS(卡片数据!I:I,卡片数据!$A:$A,"2110*",卡片数据!E:E,"&gt;=2015-1-1")</f>
        <v>0</v>
      </c>
      <c r="K45" s="52">
        <f t="shared" si="4"/>
        <v>0</v>
      </c>
      <c r="L45" s="54">
        <f>SUMIFS(卡片数据!L:L,卡片数据!$A:$A,"2110*",卡片数据!E:E,"&lt;2015-1-1")</f>
        <v>0</v>
      </c>
      <c r="M45" s="54">
        <f>SUMIFS(卡片数据!L:L,卡片数据!$A:$A,"2110*",卡片数据!E:E,"&gt;=2015-1-1")</f>
        <v>0</v>
      </c>
      <c r="N45" s="52">
        <f t="shared" si="5"/>
        <v>0</v>
      </c>
      <c r="O45" s="54">
        <f>SUMIFS(卡片数据!M:M,卡片数据!$A:$A,"2110*",卡片数据!E:E,"&lt;2015-1-1")</f>
        <v>0</v>
      </c>
      <c r="P45" s="54">
        <f>SUMIFS(卡片数据!M:M,卡片数据!$A:$A,"2110*",卡片数据!E:E,"&gt;=2015-1-1")</f>
        <v>0</v>
      </c>
      <c r="Q45" s="52">
        <f t="shared" si="6"/>
        <v>0</v>
      </c>
      <c r="R45" s="54">
        <f t="shared" si="35"/>
        <v>0</v>
      </c>
      <c r="S45" s="54">
        <f t="shared" si="36"/>
        <v>0</v>
      </c>
      <c r="T45" s="52">
        <f t="shared" si="9"/>
        <v>0</v>
      </c>
      <c r="U45" s="54">
        <f t="shared" si="37"/>
        <v>0</v>
      </c>
      <c r="V45" s="54">
        <f t="shared" si="38"/>
        <v>0</v>
      </c>
    </row>
    <row r="46" spans="1:22" x14ac:dyDescent="0.15">
      <c r="A46" s="60" t="s">
        <v>80</v>
      </c>
      <c r="B46" s="50">
        <f t="shared" si="0"/>
        <v>0</v>
      </c>
      <c r="C46" s="54">
        <f>SUMIFS(卡片数据!G:G,卡片数据!$A:$A,"2111*",卡片数据!E:E,"&lt;2015-1-1")</f>
        <v>0</v>
      </c>
      <c r="D46" s="54">
        <f>SUMIFS(卡片数据!G:G,卡片数据!$A:$A,"2111*",卡片数据!E:E,"&gt;=2015-1-1")</f>
        <v>0</v>
      </c>
      <c r="E46" s="50">
        <f t="shared" si="2"/>
        <v>0</v>
      </c>
      <c r="F46" s="54">
        <f>SUMIFS(卡片数据!J:J,卡片数据!$A:$A,"2111*",卡片数据!E:E,"&lt;2015-1-1")</f>
        <v>0</v>
      </c>
      <c r="G46" s="54">
        <f>SUMIFS(卡片数据!J:J,卡片数据!$A:$A,"2111*",卡片数据!E:E,"&gt;=2015-1-1")</f>
        <v>0</v>
      </c>
      <c r="H46" s="52">
        <f t="shared" si="3"/>
        <v>0</v>
      </c>
      <c r="I46" s="54">
        <f>SUMIFS(卡片数据!I:I,卡片数据!$A:$A,"2111*",卡片数据!E:E,"&lt;2015-1-1")</f>
        <v>0</v>
      </c>
      <c r="J46" s="54">
        <f>SUMIFS(卡片数据!I:I,卡片数据!$A:$A,"2111*",卡片数据!E:E,"&gt;=2015-1-1")</f>
        <v>0</v>
      </c>
      <c r="K46" s="52">
        <f t="shared" si="4"/>
        <v>0</v>
      </c>
      <c r="L46" s="54">
        <f>SUMIFS(卡片数据!L:L,卡片数据!$A:$A,"2111*",卡片数据!E:E,"&lt;2015-1-1")</f>
        <v>0</v>
      </c>
      <c r="M46" s="54">
        <f>SUMIFS(卡片数据!L:L,卡片数据!$A:$A,"2111*",卡片数据!E:E,"&gt;=2015-1-1")</f>
        <v>0</v>
      </c>
      <c r="N46" s="52">
        <f t="shared" si="5"/>
        <v>0</v>
      </c>
      <c r="O46" s="54">
        <f>SUMIFS(卡片数据!M:M,卡片数据!$A:$A,"2111*",卡片数据!E:E,"&lt;2015-1-1")</f>
        <v>0</v>
      </c>
      <c r="P46" s="54">
        <f>SUMIFS(卡片数据!M:M,卡片数据!$A:$A,"2111*",卡片数据!E:E,"&gt;=2015-1-1")</f>
        <v>0</v>
      </c>
      <c r="Q46" s="52">
        <f t="shared" si="6"/>
        <v>0</v>
      </c>
      <c r="R46" s="54">
        <f t="shared" si="35"/>
        <v>0</v>
      </c>
      <c r="S46" s="54">
        <f t="shared" si="36"/>
        <v>0</v>
      </c>
      <c r="T46" s="52">
        <f t="shared" si="9"/>
        <v>0</v>
      </c>
      <c r="U46" s="54">
        <f t="shared" si="37"/>
        <v>0</v>
      </c>
      <c r="V46" s="54">
        <f t="shared" si="38"/>
        <v>0</v>
      </c>
    </row>
    <row r="47" spans="1:22" x14ac:dyDescent="0.15">
      <c r="A47" s="60" t="s">
        <v>81</v>
      </c>
      <c r="B47" s="50">
        <f t="shared" si="0"/>
        <v>0</v>
      </c>
      <c r="C47" s="54">
        <f>SUMIFS(卡片数据!G:G,卡片数据!$A:$A,"2112*",卡片数据!E:E,"&lt;2015-1-1")</f>
        <v>0</v>
      </c>
      <c r="D47" s="54">
        <f>SUMIFS(卡片数据!G:G,卡片数据!$A:$A,"2112*",卡片数据!E:E,"&gt;=2015-1-1")</f>
        <v>0</v>
      </c>
      <c r="E47" s="50">
        <f t="shared" si="2"/>
        <v>0</v>
      </c>
      <c r="F47" s="54">
        <f>SUMIFS(卡片数据!J:J,卡片数据!$A:$A,"2112*",卡片数据!E:E,"&lt;2015-1-1")</f>
        <v>0</v>
      </c>
      <c r="G47" s="54">
        <f>SUMIFS(卡片数据!J:J,卡片数据!$A:$A,"2112*",卡片数据!E:E,"&gt;=2015-1-1")</f>
        <v>0</v>
      </c>
      <c r="H47" s="52">
        <f t="shared" si="3"/>
        <v>0</v>
      </c>
      <c r="I47" s="54">
        <f>SUMIFS(卡片数据!I:I,卡片数据!$A:$A,"2112*",卡片数据!E:E,"&lt;2015-1-1")</f>
        <v>0</v>
      </c>
      <c r="J47" s="54">
        <f>SUMIFS(卡片数据!I:I,卡片数据!$A:$A,"2112*",卡片数据!E:E,"&gt;=2015-1-1")</f>
        <v>0</v>
      </c>
      <c r="K47" s="52">
        <f t="shared" si="4"/>
        <v>0</v>
      </c>
      <c r="L47" s="54">
        <f>SUMIFS(卡片数据!L:L,卡片数据!$A:$A,"2112*",卡片数据!E:E,"&lt;2015-1-1")</f>
        <v>0</v>
      </c>
      <c r="M47" s="54">
        <f>SUMIFS(卡片数据!L:L,卡片数据!$A:$A,"2112*",卡片数据!E:E,"&gt;=2015-1-1")</f>
        <v>0</v>
      </c>
      <c r="N47" s="52">
        <f t="shared" si="5"/>
        <v>0</v>
      </c>
      <c r="O47" s="54">
        <f>SUMIFS(卡片数据!M:M,卡片数据!$A:$A,"2112*",卡片数据!E:E,"&lt;2015-1-1")</f>
        <v>0</v>
      </c>
      <c r="P47" s="54">
        <f>SUMIFS(卡片数据!M:M,卡片数据!$A:$A,"2112*",卡片数据!E:E,"&gt;=2015-1-1")</f>
        <v>0</v>
      </c>
      <c r="Q47" s="52">
        <f t="shared" si="6"/>
        <v>0</v>
      </c>
      <c r="R47" s="54">
        <f t="shared" si="35"/>
        <v>0</v>
      </c>
      <c r="S47" s="54">
        <f t="shared" si="36"/>
        <v>0</v>
      </c>
      <c r="T47" s="52">
        <f t="shared" si="9"/>
        <v>0</v>
      </c>
      <c r="U47" s="54">
        <f t="shared" si="37"/>
        <v>0</v>
      </c>
      <c r="V47" s="54">
        <f t="shared" si="38"/>
        <v>0</v>
      </c>
    </row>
    <row r="48" spans="1:22" x14ac:dyDescent="0.15">
      <c r="A48" s="60" t="s">
        <v>82</v>
      </c>
      <c r="B48" s="50">
        <f t="shared" si="0"/>
        <v>0</v>
      </c>
      <c r="C48" s="54">
        <f>SUMIFS(卡片数据!G:G,卡片数据!$A:$A,"2199*",卡片数据!E:E,"&lt;2015-1-1")</f>
        <v>0</v>
      </c>
      <c r="D48" s="54">
        <f>SUMIFS(卡片数据!G:G,卡片数据!$A:$A,"2199*",卡片数据!E:E,"&gt;=2015-1-1")</f>
        <v>0</v>
      </c>
      <c r="E48" s="50">
        <f t="shared" si="2"/>
        <v>0</v>
      </c>
      <c r="F48" s="54">
        <f>SUMIFS(卡片数据!J:J,卡片数据!$A:$A,"2199*",卡片数据!E:E,"&lt;2015-1-1")</f>
        <v>0</v>
      </c>
      <c r="G48" s="54">
        <f>SUMIFS(卡片数据!J:J,卡片数据!$A:$A,"2199*",卡片数据!E:E,"&gt;=2015-1-1")</f>
        <v>0</v>
      </c>
      <c r="H48" s="52">
        <f t="shared" si="3"/>
        <v>0</v>
      </c>
      <c r="I48" s="54">
        <f>SUMIFS(卡片数据!I:I,卡片数据!$A:$A,"2199*",卡片数据!E:E,"&lt;2015-1-1")</f>
        <v>0</v>
      </c>
      <c r="J48" s="54">
        <f>SUMIFS(卡片数据!I:I,卡片数据!$A:$A,"2199*",卡片数据!E:E,"&gt;=2015-1-1")</f>
        <v>0</v>
      </c>
      <c r="K48" s="52">
        <f t="shared" si="4"/>
        <v>0</v>
      </c>
      <c r="L48" s="54">
        <f>SUMIFS(卡片数据!L:L,卡片数据!$A:$A,"2199*",卡片数据!E:E,"&lt;2015-1-1")</f>
        <v>0</v>
      </c>
      <c r="M48" s="54">
        <f>SUMIFS(卡片数据!L:L,卡片数据!$A:$A,"2199*",卡片数据!E:E,"&gt;=2015-1-1")</f>
        <v>0</v>
      </c>
      <c r="N48" s="52">
        <f t="shared" si="5"/>
        <v>0</v>
      </c>
      <c r="O48" s="54">
        <f>SUMIFS(卡片数据!M:M,卡片数据!$A:$A,"2199*",卡片数据!E:E,"&lt;2015-1-1")</f>
        <v>0</v>
      </c>
      <c r="P48" s="54">
        <f>SUMIFS(卡片数据!M:M,卡片数据!$A:$A,"2199*",卡片数据!E:E,"&gt;=2015-1-1")</f>
        <v>0</v>
      </c>
      <c r="Q48" s="52">
        <f t="shared" si="6"/>
        <v>0</v>
      </c>
      <c r="R48" s="54">
        <f t="shared" si="35"/>
        <v>0</v>
      </c>
      <c r="S48" s="54">
        <f t="shared" si="36"/>
        <v>0</v>
      </c>
      <c r="T48" s="52">
        <f t="shared" si="9"/>
        <v>0</v>
      </c>
      <c r="U48" s="54">
        <f t="shared" si="37"/>
        <v>0</v>
      </c>
      <c r="V48" s="54">
        <f t="shared" si="38"/>
        <v>0</v>
      </c>
    </row>
    <row r="49" spans="1:22" x14ac:dyDescent="0.15">
      <c r="A49" s="60" t="s">
        <v>39</v>
      </c>
      <c r="B49" s="50">
        <f t="shared" si="0"/>
        <v>0</v>
      </c>
      <c r="C49" s="54">
        <f>SUMIFS(卡片数据!G:G,卡片数据!$B:$B,"水工机械设备",卡片数据!E:E,"&lt;2015-1-1")</f>
        <v>0</v>
      </c>
      <c r="D49" s="54">
        <f>SUMIFS(卡片数据!G:G,卡片数据!$B:$B,"水工机械设备",卡片数据!E:E,"&gt;=2015-1-1")</f>
        <v>0</v>
      </c>
      <c r="E49" s="50">
        <f t="shared" si="2"/>
        <v>0</v>
      </c>
      <c r="F49" s="54">
        <f>SUMIFS(卡片数据!J:J,卡片数据!$B:$B,"水工机械设备",卡片数据!E:E,"&lt;2015-1-1")</f>
        <v>0</v>
      </c>
      <c r="G49" s="54">
        <f>SUMIFS(卡片数据!J:J,卡片数据!$B:$B,"水工机械设备",卡片数据!E:E,"&gt;=2015-1-1")</f>
        <v>0</v>
      </c>
      <c r="H49" s="52">
        <f t="shared" si="3"/>
        <v>0</v>
      </c>
      <c r="I49" s="54">
        <f>SUMIFS(卡片数据!I:I,卡片数据!$B:$B,"水工机械设备",卡片数据!E:E,"&lt;2015-1-1")</f>
        <v>0</v>
      </c>
      <c r="J49" s="54">
        <f>SUMIFS(卡片数据!I:I,卡片数据!$B:$B,"水工机械设备",卡片数据!E:E,"&gt;=2015-1-1")</f>
        <v>0</v>
      </c>
      <c r="K49" s="52">
        <f t="shared" si="4"/>
        <v>0</v>
      </c>
      <c r="L49" s="54">
        <f>SUMIFS(卡片数据!L:L,卡片数据!$B:$B,"水工机械设备",卡片数据!E:E,"&lt;2015-1-1")</f>
        <v>0</v>
      </c>
      <c r="M49" s="54">
        <f>SUMIFS(卡片数据!L:L,卡片数据!$B:$B,"水工机械设备",卡片数据!E:E,"&gt;=2015-1-1")</f>
        <v>0</v>
      </c>
      <c r="N49" s="52">
        <f t="shared" si="5"/>
        <v>0</v>
      </c>
      <c r="O49" s="54">
        <f>SUMIFS(卡片数据!M:M,卡片数据!$B:$B,"水工机械设备",卡片数据!E:E,"&lt;2015-1-1")</f>
        <v>0</v>
      </c>
      <c r="P49" s="54">
        <f>SUMIFS(卡片数据!M:M,卡片数据!$B:$B,"水工机械设备",卡片数据!E:E,"&gt;=2015-1-1")</f>
        <v>0</v>
      </c>
      <c r="Q49" s="52">
        <f t="shared" si="6"/>
        <v>0</v>
      </c>
      <c r="R49" s="54">
        <f t="shared" si="35"/>
        <v>0</v>
      </c>
      <c r="S49" s="54">
        <f t="shared" si="36"/>
        <v>0</v>
      </c>
      <c r="T49" s="52">
        <f t="shared" si="9"/>
        <v>0</v>
      </c>
      <c r="U49" s="54">
        <f t="shared" si="37"/>
        <v>0</v>
      </c>
      <c r="V49" s="54">
        <f t="shared" si="38"/>
        <v>0</v>
      </c>
    </row>
    <row r="50" spans="1:22" x14ac:dyDescent="0.15">
      <c r="A50" s="60" t="s">
        <v>40</v>
      </c>
      <c r="B50" s="50">
        <f t="shared" si="0"/>
        <v>0</v>
      </c>
      <c r="C50" s="54">
        <f>SUMIFS(卡片数据!G:G,卡片数据!$B:$B,"制造及检修维护设备",卡片数据!E:E,"&lt;2015-1-1")</f>
        <v>0</v>
      </c>
      <c r="D50" s="54">
        <f>SUMIFS(卡片数据!G:G,卡片数据!$B:$B,"制造及检修维护设备",卡片数据!E:E,"&gt;=2015-1-1")</f>
        <v>0</v>
      </c>
      <c r="E50" s="50">
        <f t="shared" si="2"/>
        <v>0</v>
      </c>
      <c r="F50" s="54">
        <f>SUMIFS(卡片数据!J:J,卡片数据!$B:$B,"制造及检修维护设备",卡片数据!E:E,"&lt;2015-1-1")</f>
        <v>0</v>
      </c>
      <c r="G50" s="54">
        <f>SUMIFS(卡片数据!J:J,卡片数据!$B:$B,"制造及检修维护设备",卡片数据!E:E,"&gt;=2015-1-1")</f>
        <v>0</v>
      </c>
      <c r="H50" s="52">
        <f t="shared" si="3"/>
        <v>0</v>
      </c>
      <c r="I50" s="54">
        <f>SUMIFS(卡片数据!I:I,卡片数据!$B:$B,"制造及检修维护设备",卡片数据!E:E,"&lt;2015-1-1")</f>
        <v>0</v>
      </c>
      <c r="J50" s="54">
        <f>SUMIFS(卡片数据!I:I,卡片数据!$B:$B,"制造及检修维护设备",卡片数据!E:E,"&gt;=2015-1-1")</f>
        <v>0</v>
      </c>
      <c r="K50" s="52">
        <f t="shared" si="4"/>
        <v>0</v>
      </c>
      <c r="L50" s="54">
        <f>SUMIFS(卡片数据!L:L,卡片数据!$B:$B,"制造及检修维护设备",卡片数据!E:E,"&lt;2015-1-1")</f>
        <v>0</v>
      </c>
      <c r="M50" s="54">
        <f>SUMIFS(卡片数据!L:L,卡片数据!$B:$B,"制造及检修维护设备",卡片数据!E:E,"&gt;=2015-1-1")</f>
        <v>0</v>
      </c>
      <c r="N50" s="52">
        <f t="shared" si="5"/>
        <v>0</v>
      </c>
      <c r="O50" s="54">
        <f>SUMIFS(卡片数据!M:M,卡片数据!$B:$B,"制造及检修维护设备",卡片数据!E:E,"&lt;2015-1-1")</f>
        <v>0</v>
      </c>
      <c r="P50" s="54">
        <f>SUMIFS(卡片数据!M:M,卡片数据!$B:$B,"制造及检修维护设备",卡片数据!E:E,"&gt;=2015-1-1")</f>
        <v>0</v>
      </c>
      <c r="Q50" s="52">
        <f t="shared" si="6"/>
        <v>0</v>
      </c>
      <c r="R50" s="54">
        <f t="shared" si="35"/>
        <v>0</v>
      </c>
      <c r="S50" s="54">
        <f t="shared" si="36"/>
        <v>0</v>
      </c>
      <c r="T50" s="52">
        <f t="shared" si="9"/>
        <v>0</v>
      </c>
      <c r="U50" s="54">
        <f t="shared" si="37"/>
        <v>0</v>
      </c>
      <c r="V50" s="54">
        <f t="shared" si="38"/>
        <v>0</v>
      </c>
    </row>
    <row r="51" spans="1:22" x14ac:dyDescent="0.15">
      <c r="A51" s="60" t="s">
        <v>41</v>
      </c>
      <c r="B51" s="50">
        <f t="shared" si="0"/>
        <v>0</v>
      </c>
      <c r="C51" s="54">
        <f>SUMIFS(卡片数据!G:G,卡片数据!$B:$B,"生产管理用工器具",卡片数据!E:E,"&lt;2015-1-1")</f>
        <v>0</v>
      </c>
      <c r="D51" s="54">
        <f>SUMIFS(卡片数据!G:G,卡片数据!$B:$B,"生产管理用工器具",卡片数据!E:E,"&gt;=2015-1-1")</f>
        <v>0</v>
      </c>
      <c r="E51" s="50">
        <f t="shared" si="2"/>
        <v>0</v>
      </c>
      <c r="F51" s="54">
        <f>SUMIFS(卡片数据!J:J,卡片数据!$B:$B,"生产管理用工器具",卡片数据!E:E,"&lt;2015-1-1")</f>
        <v>0</v>
      </c>
      <c r="G51" s="54">
        <f>SUMIFS(卡片数据!J:J,卡片数据!$B:$B,"生产管理用工器具",卡片数据!E:E,"&gt;=2015-1-1")</f>
        <v>0</v>
      </c>
      <c r="H51" s="52">
        <f t="shared" si="3"/>
        <v>0</v>
      </c>
      <c r="I51" s="54">
        <f>SUMIFS(卡片数据!I:I,卡片数据!$B:$B,"生产管理用工器具",卡片数据!E:E,"&lt;2015-1-1")</f>
        <v>0</v>
      </c>
      <c r="J51" s="54">
        <f>SUMIFS(卡片数据!I:I,卡片数据!$B:$B,"生产管理用工器具",卡片数据!E:E,"&gt;=2015-1-1")</f>
        <v>0</v>
      </c>
      <c r="K51" s="52">
        <f t="shared" si="4"/>
        <v>0</v>
      </c>
      <c r="L51" s="54">
        <f>SUMIFS(卡片数据!L:L,卡片数据!$B:$B,"生产管理用工器具",卡片数据!E:E,"&lt;2015-1-1")</f>
        <v>0</v>
      </c>
      <c r="M51" s="54">
        <f>SUMIFS(卡片数据!L:L,卡片数据!$B:$B,"生产管理用工器具",卡片数据!E:E,"&gt;=2015-1-1")</f>
        <v>0</v>
      </c>
      <c r="N51" s="52">
        <f t="shared" si="5"/>
        <v>0</v>
      </c>
      <c r="O51" s="54">
        <f>SUMIFS(卡片数据!M:M,卡片数据!$B:$B,"生产管理用工器具",卡片数据!E:E,"&lt;2015-1-1")</f>
        <v>0</v>
      </c>
      <c r="P51" s="54">
        <f>SUMIFS(卡片数据!M:M,卡片数据!$B:$B,"生产管理用工器具",卡片数据!E:E,"&gt;=2015-1-1")</f>
        <v>0</v>
      </c>
      <c r="Q51" s="52">
        <f t="shared" si="6"/>
        <v>0</v>
      </c>
      <c r="R51" s="54">
        <f t="shared" si="35"/>
        <v>0</v>
      </c>
      <c r="S51" s="54">
        <f t="shared" si="36"/>
        <v>0</v>
      </c>
      <c r="T51" s="52">
        <f t="shared" si="9"/>
        <v>0</v>
      </c>
      <c r="U51" s="54">
        <f t="shared" si="37"/>
        <v>0</v>
      </c>
      <c r="V51" s="54">
        <f t="shared" si="38"/>
        <v>0</v>
      </c>
    </row>
    <row r="52" spans="1:22" x14ac:dyDescent="0.15">
      <c r="A52" s="56" t="s">
        <v>42</v>
      </c>
      <c r="B52" s="50">
        <f t="shared" si="0"/>
        <v>0</v>
      </c>
      <c r="C52" s="51">
        <f>SUM(C53:C57)</f>
        <v>0</v>
      </c>
      <c r="D52" s="51">
        <f t="shared" ref="D52:G52" si="39">SUM(D53:D57)</f>
        <v>0</v>
      </c>
      <c r="E52" s="50">
        <f t="shared" si="2"/>
        <v>0</v>
      </c>
      <c r="F52" s="51">
        <f t="shared" si="39"/>
        <v>0</v>
      </c>
      <c r="G52" s="51">
        <f t="shared" si="39"/>
        <v>0</v>
      </c>
      <c r="H52" s="52">
        <f t="shared" si="3"/>
        <v>0</v>
      </c>
      <c r="I52" s="51">
        <f t="shared" ref="I52" si="40">SUM(I53:I57)</f>
        <v>0</v>
      </c>
      <c r="J52" s="51">
        <f t="shared" ref="J52" si="41">SUM(J53:J57)</f>
        <v>0</v>
      </c>
      <c r="K52" s="52">
        <f t="shared" si="4"/>
        <v>0</v>
      </c>
      <c r="L52" s="51">
        <f t="shared" ref="L52" si="42">SUM(L53:L57)</f>
        <v>0</v>
      </c>
      <c r="M52" s="51">
        <f t="shared" ref="M52" si="43">SUM(M53:M57)</f>
        <v>0</v>
      </c>
      <c r="N52" s="52">
        <f t="shared" si="5"/>
        <v>0</v>
      </c>
      <c r="O52" s="51">
        <f t="shared" ref="O52" si="44">SUM(O53:O57)</f>
        <v>0</v>
      </c>
      <c r="P52" s="51">
        <f t="shared" ref="P52" si="45">SUM(P53:P57)</f>
        <v>0</v>
      </c>
      <c r="Q52" s="52">
        <f t="shared" si="6"/>
        <v>0</v>
      </c>
      <c r="R52" s="51">
        <f t="shared" ref="R52" si="46">SUM(R53:R57)</f>
        <v>0</v>
      </c>
      <c r="S52" s="51">
        <f t="shared" ref="S52" si="47">SUM(S53:S57)</f>
        <v>0</v>
      </c>
      <c r="T52" s="52">
        <f t="shared" si="9"/>
        <v>0</v>
      </c>
      <c r="U52" s="51">
        <f t="shared" ref="U52" si="48">SUM(U53:U57)</f>
        <v>0</v>
      </c>
      <c r="V52" s="51">
        <f t="shared" ref="V52" si="49">SUM(V53:V57)</f>
        <v>0</v>
      </c>
    </row>
    <row r="53" spans="1:22" x14ac:dyDescent="0.15">
      <c r="A53" s="60" t="s">
        <v>83</v>
      </c>
      <c r="B53" s="50">
        <f t="shared" si="0"/>
        <v>0</v>
      </c>
      <c r="C53" s="54">
        <f>SUMIFS(卡片数据!G:G,卡片数据!$A:$A,"2501*",卡片数据!E:E,"&lt;2015-1-1")</f>
        <v>0</v>
      </c>
      <c r="D53" s="54">
        <f>SUMIFS(卡片数据!G:G,卡片数据!$A:$A,"2501*",卡片数据!E:E,"&gt;=2015-1-1")</f>
        <v>0</v>
      </c>
      <c r="E53" s="50">
        <f t="shared" si="2"/>
        <v>0</v>
      </c>
      <c r="F53" s="54">
        <f>SUMIFS(卡片数据!J:J,卡片数据!$A:$A,"2501*",卡片数据!E:E,"&lt;2015-1-1")</f>
        <v>0</v>
      </c>
      <c r="G53" s="54">
        <f>SUMIFS(卡片数据!J:J,卡片数据!$A:$A,"2501*",卡片数据!E:E,"&gt;=2015-1-1")</f>
        <v>0</v>
      </c>
      <c r="H53" s="52">
        <f t="shared" si="3"/>
        <v>0</v>
      </c>
      <c r="I53" s="54">
        <f>SUMIFS(卡片数据!I:I,卡片数据!$A:$A,"2501*",卡片数据!E:E,"&lt;2015-1-1")</f>
        <v>0</v>
      </c>
      <c r="J53" s="54">
        <f>SUMIFS(卡片数据!I:I,卡片数据!$A:$A,"2501*",卡片数据!E:E,"&gt;=2015-1-1")</f>
        <v>0</v>
      </c>
      <c r="K53" s="52">
        <f t="shared" si="4"/>
        <v>0</v>
      </c>
      <c r="L53" s="54">
        <f>SUMIFS(卡片数据!L:L,卡片数据!$A:$A,"2501*",卡片数据!E:E,"&lt;2015-1-1")</f>
        <v>0</v>
      </c>
      <c r="M53" s="54">
        <f>SUMIFS(卡片数据!L:L,卡片数据!$A:$A,"2501*",卡片数据!E:E,"&gt;=2015-1-1")</f>
        <v>0</v>
      </c>
      <c r="N53" s="52">
        <f t="shared" si="5"/>
        <v>0</v>
      </c>
      <c r="O53" s="54">
        <f>SUMIFS(卡片数据!M:M,卡片数据!$A:$A,"2501*",卡片数据!E:E,"&lt;2015-1-1")</f>
        <v>0</v>
      </c>
      <c r="P53" s="54">
        <f>SUMIFS(卡片数据!M:M,卡片数据!$A:$A,"2501*",卡片数据!E:E,"&gt;=2015-1-1")</f>
        <v>0</v>
      </c>
      <c r="Q53" s="52">
        <f t="shared" si="6"/>
        <v>0</v>
      </c>
      <c r="R53" s="54">
        <f t="shared" ref="R53:R61" si="50">C53-I53</f>
        <v>0</v>
      </c>
      <c r="S53" s="54">
        <f t="shared" ref="S53:S61" si="51">D53-J53</f>
        <v>0</v>
      </c>
      <c r="T53" s="52">
        <f t="shared" si="9"/>
        <v>0</v>
      </c>
      <c r="U53" s="54">
        <f t="shared" ref="U53:U61" si="52">F53-L53</f>
        <v>0</v>
      </c>
      <c r="V53" s="54">
        <f t="shared" ref="V53:V61" si="53">G53-M53</f>
        <v>0</v>
      </c>
    </row>
    <row r="54" spans="1:22" x14ac:dyDescent="0.15">
      <c r="A54" s="60" t="s">
        <v>84</v>
      </c>
      <c r="B54" s="50">
        <f t="shared" si="0"/>
        <v>0</v>
      </c>
      <c r="C54" s="54">
        <f>SUMIFS(卡片数据!G:G,卡片数据!$A:$A,"2502*",卡片数据!E:E,"&lt;2015-1-1")</f>
        <v>0</v>
      </c>
      <c r="D54" s="54">
        <f>SUMIFS(卡片数据!G:G,卡片数据!$A:$A,"2502*",卡片数据!E:E,"&gt;=2015-1-1")</f>
        <v>0</v>
      </c>
      <c r="E54" s="50">
        <f t="shared" si="2"/>
        <v>0</v>
      </c>
      <c r="F54" s="54">
        <f>SUMIFS(卡片数据!J:J,卡片数据!$A:$A,"2502*",卡片数据!E:E,"&lt;2015-1-1")</f>
        <v>0</v>
      </c>
      <c r="G54" s="54">
        <f>SUMIFS(卡片数据!J:J,卡片数据!$A:$A,"2502*",卡片数据!E:E,"&gt;=2015-1-1")</f>
        <v>0</v>
      </c>
      <c r="H54" s="52">
        <f t="shared" si="3"/>
        <v>0</v>
      </c>
      <c r="I54" s="54">
        <f>SUMIFS(卡片数据!I:I,卡片数据!$A:$A,"2502*",卡片数据!E:E,"&lt;2015-1-1")</f>
        <v>0</v>
      </c>
      <c r="J54" s="54">
        <f>SUMIFS(卡片数据!I:I,卡片数据!$A:$A,"2502*",卡片数据!E:E,"&gt;=2015-1-1")</f>
        <v>0</v>
      </c>
      <c r="K54" s="52">
        <f t="shared" si="4"/>
        <v>0</v>
      </c>
      <c r="L54" s="54">
        <f>SUMIFS(卡片数据!L:L,卡片数据!$A:$A,"2502*",卡片数据!E:E,"&lt;2015-1-1")</f>
        <v>0</v>
      </c>
      <c r="M54" s="54">
        <f>SUMIFS(卡片数据!L:L,卡片数据!$A:$A,"2502*",卡片数据!E:E,"&gt;=2015-1-1")</f>
        <v>0</v>
      </c>
      <c r="N54" s="52">
        <f t="shared" si="5"/>
        <v>0</v>
      </c>
      <c r="O54" s="54">
        <f>SUMIFS(卡片数据!M:M,卡片数据!$A:$A,"2502*",卡片数据!E:E,"&lt;2015-1-1")</f>
        <v>0</v>
      </c>
      <c r="P54" s="54">
        <f>SUMIFS(卡片数据!M:M,卡片数据!$A:$A,"2502*",卡片数据!E:E,"&gt;=2015-1-1")</f>
        <v>0</v>
      </c>
      <c r="Q54" s="52">
        <f t="shared" si="6"/>
        <v>0</v>
      </c>
      <c r="R54" s="54">
        <f t="shared" si="50"/>
        <v>0</v>
      </c>
      <c r="S54" s="54">
        <f t="shared" si="51"/>
        <v>0</v>
      </c>
      <c r="T54" s="52">
        <f t="shared" si="9"/>
        <v>0</v>
      </c>
      <c r="U54" s="54">
        <f t="shared" si="52"/>
        <v>0</v>
      </c>
      <c r="V54" s="54">
        <f t="shared" si="53"/>
        <v>0</v>
      </c>
    </row>
    <row r="55" spans="1:22" x14ac:dyDescent="0.15">
      <c r="A55" s="60" t="s">
        <v>85</v>
      </c>
      <c r="B55" s="50">
        <f t="shared" si="0"/>
        <v>0</v>
      </c>
      <c r="C55" s="54">
        <f>SUMIFS(卡片数据!G:G,卡片数据!$A:$A,"2503*",卡片数据!E:E,"&lt;2015-1-1")</f>
        <v>0</v>
      </c>
      <c r="D55" s="54">
        <f>SUMIFS(卡片数据!G:G,卡片数据!$A:$A,"2503*",卡片数据!E:E,"&gt;=2015-1-1")</f>
        <v>0</v>
      </c>
      <c r="E55" s="50">
        <f t="shared" si="2"/>
        <v>0</v>
      </c>
      <c r="F55" s="54">
        <f>SUMIFS(卡片数据!J:J,卡片数据!$A:$A,"2503*",卡片数据!E:E,"&lt;2015-1-1")</f>
        <v>0</v>
      </c>
      <c r="G55" s="54">
        <f>SUMIFS(卡片数据!J:J,卡片数据!$A:$A,"2503*",卡片数据!E:E,"&gt;=2015-1-1")</f>
        <v>0</v>
      </c>
      <c r="H55" s="52">
        <f t="shared" si="3"/>
        <v>0</v>
      </c>
      <c r="I55" s="54">
        <f>SUMIFS(卡片数据!I:I,卡片数据!$A:$A,"2503*",卡片数据!E:E,"&lt;2015-1-1")</f>
        <v>0</v>
      </c>
      <c r="J55" s="54">
        <f>SUMIFS(卡片数据!I:I,卡片数据!$A:$A,"2503*",卡片数据!E:E,"&gt;=2015-1-1")</f>
        <v>0</v>
      </c>
      <c r="K55" s="52">
        <f t="shared" si="4"/>
        <v>0</v>
      </c>
      <c r="L55" s="54">
        <f>SUMIFS(卡片数据!L:L,卡片数据!$A:$A,"2503*",卡片数据!E:E,"&lt;2015-1-1")</f>
        <v>0</v>
      </c>
      <c r="M55" s="54">
        <f>SUMIFS(卡片数据!L:L,卡片数据!$A:$A,"2503*",卡片数据!E:E,"&gt;=2015-1-1")</f>
        <v>0</v>
      </c>
      <c r="N55" s="52">
        <f t="shared" si="5"/>
        <v>0</v>
      </c>
      <c r="O55" s="54">
        <f>SUMIFS(卡片数据!M:M,卡片数据!$A:$A,"2503*",卡片数据!E:E,"&lt;2015-1-1")</f>
        <v>0</v>
      </c>
      <c r="P55" s="54">
        <f>SUMIFS(卡片数据!M:M,卡片数据!$A:$A,"2503*",卡片数据!E:E,"&gt;=2015-1-1")</f>
        <v>0</v>
      </c>
      <c r="Q55" s="52">
        <f t="shared" si="6"/>
        <v>0</v>
      </c>
      <c r="R55" s="54">
        <f t="shared" si="50"/>
        <v>0</v>
      </c>
      <c r="S55" s="54">
        <f t="shared" si="51"/>
        <v>0</v>
      </c>
      <c r="T55" s="52">
        <f t="shared" si="9"/>
        <v>0</v>
      </c>
      <c r="U55" s="54">
        <f t="shared" si="52"/>
        <v>0</v>
      </c>
      <c r="V55" s="54">
        <f t="shared" si="53"/>
        <v>0</v>
      </c>
    </row>
    <row r="56" spans="1:22" x14ac:dyDescent="0.15">
      <c r="A56" s="60" t="s">
        <v>86</v>
      </c>
      <c r="B56" s="50">
        <f t="shared" si="0"/>
        <v>0</v>
      </c>
      <c r="C56" s="54">
        <f>SUMIFS(卡片数据!G:G,卡片数据!$A:$A,"2504*",卡片数据!E:E,"&lt;2015-1-1")</f>
        <v>0</v>
      </c>
      <c r="D56" s="54">
        <f>SUMIFS(卡片数据!G:G,卡片数据!$A:$A,"2504*",卡片数据!E:E,"&gt;=2015-1-1")</f>
        <v>0</v>
      </c>
      <c r="E56" s="50">
        <f t="shared" si="2"/>
        <v>0</v>
      </c>
      <c r="F56" s="54">
        <f>SUMIFS(卡片数据!J:J,卡片数据!$A:$A,"2504*",卡片数据!E:E,"&lt;2015-1-1")</f>
        <v>0</v>
      </c>
      <c r="G56" s="54">
        <f>SUMIFS(卡片数据!J:J,卡片数据!$A:$A,"2504*",卡片数据!E:E,"&gt;=2015-1-1")</f>
        <v>0</v>
      </c>
      <c r="H56" s="52">
        <f t="shared" si="3"/>
        <v>0</v>
      </c>
      <c r="I56" s="54">
        <f>SUMIFS(卡片数据!I:I,卡片数据!$A:$A,"2504*",卡片数据!E:E,"&lt;2015-1-1")</f>
        <v>0</v>
      </c>
      <c r="J56" s="54">
        <f>SUMIFS(卡片数据!I:I,卡片数据!$A:$A,"2504*",卡片数据!E:E,"&gt;=2015-1-1")</f>
        <v>0</v>
      </c>
      <c r="K56" s="52">
        <f t="shared" si="4"/>
        <v>0</v>
      </c>
      <c r="L56" s="54">
        <f>SUMIFS(卡片数据!L:L,卡片数据!$A:$A,"2504*",卡片数据!E:E,"&lt;2015-1-1")</f>
        <v>0</v>
      </c>
      <c r="M56" s="54">
        <f>SUMIFS(卡片数据!L:L,卡片数据!$A:$A,"2504*",卡片数据!E:E,"&gt;=2015-1-1")</f>
        <v>0</v>
      </c>
      <c r="N56" s="52">
        <f t="shared" si="5"/>
        <v>0</v>
      </c>
      <c r="O56" s="54">
        <f>SUMIFS(卡片数据!M:M,卡片数据!$A:$A,"2504*",卡片数据!E:E,"&lt;2015-1-1")</f>
        <v>0</v>
      </c>
      <c r="P56" s="54">
        <f>SUMIFS(卡片数据!M:M,卡片数据!$A:$A,"2504*",卡片数据!E:E,"&gt;=2015-1-1")</f>
        <v>0</v>
      </c>
      <c r="Q56" s="52">
        <f t="shared" si="6"/>
        <v>0</v>
      </c>
      <c r="R56" s="54">
        <f t="shared" si="50"/>
        <v>0</v>
      </c>
      <c r="S56" s="54">
        <f t="shared" si="51"/>
        <v>0</v>
      </c>
      <c r="T56" s="52">
        <f t="shared" si="9"/>
        <v>0</v>
      </c>
      <c r="U56" s="54">
        <f t="shared" si="52"/>
        <v>0</v>
      </c>
      <c r="V56" s="54">
        <f t="shared" si="53"/>
        <v>0</v>
      </c>
    </row>
    <row r="57" spans="1:22" x14ac:dyDescent="0.15">
      <c r="A57" s="60" t="s">
        <v>87</v>
      </c>
      <c r="B57" s="50">
        <f t="shared" si="0"/>
        <v>0</v>
      </c>
      <c r="C57" s="54">
        <f>SUMIFS(卡片数据!G:G,卡片数据!$A:$A,"2599*",卡片数据!E:E,"&lt;2015-1-1")</f>
        <v>0</v>
      </c>
      <c r="D57" s="54">
        <f>SUMIFS(卡片数据!G:G,卡片数据!$A:$A,"2599*",卡片数据!E:E,"&gt;=2015-1-1")</f>
        <v>0</v>
      </c>
      <c r="E57" s="50">
        <f t="shared" si="2"/>
        <v>0</v>
      </c>
      <c r="F57" s="54">
        <f>SUMIFS(卡片数据!J:J,卡片数据!$A:$A,"2599*",卡片数据!E:E,"&lt;2015-1-1")</f>
        <v>0</v>
      </c>
      <c r="G57" s="54">
        <f>SUMIFS(卡片数据!J:J,卡片数据!$A:$A,"2599*",卡片数据!E:E,"&gt;=2015-1-1")</f>
        <v>0</v>
      </c>
      <c r="H57" s="52">
        <f t="shared" si="3"/>
        <v>0</v>
      </c>
      <c r="I57" s="54">
        <f>SUMIFS(卡片数据!I:I,卡片数据!$A:$A,"2599*",卡片数据!E:E,"&lt;2015-1-1")</f>
        <v>0</v>
      </c>
      <c r="J57" s="54">
        <f>SUMIFS(卡片数据!I:I,卡片数据!$A:$A,"2599*",卡片数据!E:E,"&gt;=2015-1-1")</f>
        <v>0</v>
      </c>
      <c r="K57" s="52">
        <f t="shared" si="4"/>
        <v>0</v>
      </c>
      <c r="L57" s="54">
        <f>SUMIFS(卡片数据!L:L,卡片数据!$A:$A,"2599*",卡片数据!E:E,"&lt;2015-1-1")</f>
        <v>0</v>
      </c>
      <c r="M57" s="54">
        <f>SUMIFS(卡片数据!L:L,卡片数据!$A:$A,"2599*",卡片数据!E:E,"&gt;=2015-1-1")</f>
        <v>0</v>
      </c>
      <c r="N57" s="52">
        <f t="shared" si="5"/>
        <v>0</v>
      </c>
      <c r="O57" s="54">
        <f>SUMIFS(卡片数据!M:M,卡片数据!$A:$A,"2599*",卡片数据!E:E,"&lt;2015-1-1")</f>
        <v>0</v>
      </c>
      <c r="P57" s="54">
        <f>SUMIFS(卡片数据!M:M,卡片数据!$A:$A,"2599*",卡片数据!E:E,"&gt;=2015-1-1")</f>
        <v>0</v>
      </c>
      <c r="Q57" s="52">
        <f t="shared" si="6"/>
        <v>0</v>
      </c>
      <c r="R57" s="54">
        <f t="shared" si="50"/>
        <v>0</v>
      </c>
      <c r="S57" s="54">
        <f t="shared" si="51"/>
        <v>0</v>
      </c>
      <c r="T57" s="52">
        <f t="shared" si="9"/>
        <v>0</v>
      </c>
      <c r="U57" s="54">
        <f t="shared" si="52"/>
        <v>0</v>
      </c>
      <c r="V57" s="54">
        <f t="shared" si="53"/>
        <v>0</v>
      </c>
    </row>
    <row r="58" spans="1:22" s="44" customFormat="1" x14ac:dyDescent="0.15">
      <c r="A58" s="62" t="s">
        <v>43</v>
      </c>
      <c r="B58" s="50">
        <f t="shared" si="0"/>
        <v>0</v>
      </c>
      <c r="C58" s="63">
        <f>SUMIFS(卡片数据!G:G,卡片数据!$B:$B,"辅助生产用设备及器具",卡片数据!E:E,"&lt;2015-1-1")</f>
        <v>0</v>
      </c>
      <c r="D58" s="63">
        <f>SUMIFS(卡片数据!G:G,卡片数据!$B:$B,"辅助生产用设备及器具",卡片数据!E:E,"&gt;=2015-1-1")</f>
        <v>0</v>
      </c>
      <c r="E58" s="50">
        <f t="shared" si="2"/>
        <v>0</v>
      </c>
      <c r="F58" s="63">
        <f>SUMIFS(卡片数据!J:J,卡片数据!$B:$B,"辅助生产用设备及器具",卡片数据!E:E,"&lt;2015-1-1")</f>
        <v>0</v>
      </c>
      <c r="G58" s="63">
        <f>SUMIFS(卡片数据!J:J,卡片数据!$B:$B,"辅助生产用设备及器具",卡片数据!E:E,"&gt;=2015-1-1")</f>
        <v>0</v>
      </c>
      <c r="H58" s="52">
        <f t="shared" si="3"/>
        <v>0</v>
      </c>
      <c r="I58" s="63">
        <f>SUMIFS(卡片数据!I:I,卡片数据!$B:$B,"辅助生产用设备及器具",卡片数据!E:E,"&lt;2015-1-1")</f>
        <v>0</v>
      </c>
      <c r="J58" s="63">
        <f>SUMIFS(卡片数据!I:I,卡片数据!$B:$B,"辅助生产用设备及器具",卡片数据!E:E,"&gt;=2015-1-1")</f>
        <v>0</v>
      </c>
      <c r="K58" s="52">
        <f t="shared" si="4"/>
        <v>0</v>
      </c>
      <c r="L58" s="63">
        <f>SUMIFS(卡片数据!L:L,卡片数据!$B:$B,"辅助生产用设备及器具",卡片数据!E:E,"&lt;2015-1-1")</f>
        <v>0</v>
      </c>
      <c r="M58" s="63">
        <f>SUMIFS(卡片数据!L:L,卡片数据!$B:$B,"辅助生产用设备及器具",卡片数据!E:E,"&gt;=2015-1-1")</f>
        <v>0</v>
      </c>
      <c r="N58" s="52">
        <f t="shared" si="5"/>
        <v>0</v>
      </c>
      <c r="O58" s="63">
        <f>SUMIFS(卡片数据!M:M,卡片数据!$B:$B,"辅助生产用设备及器具",卡片数据!E:E,"&lt;2015-1-1")</f>
        <v>0</v>
      </c>
      <c r="P58" s="63">
        <f>SUMIFS(卡片数据!M:M,卡片数据!$B:$B,"辅助生产用设备及器具",卡片数据!E:E,"&gt;=2015-1-1")</f>
        <v>0</v>
      </c>
      <c r="Q58" s="52">
        <f t="shared" si="6"/>
        <v>0</v>
      </c>
      <c r="R58" s="63">
        <f t="shared" si="50"/>
        <v>0</v>
      </c>
      <c r="S58" s="63">
        <f t="shared" si="51"/>
        <v>0</v>
      </c>
      <c r="T58" s="52">
        <f t="shared" si="9"/>
        <v>0</v>
      </c>
      <c r="U58" s="63">
        <f t="shared" si="52"/>
        <v>0</v>
      </c>
      <c r="V58" s="63">
        <f t="shared" si="53"/>
        <v>0</v>
      </c>
    </row>
    <row r="59" spans="1:22" x14ac:dyDescent="0.15">
      <c r="A59" s="60" t="s">
        <v>44</v>
      </c>
      <c r="B59" s="50">
        <f t="shared" si="0"/>
        <v>0</v>
      </c>
      <c r="C59" s="54">
        <f>SUMIFS(卡片数据!G:G,卡片数据!$B:$B,"房屋",卡片数据!E:E,"&lt;2015-1-1")</f>
        <v>0</v>
      </c>
      <c r="D59" s="54">
        <f>SUMIFS(卡片数据!G:G,卡片数据!$B:$B,"房屋",卡片数据!E:E,"&gt;=2015-1-1")</f>
        <v>0</v>
      </c>
      <c r="E59" s="50">
        <f t="shared" si="2"/>
        <v>0</v>
      </c>
      <c r="F59" s="54">
        <f>SUMIFS(卡片数据!J:J,卡片数据!$B:$B,"房屋",卡片数据!E:E,"&lt;2015-1-1")</f>
        <v>0</v>
      </c>
      <c r="G59" s="54">
        <f>SUMIFS(卡片数据!J:J,卡片数据!$B:$B,"房屋",卡片数据!E:E,"&gt;=2015-1-1")</f>
        <v>0</v>
      </c>
      <c r="H59" s="52">
        <f t="shared" si="3"/>
        <v>0</v>
      </c>
      <c r="I59" s="54">
        <f>SUMIFS(卡片数据!I:I,卡片数据!$B:$B,"房屋",卡片数据!E:E,"&lt;2015-1-1")</f>
        <v>0</v>
      </c>
      <c r="J59" s="54">
        <f>SUMIFS(卡片数据!I:I,卡片数据!$B:$B,"房屋",卡片数据!E:E,"&gt;=2015-1-1")</f>
        <v>0</v>
      </c>
      <c r="K59" s="52">
        <f t="shared" si="4"/>
        <v>0</v>
      </c>
      <c r="L59" s="54">
        <f>SUMIFS(卡片数据!L:L,卡片数据!$B:$B,"房屋",卡片数据!E:E,"&lt;2015-1-1")</f>
        <v>0</v>
      </c>
      <c r="M59" s="54">
        <f>SUMIFS(卡片数据!L:L,卡片数据!$B:$B,"房屋",卡片数据!E:E,"&gt;=2015-1-1")</f>
        <v>0</v>
      </c>
      <c r="N59" s="52">
        <f t="shared" si="5"/>
        <v>0</v>
      </c>
      <c r="O59" s="54">
        <f>SUMIFS(卡片数据!M:M,卡片数据!$B:$B,"房屋",卡片数据!E:E,"&lt;2015-1-1")</f>
        <v>0</v>
      </c>
      <c r="P59" s="54">
        <f>SUMIFS(卡片数据!M:M,卡片数据!$B:$B,"房屋",卡片数据!E:E,"&gt;=2015-1-1")</f>
        <v>0</v>
      </c>
      <c r="Q59" s="52">
        <f t="shared" si="6"/>
        <v>0</v>
      </c>
      <c r="R59" s="54">
        <f t="shared" si="50"/>
        <v>0</v>
      </c>
      <c r="S59" s="54">
        <f t="shared" si="51"/>
        <v>0</v>
      </c>
      <c r="T59" s="52">
        <f t="shared" si="9"/>
        <v>0</v>
      </c>
      <c r="U59" s="54">
        <f t="shared" si="52"/>
        <v>0</v>
      </c>
      <c r="V59" s="54">
        <f t="shared" si="53"/>
        <v>0</v>
      </c>
    </row>
    <row r="60" spans="1:22" x14ac:dyDescent="0.15">
      <c r="A60" s="60" t="s">
        <v>45</v>
      </c>
      <c r="B60" s="50">
        <f t="shared" si="0"/>
        <v>0</v>
      </c>
      <c r="C60" s="54">
        <f>SUMIFS(卡片数据!G:G,卡片数据!$B:$B,"建筑物",卡片数据!E:E,"&lt;2015-1-1")</f>
        <v>0</v>
      </c>
      <c r="D60" s="54">
        <f>SUMIFS(卡片数据!G:G,卡片数据!$B:$B,"建筑物",卡片数据!E:E,"&gt;=2015-1-1")</f>
        <v>0</v>
      </c>
      <c r="E60" s="50">
        <f t="shared" si="2"/>
        <v>0</v>
      </c>
      <c r="F60" s="54">
        <f>SUMIFS(卡片数据!J:J,卡片数据!$B:$B,"建筑物",卡片数据!E:E,"&lt;2015-1-1")</f>
        <v>0</v>
      </c>
      <c r="G60" s="54">
        <f>SUMIFS(卡片数据!J:J,卡片数据!$B:$B,"建筑物",卡片数据!E:E,"&gt;=2015-1-1")</f>
        <v>0</v>
      </c>
      <c r="H60" s="52">
        <f t="shared" si="3"/>
        <v>0</v>
      </c>
      <c r="I60" s="54">
        <f>SUMIFS(卡片数据!I:I,卡片数据!$B:$B,"建筑物",卡片数据!E:E,"&lt;2015-1-1")</f>
        <v>0</v>
      </c>
      <c r="J60" s="54">
        <f>SUMIFS(卡片数据!I:I,卡片数据!$B:$B,"建筑物",卡片数据!E:E,"&gt;=2015-1-1")</f>
        <v>0</v>
      </c>
      <c r="K60" s="52">
        <f t="shared" si="4"/>
        <v>0</v>
      </c>
      <c r="L60" s="54">
        <f>SUMIFS(卡片数据!L:L,卡片数据!$B:$B,"建筑物",卡片数据!E:E,"&lt;2015-1-1")</f>
        <v>0</v>
      </c>
      <c r="M60" s="54">
        <f>SUMIFS(卡片数据!L:L,卡片数据!$B:$B,"建筑物",卡片数据!E:E,"&gt;=2015-1-1")</f>
        <v>0</v>
      </c>
      <c r="N60" s="52">
        <f t="shared" si="5"/>
        <v>0</v>
      </c>
      <c r="O60" s="54">
        <f>SUMIFS(卡片数据!M:M,卡片数据!$B:$B,"建筑物",卡片数据!E:E,"&lt;2015-1-1")</f>
        <v>0</v>
      </c>
      <c r="P60" s="54">
        <f>SUMIFS(卡片数据!M:M,卡片数据!$B:$B,"建筑物",卡片数据!E:E,"&gt;=2015-1-1")</f>
        <v>0</v>
      </c>
      <c r="Q60" s="52">
        <f t="shared" si="6"/>
        <v>0</v>
      </c>
      <c r="R60" s="54">
        <f t="shared" si="50"/>
        <v>0</v>
      </c>
      <c r="S60" s="54">
        <f t="shared" si="51"/>
        <v>0</v>
      </c>
      <c r="T60" s="52">
        <f t="shared" si="9"/>
        <v>0</v>
      </c>
      <c r="U60" s="54">
        <f t="shared" si="52"/>
        <v>0</v>
      </c>
      <c r="V60" s="54">
        <f t="shared" si="53"/>
        <v>0</v>
      </c>
    </row>
    <row r="61" spans="1:22" x14ac:dyDescent="0.15">
      <c r="A61" s="60" t="s">
        <v>46</v>
      </c>
      <c r="B61" s="50">
        <f t="shared" si="0"/>
        <v>0</v>
      </c>
      <c r="C61" s="54">
        <f>SUMIFS(卡片数据!G:G,卡片数据!$B:$B,"土地",卡片数据!E:E,"&lt;2015-1-1")</f>
        <v>0</v>
      </c>
      <c r="D61" s="54">
        <f>SUMIFS(卡片数据!G:G,卡片数据!$B:$B,"土地",卡片数据!E:E,"&gt;=2015-1-1")</f>
        <v>0</v>
      </c>
      <c r="E61" s="50">
        <f t="shared" si="2"/>
        <v>0</v>
      </c>
      <c r="F61" s="54">
        <f>SUMIFS(卡片数据!J:J,卡片数据!$B:$B,"土地",卡片数据!E:E,"&lt;2015-1-1")</f>
        <v>0</v>
      </c>
      <c r="G61" s="54">
        <f>SUMIFS(卡片数据!J:J,卡片数据!$B:$B,"土地",卡片数据!E:E,"&gt;=2015-1-1")</f>
        <v>0</v>
      </c>
      <c r="H61" s="52">
        <f t="shared" si="3"/>
        <v>0</v>
      </c>
      <c r="I61" s="54">
        <f>SUMIFS(卡片数据!I:I,卡片数据!$B:$B,"土地",卡片数据!E:E,"&lt;2015-1-1")</f>
        <v>0</v>
      </c>
      <c r="J61" s="54">
        <f>SUMIFS(卡片数据!I:I,卡片数据!$B:$B,"土地",卡片数据!E:E,"&gt;=2015-1-1")</f>
        <v>0</v>
      </c>
      <c r="K61" s="52">
        <f t="shared" si="4"/>
        <v>0</v>
      </c>
      <c r="L61" s="54">
        <f>SUMIFS(卡片数据!L:L,卡片数据!$B:$B,"土地",卡片数据!E:E,"&lt;2015-1-1")</f>
        <v>0</v>
      </c>
      <c r="M61" s="54">
        <f>SUMIFS(卡片数据!L:L,卡片数据!$B:$B,"土地",卡片数据!E:E,"&gt;=2015-1-1")</f>
        <v>0</v>
      </c>
      <c r="N61" s="52">
        <f t="shared" si="5"/>
        <v>0</v>
      </c>
      <c r="O61" s="54">
        <f>SUMIFS(卡片数据!M:M,卡片数据!$B:$B,"土地",卡片数据!E:E,"&lt;2015-1-1")</f>
        <v>0</v>
      </c>
      <c r="P61" s="54">
        <f>SUMIFS(卡片数据!M:M,卡片数据!$B:$B,"土地",卡片数据!E:E,"&gt;=2015-1-1")</f>
        <v>0</v>
      </c>
      <c r="Q61" s="52">
        <f t="shared" si="6"/>
        <v>0</v>
      </c>
      <c r="R61" s="54">
        <f t="shared" si="50"/>
        <v>0</v>
      </c>
      <c r="S61" s="54">
        <f t="shared" si="51"/>
        <v>0</v>
      </c>
      <c r="T61" s="52">
        <f t="shared" si="9"/>
        <v>0</v>
      </c>
      <c r="U61" s="54">
        <f t="shared" si="52"/>
        <v>0</v>
      </c>
      <c r="V61" s="54">
        <f t="shared" si="53"/>
        <v>0</v>
      </c>
    </row>
    <row r="62" spans="1:22" x14ac:dyDescent="0.15">
      <c r="A62" s="62" t="s">
        <v>11</v>
      </c>
      <c r="B62" s="50">
        <f t="shared" si="0"/>
        <v>9940.2999999999993</v>
      </c>
      <c r="C62" s="51">
        <f>C5+C10+C16+C26+C27+C28+C34+C49+C50+C51+C52+C58+C59+C60+C61</f>
        <v>9940.2999999999993</v>
      </c>
      <c r="D62" s="51">
        <f t="shared" ref="D62:V62" si="54">D5+D10+D16+D26+D27+D28+D34+D49+D50+D51+D52+D58+D59+D60+D61</f>
        <v>0</v>
      </c>
      <c r="E62" s="52">
        <f t="shared" si="54"/>
        <v>9940.2999999999993</v>
      </c>
      <c r="F62" s="51">
        <f t="shared" si="54"/>
        <v>9940.2999999999993</v>
      </c>
      <c r="G62" s="51">
        <f t="shared" si="54"/>
        <v>0</v>
      </c>
      <c r="H62" s="52">
        <f t="shared" si="54"/>
        <v>9940.2999999999993</v>
      </c>
      <c r="I62" s="51">
        <f t="shared" si="54"/>
        <v>9940.2999999999993</v>
      </c>
      <c r="J62" s="51">
        <f t="shared" si="54"/>
        <v>0</v>
      </c>
      <c r="K62" s="52">
        <f t="shared" si="54"/>
        <v>9940.2999999999993</v>
      </c>
      <c r="L62" s="51">
        <f t="shared" si="54"/>
        <v>9940.2999999999993</v>
      </c>
      <c r="M62" s="51">
        <f t="shared" si="54"/>
        <v>0</v>
      </c>
      <c r="N62" s="52">
        <f t="shared" si="54"/>
        <v>0</v>
      </c>
      <c r="O62" s="51">
        <f t="shared" si="54"/>
        <v>0</v>
      </c>
      <c r="P62" s="51">
        <f t="shared" si="54"/>
        <v>0</v>
      </c>
      <c r="Q62" s="52">
        <f t="shared" si="54"/>
        <v>0</v>
      </c>
      <c r="R62" s="51">
        <f t="shared" si="54"/>
        <v>0</v>
      </c>
      <c r="S62" s="51">
        <f t="shared" si="54"/>
        <v>0</v>
      </c>
      <c r="T62" s="52">
        <f t="shared" si="54"/>
        <v>0</v>
      </c>
      <c r="U62" s="51">
        <f t="shared" si="54"/>
        <v>0</v>
      </c>
      <c r="V62" s="51">
        <f t="shared" si="54"/>
        <v>0</v>
      </c>
    </row>
    <row r="63" spans="1:22" x14ac:dyDescent="0.15">
      <c r="A63" s="60" t="s">
        <v>88</v>
      </c>
      <c r="B63" s="50">
        <f t="shared" si="0"/>
        <v>9940.2999999999993</v>
      </c>
      <c r="C63" s="58">
        <f>C5+C10+C16+C30+C31+C32+C37+C38+C39+C40+C41+C42+C43+C45+C46+C47+C48+C49+C53+C54+C56</f>
        <v>9940.2999999999993</v>
      </c>
      <c r="D63" s="58">
        <f>D5+D10+D16+D30+D31+D32+D37+D38+D39+D40+D41+D42+D43+D45+D46+D47+D48+D49+D53+D54+D56</f>
        <v>0</v>
      </c>
      <c r="E63" s="50">
        <f t="shared" si="2"/>
        <v>9940.2999999999993</v>
      </c>
      <c r="F63" s="58">
        <f>F5+F10+F16+F30+F31+F32+F37+F38+F39+F40+F41+F42+F43+F45+F46+F47+F48+F49+F53+F54+F56</f>
        <v>9940.2999999999993</v>
      </c>
      <c r="G63" s="58">
        <f>G5+G10+G16+G30+G31+G32+G37+G38+G39+G40+G41+G42+G43+G45+G46+G47+G48+G49+G53+G54+G56</f>
        <v>0</v>
      </c>
      <c r="H63" s="52">
        <f t="shared" si="3"/>
        <v>9940.2999999999993</v>
      </c>
      <c r="I63" s="58">
        <f>I5+I10+I16+I30+I31+I32+I37+I38+I39+I40+I41+I42+I43+I45+I46+I47+I48+I49+I53+I54+I56</f>
        <v>9940.2999999999993</v>
      </c>
      <c r="J63" s="58">
        <f>J5+J10+J16+J30+J31+J32+J37+J38+J39+J40+J41+J42+J43+J45+J46+J47+J48+J49+J53+J54+J56</f>
        <v>0</v>
      </c>
      <c r="K63" s="52">
        <f t="shared" si="4"/>
        <v>9940.2999999999993</v>
      </c>
      <c r="L63" s="58">
        <f>L5+L10+L16+L30+L31+L32+L37+L38+L39+L40+L41+L42+L43+L45+L46+L47+L48+L49+L53+L54+L56</f>
        <v>9940.2999999999993</v>
      </c>
      <c r="M63" s="58">
        <f>M5+M10+M16+M30+M31+M32+M37+M38+M39+M40+M41+M42+M43+M45+M46+M47+M48+M49+M53+M54+M56</f>
        <v>0</v>
      </c>
      <c r="N63" s="52">
        <f t="shared" si="5"/>
        <v>0</v>
      </c>
      <c r="O63" s="58">
        <f>O5+O10+O16+O30+O31+O32+O37+O38+O39+O40+O41+O42+O43+O45+O46+O47+O48+O49+O53+O54+O56</f>
        <v>0</v>
      </c>
      <c r="P63" s="58">
        <f>P5+P10+P16+P30+P31+P32+P37+P38+P39+P40+P41+P42+P43+P45+P46+P47+P48+P49+P53+P54+P56</f>
        <v>0</v>
      </c>
      <c r="Q63" s="52">
        <f t="shared" si="6"/>
        <v>0</v>
      </c>
      <c r="R63" s="58">
        <f>R5+R10+R16+R30+R31+R32+R37+R38+R39+R40+R41+R42+R43+R45+R46+R47+R48+R49+R53+R54+R56</f>
        <v>0</v>
      </c>
      <c r="S63" s="58">
        <f>S5+S10+S16+S30+S31+S32+S37+S38+S39+S40+S41+S42+S43+S45+S46+S47+S48+S49+S53+S54+S56</f>
        <v>0</v>
      </c>
      <c r="T63" s="52">
        <f t="shared" si="9"/>
        <v>0</v>
      </c>
      <c r="U63" s="58">
        <f>U5+U10+U16+U30+U31+U32+U37+U38+U39+U40+U41+U42+U43+U45+U46+U47+U48+U49+U53+U54+U56</f>
        <v>0</v>
      </c>
      <c r="V63" s="58">
        <f>V5+V10+V16+V30+V31+V32+V37+V38+V39+V40+V41+V42+V43+V45+V46+V47+V48+V49+V53+V54+V56</f>
        <v>0</v>
      </c>
    </row>
    <row r="64" spans="1:22" x14ac:dyDescent="0.15">
      <c r="A64" s="60" t="s">
        <v>89</v>
      </c>
      <c r="B64" s="50">
        <f t="shared" si="0"/>
        <v>0</v>
      </c>
      <c r="C64" s="58">
        <f>C26+C27+C29+C33+C35+C36+C44+C50+C51+C55+C57+C58</f>
        <v>0</v>
      </c>
      <c r="D64" s="58">
        <f>D26+D27+D29+D33+D35+D36+D44+D50+D51+D55+D57+D58</f>
        <v>0</v>
      </c>
      <c r="E64" s="50">
        <f t="shared" si="2"/>
        <v>0</v>
      </c>
      <c r="F64" s="58">
        <f>F26+F27+F29+F33+F35+F36+F44+F50+F51+F55+F57+F58</f>
        <v>0</v>
      </c>
      <c r="G64" s="58">
        <f>G26+G27+G29+G33+G35+G36+G44+G50+G51+G55+G57+G58</f>
        <v>0</v>
      </c>
      <c r="H64" s="52">
        <f t="shared" si="3"/>
        <v>0</v>
      </c>
      <c r="I64" s="58">
        <f>I26+I27+I29+I33+I35+I36+I44+I50+I51+I55+I57+I58</f>
        <v>0</v>
      </c>
      <c r="J64" s="58">
        <f>J26+J27+J29+J33+J35+J36+J44+J50+J51+J55+J57+J58</f>
        <v>0</v>
      </c>
      <c r="K64" s="52">
        <f t="shared" si="4"/>
        <v>0</v>
      </c>
      <c r="L64" s="58">
        <f>L26+L27+L29+L33+L35+L36+L44+L50+L51+L55+L57+L58</f>
        <v>0</v>
      </c>
      <c r="M64" s="58">
        <f>M26+M27+M29+M33+M35+M36+M44+M50+M51+M55+M57+M58</f>
        <v>0</v>
      </c>
      <c r="N64" s="52">
        <f t="shared" si="5"/>
        <v>0</v>
      </c>
      <c r="O64" s="58">
        <f>O26+O27+O29+O33+O35+O36+O44+O50+O51+O55+O57+O58</f>
        <v>0</v>
      </c>
      <c r="P64" s="58">
        <f>P26+P27+P29+P33+P35+P36+P44+P50+P51+P55+P57+P58</f>
        <v>0</v>
      </c>
      <c r="Q64" s="52">
        <f t="shared" si="6"/>
        <v>0</v>
      </c>
      <c r="R64" s="58">
        <f>R26+R27+R29+R33+R35+R36+R44+R50+R51+R55+R57+R58</f>
        <v>0</v>
      </c>
      <c r="S64" s="58">
        <f>S26+S27+S29+S33+S35+S36+S44+S50+S51+S55+S57+S58</f>
        <v>0</v>
      </c>
      <c r="T64" s="52">
        <f t="shared" si="9"/>
        <v>0</v>
      </c>
      <c r="U64" s="58">
        <f>U26+U27+U29+U33+U35+U36+U44+U50+U51+U55+U57+U58</f>
        <v>0</v>
      </c>
      <c r="V64" s="58">
        <f>V26+V27+V29+V33+V35+V36+V44+V50+V51+V55+V57+V58</f>
        <v>0</v>
      </c>
    </row>
    <row r="65" spans="1:22" x14ac:dyDescent="0.15">
      <c r="A65" s="60" t="s">
        <v>90</v>
      </c>
      <c r="B65" s="50">
        <f t="shared" si="0"/>
        <v>0</v>
      </c>
      <c r="C65" s="58">
        <f>C59+C60+C61</f>
        <v>0</v>
      </c>
      <c r="D65" s="58">
        <f t="shared" ref="D65:V65" si="55">D59+D60+D61</f>
        <v>0</v>
      </c>
      <c r="E65" s="50">
        <f t="shared" si="2"/>
        <v>0</v>
      </c>
      <c r="F65" s="58">
        <f t="shared" si="55"/>
        <v>0</v>
      </c>
      <c r="G65" s="58">
        <f t="shared" si="55"/>
        <v>0</v>
      </c>
      <c r="H65" s="52">
        <f t="shared" si="3"/>
        <v>0</v>
      </c>
      <c r="I65" s="58">
        <f t="shared" si="55"/>
        <v>0</v>
      </c>
      <c r="J65" s="58">
        <f t="shared" si="55"/>
        <v>0</v>
      </c>
      <c r="K65" s="52">
        <f t="shared" si="4"/>
        <v>0</v>
      </c>
      <c r="L65" s="58">
        <f t="shared" si="55"/>
        <v>0</v>
      </c>
      <c r="M65" s="58">
        <f t="shared" si="55"/>
        <v>0</v>
      </c>
      <c r="N65" s="52">
        <f t="shared" si="5"/>
        <v>0</v>
      </c>
      <c r="O65" s="58">
        <f t="shared" si="55"/>
        <v>0</v>
      </c>
      <c r="P65" s="58">
        <f t="shared" si="55"/>
        <v>0</v>
      </c>
      <c r="Q65" s="52">
        <f t="shared" si="6"/>
        <v>0</v>
      </c>
      <c r="R65" s="58">
        <f t="shared" si="55"/>
        <v>0</v>
      </c>
      <c r="S65" s="58">
        <f t="shared" si="55"/>
        <v>0</v>
      </c>
      <c r="T65" s="52">
        <f t="shared" si="9"/>
        <v>0</v>
      </c>
      <c r="U65" s="58">
        <f t="shared" si="55"/>
        <v>0</v>
      </c>
      <c r="V65" s="58">
        <f t="shared" si="55"/>
        <v>0</v>
      </c>
    </row>
    <row r="66" spans="1:22" x14ac:dyDescent="0.15">
      <c r="B66" s="65"/>
      <c r="E66" s="65"/>
    </row>
    <row r="67" spans="1:22" x14ac:dyDescent="0.15">
      <c r="B67" s="66"/>
      <c r="C67" s="66"/>
      <c r="E67" s="66"/>
    </row>
    <row r="68" spans="1:22" x14ac:dyDescent="0.15">
      <c r="R68" s="66">
        <f>R62+S62-(C62+D62-I62-J62)</f>
        <v>0</v>
      </c>
      <c r="U68" s="66">
        <f>U62+V62-(F62+G62-L62-M62)</f>
        <v>0</v>
      </c>
    </row>
  </sheetData>
  <sheetProtection formatCells="0" formatColumns="0" formatRows="0" insertColumns="0" insertRows="0" insertHyperlinks="0" deleteColumns="0" deleteRows="0" sort="0" autoFilter="0" pivotTables="0"/>
  <autoFilter ref="A4:V65" xr:uid="{00000000-0009-0000-0000-000001000000}"/>
  <mergeCells count="9">
    <mergeCell ref="A1:V1"/>
    <mergeCell ref="B3:D3"/>
    <mergeCell ref="E3:G3"/>
    <mergeCell ref="H3:J3"/>
    <mergeCell ref="K3:M3"/>
    <mergeCell ref="N3:P3"/>
    <mergeCell ref="Q3:S3"/>
    <mergeCell ref="T3:V3"/>
    <mergeCell ref="A3:A4"/>
  </mergeCells>
  <phoneticPr fontId="3" type="noConversion"/>
  <pageMargins left="0.16875000000000001" right="0.16875000000000001" top="0.74791666666666701" bottom="0.74791666666666701" header="0.31388888888888899" footer="0.31388888888888899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X8"/>
  <sheetViews>
    <sheetView showZeros="0" topLeftCell="I1" zoomScale="112" zoomScaleNormal="112" workbookViewId="0">
      <selection activeCell="U10" sqref="U10"/>
    </sheetView>
  </sheetViews>
  <sheetFormatPr defaultColWidth="9" defaultRowHeight="12" x14ac:dyDescent="0.15"/>
  <cols>
    <col min="1" max="1" width="15.375" style="14" customWidth="1"/>
    <col min="2" max="2" width="36.375" style="15" customWidth="1"/>
    <col min="3" max="3" width="34.125" style="15" customWidth="1"/>
    <col min="4" max="4" width="7.625" style="15" customWidth="1"/>
    <col min="5" max="6" width="11.625" style="16" customWidth="1"/>
    <col min="7" max="8" width="13.5" style="17" customWidth="1"/>
    <col min="9" max="10" width="12.5" style="17" customWidth="1"/>
    <col min="11" max="11" width="16.125" style="17" customWidth="1"/>
    <col min="12" max="12" width="12.5" style="17" customWidth="1"/>
    <col min="13" max="13" width="15.625" style="17" customWidth="1"/>
    <col min="14" max="14" width="14.375" style="17" customWidth="1"/>
    <col min="15" max="15" width="14.125" style="18" customWidth="1"/>
    <col min="16" max="18" width="14.125" style="15" customWidth="1"/>
    <col min="19" max="19" width="12.125" style="15" customWidth="1"/>
    <col min="20" max="21" width="12.875" style="5" customWidth="1"/>
    <col min="22" max="24" width="24.375" style="5" customWidth="1"/>
    <col min="25" max="16384" width="9" style="5"/>
  </cols>
  <sheetData>
    <row r="1" spans="1:24" s="13" customFormat="1" ht="29.25" customHeight="1" x14ac:dyDescent="0.15">
      <c r="A1" s="109" t="s">
        <v>91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36"/>
    </row>
    <row r="2" spans="1:24" x14ac:dyDescent="0.15">
      <c r="A2" s="19" t="s">
        <v>92</v>
      </c>
      <c r="B2" s="20"/>
      <c r="C2" s="20"/>
      <c r="E2" s="21"/>
      <c r="F2" s="21"/>
      <c r="G2" s="22"/>
      <c r="H2" s="22"/>
      <c r="I2" s="110" t="s">
        <v>93</v>
      </c>
      <c r="J2" s="110"/>
      <c r="K2" s="110"/>
      <c r="L2" s="110"/>
      <c r="M2" s="22"/>
      <c r="N2" s="30"/>
      <c r="O2" s="30"/>
      <c r="P2" s="20"/>
      <c r="Q2" s="20"/>
      <c r="R2" s="20" t="s">
        <v>94</v>
      </c>
      <c r="S2" s="20"/>
      <c r="T2" s="37"/>
    </row>
    <row r="3" spans="1:24" ht="12.75" customHeight="1" x14ac:dyDescent="0.15">
      <c r="A3" s="104" t="s">
        <v>95</v>
      </c>
      <c r="B3" s="105" t="s">
        <v>1</v>
      </c>
      <c r="C3" s="105" t="s">
        <v>96</v>
      </c>
      <c r="D3" s="105" t="s">
        <v>97</v>
      </c>
      <c r="E3" s="106" t="s">
        <v>98</v>
      </c>
      <c r="F3" s="107" t="s">
        <v>99</v>
      </c>
      <c r="G3" s="111" t="s">
        <v>2</v>
      </c>
      <c r="H3" s="111"/>
      <c r="I3" s="111"/>
      <c r="J3" s="112" t="s">
        <v>5</v>
      </c>
      <c r="K3" s="112"/>
      <c r="L3" s="112"/>
      <c r="M3" s="112"/>
      <c r="N3" s="105" t="s">
        <v>3</v>
      </c>
      <c r="O3" s="105"/>
      <c r="P3" s="105"/>
      <c r="Q3" s="105" t="s">
        <v>4</v>
      </c>
      <c r="R3" s="105"/>
      <c r="S3" s="105"/>
      <c r="T3" s="102" t="s">
        <v>100</v>
      </c>
      <c r="U3" s="103"/>
      <c r="V3" s="38">
        <v>43830</v>
      </c>
      <c r="W3" s="38">
        <v>44196</v>
      </c>
      <c r="X3" s="38">
        <v>44561</v>
      </c>
    </row>
    <row r="4" spans="1:24" ht="30.75" customHeight="1" x14ac:dyDescent="0.15">
      <c r="A4" s="104"/>
      <c r="B4" s="105"/>
      <c r="C4" s="105"/>
      <c r="D4" s="105"/>
      <c r="E4" s="106"/>
      <c r="F4" s="108"/>
      <c r="G4" s="24" t="s">
        <v>9</v>
      </c>
      <c r="H4" s="25" t="s">
        <v>10</v>
      </c>
      <c r="I4" s="24" t="s">
        <v>20</v>
      </c>
      <c r="J4" s="31" t="s">
        <v>9</v>
      </c>
      <c r="K4" s="32" t="s">
        <v>10</v>
      </c>
      <c r="L4" s="31" t="s">
        <v>20</v>
      </c>
      <c r="M4" s="31" t="s">
        <v>101</v>
      </c>
      <c r="N4" s="33" t="s">
        <v>102</v>
      </c>
      <c r="O4" s="34" t="s">
        <v>9</v>
      </c>
      <c r="P4" s="35" t="s">
        <v>20</v>
      </c>
      <c r="Q4" s="23" t="s">
        <v>102</v>
      </c>
      <c r="R4" s="35" t="s">
        <v>9</v>
      </c>
      <c r="S4" s="35" t="s">
        <v>20</v>
      </c>
      <c r="T4" s="13" t="s">
        <v>9</v>
      </c>
      <c r="U4" s="13" t="s">
        <v>20</v>
      </c>
      <c r="V4" s="39" t="s">
        <v>103</v>
      </c>
      <c r="W4" s="39" t="s">
        <v>104</v>
      </c>
      <c r="X4" s="39" t="s">
        <v>105</v>
      </c>
    </row>
    <row r="5" spans="1:24" s="91" customFormat="1" ht="30.75" customHeight="1" x14ac:dyDescent="0.15">
      <c r="A5" s="82" t="s">
        <v>142</v>
      </c>
      <c r="B5" s="82">
        <v>1</v>
      </c>
      <c r="C5" s="82">
        <v>2</v>
      </c>
      <c r="D5" s="82">
        <v>3</v>
      </c>
      <c r="E5" s="82">
        <v>4</v>
      </c>
      <c r="F5" s="83" t="s">
        <v>125</v>
      </c>
      <c r="G5" s="84" t="s">
        <v>126</v>
      </c>
      <c r="H5" s="85" t="s">
        <v>127</v>
      </c>
      <c r="I5" s="84" t="s">
        <v>128</v>
      </c>
      <c r="J5" s="86" t="s">
        <v>129</v>
      </c>
      <c r="K5" s="87" t="s">
        <v>130</v>
      </c>
      <c r="L5" s="86" t="s">
        <v>131</v>
      </c>
      <c r="M5" s="86" t="s">
        <v>132</v>
      </c>
      <c r="N5" s="82" t="s">
        <v>133</v>
      </c>
      <c r="O5" s="88" t="s">
        <v>134</v>
      </c>
      <c r="P5" s="88" t="s">
        <v>135</v>
      </c>
      <c r="Q5" s="82" t="s">
        <v>136</v>
      </c>
      <c r="R5" s="88" t="s">
        <v>137</v>
      </c>
      <c r="S5" s="88" t="s">
        <v>138</v>
      </c>
      <c r="T5" s="89" t="s">
        <v>139</v>
      </c>
      <c r="U5" s="89" t="s">
        <v>140</v>
      </c>
      <c r="V5" s="90" t="s">
        <v>141</v>
      </c>
      <c r="W5" s="90" t="s">
        <v>143</v>
      </c>
      <c r="X5" s="90" t="s">
        <v>144</v>
      </c>
    </row>
    <row r="6" spans="1:24" ht="12" customHeight="1" x14ac:dyDescent="0.15">
      <c r="A6" s="26" t="s">
        <v>106</v>
      </c>
      <c r="B6" s="27" t="s">
        <v>107</v>
      </c>
      <c r="C6" s="27" t="s">
        <v>108</v>
      </c>
      <c r="D6" s="27" t="s">
        <v>109</v>
      </c>
      <c r="E6" s="16">
        <v>36525</v>
      </c>
      <c r="F6" s="28" t="s">
        <v>110</v>
      </c>
      <c r="G6" s="29">
        <v>4608.45</v>
      </c>
      <c r="H6" s="17">
        <f>IFERROR(IF(ROUND((G6-I6)/G6,2)&lt;=0.05,G6,0),0)</f>
        <v>4608.45</v>
      </c>
      <c r="I6" s="17">
        <v>4608.45</v>
      </c>
      <c r="J6" s="27">
        <v>4608.45</v>
      </c>
      <c r="K6" s="17">
        <f>IFERROR(IF(ROUND((J6-L6)/J6,2)&lt;=0.05,J6,0),0)</f>
        <v>4608.45</v>
      </c>
      <c r="L6" s="17">
        <v>4608.45</v>
      </c>
      <c r="M6" s="17">
        <v>0</v>
      </c>
      <c r="N6" s="27"/>
      <c r="O6" s="29">
        <v>0</v>
      </c>
      <c r="P6" s="29"/>
      <c r="Q6" s="27"/>
      <c r="R6" s="29"/>
      <c r="S6" s="29"/>
      <c r="T6" s="40">
        <f>SUMIFS(卡片数据!$G:$G,卡片数据!$A:$A,A6)+SUMIFS(卡片数据!$O:$O,卡片数据!$A:$A,A6)-SUMIFS(卡片数据!$R:$R,卡片数据!$A:$A,A6)-SUMIFS(卡片数据!$J:$J,卡片数据!$A:$A,A6)</f>
        <v>0</v>
      </c>
      <c r="U6" s="40">
        <f>SUMIFS(卡片数据!$I:$I,卡片数据!$A:$A,A6)+SUMIFS(卡片数据!$M:$M,卡片数据!$A:$A,A6)+SUMIFS(卡片数据!$P:$P,卡片数据!$A:$A,A6)-SUMIFS(卡片数据!$S:$S,卡片数据!$A:$A,A6)-SUMIFS(卡片数据!$L:$L,卡片数据!$A:$A,A6)</f>
        <v>0</v>
      </c>
      <c r="V6" s="41" t="str">
        <f t="shared" ref="V6:V8" si="0">IFERROR(IF(AND((F6*12-DATEDIF(E6,$V$3,"m"))&lt;=0,ROUND((J6-L6)/J6,2)&gt;0.05),"1",IF(ROUND((J6-L6)/J6,2)&lt;=0.05,"0",IF((F6*12-DATEDIF(E6,$V$3,"m"))&gt;0,"0"))),"0")</f>
        <v>0</v>
      </c>
      <c r="W6" s="41">
        <f>IF(AND(B6&lt;&gt;"土地",OR(OR(DATEDIF(E6,$W$3,"m")&gt;F6*12,DATEDIF(E6,$W$3,"m")=F6*12),K6&lt;&gt;0)),J6,0)</f>
        <v>4608.45</v>
      </c>
      <c r="X6" s="41">
        <f>IF(AND(B6&lt;&gt;"土地",OR(OR(DATEDIF(E6,$X$3,"m")&gt;F6*12,DATEDIF(E6,$X$3,"m")=F6*12),K6&lt;&gt;0)),J6,0)</f>
        <v>4608.45</v>
      </c>
    </row>
    <row r="7" spans="1:24" x14ac:dyDescent="0.15">
      <c r="A7" s="26" t="s">
        <v>111</v>
      </c>
      <c r="B7" s="27" t="s">
        <v>107</v>
      </c>
      <c r="C7" s="27" t="s">
        <v>112</v>
      </c>
      <c r="D7" s="27" t="s">
        <v>113</v>
      </c>
      <c r="E7" s="16">
        <v>38717</v>
      </c>
      <c r="F7" s="28" t="s">
        <v>110</v>
      </c>
      <c r="G7" s="29">
        <v>4033.54</v>
      </c>
      <c r="H7" s="17">
        <f t="shared" ref="H7:H8" si="1">IFERROR(IF(ROUND((G7-I7)/G7,2)&lt;=0.05,G7,0),0)</f>
        <v>4033.54</v>
      </c>
      <c r="I7" s="17">
        <v>4033.54</v>
      </c>
      <c r="J7" s="27">
        <v>4033.54</v>
      </c>
      <c r="K7" s="17">
        <f t="shared" ref="K7:K8" si="2">IFERROR(IF(ROUND((J7-L7)/J7,2)&lt;=0.05,J7,0),0)</f>
        <v>4033.54</v>
      </c>
      <c r="L7" s="17">
        <v>4033.54</v>
      </c>
      <c r="M7" s="17">
        <v>0</v>
      </c>
      <c r="N7" s="27"/>
      <c r="O7" s="29">
        <v>0</v>
      </c>
      <c r="P7" s="29"/>
      <c r="Q7" s="27"/>
      <c r="R7" s="29"/>
      <c r="S7" s="29"/>
      <c r="T7" s="40">
        <f>SUMIFS(卡片数据!$G:$G,卡片数据!$A:$A,A7)+SUMIFS(卡片数据!$O:$O,卡片数据!$A:$A,A7)-SUMIFS(卡片数据!$R:$R,卡片数据!$A:$A,A7)-SUMIFS(卡片数据!$J:$J,卡片数据!$A:$A,A7)</f>
        <v>0</v>
      </c>
      <c r="U7" s="40">
        <f>SUMIFS(卡片数据!$I:$I,卡片数据!$A:$A,A7)+SUMIFS(卡片数据!$M:$M,卡片数据!$A:$A,A7)+SUMIFS(卡片数据!$P:$P,卡片数据!$A:$A,A7)-SUMIFS(卡片数据!$S:$S,卡片数据!$A:$A,A7)-SUMIFS(卡片数据!$L:$L,卡片数据!$A:$A,A7)</f>
        <v>0</v>
      </c>
      <c r="V7" s="41" t="str">
        <f t="shared" si="0"/>
        <v>0</v>
      </c>
      <c r="W7" s="41">
        <f t="shared" ref="W7:W8" si="3">IF(AND(B7&lt;&gt;"土地",OR(OR(DATEDIF(E7,$W$3,"m")&gt;F7*12,DATEDIF(E7,$W$3,"m")=F7*12),K7&lt;&gt;0)),J7,0)</f>
        <v>4033.54</v>
      </c>
      <c r="X7" s="41">
        <f t="shared" ref="X7:X8" si="4">IF(AND(B7&lt;&gt;"土地",OR(OR(DATEDIF(E7,$X$3,"m")&gt;F7*12,DATEDIF(E7,$X$3,"m")=F7*12),K7&lt;&gt;0)),J7,0)</f>
        <v>4033.54</v>
      </c>
    </row>
    <row r="8" spans="1:24" x14ac:dyDescent="0.15">
      <c r="A8" s="26" t="s">
        <v>114</v>
      </c>
      <c r="B8" s="27" t="s">
        <v>107</v>
      </c>
      <c r="C8" s="27" t="s">
        <v>115</v>
      </c>
      <c r="D8" s="27" t="s">
        <v>109</v>
      </c>
      <c r="E8" s="16">
        <v>38717</v>
      </c>
      <c r="F8" s="28" t="s">
        <v>110</v>
      </c>
      <c r="G8" s="29">
        <v>1298.31</v>
      </c>
      <c r="H8" s="17">
        <f t="shared" si="1"/>
        <v>1298.31</v>
      </c>
      <c r="I8" s="17">
        <v>1298.31</v>
      </c>
      <c r="J8" s="27">
        <v>1298.31</v>
      </c>
      <c r="K8" s="17">
        <f t="shared" si="2"/>
        <v>1298.31</v>
      </c>
      <c r="L8" s="17">
        <v>1298.31</v>
      </c>
      <c r="M8" s="17">
        <v>0</v>
      </c>
      <c r="N8" s="27"/>
      <c r="O8" s="29">
        <v>0</v>
      </c>
      <c r="P8" s="29"/>
      <c r="Q8" s="27"/>
      <c r="R8" s="29"/>
      <c r="S8" s="29"/>
      <c r="T8" s="40">
        <f>SUMIFS(卡片数据!$G:$G,卡片数据!$A:$A,A8)+SUMIFS(卡片数据!$O:$O,卡片数据!$A:$A,A8)-SUMIFS(卡片数据!$R:$R,卡片数据!$A:$A,A8)-SUMIFS(卡片数据!$J:$J,卡片数据!$A:$A,A8)</f>
        <v>0</v>
      </c>
      <c r="U8" s="40">
        <f>SUMIFS(卡片数据!$I:$I,卡片数据!$A:$A,A8)+SUMIFS(卡片数据!$M:$M,卡片数据!$A:$A,A8)+SUMIFS(卡片数据!$P:$P,卡片数据!$A:$A,A8)-SUMIFS(卡片数据!$S:$S,卡片数据!$A:$A,A8)-SUMIFS(卡片数据!$L:$L,卡片数据!$A:$A,A8)</f>
        <v>0</v>
      </c>
      <c r="V8" s="41" t="str">
        <f t="shared" si="0"/>
        <v>0</v>
      </c>
      <c r="W8" s="41">
        <f t="shared" si="3"/>
        <v>1298.31</v>
      </c>
      <c r="X8" s="41">
        <f t="shared" si="4"/>
        <v>1298.31</v>
      </c>
    </row>
  </sheetData>
  <autoFilter ref="A4:X8" xr:uid="{00000000-0009-0000-0000-000002000000}"/>
  <mergeCells count="13">
    <mergeCell ref="A1:S1"/>
    <mergeCell ref="I2:L2"/>
    <mergeCell ref="G3:I3"/>
    <mergeCell ref="J3:M3"/>
    <mergeCell ref="N3:P3"/>
    <mergeCell ref="Q3:S3"/>
    <mergeCell ref="T3:U3"/>
    <mergeCell ref="A3:A4"/>
    <mergeCell ref="B3:B4"/>
    <mergeCell ref="C3:C4"/>
    <mergeCell ref="D3:D4"/>
    <mergeCell ref="E3:E4"/>
    <mergeCell ref="F3:F4"/>
  </mergeCells>
  <phoneticPr fontId="3" type="noConversion"/>
  <conditionalFormatting sqref="V1:V1048576">
    <cfRule type="containsText" dxfId="2" priority="6" stopIfTrue="1" operator="containsText" text="1">
      <formula>NOT(ISERROR(SEARCH("1",V1)))</formula>
    </cfRule>
  </conditionalFormatting>
  <conditionalFormatting sqref="V3:V5">
    <cfRule type="cellIs" dxfId="1" priority="7" stopIfTrue="1" operator="equal">
      <formula>1</formula>
    </cfRule>
    <cfRule type="cellIs" dxfId="0" priority="8" stopIfTrue="1" operator="equal">
      <formula>1</formula>
    </cfRule>
  </conditionalFormatting>
  <dataValidations count="5">
    <dataValidation type="list" allowBlank="1" showInputMessage="1" showErrorMessage="1" sqref="N6:N14403" xr:uid="{00000000-0002-0000-0200-000000000000}">
      <formula1>"工程项目,零购项目,用户资产,盘盈资产,子分公司间划转资产,非货币性交易,捐赠增加,省外划拨,省内地市间划拨,地市内划拨,拆分合并重分类"</formula1>
    </dataValidation>
    <dataValidation type="list" allowBlank="1" showInputMessage="1" showErrorMessage="1" sqref="B6:B14403" xr:uid="{00000000-0002-0000-0200-000002000000}">
      <formula1>"输电线路,变电设备,配电线路,配电设备-其他,配电设备-电动汽车充换电设备,用电计量设备,通信线路及设备,自动化控制设备、信息设备及仪器仪表,发电及供热设备,水工机械设备,制造及检修维护设备,生产管理用工器具,运输设备,辅助生产用设备及器具,房屋,建筑物,土地"</formula1>
    </dataValidation>
    <dataValidation type="list" allowBlank="1" showInputMessage="1" showErrorMessage="1" sqref="D6:D14403" xr:uid="{00000000-0002-0000-0200-000003000000}">
      <formula1>"500kV,220kV,110kV,35kV,10kV,10kV以下"</formula1>
    </dataValidation>
    <dataValidation type="list" allowBlank="1" showInputMessage="1" showErrorMessage="1" sqref="Q6:Q8" xr:uid="{00000000-0002-0000-0200-000004000000}">
      <formula1>"报废,出售,省外划拨,省内地市间划拨,地市内划拨,拆分合并重分类,子分公司间划转资产,三供一业无偿划出"</formula1>
    </dataValidation>
    <dataValidation type="list" allowBlank="1" showInputMessage="1" showErrorMessage="1" sqref="Q9:Q14403" xr:uid="{00000000-0002-0000-0200-000001000000}">
      <formula1>"报废,出售,省外划拨,省内地市间划拨,地市内划拨,拆分合并重分类,子分公司间划转资产"</formula1>
    </dataValidation>
  </dataValidations>
  <pageMargins left="0.74791666666666701" right="0.74791666666666701" top="0.98402777777777795" bottom="0.98402777777777795" header="0.51180555555555596" footer="0.51180555555555596"/>
  <pageSetup paperSize="9" fitToWidth="0" fitToHeight="0" orientation="portrait" useFirstPageNumber="1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22"/>
  <sheetViews>
    <sheetView workbookViewId="0">
      <selection activeCell="C33" sqref="C33"/>
    </sheetView>
  </sheetViews>
  <sheetFormatPr defaultColWidth="9" defaultRowHeight="14.25" x14ac:dyDescent="0.15"/>
  <cols>
    <col min="1" max="2" width="22.125" customWidth="1"/>
    <col min="3" max="7" width="19.625" customWidth="1"/>
  </cols>
  <sheetData>
    <row r="1" spans="1:7" ht="32.25" customHeight="1" x14ac:dyDescent="0.15">
      <c r="A1" s="113" t="s">
        <v>116</v>
      </c>
      <c r="B1" s="113"/>
      <c r="C1" s="113"/>
      <c r="D1" s="113"/>
      <c r="E1" s="113"/>
      <c r="F1" s="113"/>
      <c r="G1" s="113"/>
    </row>
    <row r="2" spans="1:7" x14ac:dyDescent="0.15">
      <c r="A2" s="114" t="s">
        <v>117</v>
      </c>
      <c r="B2" s="114" t="s">
        <v>118</v>
      </c>
      <c r="C2" s="114" t="s">
        <v>119</v>
      </c>
      <c r="D2" s="102" t="s">
        <v>120</v>
      </c>
      <c r="E2" s="103"/>
      <c r="F2" s="102" t="s">
        <v>121</v>
      </c>
      <c r="G2" s="103"/>
    </row>
    <row r="3" spans="1:7" x14ac:dyDescent="0.15">
      <c r="A3" s="115"/>
      <c r="B3" s="115"/>
      <c r="C3" s="115"/>
      <c r="D3" s="1" t="s">
        <v>9</v>
      </c>
      <c r="E3" s="1" t="s">
        <v>20</v>
      </c>
      <c r="F3" s="1" t="s">
        <v>9</v>
      </c>
      <c r="G3" s="1" t="s">
        <v>20</v>
      </c>
    </row>
    <row r="4" spans="1:7" x14ac:dyDescent="0.15">
      <c r="A4" s="5"/>
      <c r="B4" s="5"/>
      <c r="C4" s="5"/>
      <c r="D4" s="4"/>
      <c r="E4" s="4"/>
      <c r="F4" s="4"/>
      <c r="G4" s="4"/>
    </row>
    <row r="5" spans="1:7" x14ac:dyDescent="0.15">
      <c r="A5" s="5"/>
      <c r="B5" s="5"/>
      <c r="C5" s="5"/>
      <c r="D5" s="4"/>
      <c r="E5" s="4"/>
      <c r="F5" s="4"/>
      <c r="G5" s="4"/>
    </row>
    <row r="6" spans="1:7" x14ac:dyDescent="0.15">
      <c r="A6" s="5"/>
      <c r="B6" s="5"/>
      <c r="C6" s="5"/>
      <c r="D6" s="4"/>
      <c r="E6" s="4"/>
      <c r="F6" s="4"/>
      <c r="G6" s="4"/>
    </row>
    <row r="7" spans="1:7" x14ac:dyDescent="0.15">
      <c r="A7" s="5"/>
      <c r="B7" s="5"/>
      <c r="C7" s="5"/>
      <c r="D7" s="4"/>
      <c r="E7" s="4"/>
      <c r="F7" s="4"/>
      <c r="G7" s="4"/>
    </row>
    <row r="8" spans="1:7" x14ac:dyDescent="0.15">
      <c r="A8" s="5"/>
      <c r="B8" s="5"/>
      <c r="C8" s="5"/>
      <c r="D8" s="4"/>
      <c r="E8" s="4"/>
      <c r="F8" s="4"/>
      <c r="G8" s="4"/>
    </row>
    <row r="9" spans="1:7" x14ac:dyDescent="0.15">
      <c r="A9" s="5"/>
      <c r="B9" s="5"/>
      <c r="C9" s="5"/>
      <c r="D9" s="4"/>
      <c r="E9" s="4"/>
      <c r="F9" s="4"/>
      <c r="G9" s="4"/>
    </row>
    <row r="10" spans="1:7" x14ac:dyDescent="0.15">
      <c r="A10" s="5"/>
      <c r="B10" s="5"/>
      <c r="C10" s="5"/>
      <c r="D10" s="4"/>
      <c r="E10" s="4"/>
      <c r="F10" s="4"/>
      <c r="G10" s="4"/>
    </row>
    <row r="11" spans="1:7" x14ac:dyDescent="0.15">
      <c r="A11" s="5"/>
      <c r="B11" s="5"/>
      <c r="C11" s="5"/>
      <c r="D11" s="4"/>
      <c r="E11" s="4"/>
      <c r="F11" s="4"/>
      <c r="G11" s="4"/>
    </row>
    <row r="12" spans="1:7" x14ac:dyDescent="0.15">
      <c r="A12" s="5"/>
      <c r="B12" s="5"/>
      <c r="C12" s="5"/>
      <c r="D12" s="4"/>
      <c r="E12" s="4"/>
      <c r="F12" s="4"/>
      <c r="G12" s="4"/>
    </row>
    <row r="13" spans="1:7" x14ac:dyDescent="0.15">
      <c r="A13" s="5"/>
      <c r="B13" s="5"/>
      <c r="C13" s="5"/>
      <c r="D13" s="4"/>
      <c r="E13" s="4"/>
      <c r="F13" s="4"/>
      <c r="G13" s="4"/>
    </row>
    <row r="14" spans="1:7" x14ac:dyDescent="0.15">
      <c r="A14" s="5"/>
      <c r="B14" s="5"/>
      <c r="C14" s="5"/>
      <c r="D14" s="4"/>
      <c r="E14" s="4"/>
      <c r="F14" s="4"/>
      <c r="G14" s="4"/>
    </row>
    <row r="15" spans="1:7" x14ac:dyDescent="0.15">
      <c r="A15" s="5"/>
      <c r="B15" s="5"/>
      <c r="C15" s="5"/>
      <c r="D15" s="4"/>
      <c r="E15" s="4"/>
      <c r="F15" s="4"/>
      <c r="G15" s="4"/>
    </row>
    <row r="16" spans="1:7" x14ac:dyDescent="0.15">
      <c r="A16" s="5"/>
      <c r="B16" s="5"/>
      <c r="C16" s="5"/>
      <c r="D16" s="4"/>
      <c r="E16" s="4"/>
      <c r="F16" s="4"/>
      <c r="G16" s="4"/>
    </row>
    <row r="17" spans="1:7" x14ac:dyDescent="0.15">
      <c r="A17" s="5"/>
      <c r="B17" s="5"/>
      <c r="C17" s="5"/>
      <c r="D17" s="4"/>
      <c r="E17" s="4"/>
      <c r="F17" s="4"/>
      <c r="G17" s="4"/>
    </row>
    <row r="18" spans="1:7" x14ac:dyDescent="0.15">
      <c r="A18" s="5"/>
      <c r="B18" s="5"/>
      <c r="C18" s="5"/>
      <c r="D18" s="4"/>
      <c r="E18" s="4"/>
      <c r="F18" s="4"/>
      <c r="G18" s="4"/>
    </row>
    <row r="19" spans="1:7" x14ac:dyDescent="0.15">
      <c r="A19" s="5"/>
      <c r="B19" s="5"/>
      <c r="C19" s="5"/>
      <c r="D19" s="4"/>
      <c r="E19" s="4"/>
      <c r="F19" s="4"/>
      <c r="G19" s="4"/>
    </row>
    <row r="20" spans="1:7" x14ac:dyDescent="0.15">
      <c r="A20" s="5"/>
      <c r="B20" s="5"/>
      <c r="C20" s="5"/>
      <c r="D20" s="4"/>
      <c r="E20" s="4"/>
      <c r="F20" s="4"/>
      <c r="G20" s="4"/>
    </row>
    <row r="21" spans="1:7" x14ac:dyDescent="0.15">
      <c r="A21" s="1" t="s">
        <v>11</v>
      </c>
      <c r="B21" s="5"/>
      <c r="C21" s="5"/>
      <c r="D21" s="4">
        <f>SUM(D4:D20)</f>
        <v>0</v>
      </c>
      <c r="E21" s="4">
        <f>SUM(E4:E20)</f>
        <v>0</v>
      </c>
      <c r="F21" s="4">
        <f>SUM(F4:F20)</f>
        <v>0</v>
      </c>
      <c r="G21" s="4">
        <f>SUM(G4:G20)</f>
        <v>0</v>
      </c>
    </row>
    <row r="22" spans="1:7" x14ac:dyDescent="0.15">
      <c r="A22" s="6" t="s">
        <v>122</v>
      </c>
      <c r="B22" s="7"/>
      <c r="C22" s="7"/>
      <c r="D22" s="8">
        <f>D21-'汇总-自动取数'!O37</f>
        <v>0</v>
      </c>
      <c r="E22" s="8">
        <f>E21-'汇总-自动取数'!AI37</f>
        <v>0</v>
      </c>
      <c r="F22" s="8">
        <f>F21-'汇总-自动取数'!G37</f>
        <v>0</v>
      </c>
      <c r="G22" s="8">
        <f>G21-'汇总-自动取数'!AA37</f>
        <v>0</v>
      </c>
    </row>
  </sheetData>
  <mergeCells count="6">
    <mergeCell ref="A1:G1"/>
    <mergeCell ref="D2:E2"/>
    <mergeCell ref="F2:G2"/>
    <mergeCell ref="A2:A3"/>
    <mergeCell ref="B2:B3"/>
    <mergeCell ref="C2:C3"/>
  </mergeCells>
  <phoneticPr fontId="3" type="noConversion"/>
  <pageMargins left="0.74791666666666701" right="0.74791666666666701" top="0.98402777777777795" bottom="0.98402777777777795" header="0.51180555555555596" footer="0.51180555555555596"/>
  <pageSetup paperSize="9" fitToWidth="0" fitToHeight="0" orientation="portrait" useFirstPageNumber="1" errors="NA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activeCell="C33" sqref="C33"/>
    </sheetView>
  </sheetViews>
  <sheetFormatPr defaultColWidth="9" defaultRowHeight="14.25" x14ac:dyDescent="0.15"/>
  <cols>
    <col min="1" max="1" width="22.625" customWidth="1"/>
    <col min="2" max="2" width="19.625" customWidth="1"/>
    <col min="3" max="3" width="22.375" customWidth="1"/>
    <col min="4" max="7" width="19.625" customWidth="1"/>
  </cols>
  <sheetData>
    <row r="1" spans="1:7" ht="32.25" customHeight="1" x14ac:dyDescent="0.15">
      <c r="A1" s="113" t="s">
        <v>123</v>
      </c>
      <c r="B1" s="113"/>
      <c r="C1" s="113"/>
      <c r="D1" s="113"/>
      <c r="E1" s="113"/>
      <c r="F1" s="113"/>
      <c r="G1" s="113"/>
    </row>
    <row r="2" spans="1:7" x14ac:dyDescent="0.15">
      <c r="A2" s="114" t="s">
        <v>117</v>
      </c>
      <c r="B2" s="114" t="s">
        <v>118</v>
      </c>
      <c r="C2" s="114" t="s">
        <v>119</v>
      </c>
      <c r="D2" s="102" t="s">
        <v>120</v>
      </c>
      <c r="E2" s="103"/>
      <c r="F2" s="102" t="s">
        <v>121</v>
      </c>
      <c r="G2" s="103"/>
    </row>
    <row r="3" spans="1:7" x14ac:dyDescent="0.15">
      <c r="A3" s="115"/>
      <c r="B3" s="115"/>
      <c r="C3" s="115"/>
      <c r="D3" s="1" t="s">
        <v>9</v>
      </c>
      <c r="E3" s="1" t="s">
        <v>20</v>
      </c>
      <c r="F3" s="1" t="s">
        <v>9</v>
      </c>
      <c r="G3" s="1" t="s">
        <v>20</v>
      </c>
    </row>
    <row r="4" spans="1:7" x14ac:dyDescent="0.15">
      <c r="A4" s="9"/>
      <c r="B4" s="9"/>
      <c r="C4" s="9"/>
      <c r="D4" s="10"/>
      <c r="E4" s="10"/>
      <c r="F4" s="10"/>
      <c r="G4" s="10"/>
    </row>
    <row r="5" spans="1:7" x14ac:dyDescent="0.15">
      <c r="A5" s="9"/>
      <c r="B5" s="9"/>
      <c r="C5" s="9"/>
      <c r="D5" s="10"/>
      <c r="E5" s="10"/>
      <c r="F5" s="10"/>
      <c r="G5" s="10"/>
    </row>
    <row r="6" spans="1:7" x14ac:dyDescent="0.15">
      <c r="A6" s="2"/>
      <c r="B6" s="2"/>
      <c r="C6" s="2"/>
      <c r="D6" s="11"/>
      <c r="E6" s="11"/>
      <c r="F6" s="11"/>
      <c r="G6" s="11"/>
    </row>
    <row r="7" spans="1:7" x14ac:dyDescent="0.15">
      <c r="A7" s="5"/>
      <c r="B7" s="5"/>
      <c r="C7" s="5"/>
      <c r="D7" s="12"/>
      <c r="E7" s="12"/>
      <c r="F7" s="12"/>
      <c r="G7" s="12"/>
    </row>
    <row r="8" spans="1:7" x14ac:dyDescent="0.15">
      <c r="A8" s="5"/>
      <c r="B8" s="5"/>
      <c r="C8" s="5"/>
      <c r="D8" s="12"/>
      <c r="E8" s="12"/>
      <c r="F8" s="12"/>
      <c r="G8" s="12"/>
    </row>
    <row r="9" spans="1:7" x14ac:dyDescent="0.15">
      <c r="A9" s="5"/>
      <c r="B9" s="5"/>
      <c r="C9" s="5"/>
      <c r="D9" s="12"/>
      <c r="E9" s="12"/>
      <c r="F9" s="12"/>
      <c r="G9" s="12"/>
    </row>
    <row r="10" spans="1:7" x14ac:dyDescent="0.15">
      <c r="A10" s="5"/>
      <c r="B10" s="5"/>
      <c r="C10" s="5"/>
      <c r="D10" s="12"/>
      <c r="E10" s="12"/>
      <c r="F10" s="12"/>
      <c r="G10" s="12"/>
    </row>
    <row r="11" spans="1:7" x14ac:dyDescent="0.15">
      <c r="A11" s="5"/>
      <c r="B11" s="5"/>
      <c r="C11" s="5"/>
      <c r="D11" s="12"/>
      <c r="E11" s="12"/>
      <c r="F11" s="12"/>
      <c r="G11" s="12"/>
    </row>
    <row r="12" spans="1:7" x14ac:dyDescent="0.15">
      <c r="A12" s="5"/>
      <c r="B12" s="5"/>
      <c r="C12" s="5"/>
      <c r="D12" s="12"/>
      <c r="E12" s="12"/>
      <c r="F12" s="12"/>
      <c r="G12" s="12"/>
    </row>
    <row r="13" spans="1:7" x14ac:dyDescent="0.15">
      <c r="A13" s="5"/>
      <c r="B13" s="5"/>
      <c r="C13" s="5"/>
      <c r="D13" s="4"/>
      <c r="E13" s="4"/>
      <c r="F13" s="4"/>
      <c r="G13" s="4"/>
    </row>
    <row r="14" spans="1:7" x14ac:dyDescent="0.15">
      <c r="A14" s="5"/>
      <c r="B14" s="5"/>
      <c r="C14" s="5"/>
      <c r="D14" s="4"/>
      <c r="E14" s="4"/>
      <c r="F14" s="4"/>
      <c r="G14" s="4"/>
    </row>
    <row r="15" spans="1:7" x14ac:dyDescent="0.15">
      <c r="A15" s="5"/>
      <c r="B15" s="5"/>
      <c r="C15" s="5"/>
      <c r="D15" s="4"/>
      <c r="E15" s="4"/>
      <c r="F15" s="4"/>
      <c r="G15" s="4"/>
    </row>
    <row r="16" spans="1:7" x14ac:dyDescent="0.15">
      <c r="A16" s="5"/>
      <c r="B16" s="5"/>
      <c r="C16" s="5"/>
      <c r="D16" s="4"/>
      <c r="E16" s="4"/>
      <c r="F16" s="4"/>
      <c r="G16" s="4"/>
    </row>
    <row r="17" spans="1:7" x14ac:dyDescent="0.15">
      <c r="A17" s="5"/>
      <c r="B17" s="5"/>
      <c r="C17" s="5"/>
      <c r="D17" s="4"/>
      <c r="E17" s="4"/>
      <c r="F17" s="4"/>
      <c r="G17" s="4"/>
    </row>
    <row r="18" spans="1:7" x14ac:dyDescent="0.15">
      <c r="A18" s="5"/>
      <c r="B18" s="5"/>
      <c r="C18" s="5"/>
      <c r="D18" s="4"/>
      <c r="E18" s="4"/>
      <c r="F18" s="4"/>
      <c r="G18" s="4"/>
    </row>
    <row r="19" spans="1:7" x14ac:dyDescent="0.15">
      <c r="A19" s="5"/>
      <c r="B19" s="5"/>
      <c r="C19" s="5"/>
      <c r="D19" s="4"/>
      <c r="E19" s="4"/>
      <c r="F19" s="4"/>
      <c r="G19" s="4"/>
    </row>
    <row r="20" spans="1:7" x14ac:dyDescent="0.15">
      <c r="A20" s="5"/>
      <c r="B20" s="5"/>
      <c r="C20" s="5"/>
      <c r="D20" s="4"/>
      <c r="E20" s="4"/>
      <c r="F20" s="4"/>
      <c r="G20" s="4"/>
    </row>
    <row r="21" spans="1:7" x14ac:dyDescent="0.15">
      <c r="A21" s="1" t="s">
        <v>11</v>
      </c>
      <c r="B21" s="5"/>
      <c r="C21" s="5"/>
      <c r="D21" s="4">
        <f>SUM(D4:D20)</f>
        <v>0</v>
      </c>
      <c r="E21" s="4">
        <f>SUM(E4:E20)</f>
        <v>0</v>
      </c>
      <c r="F21" s="4">
        <f>SUM(F4:F20)</f>
        <v>0</v>
      </c>
      <c r="G21" s="4">
        <f>SUM(G4:G20)</f>
        <v>0</v>
      </c>
    </row>
    <row r="22" spans="1:7" x14ac:dyDescent="0.15">
      <c r="A22" s="6" t="s">
        <v>122</v>
      </c>
      <c r="B22" s="7"/>
      <c r="C22" s="7"/>
      <c r="D22" s="8">
        <f>D21-'汇总-自动取数'!P37</f>
        <v>0</v>
      </c>
      <c r="E22" s="8">
        <f>E21-'汇总-自动取数'!AJ37</f>
        <v>0</v>
      </c>
      <c r="F22" s="8">
        <f>F21-'汇总-自动取数'!H37</f>
        <v>0</v>
      </c>
      <c r="G22" s="8">
        <f>G21-'汇总-自动取数'!AB37</f>
        <v>0</v>
      </c>
    </row>
  </sheetData>
  <mergeCells count="6">
    <mergeCell ref="A1:G1"/>
    <mergeCell ref="D2:E2"/>
    <mergeCell ref="F2:G2"/>
    <mergeCell ref="A2:A3"/>
    <mergeCell ref="B2:B3"/>
    <mergeCell ref="C2:C3"/>
  </mergeCells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workbookViewId="0">
      <selection activeCell="D32" sqref="D32"/>
    </sheetView>
  </sheetViews>
  <sheetFormatPr defaultColWidth="9" defaultRowHeight="14.25" x14ac:dyDescent="0.15"/>
  <cols>
    <col min="1" max="7" width="19.625" customWidth="1"/>
  </cols>
  <sheetData>
    <row r="1" spans="1:7" ht="32.25" customHeight="1" x14ac:dyDescent="0.15">
      <c r="A1" s="113" t="s">
        <v>124</v>
      </c>
      <c r="B1" s="113"/>
      <c r="C1" s="113"/>
      <c r="D1" s="113"/>
      <c r="E1" s="113"/>
      <c r="F1" s="113"/>
      <c r="G1" s="113"/>
    </row>
    <row r="2" spans="1:7" x14ac:dyDescent="0.15">
      <c r="A2" s="114" t="s">
        <v>117</v>
      </c>
      <c r="B2" s="114" t="s">
        <v>118</v>
      </c>
      <c r="C2" s="114" t="s">
        <v>119</v>
      </c>
      <c r="D2" s="102" t="s">
        <v>120</v>
      </c>
      <c r="E2" s="103"/>
      <c r="F2" s="102" t="s">
        <v>121</v>
      </c>
      <c r="G2" s="103"/>
    </row>
    <row r="3" spans="1:7" x14ac:dyDescent="0.15">
      <c r="A3" s="115"/>
      <c r="B3" s="115"/>
      <c r="C3" s="115"/>
      <c r="D3" s="1" t="s">
        <v>9</v>
      </c>
      <c r="E3" s="1" t="s">
        <v>20</v>
      </c>
      <c r="F3" s="1" t="s">
        <v>9</v>
      </c>
      <c r="G3" s="1" t="s">
        <v>20</v>
      </c>
    </row>
    <row r="4" spans="1:7" ht="17.25" customHeight="1" x14ac:dyDescent="0.15">
      <c r="A4" s="2"/>
      <c r="B4" s="2"/>
      <c r="C4" s="2"/>
      <c r="D4" s="3"/>
      <c r="E4" s="3"/>
      <c r="F4" s="4"/>
      <c r="G4" s="4"/>
    </row>
    <row r="5" spans="1:7" x14ac:dyDescent="0.15">
      <c r="A5" s="5"/>
      <c r="B5" s="5"/>
      <c r="C5" s="5"/>
      <c r="D5" s="4"/>
      <c r="E5" s="4"/>
      <c r="F5" s="4"/>
      <c r="G5" s="4"/>
    </row>
    <row r="6" spans="1:7" x14ac:dyDescent="0.15">
      <c r="A6" s="5"/>
      <c r="B6" s="5"/>
      <c r="C6" s="5"/>
      <c r="D6" s="4"/>
      <c r="E6" s="4"/>
      <c r="F6" s="4"/>
      <c r="G6" s="4"/>
    </row>
    <row r="7" spans="1:7" x14ac:dyDescent="0.15">
      <c r="A7" s="5"/>
      <c r="B7" s="5"/>
      <c r="C7" s="5"/>
      <c r="D7" s="4"/>
      <c r="E7" s="4"/>
      <c r="F7" s="4"/>
      <c r="G7" s="4"/>
    </row>
    <row r="8" spans="1:7" x14ac:dyDescent="0.15">
      <c r="A8" s="5"/>
      <c r="B8" s="5"/>
      <c r="C8" s="5"/>
      <c r="D8" s="4"/>
      <c r="E8" s="4"/>
      <c r="F8" s="4"/>
      <c r="G8" s="4"/>
    </row>
    <row r="9" spans="1:7" x14ac:dyDescent="0.15">
      <c r="A9" s="5"/>
      <c r="B9" s="5"/>
      <c r="C9" s="5"/>
      <c r="D9" s="4"/>
      <c r="E9" s="4"/>
      <c r="F9" s="4"/>
      <c r="G9" s="4"/>
    </row>
    <row r="10" spans="1:7" x14ac:dyDescent="0.15">
      <c r="A10" s="5"/>
      <c r="B10" s="5"/>
      <c r="C10" s="5"/>
      <c r="D10" s="4"/>
      <c r="E10" s="4"/>
      <c r="F10" s="4"/>
      <c r="G10" s="4"/>
    </row>
    <row r="11" spans="1:7" x14ac:dyDescent="0.15">
      <c r="A11" s="5"/>
      <c r="B11" s="5"/>
      <c r="C11" s="5"/>
      <c r="D11" s="4"/>
      <c r="E11" s="4"/>
      <c r="F11" s="4"/>
      <c r="G11" s="4"/>
    </row>
    <row r="12" spans="1:7" x14ac:dyDescent="0.15">
      <c r="A12" s="5"/>
      <c r="B12" s="5"/>
      <c r="C12" s="5"/>
      <c r="D12" s="4"/>
      <c r="E12" s="4"/>
      <c r="F12" s="4"/>
      <c r="G12" s="4"/>
    </row>
    <row r="13" spans="1:7" x14ac:dyDescent="0.15">
      <c r="A13" s="5"/>
      <c r="B13" s="5"/>
      <c r="C13" s="5"/>
      <c r="D13" s="4"/>
      <c r="E13" s="4"/>
      <c r="F13" s="4"/>
      <c r="G13" s="4"/>
    </row>
    <row r="14" spans="1:7" x14ac:dyDescent="0.15">
      <c r="A14" s="5"/>
      <c r="B14" s="5"/>
      <c r="C14" s="5"/>
      <c r="D14" s="4"/>
      <c r="E14" s="4"/>
      <c r="F14" s="4"/>
      <c r="G14" s="4"/>
    </row>
    <row r="15" spans="1:7" x14ac:dyDescent="0.15">
      <c r="A15" s="5"/>
      <c r="B15" s="5"/>
      <c r="C15" s="5"/>
      <c r="D15" s="4"/>
      <c r="E15" s="4"/>
      <c r="F15" s="4"/>
      <c r="G15" s="4"/>
    </row>
    <row r="16" spans="1:7" x14ac:dyDescent="0.15">
      <c r="A16" s="5"/>
      <c r="B16" s="5"/>
      <c r="C16" s="5"/>
      <c r="D16" s="4"/>
      <c r="E16" s="4"/>
      <c r="F16" s="4"/>
      <c r="G16" s="4"/>
    </row>
    <row r="17" spans="1:7" x14ac:dyDescent="0.15">
      <c r="A17" s="5"/>
      <c r="B17" s="5"/>
      <c r="C17" s="5"/>
      <c r="D17" s="4"/>
      <c r="E17" s="4"/>
      <c r="F17" s="4"/>
      <c r="G17" s="4"/>
    </row>
    <row r="18" spans="1:7" x14ac:dyDescent="0.15">
      <c r="A18" s="5"/>
      <c r="B18" s="5"/>
      <c r="C18" s="5"/>
      <c r="D18" s="4"/>
      <c r="E18" s="4"/>
      <c r="F18" s="4"/>
      <c r="G18" s="4"/>
    </row>
    <row r="19" spans="1:7" x14ac:dyDescent="0.15">
      <c r="A19" s="5"/>
      <c r="B19" s="5"/>
      <c r="C19" s="5"/>
      <c r="D19" s="4"/>
      <c r="E19" s="4"/>
      <c r="F19" s="4"/>
      <c r="G19" s="4"/>
    </row>
    <row r="20" spans="1:7" x14ac:dyDescent="0.15">
      <c r="A20" s="5"/>
      <c r="B20" s="5"/>
      <c r="C20" s="5"/>
      <c r="D20" s="4"/>
      <c r="E20" s="4"/>
      <c r="F20" s="4"/>
      <c r="G20" s="4"/>
    </row>
    <row r="21" spans="1:7" x14ac:dyDescent="0.15">
      <c r="A21" s="1" t="s">
        <v>11</v>
      </c>
      <c r="B21" s="5"/>
      <c r="C21" s="5"/>
      <c r="D21" s="4"/>
      <c r="E21" s="4"/>
      <c r="F21" s="4">
        <f>SUM(F4:F20)</f>
        <v>0</v>
      </c>
      <c r="G21" s="4">
        <f>SUM(G4:G20)</f>
        <v>0</v>
      </c>
    </row>
    <row r="22" spans="1:7" x14ac:dyDescent="0.15">
      <c r="A22" s="6" t="s">
        <v>122</v>
      </c>
      <c r="B22" s="7"/>
      <c r="C22" s="7"/>
      <c r="D22" s="8">
        <f>D21-'汇总-自动取数'!N37</f>
        <v>0</v>
      </c>
      <c r="E22" s="8">
        <f>E21-'汇总-自动取数'!AH37</f>
        <v>0</v>
      </c>
      <c r="F22" s="8">
        <f>F21-'汇总-自动取数'!F37</f>
        <v>0</v>
      </c>
      <c r="G22" s="8">
        <f>G21-'汇总-自动取数'!Z37</f>
        <v>0</v>
      </c>
    </row>
  </sheetData>
  <mergeCells count="6">
    <mergeCell ref="A1:G1"/>
    <mergeCell ref="D2:E2"/>
    <mergeCell ref="F2:G2"/>
    <mergeCell ref="A2:A3"/>
    <mergeCell ref="B2:B3"/>
    <mergeCell ref="C2:C3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3" sqref="F13"/>
    </sheetView>
  </sheetViews>
  <sheetFormatPr defaultColWidth="9" defaultRowHeight="14.2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汇总-自动取数</vt:lpstr>
      <vt:lpstr>汇总表2</vt:lpstr>
      <vt:lpstr>卡片数据</vt:lpstr>
      <vt:lpstr>省外划拨</vt:lpstr>
      <vt:lpstr>省内地市间划拨</vt:lpstr>
      <vt:lpstr>子分公司间划转资产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2018-12-29T00:58:00Z</cp:lastPrinted>
  <dcterms:created xsi:type="dcterms:W3CDTF">2017-01-06T03:03:00Z</dcterms:created>
  <dcterms:modified xsi:type="dcterms:W3CDTF">2020-04-20T17:56:34Z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